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backupFile="1" codeName="EstaPastaDeTrabalho"/>
  <mc:AlternateContent xmlns:mc="http://schemas.openxmlformats.org/markup-compatibility/2006">
    <mc:Choice Requires="x15">
      <x15ac:absPath xmlns:x15ac="http://schemas.microsoft.com/office/spreadsheetml/2010/11/ac" url="\\NIC-TGL-FS-01\Tegma\Financeiro\Investidores\RI\SÉRIE HISTÓRICA\Divulgados\"/>
    </mc:Choice>
  </mc:AlternateContent>
  <xr:revisionPtr revIDLastSave="0" documentId="13_ncr:1_{2358C75D-8BD0-4A81-AF34-39D2837B6086}" xr6:coauthVersionLast="47" xr6:coauthVersionMax="47" xr10:uidLastSave="{00000000-0000-0000-0000-000000000000}"/>
  <bookViews>
    <workbookView xWindow="-120" yWindow="-120" windowWidth="20730" windowHeight="11040" tabRatio="830" xr2:uid="{00000000-000D-0000-FFFF-FFFF00000000}"/>
  </bookViews>
  <sheets>
    <sheet name="Menu" sheetId="8" r:id="rId1"/>
    <sheet name="Quick Analysis" sheetId="83" r:id="rId2"/>
    <sheet name="Auto Operational Figures" sheetId="84" r:id="rId3"/>
    <sheet name="BalSheet" sheetId="3" r:id="rId4"/>
    <sheet name="IncS" sheetId="2" r:id="rId5"/>
    <sheet name="IncSAuto" sheetId="1" r:id="rId6"/>
    <sheet name="IncSIntLog" sheetId="10" r:id="rId7"/>
    <sheet name="IncSCons" sheetId="12" r:id="rId8"/>
    <sheet name="Cash Flow Stat" sheetId="63" r:id="rId9"/>
    <sheet name="Value Added Stat" sheetId="67" r:id="rId10"/>
    <sheet name="Statments of changes in Equity" sheetId="79" r:id="rId11"/>
    <sheet name="Qtrl Fig" sheetId="9" r:id="rId12"/>
    <sheet name="Dividends" sheetId="76" r:id="rId13"/>
    <sheet name="Estimatives" sheetId="73" r:id="rId14"/>
    <sheet name="MktData" sheetId="77" r:id="rId15"/>
    <sheet name="Attachments" sheetId="13" r:id="rId16"/>
    <sheet name="Sensitivity Analysis 1" sheetId="24" r:id="rId17"/>
    <sheet name="Liquidity Risk" sheetId="23" r:id="rId18"/>
    <sheet name="Capital management" sheetId="26" r:id="rId19"/>
    <sheet name="Cash and Cash Equivalents" sheetId="29" r:id="rId20"/>
    <sheet name="Account Receivable" sheetId="30" r:id="rId21"/>
    <sheet name="Accounts Receivable Aging" sheetId="31" r:id="rId22"/>
    <sheet name="Accounts Receivable - ADA" sheetId="32" r:id="rId23"/>
    <sheet name="Other accounts receivable" sheetId="61" r:id="rId24"/>
    <sheet name="Taxes Recoverable" sheetId="33" r:id="rId25"/>
    <sheet name="Investments A" sheetId="34" r:id="rId26"/>
    <sheet name="Investments C" sheetId="36" r:id="rId27"/>
    <sheet name="Investments E" sheetId="38" r:id="rId28"/>
    <sheet name="Investments F" sheetId="39" r:id="rId29"/>
    <sheet name="Property and Equipment" sheetId="42" r:id="rId30"/>
    <sheet name="Loans and Financing" sheetId="44" r:id="rId31"/>
    <sheet name="Intangible Assets" sheetId="43" r:id="rId32"/>
    <sheet name="Salaries and Related Charges" sheetId="45" r:id="rId33"/>
    <sheet name="Legal risks" sheetId="46" r:id="rId34"/>
    <sheet name="Income and SCT" sheetId="72" r:id="rId35"/>
    <sheet name="Deferred income and taxes" sheetId="48" r:id="rId36"/>
    <sheet name="Other Accounts Payable" sheetId="49" r:id="rId37"/>
    <sheet name="Other Revenues (Expenses)" sheetId="52" r:id="rId38"/>
    <sheet name="Net Revenue" sheetId="53" r:id="rId39"/>
    <sheet name="Expenses by nature" sheetId="71" r:id="rId40"/>
    <sheet name="Expenses by nature1" sheetId="65" r:id="rId41"/>
    <sheet name="Financial result" sheetId="55" r:id="rId42"/>
    <sheet name="Management Compensation" sheetId="66" r:id="rId43"/>
    <sheet name="Operating Lease Commitments" sheetId="59" r:id="rId44"/>
    <sheet name="Related Parties" sheetId="68" r:id="rId45"/>
    <sheet name="Right of Use" sheetId="80" r:id="rId46"/>
    <sheet name="Lease liabilities" sheetId="81" r:id="rId47"/>
    <sheet name="Discontinued Operation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5" hidden="1">#REF!</definedName>
    <definedName name="__123Graph_ASIDECO" localSheetId="2" hidden="1">#REF!</definedName>
    <definedName name="__123Graph_ASIDECO" localSheetId="12" hidden="1">#REF!</definedName>
    <definedName name="__123Graph_ASIDECO" localSheetId="39" hidden="1">#REF!</definedName>
    <definedName name="__123Graph_ASIDECO" localSheetId="34" hidden="1">#REF!</definedName>
    <definedName name="__123Graph_ASIDECO" localSheetId="7" hidden="1">#REF!</definedName>
    <definedName name="__123Graph_ASIDECO" localSheetId="6" hidden="1">#REF!</definedName>
    <definedName name="__123Graph_ASIDECO" localSheetId="1" hidden="1">#REF!</definedName>
    <definedName name="__123Graph_ASIDECO" localSheetId="10" hidden="1">#REF!</definedName>
    <definedName name="__123Graph_ASIDECO" hidden="1">#REF!</definedName>
    <definedName name="__123Graph_AUSS" hidden="1">#REF!</definedName>
    <definedName name="__123Graph_B" localSheetId="15" hidden="1">#REF!</definedName>
    <definedName name="__123Graph_B" localSheetId="2" hidden="1">#REF!</definedName>
    <definedName name="__123Graph_B" localSheetId="12" hidden="1">#REF!</definedName>
    <definedName name="__123Graph_B" localSheetId="39" hidden="1">#REF!</definedName>
    <definedName name="__123Graph_B" localSheetId="34" hidden="1">#REF!</definedName>
    <definedName name="__123Graph_B" localSheetId="7" hidden="1">#REF!</definedName>
    <definedName name="__123Graph_B" localSheetId="6" hidden="1">#REF!</definedName>
    <definedName name="__123Graph_B" localSheetId="1" hidden="1">#REF!</definedName>
    <definedName name="__123Graph_B" localSheetId="10"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5" hidden="1">#REF!</definedName>
    <definedName name="__123Graph_BSIDECO" localSheetId="2" hidden="1">#REF!</definedName>
    <definedName name="__123Graph_BSIDECO" localSheetId="12" hidden="1">#REF!</definedName>
    <definedName name="__123Graph_BSIDECO" localSheetId="39" hidden="1">#REF!</definedName>
    <definedName name="__123Graph_BSIDECO" localSheetId="34" hidden="1">#REF!</definedName>
    <definedName name="__123Graph_BSIDECO" localSheetId="7" hidden="1">#REF!</definedName>
    <definedName name="__123Graph_BSIDECO" localSheetId="6" hidden="1">#REF!</definedName>
    <definedName name="__123Graph_BSIDECO" localSheetId="1" hidden="1">#REF!</definedName>
    <definedName name="__123Graph_BSIDECO" localSheetId="10"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5" hidden="1">#REF!</definedName>
    <definedName name="__123Graph_CSIDECO" localSheetId="2" hidden="1">#REF!</definedName>
    <definedName name="__123Graph_CSIDECO" localSheetId="12" hidden="1">#REF!</definedName>
    <definedName name="__123Graph_CSIDECO" localSheetId="39" hidden="1">#REF!</definedName>
    <definedName name="__123Graph_CSIDECO" localSheetId="34" hidden="1">#REF!</definedName>
    <definedName name="__123Graph_CSIDECO" localSheetId="7" hidden="1">#REF!</definedName>
    <definedName name="__123Graph_CSIDECO" localSheetId="6" hidden="1">#REF!</definedName>
    <definedName name="__123Graph_CSIDECO" localSheetId="1" hidden="1">#REF!</definedName>
    <definedName name="__123Graph_CSIDECO" localSheetId="10" hidden="1">#REF!</definedName>
    <definedName name="__123Graph_CSIDECO" hidden="1">#REF!</definedName>
    <definedName name="__123Graph_D" localSheetId="2" hidden="1">#REF!</definedName>
    <definedName name="__123Graph_D" localSheetId="12" hidden="1">#REF!</definedName>
    <definedName name="__123Graph_D" localSheetId="39" hidden="1">#REF!</definedName>
    <definedName name="__123Graph_D" localSheetId="34" hidden="1">#REF!</definedName>
    <definedName name="__123Graph_D" localSheetId="7" hidden="1">#REF!</definedName>
    <definedName name="__123Graph_D" localSheetId="6" hidden="1">#REF!</definedName>
    <definedName name="__123Graph_D" localSheetId="11" hidden="1">#REF!</definedName>
    <definedName name="__123Graph_D" localSheetId="1" hidden="1">#REF!</definedName>
    <definedName name="__123Graph_D" localSheetId="10"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5" hidden="1">#REF!</definedName>
    <definedName name="__123Graph_XSIDECO" localSheetId="2" hidden="1">#REF!</definedName>
    <definedName name="__123Graph_XSIDECO" localSheetId="12" hidden="1">#REF!</definedName>
    <definedName name="__123Graph_XSIDECO" localSheetId="39" hidden="1">#REF!</definedName>
    <definedName name="__123Graph_XSIDECO" localSheetId="34" hidden="1">#REF!</definedName>
    <definedName name="__123Graph_XSIDECO" localSheetId="7" hidden="1">#REF!</definedName>
    <definedName name="__123Graph_XSIDECO" localSheetId="6" hidden="1">#REF!</definedName>
    <definedName name="__123Graph_XSIDECO" localSheetId="1" hidden="1">#REF!</definedName>
    <definedName name="__123Graph_XSIDECO" localSheetId="10" hidden="1">#REF!</definedName>
    <definedName name="__123Graph_XSIDECO" hidden="1">#REF!</definedName>
    <definedName name="__123Graph_XUSS" hidden="1">#REF!</definedName>
    <definedName name="__DRE0700" localSheetId="15" hidden="1">{"'PXR_6500'!$A$1:$I$124"}</definedName>
    <definedName name="__DRE0700" localSheetId="2"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39" hidden="1">{"'PXR_6500'!$A$1:$I$124"}</definedName>
    <definedName name="__DRE0700" localSheetId="34" hidden="1">{"'PXR_6500'!$A$1:$I$124"}</definedName>
    <definedName name="__DRE0700" localSheetId="14"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2" hidden="1">#REF!</definedName>
    <definedName name="_1_0__123Grap" localSheetId="12" hidden="1">#REF!</definedName>
    <definedName name="_1_0__123Grap" localSheetId="34" hidden="1">#REF!</definedName>
    <definedName name="_1_0__123Grap" localSheetId="7" hidden="1">#REF!</definedName>
    <definedName name="_1_0__123Grap" localSheetId="6" hidden="1">#REF!</definedName>
    <definedName name="_1_0__123Grap" localSheetId="1" hidden="1">#REF!</definedName>
    <definedName name="_1_0__123Grap" localSheetId="10" hidden="1">#REF!</definedName>
    <definedName name="_1_0__123Grap" hidden="1">#REF!</definedName>
    <definedName name="_1_123Grap" localSheetId="2" hidden="1">#REF!</definedName>
    <definedName name="_1_123Grap" localSheetId="12" hidden="1">#REF!</definedName>
    <definedName name="_1_123Grap" localSheetId="34" hidden="1">#REF!</definedName>
    <definedName name="_1_123Grap" localSheetId="7" hidden="1">#REF!</definedName>
    <definedName name="_1_123Grap" localSheetId="6" hidden="1">#REF!</definedName>
    <definedName name="_1_123Grap" localSheetId="1" hidden="1">#REF!</definedName>
    <definedName name="_1_123Grap" localSheetId="10" hidden="1">#REF!</definedName>
    <definedName name="_1_123Grap" hidden="1">#REF!</definedName>
    <definedName name="_12__123Graph_BCHART_1" localSheetId="2" hidden="1">#REF!</definedName>
    <definedName name="_12__123Graph_BCHART_1" localSheetId="12" hidden="1">#REF!</definedName>
    <definedName name="_12__123Graph_BCHART_1" localSheetId="34" hidden="1">#REF!</definedName>
    <definedName name="_12__123Graph_BCHART_1" localSheetId="7" hidden="1">#REF!</definedName>
    <definedName name="_12__123Graph_BCHART_1" localSheetId="6" hidden="1">#REF!</definedName>
    <definedName name="_12__123Graph_BCHART_1" localSheetId="1" hidden="1">#REF!</definedName>
    <definedName name="_12__123Graph_BCHART_1" localSheetId="10" hidden="1">#REF!</definedName>
    <definedName name="_12__123Graph_BCHART_1" hidden="1">#REF!</definedName>
    <definedName name="_13œ____123Grap" localSheetId="2" hidden="1">#REF!</definedName>
    <definedName name="_13œ____123Grap" localSheetId="12" hidden="1">#REF!</definedName>
    <definedName name="_13œ____123Grap" localSheetId="34" hidden="1">#REF!</definedName>
    <definedName name="_13œ____123Grap" localSheetId="7" hidden="1">#REF!</definedName>
    <definedName name="_13œ____123Grap" localSheetId="6" hidden="1">#REF!</definedName>
    <definedName name="_13œ____123Grap" localSheetId="1" hidden="1">#REF!</definedName>
    <definedName name="_13œ____123Grap" localSheetId="10" hidden="1">#REF!</definedName>
    <definedName name="_13œ____123Grap" hidden="1">#REF!</definedName>
    <definedName name="_14__123Graph_BCHART_3" hidden="1">#REF!</definedName>
    <definedName name="_14œ_0__123Grap" localSheetId="15" hidden="1">#REF!</definedName>
    <definedName name="_14œ_0__123Grap" localSheetId="2" hidden="1">#REF!</definedName>
    <definedName name="_14œ_0__123Grap" localSheetId="12" hidden="1">#REF!</definedName>
    <definedName name="_14œ_0__123Grap" localSheetId="39" hidden="1">#REF!</definedName>
    <definedName name="_14œ_0__123Grap" localSheetId="34" hidden="1">#REF!</definedName>
    <definedName name="_14œ_0__123Grap" localSheetId="7" hidden="1">#REF!</definedName>
    <definedName name="_14œ_0__123Grap" localSheetId="6" hidden="1">#REF!</definedName>
    <definedName name="_14œ_0__123Grap" localSheetId="1" hidden="1">#REF!</definedName>
    <definedName name="_14œ_0__123Grap" localSheetId="10" hidden="1">#REF!</definedName>
    <definedName name="_14œ_0__123Grap" hidden="1">#REF!</definedName>
    <definedName name="_19__123Graph_DCHART_1" localSheetId="2" hidden="1">#REF!</definedName>
    <definedName name="_19__123Graph_DCHART_1" localSheetId="12" hidden="1">#REF!</definedName>
    <definedName name="_19__123Graph_DCHART_1" localSheetId="39" hidden="1">#REF!</definedName>
    <definedName name="_19__123Graph_DCHART_1" localSheetId="34" hidden="1">#REF!</definedName>
    <definedName name="_19__123Graph_DCHART_1" localSheetId="7" hidden="1">#REF!</definedName>
    <definedName name="_19__123Graph_DCHART_1" localSheetId="6" hidden="1">#REF!</definedName>
    <definedName name="_19__123Graph_DCHART_1" localSheetId="11" hidden="1">#REF!</definedName>
    <definedName name="_19__123Graph_DCHART_1" localSheetId="1" hidden="1">#REF!</definedName>
    <definedName name="_19__123Graph_DCHART_1" localSheetId="10" hidden="1">#REF!</definedName>
    <definedName name="_19__123Graph_DCHART_1" hidden="1">#REF!</definedName>
    <definedName name="_1Dist_Val" localSheetId="15" hidden="1">#REF!</definedName>
    <definedName name="_1Dist_Val" localSheetId="2" hidden="1">#REF!</definedName>
    <definedName name="_1Dist_Val" localSheetId="12" hidden="1">#REF!</definedName>
    <definedName name="_1Dist_Val" localSheetId="39" hidden="1">#REF!</definedName>
    <definedName name="_1Dist_Val" localSheetId="34" hidden="1">#REF!</definedName>
    <definedName name="_1Dist_Val" localSheetId="7" hidden="1">#REF!</definedName>
    <definedName name="_1Dist_Val" localSheetId="6" hidden="1">#REF!</definedName>
    <definedName name="_1Dist_Val" localSheetId="11" hidden="1">#REF!</definedName>
    <definedName name="_1Dist_Val" localSheetId="1" hidden="1">#REF!</definedName>
    <definedName name="_1Dist_Val" localSheetId="10" hidden="1">#REF!</definedName>
    <definedName name="_1Dist_Val" hidden="1">#REF!</definedName>
    <definedName name="_2__123Graph_ACDIUS" hidden="1">#REF!</definedName>
    <definedName name="_2_0__123Grap" localSheetId="15" hidden="1">#REF!</definedName>
    <definedName name="_2_0__123Grap" localSheetId="2" hidden="1">#REF!</definedName>
    <definedName name="_2_0__123Grap" localSheetId="12" hidden="1">#REF!</definedName>
    <definedName name="_2_0__123Grap" localSheetId="39" hidden="1">#REF!</definedName>
    <definedName name="_2_0__123Grap" localSheetId="34" hidden="1">#REF!</definedName>
    <definedName name="_2_0__123Grap" localSheetId="7" hidden="1">#REF!</definedName>
    <definedName name="_2_0__123Grap" localSheetId="6" hidden="1">#REF!</definedName>
    <definedName name="_2_0__123Grap" localSheetId="1" hidden="1">#REF!</definedName>
    <definedName name="_2_0__123Grap" localSheetId="10" hidden="1">#REF!</definedName>
    <definedName name="_2_0__123Grap" hidden="1">#REF!</definedName>
    <definedName name="_24__123Graph_LBL_ACHART_1" localSheetId="2" hidden="1">#REF!</definedName>
    <definedName name="_24__123Graph_LBL_ACHART_1" localSheetId="12" hidden="1">#REF!</definedName>
    <definedName name="_24__123Graph_LBL_ACHART_1" localSheetId="39" hidden="1">#REF!</definedName>
    <definedName name="_24__123Graph_LBL_ACHART_1" localSheetId="34" hidden="1">#REF!</definedName>
    <definedName name="_24__123Graph_LBL_ACHART_1" localSheetId="7" hidden="1">#REF!</definedName>
    <definedName name="_24__123Graph_LBL_ACHART_1" localSheetId="6" hidden="1">#REF!</definedName>
    <definedName name="_24__123Graph_LBL_ACHART_1" localSheetId="11" hidden="1">#REF!</definedName>
    <definedName name="_24__123Graph_LBL_ACHART_1" localSheetId="1" hidden="1">#REF!</definedName>
    <definedName name="_24__123Graph_LBL_ACHART_1" localSheetId="10" hidden="1">#REF!</definedName>
    <definedName name="_24__123Graph_LBL_ACHART_1" hidden="1">#REF!</definedName>
    <definedName name="_26__123Graph_LBL_ACHART_3" hidden="1">#REF!</definedName>
    <definedName name="_2F" localSheetId="15" hidden="1">#REF!</definedName>
    <definedName name="_2F" localSheetId="2" hidden="1">#REF!</definedName>
    <definedName name="_2F" localSheetId="12" hidden="1">#REF!</definedName>
    <definedName name="_2F" localSheetId="39" hidden="1">#REF!</definedName>
    <definedName name="_2F" localSheetId="34" hidden="1">#REF!</definedName>
    <definedName name="_2F" localSheetId="7" hidden="1">#REF!</definedName>
    <definedName name="_2F" localSheetId="6" hidden="1">#REF!</definedName>
    <definedName name="_2F" localSheetId="1" hidden="1">#REF!</definedName>
    <definedName name="_2F" localSheetId="10" hidden="1">#REF!</definedName>
    <definedName name="_2F" hidden="1">#REF!</definedName>
    <definedName name="_3__123Graph_BCDIUS" hidden="1">#REF!</definedName>
    <definedName name="_3_123Grap" localSheetId="15" hidden="1">#REF!</definedName>
    <definedName name="_3_123Grap" localSheetId="2" hidden="1">#REF!</definedName>
    <definedName name="_3_123Grap" localSheetId="12" hidden="1">#REF!</definedName>
    <definedName name="_3_123Grap" localSheetId="39" hidden="1">#REF!</definedName>
    <definedName name="_3_123Grap" localSheetId="34" hidden="1">#REF!</definedName>
    <definedName name="_3_123Grap" localSheetId="7" hidden="1">#REF!</definedName>
    <definedName name="_3_123Grap" localSheetId="6" hidden="1">#REF!</definedName>
    <definedName name="_3_123Grap" localSheetId="1" hidden="1">#REF!</definedName>
    <definedName name="_3_123Grap" localSheetId="10" hidden="1">#REF!</definedName>
    <definedName name="_3_123Grap" hidden="1">#REF!</definedName>
    <definedName name="_31__123Graph_LBL_DCHART_1" localSheetId="2" hidden="1">#REF!</definedName>
    <definedName name="_31__123Graph_LBL_DCHART_1" localSheetId="12" hidden="1">#REF!</definedName>
    <definedName name="_31__123Graph_LBL_DCHART_1" localSheetId="39" hidden="1">#REF!</definedName>
    <definedName name="_31__123Graph_LBL_DCHART_1" localSheetId="34" hidden="1">#REF!</definedName>
    <definedName name="_31__123Graph_LBL_DCHART_1" localSheetId="7" hidden="1">#REF!</definedName>
    <definedName name="_31__123Graph_LBL_DCHART_1" localSheetId="6" hidden="1">#REF!</definedName>
    <definedName name="_31__123Graph_LBL_DCHART_1" localSheetId="11" hidden="1">#REF!</definedName>
    <definedName name="_31__123Graph_LBL_DCHART_1" localSheetId="1" hidden="1">#REF!</definedName>
    <definedName name="_31__123Graph_LBL_DCHART_1" localSheetId="10" hidden="1">#REF!</definedName>
    <definedName name="_31__123Graph_LBL_DCHART_1" hidden="1">#REF!</definedName>
    <definedName name="_4__123Graph_XCDIUS" hidden="1">#REF!</definedName>
    <definedName name="_4_0__123Grap" localSheetId="15" hidden="1">#REF!</definedName>
    <definedName name="_4_0__123Grap" localSheetId="2" hidden="1">#REF!</definedName>
    <definedName name="_4_0__123Grap" localSheetId="12" hidden="1">#REF!</definedName>
    <definedName name="_4_0__123Grap" localSheetId="39" hidden="1">#REF!</definedName>
    <definedName name="_4_0__123Grap" localSheetId="34" hidden="1">#REF!</definedName>
    <definedName name="_4_0__123Grap" localSheetId="7" hidden="1">#REF!</definedName>
    <definedName name="_4_0__123Grap" localSheetId="6" hidden="1">#REF!</definedName>
    <definedName name="_4_0__123Grap" localSheetId="1" hidden="1">#REF!</definedName>
    <definedName name="_4_0__123Grap" localSheetId="10" hidden="1">#REF!</definedName>
    <definedName name="_4_0__123Grap" hidden="1">#REF!</definedName>
    <definedName name="_5__123Graph_ACDIUS" hidden="1">#REF!</definedName>
    <definedName name="_5__123Graph_ACHART_1" localSheetId="15" hidden="1">#REF!</definedName>
    <definedName name="_5__123Graph_ACHART_1" localSheetId="2" hidden="1">#REF!</definedName>
    <definedName name="_5__123Graph_ACHART_1" localSheetId="12" hidden="1">#REF!</definedName>
    <definedName name="_5__123Graph_ACHART_1" localSheetId="39" hidden="1">#REF!</definedName>
    <definedName name="_5__123Graph_ACHART_1" localSheetId="34" hidden="1">#REF!</definedName>
    <definedName name="_5__123Graph_ACHART_1" localSheetId="7" hidden="1">#REF!</definedName>
    <definedName name="_5__123Graph_ACHART_1" localSheetId="6" hidden="1">#REF!</definedName>
    <definedName name="_5__123Graph_ACHART_1" localSheetId="11" hidden="1">#REF!</definedName>
    <definedName name="_5__123Graph_ACHART_1" localSheetId="1" hidden="1">#REF!</definedName>
    <definedName name="_5__123Graph_ACHART_1" localSheetId="10" hidden="1">#REF!</definedName>
    <definedName name="_5__123Graph_ACHART_1" hidden="1">#REF!</definedName>
    <definedName name="_5œ____123Grap" localSheetId="2" hidden="1">#REF!</definedName>
    <definedName name="_5œ____123Grap" localSheetId="12" hidden="1">#REF!</definedName>
    <definedName name="_5œ____123Grap" localSheetId="39" hidden="1">#REF!</definedName>
    <definedName name="_5œ____123Grap" localSheetId="34" hidden="1">#REF!</definedName>
    <definedName name="_5œ____123Grap" localSheetId="7" hidden="1">#REF!</definedName>
    <definedName name="_5œ____123Grap" localSheetId="6" hidden="1">#REF!</definedName>
    <definedName name="_5œ____123Grap" localSheetId="1" hidden="1">#REF!</definedName>
    <definedName name="_5œ____123Grap" localSheetId="10" hidden="1">#REF!</definedName>
    <definedName name="_5œ____123Grap" hidden="1">#REF!</definedName>
    <definedName name="_6__123Graph_BCDIUS" hidden="1">#REF!</definedName>
    <definedName name="_6œ_0__123Grap" localSheetId="15" hidden="1">#REF!</definedName>
    <definedName name="_6œ_0__123Grap" localSheetId="2" hidden="1">#REF!</definedName>
    <definedName name="_6œ_0__123Grap" localSheetId="12" hidden="1">#REF!</definedName>
    <definedName name="_6œ_0__123Grap" localSheetId="39" hidden="1">#REF!</definedName>
    <definedName name="_6œ_0__123Grap" localSheetId="34" hidden="1">#REF!</definedName>
    <definedName name="_6œ_0__123Grap" localSheetId="7" hidden="1">#REF!</definedName>
    <definedName name="_6œ_0__123Grap" localSheetId="6" hidden="1">#REF!</definedName>
    <definedName name="_6œ_0__123Grap" localSheetId="1" hidden="1">#REF!</definedName>
    <definedName name="_6œ_0__123Grap" localSheetId="10"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5" hidden="1">#REF!</definedName>
    <definedName name="_bdm.A56044B6AE024A82A1E4B0A4159858FA.edm" localSheetId="2" hidden="1">#REF!</definedName>
    <definedName name="_bdm.A56044B6AE024A82A1E4B0A4159858FA.edm" localSheetId="12" hidden="1">#REF!</definedName>
    <definedName name="_bdm.A56044B6AE024A82A1E4B0A4159858FA.edm" localSheetId="39" hidden="1">#REF!</definedName>
    <definedName name="_bdm.A56044B6AE024A82A1E4B0A4159858FA.edm" localSheetId="34" hidden="1">#REF!</definedName>
    <definedName name="_bdm.A56044B6AE024A82A1E4B0A4159858FA.edm" localSheetId="7" hidden="1">#REF!</definedName>
    <definedName name="_bdm.A56044B6AE024A82A1E4B0A4159858FA.edm" localSheetId="6" hidden="1">#REF!</definedName>
    <definedName name="_bdm.A56044B6AE024A82A1E4B0A4159858FA.edm" localSheetId="14" hidden="1">#REF!</definedName>
    <definedName name="_bdm.A56044B6AE024A82A1E4B0A4159858FA.edm" localSheetId="11" hidden="1">#REF!</definedName>
    <definedName name="_bdm.A56044B6AE024A82A1E4B0A4159858FA.edm" localSheetId="1" hidden="1">#REF!</definedName>
    <definedName name="_bdm.A56044B6AE024A82A1E4B0A4159858FA.edm" localSheetId="10" hidden="1">#REF!</definedName>
    <definedName name="_bdm.A56044B6AE024A82A1E4B0A4159858FA.edm" hidden="1">#REF!</definedName>
    <definedName name="_bdm.B0D166CE42564D8B8A1EF8B65CFD765C.edm" localSheetId="15" hidden="1">#REF!</definedName>
    <definedName name="_bdm.B0D166CE42564D8B8A1EF8B65CFD765C.edm" localSheetId="2" hidden="1">#REF!</definedName>
    <definedName name="_bdm.B0D166CE42564D8B8A1EF8B65CFD765C.edm" localSheetId="12" hidden="1">#REF!</definedName>
    <definedName name="_bdm.B0D166CE42564D8B8A1EF8B65CFD765C.edm" localSheetId="39" hidden="1">#REF!</definedName>
    <definedName name="_bdm.B0D166CE42564D8B8A1EF8B65CFD765C.edm" localSheetId="34" hidden="1">#REF!</definedName>
    <definedName name="_bdm.B0D166CE42564D8B8A1EF8B65CFD765C.edm" localSheetId="7" hidden="1">#REF!</definedName>
    <definedName name="_bdm.B0D166CE42564D8B8A1EF8B65CFD765C.edm" localSheetId="6" hidden="1">#REF!</definedName>
    <definedName name="_bdm.B0D166CE42564D8B8A1EF8B65CFD765C.edm" localSheetId="14" hidden="1">#REF!</definedName>
    <definedName name="_bdm.B0D166CE42564D8B8A1EF8B65CFD765C.edm" localSheetId="11" hidden="1">#REF!</definedName>
    <definedName name="_bdm.B0D166CE42564D8B8A1EF8B65CFD765C.edm" localSheetId="1" hidden="1">#REF!</definedName>
    <definedName name="_bdm.B0D166CE42564D8B8A1EF8B65CFD765C.edm" localSheetId="10" hidden="1">#REF!</definedName>
    <definedName name="_bdm.B0D166CE42564D8B8A1EF8B65CFD765C.edm" hidden="1">#REF!</definedName>
    <definedName name="_Dist_Bin" localSheetId="15" hidden="1">#REF!</definedName>
    <definedName name="_Dist_Bin" localSheetId="2" hidden="1">#REF!</definedName>
    <definedName name="_Dist_Bin" localSheetId="12" hidden="1">#REF!</definedName>
    <definedName name="_Dist_Bin" localSheetId="39" hidden="1">#REF!</definedName>
    <definedName name="_Dist_Bin" localSheetId="34" hidden="1">#REF!</definedName>
    <definedName name="_Dist_Bin" localSheetId="7" hidden="1">#REF!</definedName>
    <definedName name="_Dist_Bin" localSheetId="6" hidden="1">#REF!</definedName>
    <definedName name="_Dist_Bin" localSheetId="11" hidden="1">#REF!</definedName>
    <definedName name="_Dist_Bin" localSheetId="1" hidden="1">#REF!</definedName>
    <definedName name="_Dist_Bin" localSheetId="10" hidden="1">#REF!</definedName>
    <definedName name="_Dist_Bin" hidden="1">#REF!</definedName>
    <definedName name="_Dist_Values" localSheetId="15" hidden="1">#REF!</definedName>
    <definedName name="_Dist_Values" localSheetId="2" hidden="1">#REF!</definedName>
    <definedName name="_Dist_Values" localSheetId="3" hidden="1">#REF!</definedName>
    <definedName name="_Dist_Values" localSheetId="12" hidden="1">#REF!</definedName>
    <definedName name="_Dist_Values" localSheetId="39" hidden="1">#REF!</definedName>
    <definedName name="_Dist_Values" localSheetId="34" hidden="1">#REF!</definedName>
    <definedName name="_Dist_Values" localSheetId="7" hidden="1">#REF!</definedName>
    <definedName name="_Dist_Values" localSheetId="6" hidden="1">#REF!</definedName>
    <definedName name="_Dist_Values" localSheetId="11" hidden="1">#REF!</definedName>
    <definedName name="_Dist_Values" localSheetId="1" hidden="1">#REF!</definedName>
    <definedName name="_Dist_Values" localSheetId="10" hidden="1">#REF!</definedName>
    <definedName name="_Dist_Values" hidden="1">#REF!</definedName>
    <definedName name="_DRE0700" localSheetId="15" hidden="1">{"'PXR_6500'!$A$1:$I$124"}</definedName>
    <definedName name="_DRE0700" localSheetId="2"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39" hidden="1">{"'PXR_6500'!$A$1:$I$124"}</definedName>
    <definedName name="_DRE0700" localSheetId="34" hidden="1">{"'PXR_6500'!$A$1:$I$124"}</definedName>
    <definedName name="_DRE0700" localSheetId="14" hidden="1">{"'PXR_6500'!$A$1:$I$124"}</definedName>
    <definedName name="_DRE0700" localSheetId="11" hidden="1">{"'PXR_6500'!$A$1:$I$124"}</definedName>
    <definedName name="_DRE0700" hidden="1">{"'PXR_6500'!$A$1:$I$124"}</definedName>
    <definedName name="_Fill" localSheetId="15" hidden="1">#REF!</definedName>
    <definedName name="_Fill" localSheetId="2" hidden="1">#REF!</definedName>
    <definedName name="_Fill" localSheetId="12" hidden="1">#REF!</definedName>
    <definedName name="_Fill" localSheetId="39" hidden="1">#REF!</definedName>
    <definedName name="_Fill" localSheetId="34" hidden="1">#REF!</definedName>
    <definedName name="_Fill" localSheetId="7" hidden="1">#REF!</definedName>
    <definedName name="_Fill" localSheetId="6" hidden="1">#REF!</definedName>
    <definedName name="_Fill" localSheetId="14" hidden="1">#REF!</definedName>
    <definedName name="_Fill" localSheetId="1" hidden="1">#REF!</definedName>
    <definedName name="_Fill" localSheetId="10" hidden="1">#REF!</definedName>
    <definedName name="_Fill" hidden="1">#REF!</definedName>
    <definedName name="_FiltrarBancoDados2" localSheetId="15" hidden="1">#REF!</definedName>
    <definedName name="_FiltrarBancoDados2" localSheetId="2" hidden="1">#REF!</definedName>
    <definedName name="_FiltrarBancoDados2" localSheetId="12" hidden="1">#REF!</definedName>
    <definedName name="_FiltrarBancoDados2" localSheetId="39" hidden="1">#REF!</definedName>
    <definedName name="_FiltrarBancoDados2" localSheetId="34" hidden="1">#REF!</definedName>
    <definedName name="_FiltrarBancoDados2" localSheetId="7" hidden="1">#REF!</definedName>
    <definedName name="_FiltrarBancoDados2" localSheetId="6" hidden="1">#REF!</definedName>
    <definedName name="_FiltrarBancoDados2" localSheetId="14" hidden="1">#REF!</definedName>
    <definedName name="_FiltrarBancoDados2" localSheetId="11" hidden="1">#REF!</definedName>
    <definedName name="_FiltrarBancoDados2" localSheetId="1" hidden="1">#REF!</definedName>
    <definedName name="_FiltrarBancoDados2" localSheetId="10" hidden="1">#REF!</definedName>
    <definedName name="_FiltrarBancoDados2" hidden="1">#REF!</definedName>
    <definedName name="_xlnm._FilterDatabase" localSheetId="15" hidden="1">Attachments!#REF!</definedName>
    <definedName name="_xlnm._FilterDatabase" localSheetId="12" hidden="1">Dividends!#REF!</definedName>
    <definedName name="_xlnm._FilterDatabase" localSheetId="4" hidden="1">IncS!$B$31:$R$31</definedName>
    <definedName name="_xlnm._FilterDatabase" localSheetId="5" hidden="1">IncSAuto!$C$73:$N$73</definedName>
    <definedName name="_xlnm._FilterDatabase" localSheetId="7" hidden="1">IncSCons!$A$51:$Q$53</definedName>
    <definedName name="_xlnm._FilterDatabase" localSheetId="6" hidden="1">IncSIntLog!$B$51:$N$51</definedName>
    <definedName name="_xlnm._FilterDatabase" localSheetId="25" hidden="1">'Investments A'!$K$39:$N$39</definedName>
    <definedName name="_xlnm._FilterDatabase" localSheetId="23" hidden="1">'Other accounts receivable'!$M$31:$AK$31</definedName>
    <definedName name="_xlnm._FilterDatabase" localSheetId="29" hidden="1">'Property and Equipment'!$O$5:$AA$5</definedName>
    <definedName name="_xlnm._FilterDatabase" localSheetId="11" hidden="1">'Qtrl Fig'!#REF!</definedName>
    <definedName name="_xlnm._FilterDatabase" localSheetId="1" hidden="1">'Quick Analysis'!#REF!</definedName>
    <definedName name="_xlnm._FilterDatabase" localSheetId="24" hidden="1">'Taxes Recoverable'!$M$5:$AC$5</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5" hidden="1">#REF!</definedName>
    <definedName name="_Key1" localSheetId="2" hidden="1">#REF!</definedName>
    <definedName name="_Key1" localSheetId="12" hidden="1">#REF!</definedName>
    <definedName name="_Key1" localSheetId="39" hidden="1">#REF!</definedName>
    <definedName name="_Key1" localSheetId="34" hidden="1">#REF!</definedName>
    <definedName name="_Key1" localSheetId="7" hidden="1">#REF!</definedName>
    <definedName name="_Key1" localSheetId="6" hidden="1">#REF!</definedName>
    <definedName name="_Key1" localSheetId="14" hidden="1">#REF!</definedName>
    <definedName name="_Key1" localSheetId="1" hidden="1">#REF!</definedName>
    <definedName name="_Key1" localSheetId="10" hidden="1">#REF!</definedName>
    <definedName name="_Key1" hidden="1">#REF!</definedName>
    <definedName name="_Key2" localSheetId="15" hidden="1">#REF!</definedName>
    <definedName name="_Key2" localSheetId="2" hidden="1">#REF!</definedName>
    <definedName name="_Key2" localSheetId="12" hidden="1">#REF!</definedName>
    <definedName name="_Key2" localSheetId="39" hidden="1">#REF!</definedName>
    <definedName name="_Key2" localSheetId="34" hidden="1">#REF!</definedName>
    <definedName name="_Key2" localSheetId="7" hidden="1">#REF!</definedName>
    <definedName name="_Key2" localSheetId="6" hidden="1">#REF!</definedName>
    <definedName name="_Key2" localSheetId="14" hidden="1">#REF!</definedName>
    <definedName name="_Key2" localSheetId="1" hidden="1">#REF!</definedName>
    <definedName name="_Key2" localSheetId="10"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2" hidden="1">#REF!</definedName>
    <definedName name="_Parse_Out" localSheetId="12" hidden="1">#REF!</definedName>
    <definedName name="_Parse_Out" localSheetId="34" hidden="1">#REF!</definedName>
    <definedName name="_Parse_Out" localSheetId="7" hidden="1">#REF!</definedName>
    <definedName name="_Parse_Out" localSheetId="6" hidden="1">#REF!</definedName>
    <definedName name="_Parse_Out" localSheetId="1" hidden="1">#REF!</definedName>
    <definedName name="_Parse_Out" localSheetId="10" hidden="1">#REF!</definedName>
    <definedName name="_Parse_Out" hidden="1">#REF!</definedName>
    <definedName name="_Regression_Int" hidden="1">1</definedName>
    <definedName name="_Regression_Out" localSheetId="15" hidden="1">#REF!</definedName>
    <definedName name="_Regression_Out" localSheetId="2" hidden="1">#REF!</definedName>
    <definedName name="_Regression_Out" localSheetId="12" hidden="1">#REF!</definedName>
    <definedName name="_Regression_Out" localSheetId="39" hidden="1">#REF!</definedName>
    <definedName name="_Regression_Out" localSheetId="34" hidden="1">#REF!</definedName>
    <definedName name="_Regression_Out" localSheetId="7" hidden="1">#REF!</definedName>
    <definedName name="_Regression_Out" localSheetId="6" hidden="1">#REF!</definedName>
    <definedName name="_Regression_Out" localSheetId="14" hidden="1">#REF!</definedName>
    <definedName name="_Regression_Out" localSheetId="1" hidden="1">#REF!</definedName>
    <definedName name="_Regression_Out" localSheetId="10" hidden="1">#REF!</definedName>
    <definedName name="_Regression_Out" hidden="1">#REF!</definedName>
    <definedName name="_Regression_X" localSheetId="15" hidden="1">#REF!</definedName>
    <definedName name="_Regression_X" localSheetId="2" hidden="1">#REF!</definedName>
    <definedName name="_Regression_X" localSheetId="12" hidden="1">#REF!</definedName>
    <definedName name="_Regression_X" localSheetId="39" hidden="1">#REF!</definedName>
    <definedName name="_Regression_X" localSheetId="34" hidden="1">#REF!</definedName>
    <definedName name="_Regression_X" localSheetId="7" hidden="1">#REF!</definedName>
    <definedName name="_Regression_X" localSheetId="6" hidden="1">#REF!</definedName>
    <definedName name="_Regression_X" localSheetId="14" hidden="1">#REF!</definedName>
    <definedName name="_Regression_X" localSheetId="11" hidden="1">#REF!</definedName>
    <definedName name="_Regression_X" localSheetId="1" hidden="1">#REF!</definedName>
    <definedName name="_Regression_X" localSheetId="10" hidden="1">#REF!</definedName>
    <definedName name="_Regression_X" hidden="1">#REF!</definedName>
    <definedName name="_Regression_Y" localSheetId="15" hidden="1">#REF!</definedName>
    <definedName name="_Regression_Y" localSheetId="2" hidden="1">#REF!</definedName>
    <definedName name="_Regression_Y" localSheetId="12" hidden="1">#REF!</definedName>
    <definedName name="_Regression_Y" localSheetId="39" hidden="1">#REF!</definedName>
    <definedName name="_Regression_Y" localSheetId="34" hidden="1">#REF!</definedName>
    <definedName name="_Regression_Y" localSheetId="7" hidden="1">#REF!</definedName>
    <definedName name="_Regression_Y" localSheetId="6" hidden="1">#REF!</definedName>
    <definedName name="_Regression_Y" localSheetId="14" hidden="1">#REF!</definedName>
    <definedName name="_Regression_Y" localSheetId="11" hidden="1">#REF!</definedName>
    <definedName name="_Regression_Y" localSheetId="1" hidden="1">#REF!</definedName>
    <definedName name="_Regression_Y" localSheetId="10"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5" hidden="1">#REF!</definedName>
    <definedName name="_Sort" localSheetId="2" hidden="1">#REF!</definedName>
    <definedName name="_Sort" localSheetId="12" hidden="1">#REF!</definedName>
    <definedName name="_Sort" localSheetId="39" hidden="1">#REF!</definedName>
    <definedName name="_Sort" localSheetId="34" hidden="1">#REF!</definedName>
    <definedName name="_Sort" localSheetId="7" hidden="1">#REF!</definedName>
    <definedName name="_Sort" localSheetId="6" hidden="1">#REF!</definedName>
    <definedName name="_Sort" localSheetId="14" hidden="1">#REF!</definedName>
    <definedName name="_Sort" localSheetId="11" hidden="1">#REF!</definedName>
    <definedName name="_Sort" localSheetId="1" hidden="1">#REF!</definedName>
    <definedName name="_Sort" localSheetId="10"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2"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39" hidden="1">{#N/A,#N/A,TRUE,"Pro Forma";#N/A,#N/A,TRUE,"PF_Bal";#N/A,#N/A,TRUE,"PF_INC";#N/A,#N/A,TRUE,"CBE";#N/A,#N/A,TRUE,"SWK"}</definedName>
    <definedName name="aa" localSheetId="34" hidden="1">{#N/A,#N/A,TRUE,"Pro Forma";#N/A,#N/A,TRUE,"PF_Bal";#N/A,#N/A,TRUE,"PF_INC";#N/A,#N/A,TRUE,"CBE";#N/A,#N/A,TRUE,"SWK"}</definedName>
    <definedName name="aa" localSheetId="14"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2"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39" hidden="1">{#N/A,#N/A,TRUE,"Pro Forma";#N/A,#N/A,TRUE,"PF_Bal";#N/A,#N/A,TRUE,"PF_INC";#N/A,#N/A,TRUE,"CBE";#N/A,#N/A,TRUE,"SWK"}</definedName>
    <definedName name="ab" localSheetId="34" hidden="1">{#N/A,#N/A,TRUE,"Pro Forma";#N/A,#N/A,TRUE,"PF_Bal";#N/A,#N/A,TRUE,"PF_INC";#N/A,#N/A,TRUE,"CBE";#N/A,#N/A,TRUE,"SWK"}</definedName>
    <definedName name="ab" localSheetId="14"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2"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39" hidden="1">{"'PXR_6500'!$A$1:$I$124"}</definedName>
    <definedName name="abcdef" localSheetId="34" hidden="1">{"'PXR_6500'!$A$1:$I$124"}</definedName>
    <definedName name="abcdef" localSheetId="14" hidden="1">{"'PXR_6500'!$A$1:$I$124"}</definedName>
    <definedName name="abcdef" localSheetId="11" hidden="1">{"'PXR_6500'!$A$1:$I$124"}</definedName>
    <definedName name="abcdef" hidden="1">{"'PXR_6500'!$A$1:$I$124"}</definedName>
    <definedName name="ABN" localSheetId="15" hidden="1">{"'PXR_6500'!$A$1:$I$124"}</definedName>
    <definedName name="ABN" localSheetId="2" hidden="1">{"'PXR_6500'!$A$1:$I$124"}</definedName>
    <definedName name="ABN" localSheetId="8" hidden="1">{"'PXR_6500'!$A$1:$I$124"}</definedName>
    <definedName name="ABN" localSheetId="12" hidden="1">{"'PXR_6500'!$A$1:$I$124"}</definedName>
    <definedName name="ABN" localSheetId="13" hidden="1">{"'PXR_6500'!$A$1:$I$124"}</definedName>
    <definedName name="ABN" localSheetId="39" hidden="1">{"'PXR_6500'!$A$1:$I$124"}</definedName>
    <definedName name="ABN" localSheetId="34" hidden="1">{"'PXR_6500'!$A$1:$I$124"}</definedName>
    <definedName name="ABN" localSheetId="14"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2"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39" hidden="1">{#N/A,#N/A,FALSE,"CBE";#N/A,#N/A,FALSE,"SWK"}</definedName>
    <definedName name="addg" localSheetId="34" hidden="1">{#N/A,#N/A,FALSE,"CBE";#N/A,#N/A,FALSE,"SWK"}</definedName>
    <definedName name="addg" localSheetId="14"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2"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39" hidden="1">{"TotalGeralDespesasPorArea",#N/A,FALSE,"VinculosAccessEfetivo"}</definedName>
    <definedName name="adeletar" localSheetId="34" hidden="1">{"TotalGeralDespesasPorArea",#N/A,FALSE,"VinculosAccessEfetivo"}</definedName>
    <definedName name="adeletar" localSheetId="14"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2"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39" hidden="1">{"TotalGeralDespesasPorArea",#N/A,FALSE,"VinculosAccessEfetivo"}</definedName>
    <definedName name="adeletar_1" localSheetId="34" hidden="1">{"TotalGeralDespesasPorArea",#N/A,FALSE,"VinculosAccessEfetivo"}</definedName>
    <definedName name="adeletar_1" localSheetId="14"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2"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39" hidden="1">{"TotalGeralDespesasPorArea",#N/A,FALSE,"VinculosAccessEfetivo"}</definedName>
    <definedName name="adeletar1" localSheetId="34" hidden="1">{"TotalGeralDespesasPorArea",#N/A,FALSE,"VinculosAccessEfetivo"}</definedName>
    <definedName name="adeletar1" localSheetId="14"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2"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39" hidden="1">{"TotalGeralDespesasPorArea",#N/A,FALSE,"VinculosAccessEfetivo"}</definedName>
    <definedName name="adeletar1_1" localSheetId="34" hidden="1">{"TotalGeralDespesasPorArea",#N/A,FALSE,"VinculosAccessEfetivo"}</definedName>
    <definedName name="adeletar1_1" localSheetId="14"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2"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39" hidden="1">{"TotalGeralDespesasPorArea",#N/A,FALSE,"VinculosAccessEfetivo"}</definedName>
    <definedName name="adeletar10" localSheetId="34" hidden="1">{"TotalGeralDespesasPorArea",#N/A,FALSE,"VinculosAccessEfetivo"}</definedName>
    <definedName name="adeletar10" localSheetId="14"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2"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39" hidden="1">{"TotalGeralDespesasPorArea",#N/A,FALSE,"VinculosAccessEfetivo"}</definedName>
    <definedName name="adeletar10_1" localSheetId="34" hidden="1">{"TotalGeralDespesasPorArea",#N/A,FALSE,"VinculosAccessEfetivo"}</definedName>
    <definedName name="adeletar10_1" localSheetId="14"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2"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39" hidden="1">{"TotalGeralDespesasPorArea",#N/A,FALSE,"VinculosAccessEfetivo"}</definedName>
    <definedName name="adeletar2" localSheetId="34" hidden="1">{"TotalGeralDespesasPorArea",#N/A,FALSE,"VinculosAccessEfetivo"}</definedName>
    <definedName name="adeletar2" localSheetId="14"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2"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39" hidden="1">{"TotalGeralDespesasPorArea",#N/A,FALSE,"VinculosAccessEfetivo"}</definedName>
    <definedName name="adeletar2_1" localSheetId="34" hidden="1">{"TotalGeralDespesasPorArea",#N/A,FALSE,"VinculosAccessEfetivo"}</definedName>
    <definedName name="adeletar2_1" localSheetId="14"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2"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39" hidden="1">{"TotalGeralDespesasPorArea",#N/A,FALSE,"VinculosAccessEfetivo"}</definedName>
    <definedName name="adeletar20" localSheetId="34" hidden="1">{"TotalGeralDespesasPorArea",#N/A,FALSE,"VinculosAccessEfetivo"}</definedName>
    <definedName name="adeletar20" localSheetId="14"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2"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39" hidden="1">{"TotalGeralDespesasPorArea",#N/A,FALSE,"VinculosAccessEfetivo"}</definedName>
    <definedName name="adeletar20_1" localSheetId="34" hidden="1">{"TotalGeralDespesasPorArea",#N/A,FALSE,"VinculosAccessEfetivo"}</definedName>
    <definedName name="adeletar20_1" localSheetId="14"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2"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39" hidden="1">{"TotalGeralDespesasPorArea",#N/A,FALSE,"VinculosAccessEfetivo"}</definedName>
    <definedName name="adeletar4" localSheetId="34" hidden="1">{"TotalGeralDespesasPorArea",#N/A,FALSE,"VinculosAccessEfetivo"}</definedName>
    <definedName name="adeletar4" localSheetId="14"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2"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39" hidden="1">{"TotalGeralDespesasPorArea",#N/A,FALSE,"VinculosAccessEfetivo"}</definedName>
    <definedName name="adeletar4_1" localSheetId="34" hidden="1">{"TotalGeralDespesasPorArea",#N/A,FALSE,"VinculosAccessEfetivo"}</definedName>
    <definedName name="adeletar4_1" localSheetId="14"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2"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39" hidden="1">{"TotalGeralDespesasPorArea",#N/A,FALSE,"VinculosAccessEfetivo"}</definedName>
    <definedName name="adeletar50" localSheetId="34" hidden="1">{"TotalGeralDespesasPorArea",#N/A,FALSE,"VinculosAccessEfetivo"}</definedName>
    <definedName name="adeletar50" localSheetId="14"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2"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39" hidden="1">{"TotalGeralDespesasPorArea",#N/A,FALSE,"VinculosAccessEfetivo"}</definedName>
    <definedName name="adeletar50_1" localSheetId="34" hidden="1">{"TotalGeralDespesasPorArea",#N/A,FALSE,"VinculosAccessEfetivo"}</definedName>
    <definedName name="adeletar50_1" localSheetId="14"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2"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39" hidden="1">{"TotalGeralDespesasPorArea",#N/A,FALSE,"VinculosAccessEfetivo"}</definedName>
    <definedName name="adeletar51" localSheetId="34" hidden="1">{"TotalGeralDespesasPorArea",#N/A,FALSE,"VinculosAccessEfetivo"}</definedName>
    <definedName name="adeletar51" localSheetId="14"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2"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39" hidden="1">{"TotalGeralDespesasPorArea",#N/A,FALSE,"VinculosAccessEfetivo"}</definedName>
    <definedName name="adeletar51_1" localSheetId="34" hidden="1">{"TotalGeralDespesasPorArea",#N/A,FALSE,"VinculosAccessEfetivo"}</definedName>
    <definedName name="adeletar51_1" localSheetId="14"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2" hidden="1">{"'PXR_6500'!$A$1:$I$124"}</definedName>
    <definedName name="aqqq" localSheetId="8" hidden="1">{"'PXR_6500'!$A$1:$I$124"}</definedName>
    <definedName name="aqqq" localSheetId="12" hidden="1">{"'PXR_6500'!$A$1:$I$124"}</definedName>
    <definedName name="aqqq" localSheetId="13" hidden="1">{"'PXR_6500'!$A$1:$I$124"}</definedName>
    <definedName name="aqqq" localSheetId="39" hidden="1">{"'PXR_6500'!$A$1:$I$124"}</definedName>
    <definedName name="aqqq" localSheetId="34" hidden="1">{"'PXR_6500'!$A$1:$I$124"}</definedName>
    <definedName name="aqqq" localSheetId="14"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2" hidden="1">{"'TG'!$A$1:$L$37"}</definedName>
    <definedName name="AS" localSheetId="8" hidden="1">{"'TG'!$A$1:$L$37"}</definedName>
    <definedName name="AS" localSheetId="12" hidden="1">{"'TG'!$A$1:$L$37"}</definedName>
    <definedName name="AS" localSheetId="13" hidden="1">{"'TG'!$A$1:$L$37"}</definedName>
    <definedName name="AS" localSheetId="39" hidden="1">{"'TG'!$A$1:$L$37"}</definedName>
    <definedName name="AS" localSheetId="34" hidden="1">{"'TG'!$A$1:$L$37"}</definedName>
    <definedName name="AS" localSheetId="14"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5" hidden="1">#REF!</definedName>
    <definedName name="AS2StaticLS" localSheetId="2" hidden="1">#REF!</definedName>
    <definedName name="AS2StaticLS" localSheetId="12" hidden="1">#REF!</definedName>
    <definedName name="AS2StaticLS" localSheetId="39" hidden="1">#REF!</definedName>
    <definedName name="AS2StaticLS" localSheetId="34" hidden="1">#REF!</definedName>
    <definedName name="AS2StaticLS" localSheetId="7" hidden="1">#REF!</definedName>
    <definedName name="AS2StaticLS" localSheetId="6" hidden="1">#REF!</definedName>
    <definedName name="AS2StaticLS" localSheetId="14" hidden="1">#REF!</definedName>
    <definedName name="AS2StaticLS" localSheetId="1" hidden="1">#REF!</definedName>
    <definedName name="AS2StaticLS" localSheetId="10" hidden="1">#REF!</definedName>
    <definedName name="AS2StaticLS" hidden="1">#REF!</definedName>
    <definedName name="AS2SyncStepLS" hidden="1">0</definedName>
    <definedName name="AS2TickmarkLS" localSheetId="15" hidden="1">#REF!</definedName>
    <definedName name="AS2TickmarkLS" localSheetId="2" hidden="1">#REF!</definedName>
    <definedName name="AS2TickmarkLS" localSheetId="12" hidden="1">#REF!</definedName>
    <definedName name="AS2TickmarkLS" localSheetId="39" hidden="1">#REF!</definedName>
    <definedName name="AS2TickmarkLS" localSheetId="34" hidden="1">#REF!</definedName>
    <definedName name="AS2TickmarkLS" localSheetId="7" hidden="1">#REF!</definedName>
    <definedName name="AS2TickmarkLS" localSheetId="6" hidden="1">#REF!</definedName>
    <definedName name="AS2TickmarkLS" localSheetId="14" hidden="1">#REF!</definedName>
    <definedName name="AS2TickmarkLS" localSheetId="1" hidden="1">#REF!</definedName>
    <definedName name="AS2TickmarkLS" localSheetId="10" hidden="1">#REF!</definedName>
    <definedName name="AS2TickmarkLS" hidden="1">#REF!</definedName>
    <definedName name="AS2VersionLS" hidden="1">300</definedName>
    <definedName name="asad" localSheetId="15" hidden="1">{"away stand alones",#N/A,FALSE,"Target"}</definedName>
    <definedName name="asad" localSheetId="2"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39" hidden="1">{"away stand alones",#N/A,FALSE,"Target"}</definedName>
    <definedName name="asad" localSheetId="34" hidden="1">{"away stand alones",#N/A,FALSE,"Target"}</definedName>
    <definedName name="asad" localSheetId="14"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2"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39" hidden="1">{#N/A,#N/A,FALSE,"Calc";#N/A,#N/A,FALSE,"Sensitivity";#N/A,#N/A,FALSE,"LT Earn.Dil.";#N/A,#N/A,FALSE,"Dil. AVP"}</definedName>
    <definedName name="avdd" localSheetId="34" hidden="1">{#N/A,#N/A,FALSE,"Calc";#N/A,#N/A,FALSE,"Sensitivity";#N/A,#N/A,FALSE,"LT Earn.Dil.";#N/A,#N/A,FALSE,"Dil. AVP"}</definedName>
    <definedName name="avdd" localSheetId="14"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2" hidden="1">#REF!</definedName>
    <definedName name="besdfs" localSheetId="12" hidden="1">#REF!</definedName>
    <definedName name="besdfs" localSheetId="34" hidden="1">#REF!</definedName>
    <definedName name="besdfs" localSheetId="7" hidden="1">#REF!</definedName>
    <definedName name="besdfs" localSheetId="6" hidden="1">#REF!</definedName>
    <definedName name="besdfs" localSheetId="1" hidden="1">#REF!</definedName>
    <definedName name="besdfs" localSheetId="10" hidden="1">#REF!</definedName>
    <definedName name="besdfs" hidden="1">#REF!</definedName>
    <definedName name="BEx008P2NVFDLBHL7IZ5WTMVOQ1F" localSheetId="2" hidden="1">#REF!</definedName>
    <definedName name="BEx008P2NVFDLBHL7IZ5WTMVOQ1F" localSheetId="12" hidden="1">#REF!</definedName>
    <definedName name="BEx008P2NVFDLBHL7IZ5WTMVOQ1F" localSheetId="34" hidden="1">#REF!</definedName>
    <definedName name="BEx008P2NVFDLBHL7IZ5WTMVOQ1F" localSheetId="7" hidden="1">#REF!</definedName>
    <definedName name="BEx008P2NVFDLBHL7IZ5WTMVOQ1F" localSheetId="6" hidden="1">#REF!</definedName>
    <definedName name="BEx008P2NVFDLBHL7IZ5WTMVOQ1F" localSheetId="1" hidden="1">#REF!</definedName>
    <definedName name="BEx008P2NVFDLBHL7IZ5WTMVOQ1F" localSheetId="10" hidden="1">#REF!</definedName>
    <definedName name="BEx008P2NVFDLBHL7IZ5WTMVOQ1F" hidden="1">#REF!</definedName>
    <definedName name="BEx00KZHZBHP3TDV1YMX4B19B95O" localSheetId="2" hidden="1">#REF!</definedName>
    <definedName name="BEx00KZHZBHP3TDV1YMX4B19B95O" localSheetId="12" hidden="1">#REF!</definedName>
    <definedName name="BEx00KZHZBHP3TDV1YMX4B19B95O" localSheetId="34" hidden="1">#REF!</definedName>
    <definedName name="BEx00KZHZBHP3TDV1YMX4B19B95O" localSheetId="7" hidden="1">#REF!</definedName>
    <definedName name="BEx00KZHZBHP3TDV1YMX4B19B95O" localSheetId="6" hidden="1">#REF!</definedName>
    <definedName name="BEx00KZHZBHP3TDV1YMX4B19B95O" localSheetId="1" hidden="1">#REF!</definedName>
    <definedName name="BEx00KZHZBHP3TDV1YMX4B19B95O" localSheetId="10" hidden="1">#REF!</definedName>
    <definedName name="BEx00KZHZBHP3TDV1YMX4B19B95O" hidden="1">#REF!</definedName>
    <definedName name="BEx02Q08R9G839Q4RFGG9026C7PX" localSheetId="2" hidden="1">#REF!</definedName>
    <definedName name="BEx02Q08R9G839Q4RFGG9026C7PX" localSheetId="12" hidden="1">#REF!</definedName>
    <definedName name="BEx02Q08R9G839Q4RFGG9026C7PX" localSheetId="34" hidden="1">#REF!</definedName>
    <definedName name="BEx02Q08R9G839Q4RFGG9026C7PX" localSheetId="7" hidden="1">#REF!</definedName>
    <definedName name="BEx02Q08R9G839Q4RFGG9026C7PX" localSheetId="6" hidden="1">#REF!</definedName>
    <definedName name="BEx02Q08R9G839Q4RFGG9026C7PX" localSheetId="1" hidden="1">#REF!</definedName>
    <definedName name="BEx02Q08R9G839Q4RFGG9026C7PX" localSheetId="10" hidden="1">#REF!</definedName>
    <definedName name="BEx02Q08R9G839Q4RFGG9026C7PX" hidden="1">#REF!</definedName>
    <definedName name="BEx1J7E8VCGLPYU82QXVUG5N3ZAI" localSheetId="2" hidden="1">#REF!</definedName>
    <definedName name="BEx1J7E8VCGLPYU82QXVUG5N3ZAI" localSheetId="12" hidden="1">#REF!</definedName>
    <definedName name="BEx1J7E8VCGLPYU82QXVUG5N3ZAI" localSheetId="34" hidden="1">#REF!</definedName>
    <definedName name="BEx1J7E8VCGLPYU82QXVUG5N3ZAI" localSheetId="7" hidden="1">#REF!</definedName>
    <definedName name="BEx1J7E8VCGLPYU82QXVUG5N3ZAI" localSheetId="6" hidden="1">#REF!</definedName>
    <definedName name="BEx1J7E8VCGLPYU82QXVUG5N3ZAI" localSheetId="1" hidden="1">#REF!</definedName>
    <definedName name="BEx1J7E8VCGLPYU82QXVUG5N3ZAI" localSheetId="10" hidden="1">#REF!</definedName>
    <definedName name="BEx1J7E8VCGLPYU82QXVUG5N3ZAI" hidden="1">#REF!</definedName>
    <definedName name="BEx1LRUSJW4JG54X07QWD9R27WV9" localSheetId="2" hidden="1">#REF!</definedName>
    <definedName name="BEx1LRUSJW4JG54X07QWD9R27WV9" localSheetId="12" hidden="1">#REF!</definedName>
    <definedName name="BEx1LRUSJW4JG54X07QWD9R27WV9" localSheetId="34" hidden="1">#REF!</definedName>
    <definedName name="BEx1LRUSJW4JG54X07QWD9R27WV9" localSheetId="7" hidden="1">#REF!</definedName>
    <definedName name="BEx1LRUSJW4JG54X07QWD9R27WV9" localSheetId="6" hidden="1">#REF!</definedName>
    <definedName name="BEx1LRUSJW4JG54X07QWD9R27WV9" localSheetId="1" hidden="1">#REF!</definedName>
    <definedName name="BEx1LRUSJW4JG54X07QWD9R27WV9" localSheetId="10" hidden="1">#REF!</definedName>
    <definedName name="BEx1LRUSJW4JG54X07QWD9R27WV9" hidden="1">#REF!</definedName>
    <definedName name="BEx1MTRKKVCHOZ0YGID6HZ49LJTO" localSheetId="2" hidden="1">#REF!</definedName>
    <definedName name="BEx1MTRKKVCHOZ0YGID6HZ49LJTO" localSheetId="12" hidden="1">#REF!</definedName>
    <definedName name="BEx1MTRKKVCHOZ0YGID6HZ49LJTO" localSheetId="34" hidden="1">#REF!</definedName>
    <definedName name="BEx1MTRKKVCHOZ0YGID6HZ49LJTO" localSheetId="7" hidden="1">#REF!</definedName>
    <definedName name="BEx1MTRKKVCHOZ0YGID6HZ49LJTO" localSheetId="6" hidden="1">#REF!</definedName>
    <definedName name="BEx1MTRKKVCHOZ0YGID6HZ49LJTO" localSheetId="1" hidden="1">#REF!</definedName>
    <definedName name="BEx1MTRKKVCHOZ0YGID6HZ49LJTO" localSheetId="10" hidden="1">#REF!</definedName>
    <definedName name="BEx1MTRKKVCHOZ0YGID6HZ49LJTO" hidden="1">#REF!</definedName>
    <definedName name="BEx1SVNCHNANBJIDIQVB8AFK4HAN" localSheetId="2" hidden="1">#REF!</definedName>
    <definedName name="BEx1SVNCHNANBJIDIQVB8AFK4HAN" localSheetId="12" hidden="1">#REF!</definedName>
    <definedName name="BEx1SVNCHNANBJIDIQVB8AFK4HAN" localSheetId="34" hidden="1">#REF!</definedName>
    <definedName name="BEx1SVNCHNANBJIDIQVB8AFK4HAN" localSheetId="7" hidden="1">#REF!</definedName>
    <definedName name="BEx1SVNCHNANBJIDIQVB8AFK4HAN" localSheetId="6" hidden="1">#REF!</definedName>
    <definedName name="BEx1SVNCHNANBJIDIQVB8AFK4HAN" localSheetId="1" hidden="1">#REF!</definedName>
    <definedName name="BEx1SVNCHNANBJIDIQVB8AFK4HAN" localSheetId="10" hidden="1">#REF!</definedName>
    <definedName name="BEx1SVNCHNANBJIDIQVB8AFK4HAN" hidden="1">#REF!</definedName>
    <definedName name="BEx1TJ0WLS9O7KNSGIPWTYHDYI1D" localSheetId="2" hidden="1">#REF!</definedName>
    <definedName name="BEx1TJ0WLS9O7KNSGIPWTYHDYI1D" localSheetId="12" hidden="1">#REF!</definedName>
    <definedName name="BEx1TJ0WLS9O7KNSGIPWTYHDYI1D" localSheetId="34" hidden="1">#REF!</definedName>
    <definedName name="BEx1TJ0WLS9O7KNSGIPWTYHDYI1D" localSheetId="7" hidden="1">#REF!</definedName>
    <definedName name="BEx1TJ0WLS9O7KNSGIPWTYHDYI1D" localSheetId="6" hidden="1">#REF!</definedName>
    <definedName name="BEx1TJ0WLS9O7KNSGIPWTYHDYI1D" localSheetId="1" hidden="1">#REF!</definedName>
    <definedName name="BEx1TJ0WLS9O7KNSGIPWTYHDYI1D" localSheetId="10" hidden="1">#REF!</definedName>
    <definedName name="BEx1TJ0WLS9O7KNSGIPWTYHDYI1D" hidden="1">#REF!</definedName>
    <definedName name="BEx1WHPURIV3D3PTJJ359H1OP7ZV" localSheetId="2" hidden="1">#REF!</definedName>
    <definedName name="BEx1WHPURIV3D3PTJJ359H1OP7ZV" localSheetId="12" hidden="1">#REF!</definedName>
    <definedName name="BEx1WHPURIV3D3PTJJ359H1OP7ZV" localSheetId="34" hidden="1">#REF!</definedName>
    <definedName name="BEx1WHPURIV3D3PTJJ359H1OP7ZV" localSheetId="7" hidden="1">#REF!</definedName>
    <definedName name="BEx1WHPURIV3D3PTJJ359H1OP7ZV" localSheetId="6" hidden="1">#REF!</definedName>
    <definedName name="BEx1WHPURIV3D3PTJJ359H1OP7ZV" localSheetId="1" hidden="1">#REF!</definedName>
    <definedName name="BEx1WHPURIV3D3PTJJ359H1OP7ZV" localSheetId="10" hidden="1">#REF!</definedName>
    <definedName name="BEx1WHPURIV3D3PTJJ359H1OP7ZV" hidden="1">#REF!</definedName>
    <definedName name="BEx1YL3DJ7Y4AZ01ERCOGW0FJ26T" localSheetId="2" hidden="1">#REF!</definedName>
    <definedName name="BEx1YL3DJ7Y4AZ01ERCOGW0FJ26T" localSheetId="12" hidden="1">#REF!</definedName>
    <definedName name="BEx1YL3DJ7Y4AZ01ERCOGW0FJ26T" localSheetId="34" hidden="1">#REF!</definedName>
    <definedName name="BEx1YL3DJ7Y4AZ01ERCOGW0FJ26T" localSheetId="7" hidden="1">#REF!</definedName>
    <definedName name="BEx1YL3DJ7Y4AZ01ERCOGW0FJ26T" localSheetId="6" hidden="1">#REF!</definedName>
    <definedName name="BEx1YL3DJ7Y4AZ01ERCOGW0FJ26T" localSheetId="1" hidden="1">#REF!</definedName>
    <definedName name="BEx1YL3DJ7Y4AZ01ERCOGW0FJ26T" localSheetId="10" hidden="1">#REF!</definedName>
    <definedName name="BEx1YL3DJ7Y4AZ01ERCOGW0FJ26T" hidden="1">#REF!</definedName>
    <definedName name="BEx3AOOVM42G82TNF53W0EKXLUSI" localSheetId="2" hidden="1">#REF!</definedName>
    <definedName name="BEx3AOOVM42G82TNF53W0EKXLUSI" localSheetId="12" hidden="1">#REF!</definedName>
    <definedName name="BEx3AOOVM42G82TNF53W0EKXLUSI" localSheetId="34" hidden="1">#REF!</definedName>
    <definedName name="BEx3AOOVM42G82TNF53W0EKXLUSI" localSheetId="7" hidden="1">#REF!</definedName>
    <definedName name="BEx3AOOVM42G82TNF53W0EKXLUSI" localSheetId="6" hidden="1">#REF!</definedName>
    <definedName name="BEx3AOOVM42G82TNF53W0EKXLUSI" localSheetId="1" hidden="1">#REF!</definedName>
    <definedName name="BEx3AOOVM42G82TNF53W0EKXLUSI" localSheetId="10" hidden="1">#REF!</definedName>
    <definedName name="BEx3AOOVM42G82TNF53W0EKXLUSI" hidden="1">#REF!</definedName>
    <definedName name="BEx3BQR5VZXNQ4H949ORM8ESU3B3" localSheetId="2" hidden="1">#REF!</definedName>
    <definedName name="BEx3BQR5VZXNQ4H949ORM8ESU3B3" localSheetId="12" hidden="1">#REF!</definedName>
    <definedName name="BEx3BQR5VZXNQ4H949ORM8ESU3B3" localSheetId="34" hidden="1">#REF!</definedName>
    <definedName name="BEx3BQR5VZXNQ4H949ORM8ESU3B3" localSheetId="7" hidden="1">#REF!</definedName>
    <definedName name="BEx3BQR5VZXNQ4H949ORM8ESU3B3" localSheetId="6" hidden="1">#REF!</definedName>
    <definedName name="BEx3BQR5VZXNQ4H949ORM8ESU3B3" localSheetId="1" hidden="1">#REF!</definedName>
    <definedName name="BEx3BQR5VZXNQ4H949ORM8ESU3B3" localSheetId="10" hidden="1">#REF!</definedName>
    <definedName name="BEx3BQR5VZXNQ4H949ORM8ESU3B3" hidden="1">#REF!</definedName>
    <definedName name="BEx3EHCSERZ2O2OAG8Y95UPG2IY9" localSheetId="2" hidden="1">#REF!</definedName>
    <definedName name="BEx3EHCSERZ2O2OAG8Y95UPG2IY9" localSheetId="12" hidden="1">#REF!</definedName>
    <definedName name="BEx3EHCSERZ2O2OAG8Y95UPG2IY9" localSheetId="34" hidden="1">#REF!</definedName>
    <definedName name="BEx3EHCSERZ2O2OAG8Y95UPG2IY9" localSheetId="7" hidden="1">#REF!</definedName>
    <definedName name="BEx3EHCSERZ2O2OAG8Y95UPG2IY9" localSheetId="6" hidden="1">#REF!</definedName>
    <definedName name="BEx3EHCSERZ2O2OAG8Y95UPG2IY9" localSheetId="1" hidden="1">#REF!</definedName>
    <definedName name="BEx3EHCSERZ2O2OAG8Y95UPG2IY9" localSheetId="10" hidden="1">#REF!</definedName>
    <definedName name="BEx3EHCSERZ2O2OAG8Y95UPG2IY9" hidden="1">#REF!</definedName>
    <definedName name="BEx3FX7EJL47JSLSWP3EOC265WAE" localSheetId="2" hidden="1">#REF!</definedName>
    <definedName name="BEx3FX7EJL47JSLSWP3EOC265WAE" localSheetId="12" hidden="1">#REF!</definedName>
    <definedName name="BEx3FX7EJL47JSLSWP3EOC265WAE" localSheetId="34" hidden="1">#REF!</definedName>
    <definedName name="BEx3FX7EJL47JSLSWP3EOC265WAE" localSheetId="7" hidden="1">#REF!</definedName>
    <definedName name="BEx3FX7EJL47JSLSWP3EOC265WAE" localSheetId="6" hidden="1">#REF!</definedName>
    <definedName name="BEx3FX7EJL47JSLSWP3EOC265WAE" localSheetId="1" hidden="1">#REF!</definedName>
    <definedName name="BEx3FX7EJL47JSLSWP3EOC265WAE" localSheetId="10" hidden="1">#REF!</definedName>
    <definedName name="BEx3FX7EJL47JSLSWP3EOC265WAE" hidden="1">#REF!</definedName>
    <definedName name="BEx3GEVV18SEQDI1JGY7EN6D1GT1" localSheetId="2" hidden="1">#REF!</definedName>
    <definedName name="BEx3GEVV18SEQDI1JGY7EN6D1GT1" localSheetId="12" hidden="1">#REF!</definedName>
    <definedName name="BEx3GEVV18SEQDI1JGY7EN6D1GT1" localSheetId="34" hidden="1">#REF!</definedName>
    <definedName name="BEx3GEVV18SEQDI1JGY7EN6D1GT1" localSheetId="7" hidden="1">#REF!</definedName>
    <definedName name="BEx3GEVV18SEQDI1JGY7EN6D1GT1" localSheetId="6" hidden="1">#REF!</definedName>
    <definedName name="BEx3GEVV18SEQDI1JGY7EN6D1GT1" localSheetId="1" hidden="1">#REF!</definedName>
    <definedName name="BEx3GEVV18SEQDI1JGY7EN6D1GT1" localSheetId="10" hidden="1">#REF!</definedName>
    <definedName name="BEx3GEVV18SEQDI1JGY7EN6D1GT1" hidden="1">#REF!</definedName>
    <definedName name="BEx3GMJ1Y6UU02DLRL0QXCEKDA6C" localSheetId="2" hidden="1">#REF!</definedName>
    <definedName name="BEx3GMJ1Y6UU02DLRL0QXCEKDA6C" localSheetId="12" hidden="1">#REF!</definedName>
    <definedName name="BEx3GMJ1Y6UU02DLRL0QXCEKDA6C" localSheetId="34" hidden="1">#REF!</definedName>
    <definedName name="BEx3GMJ1Y6UU02DLRL0QXCEKDA6C" localSheetId="7" hidden="1">#REF!</definedName>
    <definedName name="BEx3GMJ1Y6UU02DLRL0QXCEKDA6C" localSheetId="6" hidden="1">#REF!</definedName>
    <definedName name="BEx3GMJ1Y6UU02DLRL0QXCEKDA6C" localSheetId="1" hidden="1">#REF!</definedName>
    <definedName name="BEx3GMJ1Y6UU02DLRL0QXCEKDA6C" localSheetId="10" hidden="1">#REF!</definedName>
    <definedName name="BEx3GMJ1Y6UU02DLRL0QXCEKDA6C" hidden="1">#REF!</definedName>
    <definedName name="BEx3H5UX2GZFZZT657YR76RHW5I6" localSheetId="2" hidden="1">#REF!</definedName>
    <definedName name="BEx3H5UX2GZFZZT657YR76RHW5I6" localSheetId="12" hidden="1">#REF!</definedName>
    <definedName name="BEx3H5UX2GZFZZT657YR76RHW5I6" localSheetId="34" hidden="1">#REF!</definedName>
    <definedName name="BEx3H5UX2GZFZZT657YR76RHW5I6" localSheetId="7" hidden="1">#REF!</definedName>
    <definedName name="BEx3H5UX2GZFZZT657YR76RHW5I6" localSheetId="6" hidden="1">#REF!</definedName>
    <definedName name="BEx3H5UX2GZFZZT657YR76RHW5I6" localSheetId="1" hidden="1">#REF!</definedName>
    <definedName name="BEx3H5UX2GZFZZT657YR76RHW5I6" localSheetId="10" hidden="1">#REF!</definedName>
    <definedName name="BEx3H5UX2GZFZZT657YR76RHW5I6" hidden="1">#REF!</definedName>
    <definedName name="BEx3IYAH2DEBFWO8F94H4MXE3RLY" localSheetId="2" hidden="1">#REF!</definedName>
    <definedName name="BEx3IYAH2DEBFWO8F94H4MXE3RLY" localSheetId="12" hidden="1">#REF!</definedName>
    <definedName name="BEx3IYAH2DEBFWO8F94H4MXE3RLY" localSheetId="34" hidden="1">#REF!</definedName>
    <definedName name="BEx3IYAH2DEBFWO8F94H4MXE3RLY" localSheetId="7" hidden="1">#REF!</definedName>
    <definedName name="BEx3IYAH2DEBFWO8F94H4MXE3RLY" localSheetId="6" hidden="1">#REF!</definedName>
    <definedName name="BEx3IYAH2DEBFWO8F94H4MXE3RLY" localSheetId="1" hidden="1">#REF!</definedName>
    <definedName name="BEx3IYAH2DEBFWO8F94H4MXE3RLY" localSheetId="10" hidden="1">#REF!</definedName>
    <definedName name="BEx3IYAH2DEBFWO8F94H4MXE3RLY" hidden="1">#REF!</definedName>
    <definedName name="BEx3IZXXSYEW50379N2EAFWO8DZV" localSheetId="2" hidden="1">#REF!</definedName>
    <definedName name="BEx3IZXXSYEW50379N2EAFWO8DZV" localSheetId="12" hidden="1">#REF!</definedName>
    <definedName name="BEx3IZXXSYEW50379N2EAFWO8DZV" localSheetId="34" hidden="1">#REF!</definedName>
    <definedName name="BEx3IZXXSYEW50379N2EAFWO8DZV" localSheetId="7" hidden="1">#REF!</definedName>
    <definedName name="BEx3IZXXSYEW50379N2EAFWO8DZV" localSheetId="6" hidden="1">#REF!</definedName>
    <definedName name="BEx3IZXXSYEW50379N2EAFWO8DZV" localSheetId="1" hidden="1">#REF!</definedName>
    <definedName name="BEx3IZXXSYEW50379N2EAFWO8DZV" localSheetId="10" hidden="1">#REF!</definedName>
    <definedName name="BEx3IZXXSYEW50379N2EAFWO8DZV" hidden="1">#REF!</definedName>
    <definedName name="BEx3K4EII7GU1CG0BN7UL15M6J8Z" localSheetId="2" hidden="1">#REF!</definedName>
    <definedName name="BEx3K4EII7GU1CG0BN7UL15M6J8Z" localSheetId="12" hidden="1">#REF!</definedName>
    <definedName name="BEx3K4EII7GU1CG0BN7UL15M6J8Z" localSheetId="34" hidden="1">#REF!</definedName>
    <definedName name="BEx3K4EII7GU1CG0BN7UL15M6J8Z" localSheetId="7" hidden="1">#REF!</definedName>
    <definedName name="BEx3K4EII7GU1CG0BN7UL15M6J8Z" localSheetId="6" hidden="1">#REF!</definedName>
    <definedName name="BEx3K4EII7GU1CG0BN7UL15M6J8Z" localSheetId="1" hidden="1">#REF!</definedName>
    <definedName name="BEx3K4EII7GU1CG0BN7UL15M6J8Z" localSheetId="10" hidden="1">#REF!</definedName>
    <definedName name="BEx3K4EII7GU1CG0BN7UL15M6J8Z" hidden="1">#REF!</definedName>
    <definedName name="BEx3KIXQYOGMPK4WJJAVBRX4NR28" localSheetId="2" hidden="1">#REF!</definedName>
    <definedName name="BEx3KIXQYOGMPK4WJJAVBRX4NR28" localSheetId="12" hidden="1">#REF!</definedName>
    <definedName name="BEx3KIXQYOGMPK4WJJAVBRX4NR28" localSheetId="34" hidden="1">#REF!</definedName>
    <definedName name="BEx3KIXQYOGMPK4WJJAVBRX4NR28" localSheetId="7" hidden="1">#REF!</definedName>
    <definedName name="BEx3KIXQYOGMPK4WJJAVBRX4NR28" localSheetId="6" hidden="1">#REF!</definedName>
    <definedName name="BEx3KIXQYOGMPK4WJJAVBRX4NR28" localSheetId="1" hidden="1">#REF!</definedName>
    <definedName name="BEx3KIXQYOGMPK4WJJAVBRX4NR28" localSheetId="10" hidden="1">#REF!</definedName>
    <definedName name="BEx3KIXQYOGMPK4WJJAVBRX4NR28" hidden="1">#REF!</definedName>
    <definedName name="BEx3L4YQ0J7ZU0M5QM6YIPCEYC9K" localSheetId="2" hidden="1">#REF!</definedName>
    <definedName name="BEx3L4YQ0J7ZU0M5QM6YIPCEYC9K" localSheetId="12" hidden="1">#REF!</definedName>
    <definedName name="BEx3L4YQ0J7ZU0M5QM6YIPCEYC9K" localSheetId="34" hidden="1">#REF!</definedName>
    <definedName name="BEx3L4YQ0J7ZU0M5QM6YIPCEYC9K" localSheetId="7" hidden="1">#REF!</definedName>
    <definedName name="BEx3L4YQ0J7ZU0M5QM6YIPCEYC9K" localSheetId="6" hidden="1">#REF!</definedName>
    <definedName name="BEx3L4YQ0J7ZU0M5QM6YIPCEYC9K" localSheetId="1" hidden="1">#REF!</definedName>
    <definedName name="BEx3L4YQ0J7ZU0M5QM6YIPCEYC9K" localSheetId="10" hidden="1">#REF!</definedName>
    <definedName name="BEx3L4YQ0J7ZU0M5QM6YIPCEYC9K" hidden="1">#REF!</definedName>
    <definedName name="BEx3O85IKWARA6NCJOLRBRJFMEWW" localSheetId="2" hidden="1">#REF!</definedName>
    <definedName name="BEx3O85IKWARA6NCJOLRBRJFMEWW" localSheetId="12" hidden="1">#REF!</definedName>
    <definedName name="BEx3O85IKWARA6NCJOLRBRJFMEWW" localSheetId="34" hidden="1">#REF!</definedName>
    <definedName name="BEx3O85IKWARA6NCJOLRBRJFMEWW" localSheetId="7" hidden="1">#REF!</definedName>
    <definedName name="BEx3O85IKWARA6NCJOLRBRJFMEWW" localSheetId="6" hidden="1">#REF!</definedName>
    <definedName name="BEx3O85IKWARA6NCJOLRBRJFMEWW" localSheetId="1" hidden="1">#REF!</definedName>
    <definedName name="BEx3O85IKWARA6NCJOLRBRJFMEWW" localSheetId="10" hidden="1">#REF!</definedName>
    <definedName name="BEx3O85IKWARA6NCJOLRBRJFMEWW" hidden="1">#REF!</definedName>
    <definedName name="BEx3RHC2ZD5UFS6QD4OPFCNNMWH1" localSheetId="2" hidden="1">#REF!</definedName>
    <definedName name="BEx3RHC2ZD5UFS6QD4OPFCNNMWH1" localSheetId="12" hidden="1">#REF!</definedName>
    <definedName name="BEx3RHC2ZD5UFS6QD4OPFCNNMWH1" localSheetId="34" hidden="1">#REF!</definedName>
    <definedName name="BEx3RHC2ZD5UFS6QD4OPFCNNMWH1" localSheetId="7" hidden="1">#REF!</definedName>
    <definedName name="BEx3RHC2ZD5UFS6QD4OPFCNNMWH1" localSheetId="6" hidden="1">#REF!</definedName>
    <definedName name="BEx3RHC2ZD5UFS6QD4OPFCNNMWH1" localSheetId="1" hidden="1">#REF!</definedName>
    <definedName name="BEx3RHC2ZD5UFS6QD4OPFCNNMWH1" localSheetId="10" hidden="1">#REF!</definedName>
    <definedName name="BEx3RHC2ZD5UFS6QD4OPFCNNMWH1" hidden="1">#REF!</definedName>
    <definedName name="BEx58XHO7ZULLF2EUD7YIS0MGQJ5" localSheetId="2" hidden="1">#REF!</definedName>
    <definedName name="BEx58XHO7ZULLF2EUD7YIS0MGQJ5" localSheetId="12" hidden="1">#REF!</definedName>
    <definedName name="BEx58XHO7ZULLF2EUD7YIS0MGQJ5" localSheetId="34" hidden="1">#REF!</definedName>
    <definedName name="BEx58XHO7ZULLF2EUD7YIS0MGQJ5" localSheetId="7" hidden="1">#REF!</definedName>
    <definedName name="BEx58XHO7ZULLF2EUD7YIS0MGQJ5" localSheetId="6" hidden="1">#REF!</definedName>
    <definedName name="BEx58XHO7ZULLF2EUD7YIS0MGQJ5" localSheetId="1" hidden="1">#REF!</definedName>
    <definedName name="BEx58XHO7ZULLF2EUD7YIS0MGQJ5" localSheetId="10" hidden="1">#REF!</definedName>
    <definedName name="BEx58XHO7ZULLF2EUD7YIS0MGQJ5" hidden="1">#REF!</definedName>
    <definedName name="BEx5BHSQ42B50IU1TEQFUXFX9XQD" localSheetId="2" hidden="1">#REF!</definedName>
    <definedName name="BEx5BHSQ42B50IU1TEQFUXFX9XQD" localSheetId="12" hidden="1">#REF!</definedName>
    <definedName name="BEx5BHSQ42B50IU1TEQFUXFX9XQD" localSheetId="34" hidden="1">#REF!</definedName>
    <definedName name="BEx5BHSQ42B50IU1TEQFUXFX9XQD" localSheetId="7" hidden="1">#REF!</definedName>
    <definedName name="BEx5BHSQ42B50IU1TEQFUXFX9XQD" localSheetId="6" hidden="1">#REF!</definedName>
    <definedName name="BEx5BHSQ42B50IU1TEQFUXFX9XQD" localSheetId="1" hidden="1">#REF!</definedName>
    <definedName name="BEx5BHSQ42B50IU1TEQFUXFX9XQD" localSheetId="10" hidden="1">#REF!</definedName>
    <definedName name="BEx5BHSQ42B50IU1TEQFUXFX9XQD" hidden="1">#REF!</definedName>
    <definedName name="BEx5CFYQ0F1Z6P8SCVJ0I3UPVFE4" localSheetId="2" hidden="1">#REF!</definedName>
    <definedName name="BEx5CFYQ0F1Z6P8SCVJ0I3UPVFE4" localSheetId="12" hidden="1">#REF!</definedName>
    <definedName name="BEx5CFYQ0F1Z6P8SCVJ0I3UPVFE4" localSheetId="34" hidden="1">#REF!</definedName>
    <definedName name="BEx5CFYQ0F1Z6P8SCVJ0I3UPVFE4" localSheetId="7" hidden="1">#REF!</definedName>
    <definedName name="BEx5CFYQ0F1Z6P8SCVJ0I3UPVFE4" localSheetId="6" hidden="1">#REF!</definedName>
    <definedName name="BEx5CFYQ0F1Z6P8SCVJ0I3UPVFE4" localSheetId="1" hidden="1">#REF!</definedName>
    <definedName name="BEx5CFYQ0F1Z6P8SCVJ0I3UPVFE4" localSheetId="10" hidden="1">#REF!</definedName>
    <definedName name="BEx5CFYQ0F1Z6P8SCVJ0I3UPVFE4" hidden="1">#REF!</definedName>
    <definedName name="BEx5FO8YRFSZCG3L608EHIHIHFY4" localSheetId="2" hidden="1">#REF!</definedName>
    <definedName name="BEx5FO8YRFSZCG3L608EHIHIHFY4" localSheetId="12" hidden="1">#REF!</definedName>
    <definedName name="BEx5FO8YRFSZCG3L608EHIHIHFY4" localSheetId="34" hidden="1">#REF!</definedName>
    <definedName name="BEx5FO8YRFSZCG3L608EHIHIHFY4" localSheetId="7" hidden="1">#REF!</definedName>
    <definedName name="BEx5FO8YRFSZCG3L608EHIHIHFY4" localSheetId="6" hidden="1">#REF!</definedName>
    <definedName name="BEx5FO8YRFSZCG3L608EHIHIHFY4" localSheetId="1" hidden="1">#REF!</definedName>
    <definedName name="BEx5FO8YRFSZCG3L608EHIHIHFY4" localSheetId="10" hidden="1">#REF!</definedName>
    <definedName name="BEx5FO8YRFSZCG3L608EHIHIHFY4" hidden="1">#REF!</definedName>
    <definedName name="BEx5G1A8TFN4C4QII35U9DKYNIS8" localSheetId="2" hidden="1">#REF!</definedName>
    <definedName name="BEx5G1A8TFN4C4QII35U9DKYNIS8" localSheetId="12" hidden="1">#REF!</definedName>
    <definedName name="BEx5G1A8TFN4C4QII35U9DKYNIS8" localSheetId="34" hidden="1">#REF!</definedName>
    <definedName name="BEx5G1A8TFN4C4QII35U9DKYNIS8" localSheetId="7" hidden="1">#REF!</definedName>
    <definedName name="BEx5G1A8TFN4C4QII35U9DKYNIS8" localSheetId="6" hidden="1">#REF!</definedName>
    <definedName name="BEx5G1A8TFN4C4QII35U9DKYNIS8" localSheetId="1" hidden="1">#REF!</definedName>
    <definedName name="BEx5G1A8TFN4C4QII35U9DKYNIS8" localSheetId="10" hidden="1">#REF!</definedName>
    <definedName name="BEx5G1A8TFN4C4QII35U9DKYNIS8" hidden="1">#REF!</definedName>
    <definedName name="BEx5I244LQHZTF3XI66J8705R9XX" localSheetId="2" hidden="1">#REF!</definedName>
    <definedName name="BEx5I244LQHZTF3XI66J8705R9XX" localSheetId="12" hidden="1">#REF!</definedName>
    <definedName name="BEx5I244LQHZTF3XI66J8705R9XX" localSheetId="34" hidden="1">#REF!</definedName>
    <definedName name="BEx5I244LQHZTF3XI66J8705R9XX" localSheetId="7" hidden="1">#REF!</definedName>
    <definedName name="BEx5I244LQHZTF3XI66J8705R9XX" localSheetId="6" hidden="1">#REF!</definedName>
    <definedName name="BEx5I244LQHZTF3XI66J8705R9XX" localSheetId="1" hidden="1">#REF!</definedName>
    <definedName name="BEx5I244LQHZTF3XI66J8705R9XX" localSheetId="10" hidden="1">#REF!</definedName>
    <definedName name="BEx5I244LQHZTF3XI66J8705R9XX" hidden="1">#REF!</definedName>
    <definedName name="BEx5I8PBP4LIXDGID5BP0THLO0AQ" localSheetId="2" hidden="1">#REF!</definedName>
    <definedName name="BEx5I8PBP4LIXDGID5BP0THLO0AQ" localSheetId="12" hidden="1">#REF!</definedName>
    <definedName name="BEx5I8PBP4LIXDGID5BP0THLO0AQ" localSheetId="34" hidden="1">#REF!</definedName>
    <definedName name="BEx5I8PBP4LIXDGID5BP0THLO0AQ" localSheetId="7" hidden="1">#REF!</definedName>
    <definedName name="BEx5I8PBP4LIXDGID5BP0THLO0AQ" localSheetId="6" hidden="1">#REF!</definedName>
    <definedName name="BEx5I8PBP4LIXDGID5BP0THLO0AQ" localSheetId="1" hidden="1">#REF!</definedName>
    <definedName name="BEx5I8PBP4LIXDGID5BP0THLO0AQ" localSheetId="10" hidden="1">#REF!</definedName>
    <definedName name="BEx5I8PBP4LIXDGID5BP0THLO0AQ" hidden="1">#REF!</definedName>
    <definedName name="BEx5JHCZJ8G6OOOW6EF3GABXKH6F" localSheetId="2" hidden="1">#REF!</definedName>
    <definedName name="BEx5JHCZJ8G6OOOW6EF3GABXKH6F" localSheetId="12" hidden="1">#REF!</definedName>
    <definedName name="BEx5JHCZJ8G6OOOW6EF3GABXKH6F" localSheetId="34" hidden="1">#REF!</definedName>
    <definedName name="BEx5JHCZJ8G6OOOW6EF3GABXKH6F" localSheetId="7" hidden="1">#REF!</definedName>
    <definedName name="BEx5JHCZJ8G6OOOW6EF3GABXKH6F" localSheetId="6" hidden="1">#REF!</definedName>
    <definedName name="BEx5JHCZJ8G6OOOW6EF3GABXKH6F" localSheetId="1" hidden="1">#REF!</definedName>
    <definedName name="BEx5JHCZJ8G6OOOW6EF3GABXKH6F" localSheetId="10" hidden="1">#REF!</definedName>
    <definedName name="BEx5JHCZJ8G6OOOW6EF3GABXKH6F" hidden="1">#REF!</definedName>
    <definedName name="BEx5JNCT8Z7XSSPD5EMNAJELCU2V" localSheetId="2" hidden="1">#REF!</definedName>
    <definedName name="BEx5JNCT8Z7XSSPD5EMNAJELCU2V" localSheetId="12" hidden="1">#REF!</definedName>
    <definedName name="BEx5JNCT8Z7XSSPD5EMNAJELCU2V" localSheetId="34" hidden="1">#REF!</definedName>
    <definedName name="BEx5JNCT8Z7XSSPD5EMNAJELCU2V" localSheetId="7" hidden="1">#REF!</definedName>
    <definedName name="BEx5JNCT8Z7XSSPD5EMNAJELCU2V" localSheetId="6" hidden="1">#REF!</definedName>
    <definedName name="BEx5JNCT8Z7XSSPD5EMNAJELCU2V" localSheetId="1" hidden="1">#REF!</definedName>
    <definedName name="BEx5JNCT8Z7XSSPD5EMNAJELCU2V" localSheetId="10" hidden="1">#REF!</definedName>
    <definedName name="BEx5JNCT8Z7XSSPD5EMNAJELCU2V" hidden="1">#REF!</definedName>
    <definedName name="BEx5LSJ1LPUAX3ENSPECWPG4J7D1" localSheetId="2" hidden="1">#REF!</definedName>
    <definedName name="BEx5LSJ1LPUAX3ENSPECWPG4J7D1" localSheetId="12" hidden="1">#REF!</definedName>
    <definedName name="BEx5LSJ1LPUAX3ENSPECWPG4J7D1" localSheetId="34" hidden="1">#REF!</definedName>
    <definedName name="BEx5LSJ1LPUAX3ENSPECWPG4J7D1" localSheetId="7" hidden="1">#REF!</definedName>
    <definedName name="BEx5LSJ1LPUAX3ENSPECWPG4J7D1" localSheetId="6" hidden="1">#REF!</definedName>
    <definedName name="BEx5LSJ1LPUAX3ENSPECWPG4J7D1" localSheetId="1" hidden="1">#REF!</definedName>
    <definedName name="BEx5LSJ1LPUAX3ENSPECWPG4J7D1" localSheetId="10" hidden="1">#REF!</definedName>
    <definedName name="BEx5LSJ1LPUAX3ENSPECWPG4J7D1" hidden="1">#REF!</definedName>
    <definedName name="BEx5LTKQ8RQWJE4BC88OP928893U" localSheetId="2" hidden="1">#REF!</definedName>
    <definedName name="BEx5LTKQ8RQWJE4BC88OP928893U" localSheetId="12" hidden="1">#REF!</definedName>
    <definedName name="BEx5LTKQ8RQWJE4BC88OP928893U" localSheetId="34" hidden="1">#REF!</definedName>
    <definedName name="BEx5LTKQ8RQWJE4BC88OP928893U" localSheetId="7" hidden="1">#REF!</definedName>
    <definedName name="BEx5LTKQ8RQWJE4BC88OP928893U" localSheetId="6" hidden="1">#REF!</definedName>
    <definedName name="BEx5LTKQ8RQWJE4BC88OP928893U" localSheetId="1" hidden="1">#REF!</definedName>
    <definedName name="BEx5LTKQ8RQWJE4BC88OP928893U" localSheetId="10" hidden="1">#REF!</definedName>
    <definedName name="BEx5LTKQ8RQWJE4BC88OP928893U" hidden="1">#REF!</definedName>
    <definedName name="BEx5MLQZM68YQSKARVWTTPINFQ2C" localSheetId="2" hidden="1">#REF!</definedName>
    <definedName name="BEx5MLQZM68YQSKARVWTTPINFQ2C" localSheetId="12" hidden="1">#REF!</definedName>
    <definedName name="BEx5MLQZM68YQSKARVWTTPINFQ2C" localSheetId="34" hidden="1">#REF!</definedName>
    <definedName name="BEx5MLQZM68YQSKARVWTTPINFQ2C" localSheetId="7" hidden="1">#REF!</definedName>
    <definedName name="BEx5MLQZM68YQSKARVWTTPINFQ2C" localSheetId="6" hidden="1">#REF!</definedName>
    <definedName name="BEx5MLQZM68YQSKARVWTTPINFQ2C" localSheetId="1" hidden="1">#REF!</definedName>
    <definedName name="BEx5MLQZM68YQSKARVWTTPINFQ2C" localSheetId="10" hidden="1">#REF!</definedName>
    <definedName name="BEx5MLQZM68YQSKARVWTTPINFQ2C" hidden="1">#REF!</definedName>
    <definedName name="BEx5NV06L5J5IMKGOMGKGJ4PBZCD" localSheetId="2" hidden="1">#REF!</definedName>
    <definedName name="BEx5NV06L5J5IMKGOMGKGJ4PBZCD" localSheetId="12" hidden="1">#REF!</definedName>
    <definedName name="BEx5NV06L5J5IMKGOMGKGJ4PBZCD" localSheetId="34" hidden="1">#REF!</definedName>
    <definedName name="BEx5NV06L5J5IMKGOMGKGJ4PBZCD" localSheetId="7" hidden="1">#REF!</definedName>
    <definedName name="BEx5NV06L5J5IMKGOMGKGJ4PBZCD" localSheetId="6" hidden="1">#REF!</definedName>
    <definedName name="BEx5NV06L5J5IMKGOMGKGJ4PBZCD" localSheetId="1" hidden="1">#REF!</definedName>
    <definedName name="BEx5NV06L5J5IMKGOMGKGJ4PBZCD" localSheetId="10" hidden="1">#REF!</definedName>
    <definedName name="BEx5NV06L5J5IMKGOMGKGJ4PBZCD" hidden="1">#REF!</definedName>
    <definedName name="BEx74W6BJ8ENO3J25WNM5H5APKA3" localSheetId="2" hidden="1">#REF!</definedName>
    <definedName name="BEx74W6BJ8ENO3J25WNM5H5APKA3" localSheetId="12" hidden="1">#REF!</definedName>
    <definedName name="BEx74W6BJ8ENO3J25WNM5H5APKA3" localSheetId="34" hidden="1">#REF!</definedName>
    <definedName name="BEx74W6BJ8ENO3J25WNM5H5APKA3" localSheetId="7" hidden="1">#REF!</definedName>
    <definedName name="BEx74W6BJ8ENO3J25WNM5H5APKA3" localSheetId="6" hidden="1">#REF!</definedName>
    <definedName name="BEx74W6BJ8ENO3J25WNM5H5APKA3" localSheetId="1" hidden="1">#REF!</definedName>
    <definedName name="BEx74W6BJ8ENO3J25WNM5H5APKA3" localSheetId="10" hidden="1">#REF!</definedName>
    <definedName name="BEx74W6BJ8ENO3J25WNM5H5APKA3" hidden="1">#REF!</definedName>
    <definedName name="BEx79YJJLBELICW9F9FRYSCQ101L" localSheetId="2" hidden="1">#REF!</definedName>
    <definedName name="BEx79YJJLBELICW9F9FRYSCQ101L" localSheetId="12" hidden="1">#REF!</definedName>
    <definedName name="BEx79YJJLBELICW9F9FRYSCQ101L" localSheetId="34" hidden="1">#REF!</definedName>
    <definedName name="BEx79YJJLBELICW9F9FRYSCQ101L" localSheetId="7" hidden="1">#REF!</definedName>
    <definedName name="BEx79YJJLBELICW9F9FRYSCQ101L" localSheetId="6" hidden="1">#REF!</definedName>
    <definedName name="BEx79YJJLBELICW9F9FRYSCQ101L" localSheetId="1" hidden="1">#REF!</definedName>
    <definedName name="BEx79YJJLBELICW9F9FRYSCQ101L" localSheetId="10" hidden="1">#REF!</definedName>
    <definedName name="BEx79YJJLBELICW9F9FRYSCQ101L" hidden="1">#REF!</definedName>
    <definedName name="BEx7A06T3RC2891FUX05G3QPRAUE" localSheetId="2" hidden="1">#REF!</definedName>
    <definedName name="BEx7A06T3RC2891FUX05G3QPRAUE" localSheetId="12" hidden="1">#REF!</definedName>
    <definedName name="BEx7A06T3RC2891FUX05G3QPRAUE" localSheetId="34" hidden="1">#REF!</definedName>
    <definedName name="BEx7A06T3RC2891FUX05G3QPRAUE" localSheetId="7" hidden="1">#REF!</definedName>
    <definedName name="BEx7A06T3RC2891FUX05G3QPRAUE" localSheetId="6" hidden="1">#REF!</definedName>
    <definedName name="BEx7A06T3RC2891FUX05G3QPRAUE" localSheetId="1" hidden="1">#REF!</definedName>
    <definedName name="BEx7A06T3RC2891FUX05G3QPRAUE" localSheetId="10" hidden="1">#REF!</definedName>
    <definedName name="BEx7A06T3RC2891FUX05G3QPRAUE" hidden="1">#REF!</definedName>
    <definedName name="BEx7ASD1I654MEDCO6GGWA95PXSC" localSheetId="2" hidden="1">#REF!</definedName>
    <definedName name="BEx7ASD1I654MEDCO6GGWA95PXSC" localSheetId="12" hidden="1">#REF!</definedName>
    <definedName name="BEx7ASD1I654MEDCO6GGWA95PXSC" localSheetId="34" hidden="1">#REF!</definedName>
    <definedName name="BEx7ASD1I654MEDCO6GGWA95PXSC" localSheetId="7" hidden="1">#REF!</definedName>
    <definedName name="BEx7ASD1I654MEDCO6GGWA95PXSC" localSheetId="6" hidden="1">#REF!</definedName>
    <definedName name="BEx7ASD1I654MEDCO6GGWA95PXSC" localSheetId="1" hidden="1">#REF!</definedName>
    <definedName name="BEx7ASD1I654MEDCO6GGWA95PXSC" localSheetId="10" hidden="1">#REF!</definedName>
    <definedName name="BEx7ASD1I654MEDCO6GGWA95PXSC" hidden="1">#REF!</definedName>
    <definedName name="BEx7AVCX9S5RJP3NSZ4QM4E6ERDT" localSheetId="2" hidden="1">#REF!</definedName>
    <definedName name="BEx7AVCX9S5RJP3NSZ4QM4E6ERDT" localSheetId="12" hidden="1">#REF!</definedName>
    <definedName name="BEx7AVCX9S5RJP3NSZ4QM4E6ERDT" localSheetId="34" hidden="1">#REF!</definedName>
    <definedName name="BEx7AVCX9S5RJP3NSZ4QM4E6ERDT" localSheetId="7" hidden="1">#REF!</definedName>
    <definedName name="BEx7AVCX9S5RJP3NSZ4QM4E6ERDT" localSheetId="6" hidden="1">#REF!</definedName>
    <definedName name="BEx7AVCX9S5RJP3NSZ4QM4E6ERDT" localSheetId="1" hidden="1">#REF!</definedName>
    <definedName name="BEx7AVCX9S5RJP3NSZ4QM4E6ERDT" localSheetId="10" hidden="1">#REF!</definedName>
    <definedName name="BEx7AVCX9S5RJP3NSZ4QM4E6ERDT" hidden="1">#REF!</definedName>
    <definedName name="BEx7CO8T2XKC7GHDSYNAWTZ9L7YR" localSheetId="2" hidden="1">#REF!</definedName>
    <definedName name="BEx7CO8T2XKC7GHDSYNAWTZ9L7YR" localSheetId="12" hidden="1">#REF!</definedName>
    <definedName name="BEx7CO8T2XKC7GHDSYNAWTZ9L7YR" localSheetId="34" hidden="1">#REF!</definedName>
    <definedName name="BEx7CO8T2XKC7GHDSYNAWTZ9L7YR" localSheetId="7" hidden="1">#REF!</definedName>
    <definedName name="BEx7CO8T2XKC7GHDSYNAWTZ9L7YR" localSheetId="6" hidden="1">#REF!</definedName>
    <definedName name="BEx7CO8T2XKC7GHDSYNAWTZ9L7YR" localSheetId="1" hidden="1">#REF!</definedName>
    <definedName name="BEx7CO8T2XKC7GHDSYNAWTZ9L7YR" localSheetId="10" hidden="1">#REF!</definedName>
    <definedName name="BEx7CO8T2XKC7GHDSYNAWTZ9L7YR" hidden="1">#REF!</definedName>
    <definedName name="BEx7E2QT2U8THYOKBPXONB1B47WH" localSheetId="2" hidden="1">#REF!</definedName>
    <definedName name="BEx7E2QT2U8THYOKBPXONB1B47WH" localSheetId="12" hidden="1">#REF!</definedName>
    <definedName name="BEx7E2QT2U8THYOKBPXONB1B47WH" localSheetId="34" hidden="1">#REF!</definedName>
    <definedName name="BEx7E2QT2U8THYOKBPXONB1B47WH" localSheetId="7" hidden="1">#REF!</definedName>
    <definedName name="BEx7E2QT2U8THYOKBPXONB1B47WH" localSheetId="6" hidden="1">#REF!</definedName>
    <definedName name="BEx7E2QT2U8THYOKBPXONB1B47WH" localSheetId="1" hidden="1">#REF!</definedName>
    <definedName name="BEx7E2QT2U8THYOKBPXONB1B47WH" localSheetId="10" hidden="1">#REF!</definedName>
    <definedName name="BEx7E2QT2U8THYOKBPXONB1B47WH" hidden="1">#REF!</definedName>
    <definedName name="BEx7EI6DL1Z6UWLFBXAKVGZTKHWJ" localSheetId="2" hidden="1">#REF!</definedName>
    <definedName name="BEx7EI6DL1Z6UWLFBXAKVGZTKHWJ" localSheetId="12" hidden="1">#REF!</definedName>
    <definedName name="BEx7EI6DL1Z6UWLFBXAKVGZTKHWJ" localSheetId="34" hidden="1">#REF!</definedName>
    <definedName name="BEx7EI6DL1Z6UWLFBXAKVGZTKHWJ" localSheetId="7" hidden="1">#REF!</definedName>
    <definedName name="BEx7EI6DL1Z6UWLFBXAKVGZTKHWJ" localSheetId="6" hidden="1">#REF!</definedName>
    <definedName name="BEx7EI6DL1Z6UWLFBXAKVGZTKHWJ" localSheetId="1" hidden="1">#REF!</definedName>
    <definedName name="BEx7EI6DL1Z6UWLFBXAKVGZTKHWJ" localSheetId="10" hidden="1">#REF!</definedName>
    <definedName name="BEx7EI6DL1Z6UWLFBXAKVGZTKHWJ" hidden="1">#REF!</definedName>
    <definedName name="BEx91QH5JRZKQP1GPN2SQMR3CKAG" localSheetId="2" hidden="1">#REF!</definedName>
    <definedName name="BEx91QH5JRZKQP1GPN2SQMR3CKAG" localSheetId="12" hidden="1">#REF!</definedName>
    <definedName name="BEx91QH5JRZKQP1GPN2SQMR3CKAG" localSheetId="34" hidden="1">#REF!</definedName>
    <definedName name="BEx91QH5JRZKQP1GPN2SQMR3CKAG" localSheetId="7" hidden="1">#REF!</definedName>
    <definedName name="BEx91QH5JRZKQP1GPN2SQMR3CKAG" localSheetId="6" hidden="1">#REF!</definedName>
    <definedName name="BEx91QH5JRZKQP1GPN2SQMR3CKAG" localSheetId="1" hidden="1">#REF!</definedName>
    <definedName name="BEx91QH5JRZKQP1GPN2SQMR3CKAG" localSheetId="10" hidden="1">#REF!</definedName>
    <definedName name="BEx91QH5JRZKQP1GPN2SQMR3CKAG" hidden="1">#REF!</definedName>
    <definedName name="BEx91ROALDNHO7FI4X8L61RH4UJE" localSheetId="2" hidden="1">#REF!</definedName>
    <definedName name="BEx91ROALDNHO7FI4X8L61RH4UJE" localSheetId="12" hidden="1">#REF!</definedName>
    <definedName name="BEx91ROALDNHO7FI4X8L61RH4UJE" localSheetId="34" hidden="1">#REF!</definedName>
    <definedName name="BEx91ROALDNHO7FI4X8L61RH4UJE" localSheetId="7" hidden="1">#REF!</definedName>
    <definedName name="BEx91ROALDNHO7FI4X8L61RH4UJE" localSheetId="6" hidden="1">#REF!</definedName>
    <definedName name="BEx91ROALDNHO7FI4X8L61RH4UJE" localSheetId="1" hidden="1">#REF!</definedName>
    <definedName name="BEx91ROALDNHO7FI4X8L61RH4UJE" localSheetId="10" hidden="1">#REF!</definedName>
    <definedName name="BEx91ROALDNHO7FI4X8L61RH4UJE" hidden="1">#REF!</definedName>
    <definedName name="BEx94CKXG92OMURH41SNU6IOHK4J" localSheetId="2" hidden="1">#REF!</definedName>
    <definedName name="BEx94CKXG92OMURH41SNU6IOHK4J" localSheetId="12" hidden="1">#REF!</definedName>
    <definedName name="BEx94CKXG92OMURH41SNU6IOHK4J" localSheetId="34" hidden="1">#REF!</definedName>
    <definedName name="BEx94CKXG92OMURH41SNU6IOHK4J" localSheetId="7" hidden="1">#REF!</definedName>
    <definedName name="BEx94CKXG92OMURH41SNU6IOHK4J" localSheetId="6" hidden="1">#REF!</definedName>
    <definedName name="BEx94CKXG92OMURH41SNU6IOHK4J" localSheetId="1" hidden="1">#REF!</definedName>
    <definedName name="BEx94CKXG92OMURH41SNU6IOHK4J" localSheetId="10" hidden="1">#REF!</definedName>
    <definedName name="BEx94CKXG92OMURH41SNU6IOHK4J" hidden="1">#REF!</definedName>
    <definedName name="BEx94GXG30CIVB6ZQN3X3IK6BZXQ" localSheetId="2" hidden="1">#REF!</definedName>
    <definedName name="BEx94GXG30CIVB6ZQN3X3IK6BZXQ" localSheetId="12" hidden="1">#REF!</definedName>
    <definedName name="BEx94GXG30CIVB6ZQN3X3IK6BZXQ" localSheetId="34" hidden="1">#REF!</definedName>
    <definedName name="BEx94GXG30CIVB6ZQN3X3IK6BZXQ" localSheetId="7" hidden="1">#REF!</definedName>
    <definedName name="BEx94GXG30CIVB6ZQN3X3IK6BZXQ" localSheetId="6" hidden="1">#REF!</definedName>
    <definedName name="BEx94GXG30CIVB6ZQN3X3IK6BZXQ" localSheetId="1" hidden="1">#REF!</definedName>
    <definedName name="BEx94GXG30CIVB6ZQN3X3IK6BZXQ" localSheetId="10" hidden="1">#REF!</definedName>
    <definedName name="BEx94GXG30CIVB6ZQN3X3IK6BZXQ" hidden="1">#REF!</definedName>
    <definedName name="BEx94HZ5LURYM9ST744ALV6ZCKYP" localSheetId="2" hidden="1">#REF!</definedName>
    <definedName name="BEx94HZ5LURYM9ST744ALV6ZCKYP" localSheetId="12" hidden="1">#REF!</definedName>
    <definedName name="BEx94HZ5LURYM9ST744ALV6ZCKYP" localSheetId="34" hidden="1">#REF!</definedName>
    <definedName name="BEx94HZ5LURYM9ST744ALV6ZCKYP" localSheetId="7" hidden="1">#REF!</definedName>
    <definedName name="BEx94HZ5LURYM9ST744ALV6ZCKYP" localSheetId="6" hidden="1">#REF!</definedName>
    <definedName name="BEx94HZ5LURYM9ST744ALV6ZCKYP" localSheetId="1" hidden="1">#REF!</definedName>
    <definedName name="BEx94HZ5LURYM9ST744ALV6ZCKYP" localSheetId="10" hidden="1">#REF!</definedName>
    <definedName name="BEx94HZ5LURYM9ST744ALV6ZCKYP" hidden="1">#REF!</definedName>
    <definedName name="BEx94IQ75E90YUMWJ9N591LR7DQQ" localSheetId="2" hidden="1">#REF!</definedName>
    <definedName name="BEx94IQ75E90YUMWJ9N591LR7DQQ" localSheetId="12" hidden="1">#REF!</definedName>
    <definedName name="BEx94IQ75E90YUMWJ9N591LR7DQQ" localSheetId="34" hidden="1">#REF!</definedName>
    <definedName name="BEx94IQ75E90YUMWJ9N591LR7DQQ" localSheetId="7" hidden="1">#REF!</definedName>
    <definedName name="BEx94IQ75E90YUMWJ9N591LR7DQQ" localSheetId="6" hidden="1">#REF!</definedName>
    <definedName name="BEx94IQ75E90YUMWJ9N591LR7DQQ" localSheetId="1" hidden="1">#REF!</definedName>
    <definedName name="BEx94IQ75E90YUMWJ9N591LR7DQQ" localSheetId="10" hidden="1">#REF!</definedName>
    <definedName name="BEx94IQ75E90YUMWJ9N591LR7DQQ" hidden="1">#REF!</definedName>
    <definedName name="BEx955NIAWX5OLAHMTV6QFUZPR30" localSheetId="2" hidden="1">#REF!</definedName>
    <definedName name="BEx955NIAWX5OLAHMTV6QFUZPR30" localSheetId="12" hidden="1">#REF!</definedName>
    <definedName name="BEx955NIAWX5OLAHMTV6QFUZPR30" localSheetId="34" hidden="1">#REF!</definedName>
    <definedName name="BEx955NIAWX5OLAHMTV6QFUZPR30" localSheetId="7" hidden="1">#REF!</definedName>
    <definedName name="BEx955NIAWX5OLAHMTV6QFUZPR30" localSheetId="6" hidden="1">#REF!</definedName>
    <definedName name="BEx955NIAWX5OLAHMTV6QFUZPR30" localSheetId="1" hidden="1">#REF!</definedName>
    <definedName name="BEx955NIAWX5OLAHMTV6QFUZPR30" localSheetId="10" hidden="1">#REF!</definedName>
    <definedName name="BEx955NIAWX5OLAHMTV6QFUZPR30" hidden="1">#REF!</definedName>
    <definedName name="BEx97NPQBACJVD9K1YXI08RTW9E2" localSheetId="2" hidden="1">#REF!</definedName>
    <definedName name="BEx97NPQBACJVD9K1YXI08RTW9E2" localSheetId="12" hidden="1">#REF!</definedName>
    <definedName name="BEx97NPQBACJVD9K1YXI08RTW9E2" localSheetId="34" hidden="1">#REF!</definedName>
    <definedName name="BEx97NPQBACJVD9K1YXI08RTW9E2" localSheetId="7" hidden="1">#REF!</definedName>
    <definedName name="BEx97NPQBACJVD9K1YXI08RTW9E2" localSheetId="6" hidden="1">#REF!</definedName>
    <definedName name="BEx97NPQBACJVD9K1YXI08RTW9E2" localSheetId="1" hidden="1">#REF!</definedName>
    <definedName name="BEx97NPQBACJVD9K1YXI08RTW9E2" localSheetId="10" hidden="1">#REF!</definedName>
    <definedName name="BEx97NPQBACJVD9K1YXI08RTW9E2" hidden="1">#REF!</definedName>
    <definedName name="BEx9B8A5186FNTQQNLIO5LK02ABI" localSheetId="2" hidden="1">#REF!</definedName>
    <definedName name="BEx9B8A5186FNTQQNLIO5LK02ABI" localSheetId="12" hidden="1">#REF!</definedName>
    <definedName name="BEx9B8A5186FNTQQNLIO5LK02ABI" localSheetId="34" hidden="1">#REF!</definedName>
    <definedName name="BEx9B8A5186FNTQQNLIO5LK02ABI" localSheetId="7" hidden="1">#REF!</definedName>
    <definedName name="BEx9B8A5186FNTQQNLIO5LK02ABI" localSheetId="6" hidden="1">#REF!</definedName>
    <definedName name="BEx9B8A5186FNTQQNLIO5LK02ABI" localSheetId="1" hidden="1">#REF!</definedName>
    <definedName name="BEx9B8A5186FNTQQNLIO5LK02ABI" localSheetId="10" hidden="1">#REF!</definedName>
    <definedName name="BEx9B8A5186FNTQQNLIO5LK02ABI" hidden="1">#REF!</definedName>
    <definedName name="BEx9IW5MFLXTVCJHVUZTUH93AXOS" localSheetId="2" hidden="1">#REF!</definedName>
    <definedName name="BEx9IW5MFLXTVCJHVUZTUH93AXOS" localSheetId="12" hidden="1">#REF!</definedName>
    <definedName name="BEx9IW5MFLXTVCJHVUZTUH93AXOS" localSheetId="34" hidden="1">#REF!</definedName>
    <definedName name="BEx9IW5MFLXTVCJHVUZTUH93AXOS" localSheetId="7" hidden="1">#REF!</definedName>
    <definedName name="BEx9IW5MFLXTVCJHVUZTUH93AXOS" localSheetId="6" hidden="1">#REF!</definedName>
    <definedName name="BEx9IW5MFLXTVCJHVUZTUH93AXOS" localSheetId="1" hidden="1">#REF!</definedName>
    <definedName name="BEx9IW5MFLXTVCJHVUZTUH93AXOS" localSheetId="10" hidden="1">#REF!</definedName>
    <definedName name="BEx9IW5MFLXTVCJHVUZTUH93AXOS" hidden="1">#REF!</definedName>
    <definedName name="BEx9J6CH5E7YZPER7HXEIOIKGPCA" localSheetId="2" hidden="1">#REF!</definedName>
    <definedName name="BEx9J6CH5E7YZPER7HXEIOIKGPCA" localSheetId="12" hidden="1">#REF!</definedName>
    <definedName name="BEx9J6CH5E7YZPER7HXEIOIKGPCA" localSheetId="34" hidden="1">#REF!</definedName>
    <definedName name="BEx9J6CH5E7YZPER7HXEIOIKGPCA" localSheetId="7" hidden="1">#REF!</definedName>
    <definedName name="BEx9J6CH5E7YZPER7HXEIOIKGPCA" localSheetId="6" hidden="1">#REF!</definedName>
    <definedName name="BEx9J6CH5E7YZPER7HXEIOIKGPCA" localSheetId="1" hidden="1">#REF!</definedName>
    <definedName name="BEx9J6CH5E7YZPER7HXEIOIKGPCA" localSheetId="10" hidden="1">#REF!</definedName>
    <definedName name="BEx9J6CH5E7YZPER7HXEIOIKGPCA" hidden="1">#REF!</definedName>
    <definedName name="BEx9JLBYK239B3F841C7YG1GT7ST" localSheetId="2" hidden="1">#REF!</definedName>
    <definedName name="BEx9JLBYK239B3F841C7YG1GT7ST" localSheetId="12" hidden="1">#REF!</definedName>
    <definedName name="BEx9JLBYK239B3F841C7YG1GT7ST" localSheetId="34" hidden="1">#REF!</definedName>
    <definedName name="BEx9JLBYK239B3F841C7YG1GT7ST" localSheetId="7" hidden="1">#REF!</definedName>
    <definedName name="BEx9JLBYK239B3F841C7YG1GT7ST" localSheetId="6" hidden="1">#REF!</definedName>
    <definedName name="BEx9JLBYK239B3F841C7YG1GT7ST" localSheetId="1" hidden="1">#REF!</definedName>
    <definedName name="BEx9JLBYK239B3F841C7YG1GT7ST" localSheetId="10" hidden="1">#REF!</definedName>
    <definedName name="BEx9JLBYK239B3F841C7YG1GT7ST" hidden="1">#REF!</definedName>
    <definedName name="BExAX410NB4F2XOB84OR2197H8M5" localSheetId="2" hidden="1">#REF!</definedName>
    <definedName name="BExAX410NB4F2XOB84OR2197H8M5" localSheetId="12" hidden="1">#REF!</definedName>
    <definedName name="BExAX410NB4F2XOB84OR2197H8M5" localSheetId="34" hidden="1">#REF!</definedName>
    <definedName name="BExAX410NB4F2XOB84OR2197H8M5" localSheetId="7" hidden="1">#REF!</definedName>
    <definedName name="BExAX410NB4F2XOB84OR2197H8M5" localSheetId="6" hidden="1">#REF!</definedName>
    <definedName name="BExAX410NB4F2XOB84OR2197H8M5" localSheetId="1" hidden="1">#REF!</definedName>
    <definedName name="BExAX410NB4F2XOB84OR2197H8M5" localSheetId="10" hidden="1">#REF!</definedName>
    <definedName name="BExAX410NB4F2XOB84OR2197H8M5" hidden="1">#REF!</definedName>
    <definedName name="BExB072HHXVMUC0VYNGG48GRSH5Q" localSheetId="2" hidden="1">#REF!</definedName>
    <definedName name="BExB072HHXVMUC0VYNGG48GRSH5Q" localSheetId="12" hidden="1">#REF!</definedName>
    <definedName name="BExB072HHXVMUC0VYNGG48GRSH5Q" localSheetId="34" hidden="1">#REF!</definedName>
    <definedName name="BExB072HHXVMUC0VYNGG48GRSH5Q" localSheetId="7" hidden="1">#REF!</definedName>
    <definedName name="BExB072HHXVMUC0VYNGG48GRSH5Q" localSheetId="6" hidden="1">#REF!</definedName>
    <definedName name="BExB072HHXVMUC0VYNGG48GRSH5Q" localSheetId="1" hidden="1">#REF!</definedName>
    <definedName name="BExB072HHXVMUC0VYNGG48GRSH5Q" localSheetId="10" hidden="1">#REF!</definedName>
    <definedName name="BExB072HHXVMUC0VYNGG48GRSH5Q" hidden="1">#REF!</definedName>
    <definedName name="BExB1FKNY2UO4W5FUGFHJOA2WFGG" localSheetId="2" hidden="1">#REF!</definedName>
    <definedName name="BExB1FKNY2UO4W5FUGFHJOA2WFGG" localSheetId="12" hidden="1">#REF!</definedName>
    <definedName name="BExB1FKNY2UO4W5FUGFHJOA2WFGG" localSheetId="34" hidden="1">#REF!</definedName>
    <definedName name="BExB1FKNY2UO4W5FUGFHJOA2WFGG" localSheetId="7" hidden="1">#REF!</definedName>
    <definedName name="BExB1FKNY2UO4W5FUGFHJOA2WFGG" localSheetId="6" hidden="1">#REF!</definedName>
    <definedName name="BExB1FKNY2UO4W5FUGFHJOA2WFGG" localSheetId="1" hidden="1">#REF!</definedName>
    <definedName name="BExB1FKNY2UO4W5FUGFHJOA2WFGG" localSheetId="10" hidden="1">#REF!</definedName>
    <definedName name="BExB1FKNY2UO4W5FUGFHJOA2WFGG" hidden="1">#REF!</definedName>
    <definedName name="BExB1GMD0PIDGTFBGQOPRWQSP9I4" localSheetId="2" hidden="1">#REF!</definedName>
    <definedName name="BExB1GMD0PIDGTFBGQOPRWQSP9I4" localSheetId="12" hidden="1">#REF!</definedName>
    <definedName name="BExB1GMD0PIDGTFBGQOPRWQSP9I4" localSheetId="34" hidden="1">#REF!</definedName>
    <definedName name="BExB1GMD0PIDGTFBGQOPRWQSP9I4" localSheetId="7" hidden="1">#REF!</definedName>
    <definedName name="BExB1GMD0PIDGTFBGQOPRWQSP9I4" localSheetId="6" hidden="1">#REF!</definedName>
    <definedName name="BExB1GMD0PIDGTFBGQOPRWQSP9I4" localSheetId="1" hidden="1">#REF!</definedName>
    <definedName name="BExB1GMD0PIDGTFBGQOPRWQSP9I4" localSheetId="10" hidden="1">#REF!</definedName>
    <definedName name="BExB1GMD0PIDGTFBGQOPRWQSP9I4" hidden="1">#REF!</definedName>
    <definedName name="BExB1WI6M8I0EEP1ANUQZCFY24EV" localSheetId="2" hidden="1">#REF!</definedName>
    <definedName name="BExB1WI6M8I0EEP1ANUQZCFY24EV" localSheetId="12" hidden="1">#REF!</definedName>
    <definedName name="BExB1WI6M8I0EEP1ANUQZCFY24EV" localSheetId="34" hidden="1">#REF!</definedName>
    <definedName name="BExB1WI6M8I0EEP1ANUQZCFY24EV" localSheetId="7" hidden="1">#REF!</definedName>
    <definedName name="BExB1WI6M8I0EEP1ANUQZCFY24EV" localSheetId="6" hidden="1">#REF!</definedName>
    <definedName name="BExB1WI6M8I0EEP1ANUQZCFY24EV" localSheetId="1" hidden="1">#REF!</definedName>
    <definedName name="BExB1WI6M8I0EEP1ANUQZCFY24EV" localSheetId="10" hidden="1">#REF!</definedName>
    <definedName name="BExB1WI6M8I0EEP1ANUQZCFY24EV" hidden="1">#REF!</definedName>
    <definedName name="BExB2Q0VJ0MU2URO3JOVUAVHEI3V" localSheetId="2" hidden="1">#REF!</definedName>
    <definedName name="BExB2Q0VJ0MU2URO3JOVUAVHEI3V" localSheetId="12" hidden="1">#REF!</definedName>
    <definedName name="BExB2Q0VJ0MU2URO3JOVUAVHEI3V" localSheetId="34" hidden="1">#REF!</definedName>
    <definedName name="BExB2Q0VJ0MU2URO3JOVUAVHEI3V" localSheetId="7" hidden="1">#REF!</definedName>
    <definedName name="BExB2Q0VJ0MU2URO3JOVUAVHEI3V" localSheetId="6" hidden="1">#REF!</definedName>
    <definedName name="BExB2Q0VJ0MU2URO3JOVUAVHEI3V" localSheetId="1" hidden="1">#REF!</definedName>
    <definedName name="BExB2Q0VJ0MU2URO3JOVUAVHEI3V" localSheetId="10" hidden="1">#REF!</definedName>
    <definedName name="BExB2Q0VJ0MU2URO3JOVUAVHEI3V" hidden="1">#REF!</definedName>
    <definedName name="BExB442RX0T3L6HUL6X5T21CENW6" localSheetId="2" hidden="1">#REF!</definedName>
    <definedName name="BExB442RX0T3L6HUL6X5T21CENW6" localSheetId="12" hidden="1">#REF!</definedName>
    <definedName name="BExB442RX0T3L6HUL6X5T21CENW6" localSheetId="34" hidden="1">#REF!</definedName>
    <definedName name="BExB442RX0T3L6HUL6X5T21CENW6" localSheetId="7" hidden="1">#REF!</definedName>
    <definedName name="BExB442RX0T3L6HUL6X5T21CENW6" localSheetId="6" hidden="1">#REF!</definedName>
    <definedName name="BExB442RX0T3L6HUL6X5T21CENW6" localSheetId="1" hidden="1">#REF!</definedName>
    <definedName name="BExB442RX0T3L6HUL6X5T21CENW6" localSheetId="10" hidden="1">#REF!</definedName>
    <definedName name="BExB442RX0T3L6HUL6X5T21CENW6" hidden="1">#REF!</definedName>
    <definedName name="BExB5833OAOJ22VK1YK47FHUSVK2" localSheetId="2" hidden="1">#REF!</definedName>
    <definedName name="BExB5833OAOJ22VK1YK47FHUSVK2" localSheetId="12" hidden="1">#REF!</definedName>
    <definedName name="BExB5833OAOJ22VK1YK47FHUSVK2" localSheetId="34" hidden="1">#REF!</definedName>
    <definedName name="BExB5833OAOJ22VK1YK47FHUSVK2" localSheetId="7" hidden="1">#REF!</definedName>
    <definedName name="BExB5833OAOJ22VK1YK47FHUSVK2" localSheetId="6" hidden="1">#REF!</definedName>
    <definedName name="BExB5833OAOJ22VK1YK47FHUSVK2" localSheetId="1" hidden="1">#REF!</definedName>
    <definedName name="BExB5833OAOJ22VK1YK47FHUSVK2" localSheetId="10" hidden="1">#REF!</definedName>
    <definedName name="BExB5833OAOJ22VK1YK47FHUSVK2" hidden="1">#REF!</definedName>
    <definedName name="BExB78RH79J0MIF7H8CAZ0CFE88Q" localSheetId="2" hidden="1">#REF!</definedName>
    <definedName name="BExB78RH79J0MIF7H8CAZ0CFE88Q" localSheetId="12" hidden="1">#REF!</definedName>
    <definedName name="BExB78RH79J0MIF7H8CAZ0CFE88Q" localSheetId="34" hidden="1">#REF!</definedName>
    <definedName name="BExB78RH79J0MIF7H8CAZ0CFE88Q" localSheetId="7" hidden="1">#REF!</definedName>
    <definedName name="BExB78RH79J0MIF7H8CAZ0CFE88Q" localSheetId="6" hidden="1">#REF!</definedName>
    <definedName name="BExB78RH79J0MIF7H8CAZ0CFE88Q" localSheetId="1" hidden="1">#REF!</definedName>
    <definedName name="BExB78RH79J0MIF7H8CAZ0CFE88Q" localSheetId="10" hidden="1">#REF!</definedName>
    <definedName name="BExB78RH79J0MIF7H8CAZ0CFE88Q" hidden="1">#REF!</definedName>
    <definedName name="BExB8U5N0D85YR8APKN3PPKG0FWP" localSheetId="2" hidden="1">#REF!</definedName>
    <definedName name="BExB8U5N0D85YR8APKN3PPKG0FWP" localSheetId="12" hidden="1">#REF!</definedName>
    <definedName name="BExB8U5N0D85YR8APKN3PPKG0FWP" localSheetId="34" hidden="1">#REF!</definedName>
    <definedName name="BExB8U5N0D85YR8APKN3PPKG0FWP" localSheetId="7" hidden="1">#REF!</definedName>
    <definedName name="BExB8U5N0D85YR8APKN3PPKG0FWP" localSheetId="6" hidden="1">#REF!</definedName>
    <definedName name="BExB8U5N0D85YR8APKN3PPKG0FWP" localSheetId="1" hidden="1">#REF!</definedName>
    <definedName name="BExB8U5N0D85YR8APKN3PPKG0FWP" localSheetId="10" hidden="1">#REF!</definedName>
    <definedName name="BExB8U5N0D85YR8APKN3PPKG0FWP" hidden="1">#REF!</definedName>
    <definedName name="BExB9Q2MZZHBGW8QQKVEYIMJBPIE" localSheetId="2" hidden="1">#REF!</definedName>
    <definedName name="BExB9Q2MZZHBGW8QQKVEYIMJBPIE" localSheetId="12" hidden="1">#REF!</definedName>
    <definedName name="BExB9Q2MZZHBGW8QQKVEYIMJBPIE" localSheetId="34" hidden="1">#REF!</definedName>
    <definedName name="BExB9Q2MZZHBGW8QQKVEYIMJBPIE" localSheetId="7" hidden="1">#REF!</definedName>
    <definedName name="BExB9Q2MZZHBGW8QQKVEYIMJBPIE" localSheetId="6" hidden="1">#REF!</definedName>
    <definedName name="BExB9Q2MZZHBGW8QQKVEYIMJBPIE" localSheetId="1" hidden="1">#REF!</definedName>
    <definedName name="BExB9Q2MZZHBGW8QQKVEYIMJBPIE" localSheetId="10" hidden="1">#REF!</definedName>
    <definedName name="BExB9Q2MZZHBGW8QQKVEYIMJBPIE" hidden="1">#REF!</definedName>
    <definedName name="BExBCLMEPAN3XXX174TU8SS0627Q" localSheetId="2" hidden="1">#REF!</definedName>
    <definedName name="BExBCLMEPAN3XXX174TU8SS0627Q" localSheetId="12" hidden="1">#REF!</definedName>
    <definedName name="BExBCLMEPAN3XXX174TU8SS0627Q" localSheetId="34" hidden="1">#REF!</definedName>
    <definedName name="BExBCLMEPAN3XXX174TU8SS0627Q" localSheetId="7" hidden="1">#REF!</definedName>
    <definedName name="BExBCLMEPAN3XXX174TU8SS0627Q" localSheetId="6" hidden="1">#REF!</definedName>
    <definedName name="BExBCLMEPAN3XXX174TU8SS0627Q" localSheetId="1" hidden="1">#REF!</definedName>
    <definedName name="BExBCLMEPAN3XXX174TU8SS0627Q" localSheetId="10" hidden="1">#REF!</definedName>
    <definedName name="BExBCLMEPAN3XXX174TU8SS0627Q" hidden="1">#REF!</definedName>
    <definedName name="BExBDJS9TUEU8Z84IV59E5V4T8K6" localSheetId="2" hidden="1">#REF!</definedName>
    <definedName name="BExBDJS9TUEU8Z84IV59E5V4T8K6" localSheetId="12" hidden="1">#REF!</definedName>
    <definedName name="BExBDJS9TUEU8Z84IV59E5V4T8K6" localSheetId="34" hidden="1">#REF!</definedName>
    <definedName name="BExBDJS9TUEU8Z84IV59E5V4T8K6" localSheetId="7" hidden="1">#REF!</definedName>
    <definedName name="BExBDJS9TUEU8Z84IV59E5V4T8K6" localSheetId="6" hidden="1">#REF!</definedName>
    <definedName name="BExBDJS9TUEU8Z84IV59E5V4T8K6" localSheetId="1" hidden="1">#REF!</definedName>
    <definedName name="BExBDJS9TUEU8Z84IV59E5V4T8K6" localSheetId="10" hidden="1">#REF!</definedName>
    <definedName name="BExBDJS9TUEU8Z84IV59E5V4T8K6" hidden="1">#REF!</definedName>
    <definedName name="BExCS7ZPMHFJ4UJDAL8CQOLSZ13B" localSheetId="2" hidden="1">#REF!</definedName>
    <definedName name="BExCS7ZPMHFJ4UJDAL8CQOLSZ13B" localSheetId="12" hidden="1">#REF!</definedName>
    <definedName name="BExCS7ZPMHFJ4UJDAL8CQOLSZ13B" localSheetId="34" hidden="1">#REF!</definedName>
    <definedName name="BExCS7ZPMHFJ4UJDAL8CQOLSZ13B" localSheetId="7" hidden="1">#REF!</definedName>
    <definedName name="BExCS7ZPMHFJ4UJDAL8CQOLSZ13B" localSheetId="6" hidden="1">#REF!</definedName>
    <definedName name="BExCS7ZPMHFJ4UJDAL8CQOLSZ13B" localSheetId="1" hidden="1">#REF!</definedName>
    <definedName name="BExCS7ZPMHFJ4UJDAL8CQOLSZ13B" localSheetId="10" hidden="1">#REF!</definedName>
    <definedName name="BExCS7ZPMHFJ4UJDAL8CQOLSZ13B" hidden="1">#REF!</definedName>
    <definedName name="BExCSSDG3TM6TPKS19E9QYJEELZ6" localSheetId="2" hidden="1">#REF!</definedName>
    <definedName name="BExCSSDG3TM6TPKS19E9QYJEELZ6" localSheetId="12" hidden="1">#REF!</definedName>
    <definedName name="BExCSSDG3TM6TPKS19E9QYJEELZ6" localSheetId="34" hidden="1">#REF!</definedName>
    <definedName name="BExCSSDG3TM6TPKS19E9QYJEELZ6" localSheetId="7" hidden="1">#REF!</definedName>
    <definedName name="BExCSSDG3TM6TPKS19E9QYJEELZ6" localSheetId="6" hidden="1">#REF!</definedName>
    <definedName name="BExCSSDG3TM6TPKS19E9QYJEELZ6" localSheetId="1" hidden="1">#REF!</definedName>
    <definedName name="BExCSSDG3TM6TPKS19E9QYJEELZ6" localSheetId="10" hidden="1">#REF!</definedName>
    <definedName name="BExCSSDG3TM6TPKS19E9QYJEELZ6" hidden="1">#REF!</definedName>
    <definedName name="BExCT4NSDT61OCH04Y2QIFIOP75H" localSheetId="2" hidden="1">#REF!</definedName>
    <definedName name="BExCT4NSDT61OCH04Y2QIFIOP75H" localSheetId="12" hidden="1">#REF!</definedName>
    <definedName name="BExCT4NSDT61OCH04Y2QIFIOP75H" localSheetId="34" hidden="1">#REF!</definedName>
    <definedName name="BExCT4NSDT61OCH04Y2QIFIOP75H" localSheetId="7" hidden="1">#REF!</definedName>
    <definedName name="BExCT4NSDT61OCH04Y2QIFIOP75H" localSheetId="6" hidden="1">#REF!</definedName>
    <definedName name="BExCT4NSDT61OCH04Y2QIFIOP75H" localSheetId="1" hidden="1">#REF!</definedName>
    <definedName name="BExCT4NSDT61OCH04Y2QIFIOP75H" localSheetId="10" hidden="1">#REF!</definedName>
    <definedName name="BExCT4NSDT61OCH04Y2QIFIOP75H" hidden="1">#REF!</definedName>
    <definedName name="BExCU0A1V6NMZQ9ASYJ8QIVQ5UR2" localSheetId="2" hidden="1">#REF!</definedName>
    <definedName name="BExCU0A1V6NMZQ9ASYJ8QIVQ5UR2" localSheetId="12" hidden="1">#REF!</definedName>
    <definedName name="BExCU0A1V6NMZQ9ASYJ8QIVQ5UR2" localSheetId="34" hidden="1">#REF!</definedName>
    <definedName name="BExCU0A1V6NMZQ9ASYJ8QIVQ5UR2" localSheetId="7" hidden="1">#REF!</definedName>
    <definedName name="BExCU0A1V6NMZQ9ASYJ8QIVQ5UR2" localSheetId="6" hidden="1">#REF!</definedName>
    <definedName name="BExCU0A1V6NMZQ9ASYJ8QIVQ5UR2" localSheetId="1" hidden="1">#REF!</definedName>
    <definedName name="BExCU0A1V6NMZQ9ASYJ8QIVQ5UR2" localSheetId="10" hidden="1">#REF!</definedName>
    <definedName name="BExCU0A1V6NMZQ9ASYJ8QIVQ5UR2" hidden="1">#REF!</definedName>
    <definedName name="BExCVZ5PN4V6MRBZ04PZJW3GEF8S" localSheetId="2" hidden="1">#REF!</definedName>
    <definedName name="BExCVZ5PN4V6MRBZ04PZJW3GEF8S" localSheetId="12" hidden="1">#REF!</definedName>
    <definedName name="BExCVZ5PN4V6MRBZ04PZJW3GEF8S" localSheetId="34" hidden="1">#REF!</definedName>
    <definedName name="BExCVZ5PN4V6MRBZ04PZJW3GEF8S" localSheetId="7" hidden="1">#REF!</definedName>
    <definedName name="BExCVZ5PN4V6MRBZ04PZJW3GEF8S" localSheetId="6" hidden="1">#REF!</definedName>
    <definedName name="BExCVZ5PN4V6MRBZ04PZJW3GEF8S" localSheetId="1" hidden="1">#REF!</definedName>
    <definedName name="BExCVZ5PN4V6MRBZ04PZJW3GEF8S" localSheetId="10" hidden="1">#REF!</definedName>
    <definedName name="BExCVZ5PN4V6MRBZ04PZJW3GEF8S" hidden="1">#REF!</definedName>
    <definedName name="BExCX2KGRZBRVLZNM8SUSIE6A0RL" localSheetId="2" hidden="1">#REF!</definedName>
    <definedName name="BExCX2KGRZBRVLZNM8SUSIE6A0RL" localSheetId="12" hidden="1">#REF!</definedName>
    <definedName name="BExCX2KGRZBRVLZNM8SUSIE6A0RL" localSheetId="34" hidden="1">#REF!</definedName>
    <definedName name="BExCX2KGRZBRVLZNM8SUSIE6A0RL" localSheetId="7" hidden="1">#REF!</definedName>
    <definedName name="BExCX2KGRZBRVLZNM8SUSIE6A0RL" localSheetId="6" hidden="1">#REF!</definedName>
    <definedName name="BExCX2KGRZBRVLZNM8SUSIE6A0RL" localSheetId="1" hidden="1">#REF!</definedName>
    <definedName name="BExCX2KGRZBRVLZNM8SUSIE6A0RL" localSheetId="10" hidden="1">#REF!</definedName>
    <definedName name="BExCX2KGRZBRVLZNM8SUSIE6A0RL" hidden="1">#REF!</definedName>
    <definedName name="BExCYUK0I3UEXZNFDW71G6Z6D8XR" localSheetId="2" hidden="1">#REF!</definedName>
    <definedName name="BExCYUK0I3UEXZNFDW71G6Z6D8XR" localSheetId="12" hidden="1">#REF!</definedName>
    <definedName name="BExCYUK0I3UEXZNFDW71G6Z6D8XR" localSheetId="34" hidden="1">#REF!</definedName>
    <definedName name="BExCYUK0I3UEXZNFDW71G6Z6D8XR" localSheetId="7" hidden="1">#REF!</definedName>
    <definedName name="BExCYUK0I3UEXZNFDW71G6Z6D8XR" localSheetId="6" hidden="1">#REF!</definedName>
    <definedName name="BExCYUK0I3UEXZNFDW71G6Z6D8XR" localSheetId="1" hidden="1">#REF!</definedName>
    <definedName name="BExCYUK0I3UEXZNFDW71G6Z6D8XR" localSheetId="10" hidden="1">#REF!</definedName>
    <definedName name="BExCYUK0I3UEXZNFDW71G6Z6D8XR" hidden="1">#REF!</definedName>
    <definedName name="BExD2CFHIRMBKN5KXE5QP4XXEWFS" localSheetId="2" hidden="1">#REF!</definedName>
    <definedName name="BExD2CFHIRMBKN5KXE5QP4XXEWFS" localSheetId="12" hidden="1">#REF!</definedName>
    <definedName name="BExD2CFHIRMBKN5KXE5QP4XXEWFS" localSheetId="34" hidden="1">#REF!</definedName>
    <definedName name="BExD2CFHIRMBKN5KXE5QP4XXEWFS" localSheetId="7" hidden="1">#REF!</definedName>
    <definedName name="BExD2CFHIRMBKN5KXE5QP4XXEWFS" localSheetId="6" hidden="1">#REF!</definedName>
    <definedName name="BExD2CFHIRMBKN5KXE5QP4XXEWFS" localSheetId="1" hidden="1">#REF!</definedName>
    <definedName name="BExD2CFHIRMBKN5KXE5QP4XXEWFS" localSheetId="10" hidden="1">#REF!</definedName>
    <definedName name="BExD2CFHIRMBKN5KXE5QP4XXEWFS" hidden="1">#REF!</definedName>
    <definedName name="BExD3F368X5S25MWSUNIV57RDB57" localSheetId="2" hidden="1">#REF!</definedName>
    <definedName name="BExD3F368X5S25MWSUNIV57RDB57" localSheetId="12" hidden="1">#REF!</definedName>
    <definedName name="BExD3F368X5S25MWSUNIV57RDB57" localSheetId="34" hidden="1">#REF!</definedName>
    <definedName name="BExD3F368X5S25MWSUNIV57RDB57" localSheetId="7" hidden="1">#REF!</definedName>
    <definedName name="BExD3F368X5S25MWSUNIV57RDB57" localSheetId="6" hidden="1">#REF!</definedName>
    <definedName name="BExD3F368X5S25MWSUNIV57RDB57" localSheetId="1" hidden="1">#REF!</definedName>
    <definedName name="BExD3F368X5S25MWSUNIV57RDB57" localSheetId="10" hidden="1">#REF!</definedName>
    <definedName name="BExD3F368X5S25MWSUNIV57RDB57" hidden="1">#REF!</definedName>
    <definedName name="BExD40O0CFTNJFOFMMM1KH0P7BUI" localSheetId="2" hidden="1">#REF!</definedName>
    <definedName name="BExD40O0CFTNJFOFMMM1KH0P7BUI" localSheetId="12" hidden="1">#REF!</definedName>
    <definedName name="BExD40O0CFTNJFOFMMM1KH0P7BUI" localSheetId="34" hidden="1">#REF!</definedName>
    <definedName name="BExD40O0CFTNJFOFMMM1KH0P7BUI" localSheetId="7" hidden="1">#REF!</definedName>
    <definedName name="BExD40O0CFTNJFOFMMM1KH0P7BUI" localSheetId="6" hidden="1">#REF!</definedName>
    <definedName name="BExD40O0CFTNJFOFMMM1KH0P7BUI" localSheetId="1" hidden="1">#REF!</definedName>
    <definedName name="BExD40O0CFTNJFOFMMM1KH0P7BUI" localSheetId="10" hidden="1">#REF!</definedName>
    <definedName name="BExD40O0CFTNJFOFMMM1KH0P7BUI" hidden="1">#REF!</definedName>
    <definedName name="BExD4H5GQWXBS6LUL3TSP36DVO38" localSheetId="2" hidden="1">#REF!</definedName>
    <definedName name="BExD4H5GQWXBS6LUL3TSP36DVO38" localSheetId="12" hidden="1">#REF!</definedName>
    <definedName name="BExD4H5GQWXBS6LUL3TSP36DVO38" localSheetId="34" hidden="1">#REF!</definedName>
    <definedName name="BExD4H5GQWXBS6LUL3TSP36DVO38" localSheetId="7" hidden="1">#REF!</definedName>
    <definedName name="BExD4H5GQWXBS6LUL3TSP36DVO38" localSheetId="6" hidden="1">#REF!</definedName>
    <definedName name="BExD4H5GQWXBS6LUL3TSP36DVO38" localSheetId="1" hidden="1">#REF!</definedName>
    <definedName name="BExD4H5GQWXBS6LUL3TSP36DVO38" localSheetId="10" hidden="1">#REF!</definedName>
    <definedName name="BExD4H5GQWXBS6LUL3TSP36DVO38" hidden="1">#REF!</definedName>
    <definedName name="BExD4JJSS3QDBLABCJCHD45SRNPI" localSheetId="2" hidden="1">#REF!</definedName>
    <definedName name="BExD4JJSS3QDBLABCJCHD45SRNPI" localSheetId="12" hidden="1">#REF!</definedName>
    <definedName name="BExD4JJSS3QDBLABCJCHD45SRNPI" localSheetId="34" hidden="1">#REF!</definedName>
    <definedName name="BExD4JJSS3QDBLABCJCHD45SRNPI" localSheetId="7" hidden="1">#REF!</definedName>
    <definedName name="BExD4JJSS3QDBLABCJCHD45SRNPI" localSheetId="6" hidden="1">#REF!</definedName>
    <definedName name="BExD4JJSS3QDBLABCJCHD45SRNPI" localSheetId="1" hidden="1">#REF!</definedName>
    <definedName name="BExD4JJSS3QDBLABCJCHD45SRNPI" localSheetId="10" hidden="1">#REF!</definedName>
    <definedName name="BExD4JJSS3QDBLABCJCHD45SRNPI" hidden="1">#REF!</definedName>
    <definedName name="BExD4R1I0MKF033I5LPUYIMTZ6E8" localSheetId="2" hidden="1">#REF!</definedName>
    <definedName name="BExD4R1I0MKF033I5LPUYIMTZ6E8" localSheetId="12" hidden="1">#REF!</definedName>
    <definedName name="BExD4R1I0MKF033I5LPUYIMTZ6E8" localSheetId="34" hidden="1">#REF!</definedName>
    <definedName name="BExD4R1I0MKF033I5LPUYIMTZ6E8" localSheetId="7" hidden="1">#REF!</definedName>
    <definedName name="BExD4R1I0MKF033I5LPUYIMTZ6E8" localSheetId="6" hidden="1">#REF!</definedName>
    <definedName name="BExD4R1I0MKF033I5LPUYIMTZ6E8" localSheetId="1" hidden="1">#REF!</definedName>
    <definedName name="BExD4R1I0MKF033I5LPUYIMTZ6E8" localSheetId="10" hidden="1">#REF!</definedName>
    <definedName name="BExD4R1I0MKF033I5LPUYIMTZ6E8" hidden="1">#REF!</definedName>
    <definedName name="BExD623C9LRX18BE0W2V6SZLQUXX" localSheetId="2" hidden="1">#REF!</definedName>
    <definedName name="BExD623C9LRX18BE0W2V6SZLQUXX" localSheetId="12" hidden="1">#REF!</definedName>
    <definedName name="BExD623C9LRX18BE0W2V6SZLQUXX" localSheetId="34" hidden="1">#REF!</definedName>
    <definedName name="BExD623C9LRX18BE0W2V6SZLQUXX" localSheetId="7" hidden="1">#REF!</definedName>
    <definedName name="BExD623C9LRX18BE0W2V6SZLQUXX" localSheetId="6" hidden="1">#REF!</definedName>
    <definedName name="BExD623C9LRX18BE0W2V6SZLQUXX" localSheetId="1" hidden="1">#REF!</definedName>
    <definedName name="BExD623C9LRX18BE0W2V6SZLQUXX" localSheetId="10" hidden="1">#REF!</definedName>
    <definedName name="BExD623C9LRX18BE0W2V6SZLQUXX" hidden="1">#REF!</definedName>
    <definedName name="BExD6GMP0LK8WKVWMIT1NNH8CHLF" localSheetId="2" hidden="1">#REF!</definedName>
    <definedName name="BExD6GMP0LK8WKVWMIT1NNH8CHLF" localSheetId="12" hidden="1">#REF!</definedName>
    <definedName name="BExD6GMP0LK8WKVWMIT1NNH8CHLF" localSheetId="34" hidden="1">#REF!</definedName>
    <definedName name="BExD6GMP0LK8WKVWMIT1NNH8CHLF" localSheetId="7" hidden="1">#REF!</definedName>
    <definedName name="BExD6GMP0LK8WKVWMIT1NNH8CHLF" localSheetId="6" hidden="1">#REF!</definedName>
    <definedName name="BExD6GMP0LK8WKVWMIT1NNH8CHLF" localSheetId="1" hidden="1">#REF!</definedName>
    <definedName name="BExD6GMP0LK8WKVWMIT1NNH8CHLF" localSheetId="10" hidden="1">#REF!</definedName>
    <definedName name="BExD6GMP0LK8WKVWMIT1NNH8CHLF" hidden="1">#REF!</definedName>
    <definedName name="BExD7GAIGULTB3YHM1OS9RBQOTEC" localSheetId="2" hidden="1">#REF!</definedName>
    <definedName name="BExD7GAIGULTB3YHM1OS9RBQOTEC" localSheetId="12" hidden="1">#REF!</definedName>
    <definedName name="BExD7GAIGULTB3YHM1OS9RBQOTEC" localSheetId="34" hidden="1">#REF!</definedName>
    <definedName name="BExD7GAIGULTB3YHM1OS9RBQOTEC" localSheetId="7" hidden="1">#REF!</definedName>
    <definedName name="BExD7GAIGULTB3YHM1OS9RBQOTEC" localSheetId="6" hidden="1">#REF!</definedName>
    <definedName name="BExD7GAIGULTB3YHM1OS9RBQOTEC" localSheetId="1" hidden="1">#REF!</definedName>
    <definedName name="BExD7GAIGULTB3YHM1OS9RBQOTEC" localSheetId="10" hidden="1">#REF!</definedName>
    <definedName name="BExD7GAIGULTB3YHM1OS9RBQOTEC" hidden="1">#REF!</definedName>
    <definedName name="BExD7JQOJ35HGL8U2OCEI2P2JT7I" localSheetId="2" hidden="1">#REF!</definedName>
    <definedName name="BExD7JQOJ35HGL8U2OCEI2P2JT7I" localSheetId="12" hidden="1">#REF!</definedName>
    <definedName name="BExD7JQOJ35HGL8U2OCEI2P2JT7I" localSheetId="34" hidden="1">#REF!</definedName>
    <definedName name="BExD7JQOJ35HGL8U2OCEI2P2JT7I" localSheetId="7" hidden="1">#REF!</definedName>
    <definedName name="BExD7JQOJ35HGL8U2OCEI2P2JT7I" localSheetId="6" hidden="1">#REF!</definedName>
    <definedName name="BExD7JQOJ35HGL8U2OCEI2P2JT7I" localSheetId="1" hidden="1">#REF!</definedName>
    <definedName name="BExD7JQOJ35HGL8U2OCEI2P2JT7I" localSheetId="10" hidden="1">#REF!</definedName>
    <definedName name="BExD7JQOJ35HGL8U2OCEI2P2JT7I" hidden="1">#REF!</definedName>
    <definedName name="BExD8OCLZMFN5K3VZYI4Q4ITVKUA" localSheetId="2" hidden="1">#REF!</definedName>
    <definedName name="BExD8OCLZMFN5K3VZYI4Q4ITVKUA" localSheetId="12" hidden="1">#REF!</definedName>
    <definedName name="BExD8OCLZMFN5K3VZYI4Q4ITVKUA" localSheetId="34" hidden="1">#REF!</definedName>
    <definedName name="BExD8OCLZMFN5K3VZYI4Q4ITVKUA" localSheetId="7" hidden="1">#REF!</definedName>
    <definedName name="BExD8OCLZMFN5K3VZYI4Q4ITVKUA" localSheetId="6" hidden="1">#REF!</definedName>
    <definedName name="BExD8OCLZMFN5K3VZYI4Q4ITVKUA" localSheetId="1" hidden="1">#REF!</definedName>
    <definedName name="BExD8OCLZMFN5K3VZYI4Q4ITVKUA" localSheetId="10" hidden="1">#REF!</definedName>
    <definedName name="BExD8OCLZMFN5K3VZYI4Q4ITVKUA" hidden="1">#REF!</definedName>
    <definedName name="BExEQB8ZWXO6IIGOEPWTLOJGE2NR" localSheetId="2" hidden="1">#REF!</definedName>
    <definedName name="BExEQB8ZWXO6IIGOEPWTLOJGE2NR" localSheetId="12" hidden="1">#REF!</definedName>
    <definedName name="BExEQB8ZWXO6IIGOEPWTLOJGE2NR" localSheetId="34" hidden="1">#REF!</definedName>
    <definedName name="BExEQB8ZWXO6IIGOEPWTLOJGE2NR" localSheetId="7" hidden="1">#REF!</definedName>
    <definedName name="BExEQB8ZWXO6IIGOEPWTLOJGE2NR" localSheetId="6" hidden="1">#REF!</definedName>
    <definedName name="BExEQB8ZWXO6IIGOEPWTLOJGE2NR" localSheetId="1" hidden="1">#REF!</definedName>
    <definedName name="BExEQB8ZWXO6IIGOEPWTLOJGE2NR" localSheetId="10" hidden="1">#REF!</definedName>
    <definedName name="BExEQB8ZWXO6IIGOEPWTLOJGE2NR" hidden="1">#REF!</definedName>
    <definedName name="BExERSANFNM1O7T65PC5MJ301YET" localSheetId="2" hidden="1">#REF!</definedName>
    <definedName name="BExERSANFNM1O7T65PC5MJ301YET" localSheetId="12" hidden="1">#REF!</definedName>
    <definedName name="BExERSANFNM1O7T65PC5MJ301YET" localSheetId="34" hidden="1">#REF!</definedName>
    <definedName name="BExERSANFNM1O7T65PC5MJ301YET" localSheetId="7" hidden="1">#REF!</definedName>
    <definedName name="BExERSANFNM1O7T65PC5MJ301YET" localSheetId="6" hidden="1">#REF!</definedName>
    <definedName name="BExERSANFNM1O7T65PC5MJ301YET" localSheetId="1" hidden="1">#REF!</definedName>
    <definedName name="BExERSANFNM1O7T65PC5MJ301YET" localSheetId="10" hidden="1">#REF!</definedName>
    <definedName name="BExERSANFNM1O7T65PC5MJ301YET" hidden="1">#REF!</definedName>
    <definedName name="BExERWCEBKQRYWRQLYJ4UCMMKTHG" localSheetId="2" hidden="1">#REF!</definedName>
    <definedName name="BExERWCEBKQRYWRQLYJ4UCMMKTHG" localSheetId="12" hidden="1">#REF!</definedName>
    <definedName name="BExERWCEBKQRYWRQLYJ4UCMMKTHG" localSheetId="34" hidden="1">#REF!</definedName>
    <definedName name="BExERWCEBKQRYWRQLYJ4UCMMKTHG" localSheetId="7" hidden="1">#REF!</definedName>
    <definedName name="BExERWCEBKQRYWRQLYJ4UCMMKTHG" localSheetId="6" hidden="1">#REF!</definedName>
    <definedName name="BExERWCEBKQRYWRQLYJ4UCMMKTHG" localSheetId="1" hidden="1">#REF!</definedName>
    <definedName name="BExERWCEBKQRYWRQLYJ4UCMMKTHG" localSheetId="10" hidden="1">#REF!</definedName>
    <definedName name="BExERWCEBKQRYWRQLYJ4UCMMKTHG" hidden="1">#REF!</definedName>
    <definedName name="BExEX9HWY2G6928ZVVVQF77QCM2C" localSheetId="2" hidden="1">#REF!</definedName>
    <definedName name="BExEX9HWY2G6928ZVVVQF77QCM2C" localSheetId="12" hidden="1">#REF!</definedName>
    <definedName name="BExEX9HWY2G6928ZVVVQF77QCM2C" localSheetId="34" hidden="1">#REF!</definedName>
    <definedName name="BExEX9HWY2G6928ZVVVQF77QCM2C" localSheetId="7" hidden="1">#REF!</definedName>
    <definedName name="BExEX9HWY2G6928ZVVVQF77QCM2C" localSheetId="6" hidden="1">#REF!</definedName>
    <definedName name="BExEX9HWY2G6928ZVVVQF77QCM2C" localSheetId="1" hidden="1">#REF!</definedName>
    <definedName name="BExEX9HWY2G6928ZVVVQF77QCM2C" localSheetId="10" hidden="1">#REF!</definedName>
    <definedName name="BExEX9HWY2G6928ZVVVQF77QCM2C" hidden="1">#REF!</definedName>
    <definedName name="BExEXRBZ0DI9E2UFLLKYWGN66B61" localSheetId="2" hidden="1">#REF!</definedName>
    <definedName name="BExEXRBZ0DI9E2UFLLKYWGN66B61" localSheetId="12" hidden="1">#REF!</definedName>
    <definedName name="BExEXRBZ0DI9E2UFLLKYWGN66B61" localSheetId="34" hidden="1">#REF!</definedName>
    <definedName name="BExEXRBZ0DI9E2UFLLKYWGN66B61" localSheetId="7" hidden="1">#REF!</definedName>
    <definedName name="BExEXRBZ0DI9E2UFLLKYWGN66B61" localSheetId="6" hidden="1">#REF!</definedName>
    <definedName name="BExEXRBZ0DI9E2UFLLKYWGN66B61" localSheetId="1" hidden="1">#REF!</definedName>
    <definedName name="BExEXRBZ0DI9E2UFLLKYWGN66B61" localSheetId="10" hidden="1">#REF!</definedName>
    <definedName name="BExEXRBZ0DI9E2UFLLKYWGN66B61" hidden="1">#REF!</definedName>
    <definedName name="BExF0ZRI7W4RSLIDLHTSM0AWXO3S" localSheetId="2" hidden="1">#REF!</definedName>
    <definedName name="BExF0ZRI7W4RSLIDLHTSM0AWXO3S" localSheetId="12" hidden="1">#REF!</definedName>
    <definedName name="BExF0ZRI7W4RSLIDLHTSM0AWXO3S" localSheetId="34" hidden="1">#REF!</definedName>
    <definedName name="BExF0ZRI7W4RSLIDLHTSM0AWXO3S" localSheetId="7" hidden="1">#REF!</definedName>
    <definedName name="BExF0ZRI7W4RSLIDLHTSM0AWXO3S" localSheetId="6" hidden="1">#REF!</definedName>
    <definedName name="BExF0ZRI7W4RSLIDLHTSM0AWXO3S" localSheetId="1" hidden="1">#REF!</definedName>
    <definedName name="BExF0ZRI7W4RSLIDLHTSM0AWXO3S" localSheetId="10" hidden="1">#REF!</definedName>
    <definedName name="BExF0ZRI7W4RSLIDLHTSM0AWXO3S" hidden="1">#REF!</definedName>
    <definedName name="BExF3NTC4BGZEM6B87TCFX277QCS" localSheetId="2" hidden="1">#REF!</definedName>
    <definedName name="BExF3NTC4BGZEM6B87TCFX277QCS" localSheetId="12" hidden="1">#REF!</definedName>
    <definedName name="BExF3NTC4BGZEM6B87TCFX277QCS" localSheetId="34" hidden="1">#REF!</definedName>
    <definedName name="BExF3NTC4BGZEM6B87TCFX277QCS" localSheetId="7" hidden="1">#REF!</definedName>
    <definedName name="BExF3NTC4BGZEM6B87TCFX277QCS" localSheetId="6" hidden="1">#REF!</definedName>
    <definedName name="BExF3NTC4BGZEM6B87TCFX277QCS" localSheetId="1" hidden="1">#REF!</definedName>
    <definedName name="BExF3NTC4BGZEM6B87TCFX277QCS" localSheetId="10" hidden="1">#REF!</definedName>
    <definedName name="BExF3NTC4BGZEM6B87TCFX277QCS" hidden="1">#REF!</definedName>
    <definedName name="BExF42SSBVPMLK2UB3B7FPEIY9TU" localSheetId="2" hidden="1">#REF!</definedName>
    <definedName name="BExF42SSBVPMLK2UB3B7FPEIY9TU" localSheetId="12" hidden="1">#REF!</definedName>
    <definedName name="BExF42SSBVPMLK2UB3B7FPEIY9TU" localSheetId="34" hidden="1">#REF!</definedName>
    <definedName name="BExF42SSBVPMLK2UB3B7FPEIY9TU" localSheetId="7" hidden="1">#REF!</definedName>
    <definedName name="BExF42SSBVPMLK2UB3B7FPEIY9TU" localSheetId="6" hidden="1">#REF!</definedName>
    <definedName name="BExF42SSBVPMLK2UB3B7FPEIY9TU" localSheetId="1" hidden="1">#REF!</definedName>
    <definedName name="BExF42SSBVPMLK2UB3B7FPEIY9TU" localSheetId="10" hidden="1">#REF!</definedName>
    <definedName name="BExF42SSBVPMLK2UB3B7FPEIY9TU" hidden="1">#REF!</definedName>
    <definedName name="BExF4PVMZYV36E8HOYY06J81AMBI" localSheetId="2" hidden="1">#REF!</definedName>
    <definedName name="BExF4PVMZYV36E8HOYY06J81AMBI" localSheetId="12" hidden="1">#REF!</definedName>
    <definedName name="BExF4PVMZYV36E8HOYY06J81AMBI" localSheetId="34" hidden="1">#REF!</definedName>
    <definedName name="BExF4PVMZYV36E8HOYY06J81AMBI" localSheetId="7" hidden="1">#REF!</definedName>
    <definedName name="BExF4PVMZYV36E8HOYY06J81AMBI" localSheetId="6" hidden="1">#REF!</definedName>
    <definedName name="BExF4PVMZYV36E8HOYY06J81AMBI" localSheetId="1" hidden="1">#REF!</definedName>
    <definedName name="BExF4PVMZYV36E8HOYY06J81AMBI" localSheetId="10" hidden="1">#REF!</definedName>
    <definedName name="BExF4PVMZYV36E8HOYY06J81AMBI" hidden="1">#REF!</definedName>
    <definedName name="BExF5ZFO2A29GHWR5ES64Z9OS16J" localSheetId="2" hidden="1">#REF!</definedName>
    <definedName name="BExF5ZFO2A29GHWR5ES64Z9OS16J" localSheetId="12" hidden="1">#REF!</definedName>
    <definedName name="BExF5ZFO2A29GHWR5ES64Z9OS16J" localSheetId="34" hidden="1">#REF!</definedName>
    <definedName name="BExF5ZFO2A29GHWR5ES64Z9OS16J" localSheetId="7" hidden="1">#REF!</definedName>
    <definedName name="BExF5ZFO2A29GHWR5ES64Z9OS16J" localSheetId="6" hidden="1">#REF!</definedName>
    <definedName name="BExF5ZFO2A29GHWR5ES64Z9OS16J" localSheetId="1" hidden="1">#REF!</definedName>
    <definedName name="BExF5ZFO2A29GHWR5ES64Z9OS16J" localSheetId="10" hidden="1">#REF!</definedName>
    <definedName name="BExF5ZFO2A29GHWR5ES64Z9OS16J" hidden="1">#REF!</definedName>
    <definedName name="BExF67O951CF8UJF3KBDNR0E83C1" localSheetId="2" hidden="1">#REF!</definedName>
    <definedName name="BExF67O951CF8UJF3KBDNR0E83C1" localSheetId="12" hidden="1">#REF!</definedName>
    <definedName name="BExF67O951CF8UJF3KBDNR0E83C1" localSheetId="34" hidden="1">#REF!</definedName>
    <definedName name="BExF67O951CF8UJF3KBDNR0E83C1" localSheetId="7" hidden="1">#REF!</definedName>
    <definedName name="BExF67O951CF8UJF3KBDNR0E83C1" localSheetId="6" hidden="1">#REF!</definedName>
    <definedName name="BExF67O951CF8UJF3KBDNR0E83C1" localSheetId="1" hidden="1">#REF!</definedName>
    <definedName name="BExF67O951CF8UJF3KBDNR0E83C1" localSheetId="10" hidden="1">#REF!</definedName>
    <definedName name="BExF67O951CF8UJF3KBDNR0E83C1" hidden="1">#REF!</definedName>
    <definedName name="BExF6GNYXWY8A0SY4PW1B6KJMMTM" localSheetId="2" hidden="1">#REF!</definedName>
    <definedName name="BExF6GNYXWY8A0SY4PW1B6KJMMTM" localSheetId="12" hidden="1">#REF!</definedName>
    <definedName name="BExF6GNYXWY8A0SY4PW1B6KJMMTM" localSheetId="34" hidden="1">#REF!</definedName>
    <definedName name="BExF6GNYXWY8A0SY4PW1B6KJMMTM" localSheetId="7" hidden="1">#REF!</definedName>
    <definedName name="BExF6GNYXWY8A0SY4PW1B6KJMMTM" localSheetId="6" hidden="1">#REF!</definedName>
    <definedName name="BExF6GNYXWY8A0SY4PW1B6KJMMTM" localSheetId="1" hidden="1">#REF!</definedName>
    <definedName name="BExF6GNYXWY8A0SY4PW1B6KJMMTM" localSheetId="10" hidden="1">#REF!</definedName>
    <definedName name="BExF6GNYXWY8A0SY4PW1B6KJMMTM" hidden="1">#REF!</definedName>
    <definedName name="BExF7K88K7ASGV6RAOAGH52G04VR" localSheetId="2" hidden="1">#REF!</definedName>
    <definedName name="BExF7K88K7ASGV6RAOAGH52G04VR" localSheetId="12" hidden="1">#REF!</definedName>
    <definedName name="BExF7K88K7ASGV6RAOAGH52G04VR" localSheetId="34" hidden="1">#REF!</definedName>
    <definedName name="BExF7K88K7ASGV6RAOAGH52G04VR" localSheetId="7" hidden="1">#REF!</definedName>
    <definedName name="BExF7K88K7ASGV6RAOAGH52G04VR" localSheetId="6" hidden="1">#REF!</definedName>
    <definedName name="BExF7K88K7ASGV6RAOAGH52G04VR" localSheetId="1" hidden="1">#REF!</definedName>
    <definedName name="BExF7K88K7ASGV6RAOAGH52G04VR" localSheetId="10" hidden="1">#REF!</definedName>
    <definedName name="BExF7K88K7ASGV6RAOAGH52G04VR" hidden="1">#REF!</definedName>
    <definedName name="BExGL97US0Y3KXXASUTVR26XLT70" localSheetId="2" hidden="1">#REF!</definedName>
    <definedName name="BExGL97US0Y3KXXASUTVR26XLT70" localSheetId="12" hidden="1">#REF!</definedName>
    <definedName name="BExGL97US0Y3KXXASUTVR26XLT70" localSheetId="34" hidden="1">#REF!</definedName>
    <definedName name="BExGL97US0Y3KXXASUTVR26XLT70" localSheetId="7" hidden="1">#REF!</definedName>
    <definedName name="BExGL97US0Y3KXXASUTVR26XLT70" localSheetId="6" hidden="1">#REF!</definedName>
    <definedName name="BExGL97US0Y3KXXASUTVR26XLT70" localSheetId="1" hidden="1">#REF!</definedName>
    <definedName name="BExGL97US0Y3KXXASUTVR26XLT70" localSheetId="10" hidden="1">#REF!</definedName>
    <definedName name="BExGL97US0Y3KXXASUTVR26XLT70" hidden="1">#REF!</definedName>
    <definedName name="BExGMJDGIH0MEPC2TUSFUCY2ROTB" localSheetId="2" hidden="1">#REF!</definedName>
    <definedName name="BExGMJDGIH0MEPC2TUSFUCY2ROTB" localSheetId="12" hidden="1">#REF!</definedName>
    <definedName name="BExGMJDGIH0MEPC2TUSFUCY2ROTB" localSheetId="34" hidden="1">#REF!</definedName>
    <definedName name="BExGMJDGIH0MEPC2TUSFUCY2ROTB" localSheetId="7" hidden="1">#REF!</definedName>
    <definedName name="BExGMJDGIH0MEPC2TUSFUCY2ROTB" localSheetId="6" hidden="1">#REF!</definedName>
    <definedName name="BExGMJDGIH0MEPC2TUSFUCY2ROTB" localSheetId="1" hidden="1">#REF!</definedName>
    <definedName name="BExGMJDGIH0MEPC2TUSFUCY2ROTB" localSheetId="10" hidden="1">#REF!</definedName>
    <definedName name="BExGMJDGIH0MEPC2TUSFUCY2ROTB" hidden="1">#REF!</definedName>
    <definedName name="BExGNDSIMTHOCXXG6QOGR6DA8SGG" localSheetId="2" hidden="1">#REF!</definedName>
    <definedName name="BExGNDSIMTHOCXXG6QOGR6DA8SGG" localSheetId="12" hidden="1">#REF!</definedName>
    <definedName name="BExGNDSIMTHOCXXG6QOGR6DA8SGG" localSheetId="34" hidden="1">#REF!</definedName>
    <definedName name="BExGNDSIMTHOCXXG6QOGR6DA8SGG" localSheetId="7" hidden="1">#REF!</definedName>
    <definedName name="BExGNDSIMTHOCXXG6QOGR6DA8SGG" localSheetId="6" hidden="1">#REF!</definedName>
    <definedName name="BExGNDSIMTHOCXXG6QOGR6DA8SGG" localSheetId="1" hidden="1">#REF!</definedName>
    <definedName name="BExGNDSIMTHOCXXG6QOGR6DA8SGG" localSheetId="10" hidden="1">#REF!</definedName>
    <definedName name="BExGNDSIMTHOCXXG6QOGR6DA8SGG" hidden="1">#REF!</definedName>
    <definedName name="BExGNN2YQ9BDAZXT2GLCSAPXKIM7" localSheetId="2" hidden="1">#REF!</definedName>
    <definedName name="BExGNN2YQ9BDAZXT2GLCSAPXKIM7" localSheetId="12" hidden="1">#REF!</definedName>
    <definedName name="BExGNN2YQ9BDAZXT2GLCSAPXKIM7" localSheetId="34" hidden="1">#REF!</definedName>
    <definedName name="BExGNN2YQ9BDAZXT2GLCSAPXKIM7" localSheetId="7" hidden="1">#REF!</definedName>
    <definedName name="BExGNN2YQ9BDAZXT2GLCSAPXKIM7" localSheetId="6" hidden="1">#REF!</definedName>
    <definedName name="BExGNN2YQ9BDAZXT2GLCSAPXKIM7" localSheetId="1" hidden="1">#REF!</definedName>
    <definedName name="BExGNN2YQ9BDAZXT2GLCSAPXKIM7" localSheetId="10" hidden="1">#REF!</definedName>
    <definedName name="BExGNN2YQ9BDAZXT2GLCSAPXKIM7" hidden="1">#REF!</definedName>
    <definedName name="BExGNZO44DEG8CGIDYSEGDUQ531R" localSheetId="2" hidden="1">#REF!</definedName>
    <definedName name="BExGNZO44DEG8CGIDYSEGDUQ531R" localSheetId="12" hidden="1">#REF!</definedName>
    <definedName name="BExGNZO44DEG8CGIDYSEGDUQ531R" localSheetId="34" hidden="1">#REF!</definedName>
    <definedName name="BExGNZO44DEG8CGIDYSEGDUQ531R" localSheetId="7" hidden="1">#REF!</definedName>
    <definedName name="BExGNZO44DEG8CGIDYSEGDUQ531R" localSheetId="6" hidden="1">#REF!</definedName>
    <definedName name="BExGNZO44DEG8CGIDYSEGDUQ531R" localSheetId="1" hidden="1">#REF!</definedName>
    <definedName name="BExGNZO44DEG8CGIDYSEGDUQ531R" localSheetId="10" hidden="1">#REF!</definedName>
    <definedName name="BExGNZO44DEG8CGIDYSEGDUQ531R" hidden="1">#REF!</definedName>
    <definedName name="BExGO2YUBOVLYHY1QSIHRE1KLAFV" localSheetId="2" hidden="1">#REF!</definedName>
    <definedName name="BExGO2YUBOVLYHY1QSIHRE1KLAFV" localSheetId="12" hidden="1">#REF!</definedName>
    <definedName name="BExGO2YUBOVLYHY1QSIHRE1KLAFV" localSheetId="34" hidden="1">#REF!</definedName>
    <definedName name="BExGO2YUBOVLYHY1QSIHRE1KLAFV" localSheetId="7" hidden="1">#REF!</definedName>
    <definedName name="BExGO2YUBOVLYHY1QSIHRE1KLAFV" localSheetId="6" hidden="1">#REF!</definedName>
    <definedName name="BExGO2YUBOVLYHY1QSIHRE1KLAFV" localSheetId="1" hidden="1">#REF!</definedName>
    <definedName name="BExGO2YUBOVLYHY1QSIHRE1KLAFV" localSheetId="10" hidden="1">#REF!</definedName>
    <definedName name="BExGO2YUBOVLYHY1QSIHRE1KLAFV" hidden="1">#REF!</definedName>
    <definedName name="BExGODAZKJ9EXMQZNQR5YDBSS525" localSheetId="2" hidden="1">#REF!</definedName>
    <definedName name="BExGODAZKJ9EXMQZNQR5YDBSS525" localSheetId="12" hidden="1">#REF!</definedName>
    <definedName name="BExGODAZKJ9EXMQZNQR5YDBSS525" localSheetId="34" hidden="1">#REF!</definedName>
    <definedName name="BExGODAZKJ9EXMQZNQR5YDBSS525" localSheetId="7" hidden="1">#REF!</definedName>
    <definedName name="BExGODAZKJ9EXMQZNQR5YDBSS525" localSheetId="6" hidden="1">#REF!</definedName>
    <definedName name="BExGODAZKJ9EXMQZNQR5YDBSS525" localSheetId="1" hidden="1">#REF!</definedName>
    <definedName name="BExGODAZKJ9EXMQZNQR5YDBSS525" localSheetId="10" hidden="1">#REF!</definedName>
    <definedName name="BExGODAZKJ9EXMQZNQR5YDBSS525" hidden="1">#REF!</definedName>
    <definedName name="BExGQ36ZOMR9GV8T05M605MMOY3Y" localSheetId="2" hidden="1">#REF!</definedName>
    <definedName name="BExGQ36ZOMR9GV8T05M605MMOY3Y" localSheetId="12" hidden="1">#REF!</definedName>
    <definedName name="BExGQ36ZOMR9GV8T05M605MMOY3Y" localSheetId="34" hidden="1">#REF!</definedName>
    <definedName name="BExGQ36ZOMR9GV8T05M605MMOY3Y" localSheetId="7" hidden="1">#REF!</definedName>
    <definedName name="BExGQ36ZOMR9GV8T05M605MMOY3Y" localSheetId="6" hidden="1">#REF!</definedName>
    <definedName name="BExGQ36ZOMR9GV8T05M605MMOY3Y" localSheetId="1" hidden="1">#REF!</definedName>
    <definedName name="BExGQ36ZOMR9GV8T05M605MMOY3Y" localSheetId="10" hidden="1">#REF!</definedName>
    <definedName name="BExGQ36ZOMR9GV8T05M605MMOY3Y" hidden="1">#REF!</definedName>
    <definedName name="BExGQX0H4EZMXBJTKJJE4ICJWN5O" localSheetId="2" hidden="1">#REF!</definedName>
    <definedName name="BExGQX0H4EZMXBJTKJJE4ICJWN5O" localSheetId="12" hidden="1">#REF!</definedName>
    <definedName name="BExGQX0H4EZMXBJTKJJE4ICJWN5O" localSheetId="34" hidden="1">#REF!</definedName>
    <definedName name="BExGQX0H4EZMXBJTKJJE4ICJWN5O" localSheetId="7" hidden="1">#REF!</definedName>
    <definedName name="BExGQX0H4EZMXBJTKJJE4ICJWN5O" localSheetId="6" hidden="1">#REF!</definedName>
    <definedName name="BExGQX0H4EZMXBJTKJJE4ICJWN5O" localSheetId="1" hidden="1">#REF!</definedName>
    <definedName name="BExGQX0H4EZMXBJTKJJE4ICJWN5O" localSheetId="10" hidden="1">#REF!</definedName>
    <definedName name="BExGQX0H4EZMXBJTKJJE4ICJWN5O" hidden="1">#REF!</definedName>
    <definedName name="BExGSQY65LH1PCKKM5WHDW83F35O" localSheetId="2" hidden="1">#REF!</definedName>
    <definedName name="BExGSQY65LH1PCKKM5WHDW83F35O" localSheetId="12" hidden="1">#REF!</definedName>
    <definedName name="BExGSQY65LH1PCKKM5WHDW83F35O" localSheetId="34" hidden="1">#REF!</definedName>
    <definedName name="BExGSQY65LH1PCKKM5WHDW83F35O" localSheetId="7" hidden="1">#REF!</definedName>
    <definedName name="BExGSQY65LH1PCKKM5WHDW83F35O" localSheetId="6" hidden="1">#REF!</definedName>
    <definedName name="BExGSQY65LH1PCKKM5WHDW83F35O" localSheetId="1" hidden="1">#REF!</definedName>
    <definedName name="BExGSQY65LH1PCKKM5WHDW83F35O" localSheetId="10" hidden="1">#REF!</definedName>
    <definedName name="BExGSQY65LH1PCKKM5WHDW83F35O" hidden="1">#REF!</definedName>
    <definedName name="BExGT0DZJB6LSF6L693UUB9EY1VQ" localSheetId="2" hidden="1">#REF!</definedName>
    <definedName name="BExGT0DZJB6LSF6L693UUB9EY1VQ" localSheetId="12" hidden="1">#REF!</definedName>
    <definedName name="BExGT0DZJB6LSF6L693UUB9EY1VQ" localSheetId="34" hidden="1">#REF!</definedName>
    <definedName name="BExGT0DZJB6LSF6L693UUB9EY1VQ" localSheetId="7" hidden="1">#REF!</definedName>
    <definedName name="BExGT0DZJB6LSF6L693UUB9EY1VQ" localSheetId="6" hidden="1">#REF!</definedName>
    <definedName name="BExGT0DZJB6LSF6L693UUB9EY1VQ" localSheetId="1" hidden="1">#REF!</definedName>
    <definedName name="BExGT0DZJB6LSF6L693UUB9EY1VQ" localSheetId="10" hidden="1">#REF!</definedName>
    <definedName name="BExGT0DZJB6LSF6L693UUB9EY1VQ" hidden="1">#REF!</definedName>
    <definedName name="BExGTIYX3OWPIINOGY1E4QQYSKHP" localSheetId="2" hidden="1">#REF!</definedName>
    <definedName name="BExGTIYX3OWPIINOGY1E4QQYSKHP" localSheetId="12" hidden="1">#REF!</definedName>
    <definedName name="BExGTIYX3OWPIINOGY1E4QQYSKHP" localSheetId="34" hidden="1">#REF!</definedName>
    <definedName name="BExGTIYX3OWPIINOGY1E4QQYSKHP" localSheetId="7" hidden="1">#REF!</definedName>
    <definedName name="BExGTIYX3OWPIINOGY1E4QQYSKHP" localSheetId="6" hidden="1">#REF!</definedName>
    <definedName name="BExGTIYX3OWPIINOGY1E4QQYSKHP" localSheetId="1" hidden="1">#REF!</definedName>
    <definedName name="BExGTIYX3OWPIINOGY1E4QQYSKHP" localSheetId="10" hidden="1">#REF!</definedName>
    <definedName name="BExGTIYX3OWPIINOGY1E4QQYSKHP" hidden="1">#REF!</definedName>
    <definedName name="BExGUDDZXFFQHAF4UZF8ZB1HO7H6" localSheetId="2" hidden="1">#REF!</definedName>
    <definedName name="BExGUDDZXFFQHAF4UZF8ZB1HO7H6" localSheetId="12" hidden="1">#REF!</definedName>
    <definedName name="BExGUDDZXFFQHAF4UZF8ZB1HO7H6" localSheetId="34" hidden="1">#REF!</definedName>
    <definedName name="BExGUDDZXFFQHAF4UZF8ZB1HO7H6" localSheetId="7" hidden="1">#REF!</definedName>
    <definedName name="BExGUDDZXFFQHAF4UZF8ZB1HO7H6" localSheetId="6" hidden="1">#REF!</definedName>
    <definedName name="BExGUDDZXFFQHAF4UZF8ZB1HO7H6" localSheetId="1" hidden="1">#REF!</definedName>
    <definedName name="BExGUDDZXFFQHAF4UZF8ZB1HO7H6" localSheetId="10" hidden="1">#REF!</definedName>
    <definedName name="BExGUDDZXFFQHAF4UZF8ZB1HO7H6" hidden="1">#REF!</definedName>
    <definedName name="BExGUM8D91UNPCOO4TKP9FGX85TF" localSheetId="2" hidden="1">#REF!</definedName>
    <definedName name="BExGUM8D91UNPCOO4TKP9FGX85TF" localSheetId="12" hidden="1">#REF!</definedName>
    <definedName name="BExGUM8D91UNPCOO4TKP9FGX85TF" localSheetId="34" hidden="1">#REF!</definedName>
    <definedName name="BExGUM8D91UNPCOO4TKP9FGX85TF" localSheetId="7" hidden="1">#REF!</definedName>
    <definedName name="BExGUM8D91UNPCOO4TKP9FGX85TF" localSheetId="6" hidden="1">#REF!</definedName>
    <definedName name="BExGUM8D91UNPCOO4TKP9FGX85TF" localSheetId="1" hidden="1">#REF!</definedName>
    <definedName name="BExGUM8D91UNPCOO4TKP9FGX85TF" localSheetId="10" hidden="1">#REF!</definedName>
    <definedName name="BExGUM8D91UNPCOO4TKP9FGX85TF" hidden="1">#REF!</definedName>
    <definedName name="BExGWEO0JDG84NYLEAV5NSOAGMJZ" localSheetId="2" hidden="1">#REF!</definedName>
    <definedName name="BExGWEO0JDG84NYLEAV5NSOAGMJZ" localSheetId="12" hidden="1">#REF!</definedName>
    <definedName name="BExGWEO0JDG84NYLEAV5NSOAGMJZ" localSheetId="34" hidden="1">#REF!</definedName>
    <definedName name="BExGWEO0JDG84NYLEAV5NSOAGMJZ" localSheetId="7" hidden="1">#REF!</definedName>
    <definedName name="BExGWEO0JDG84NYLEAV5NSOAGMJZ" localSheetId="6" hidden="1">#REF!</definedName>
    <definedName name="BExGWEO0JDG84NYLEAV5NSOAGMJZ" localSheetId="1" hidden="1">#REF!</definedName>
    <definedName name="BExGWEO0JDG84NYLEAV5NSOAGMJZ" localSheetId="10" hidden="1">#REF!</definedName>
    <definedName name="BExGWEO0JDG84NYLEAV5NSOAGMJZ" hidden="1">#REF!</definedName>
    <definedName name="BExGWNCXLCRTLBVMTXYJ5PHQI6SS" localSheetId="2" hidden="1">#REF!</definedName>
    <definedName name="BExGWNCXLCRTLBVMTXYJ5PHQI6SS" localSheetId="12" hidden="1">#REF!</definedName>
    <definedName name="BExGWNCXLCRTLBVMTXYJ5PHQI6SS" localSheetId="34" hidden="1">#REF!</definedName>
    <definedName name="BExGWNCXLCRTLBVMTXYJ5PHQI6SS" localSheetId="7" hidden="1">#REF!</definedName>
    <definedName name="BExGWNCXLCRTLBVMTXYJ5PHQI6SS" localSheetId="6" hidden="1">#REF!</definedName>
    <definedName name="BExGWNCXLCRTLBVMTXYJ5PHQI6SS" localSheetId="1" hidden="1">#REF!</definedName>
    <definedName name="BExGWNCXLCRTLBVMTXYJ5PHQI6SS" localSheetId="10" hidden="1">#REF!</definedName>
    <definedName name="BExGWNCXLCRTLBVMTXYJ5PHQI6SS" hidden="1">#REF!</definedName>
    <definedName name="BExGX7FTB1CKAT5HUW6H531FIY6I" localSheetId="2" hidden="1">#REF!</definedName>
    <definedName name="BExGX7FTB1CKAT5HUW6H531FIY6I" localSheetId="12" hidden="1">#REF!</definedName>
    <definedName name="BExGX7FTB1CKAT5HUW6H531FIY6I" localSheetId="34" hidden="1">#REF!</definedName>
    <definedName name="BExGX7FTB1CKAT5HUW6H531FIY6I" localSheetId="7" hidden="1">#REF!</definedName>
    <definedName name="BExGX7FTB1CKAT5HUW6H531FIY6I" localSheetId="6" hidden="1">#REF!</definedName>
    <definedName name="BExGX7FTB1CKAT5HUW6H531FIY6I" localSheetId="1" hidden="1">#REF!</definedName>
    <definedName name="BExGX7FTB1CKAT5HUW6H531FIY6I" localSheetId="10" hidden="1">#REF!</definedName>
    <definedName name="BExGX7FTB1CKAT5HUW6H531FIY6I" hidden="1">#REF!</definedName>
    <definedName name="BExH02ZD6VAY1KQLAQYBBI6WWIZB" localSheetId="2" hidden="1">#REF!</definedName>
    <definedName name="BExH02ZD6VAY1KQLAQYBBI6WWIZB" localSheetId="12" hidden="1">#REF!</definedName>
    <definedName name="BExH02ZD6VAY1KQLAQYBBI6WWIZB" localSheetId="34" hidden="1">#REF!</definedName>
    <definedName name="BExH02ZD6VAY1KQLAQYBBI6WWIZB" localSheetId="7" hidden="1">#REF!</definedName>
    <definedName name="BExH02ZD6VAY1KQLAQYBBI6WWIZB" localSheetId="6" hidden="1">#REF!</definedName>
    <definedName name="BExH02ZD6VAY1KQLAQYBBI6WWIZB" localSheetId="1" hidden="1">#REF!</definedName>
    <definedName name="BExH02ZD6VAY1KQLAQYBBI6WWIZB" localSheetId="10" hidden="1">#REF!</definedName>
    <definedName name="BExH02ZD6VAY1KQLAQYBBI6WWIZB" hidden="1">#REF!</definedName>
    <definedName name="BExH0WNJAKTJRCKMTX8O4KNMIIJM" localSheetId="2" hidden="1">#REF!</definedName>
    <definedName name="BExH0WNJAKTJRCKMTX8O4KNMIIJM" localSheetId="12" hidden="1">#REF!</definedName>
    <definedName name="BExH0WNJAKTJRCKMTX8O4KNMIIJM" localSheetId="34" hidden="1">#REF!</definedName>
    <definedName name="BExH0WNJAKTJRCKMTX8O4KNMIIJM" localSheetId="7" hidden="1">#REF!</definedName>
    <definedName name="BExH0WNJAKTJRCKMTX8O4KNMIIJM" localSheetId="6" hidden="1">#REF!</definedName>
    <definedName name="BExH0WNJAKTJRCKMTX8O4KNMIIJM" localSheetId="1" hidden="1">#REF!</definedName>
    <definedName name="BExH0WNJAKTJRCKMTX8O4KNMIIJM" localSheetId="10" hidden="1">#REF!</definedName>
    <definedName name="BExH0WNJAKTJRCKMTX8O4KNMIIJM" hidden="1">#REF!</definedName>
    <definedName name="BExH1FDTQXR9QQ31WDB7OPXU7MPT" localSheetId="2" hidden="1">#REF!</definedName>
    <definedName name="BExH1FDTQXR9QQ31WDB7OPXU7MPT" localSheetId="12" hidden="1">#REF!</definedName>
    <definedName name="BExH1FDTQXR9QQ31WDB7OPXU7MPT" localSheetId="34" hidden="1">#REF!</definedName>
    <definedName name="BExH1FDTQXR9QQ31WDB7OPXU7MPT" localSheetId="7" hidden="1">#REF!</definedName>
    <definedName name="BExH1FDTQXR9QQ31WDB7OPXU7MPT" localSheetId="6" hidden="1">#REF!</definedName>
    <definedName name="BExH1FDTQXR9QQ31WDB7OPXU7MPT" localSheetId="1" hidden="1">#REF!</definedName>
    <definedName name="BExH1FDTQXR9QQ31WDB7OPXU7MPT" localSheetId="10" hidden="1">#REF!</definedName>
    <definedName name="BExH1FDTQXR9QQ31WDB7OPXU7MPT" hidden="1">#REF!</definedName>
    <definedName name="BExH2ZA0SZ4SSITL50NA8LZ3OEX6" localSheetId="2" hidden="1">#REF!</definedName>
    <definedName name="BExH2ZA0SZ4SSITL50NA8LZ3OEX6" localSheetId="12" hidden="1">#REF!</definedName>
    <definedName name="BExH2ZA0SZ4SSITL50NA8LZ3OEX6" localSheetId="34" hidden="1">#REF!</definedName>
    <definedName name="BExH2ZA0SZ4SSITL50NA8LZ3OEX6" localSheetId="7" hidden="1">#REF!</definedName>
    <definedName name="BExH2ZA0SZ4SSITL50NA8LZ3OEX6" localSheetId="6" hidden="1">#REF!</definedName>
    <definedName name="BExH2ZA0SZ4SSITL50NA8LZ3OEX6" localSheetId="1" hidden="1">#REF!</definedName>
    <definedName name="BExH2ZA0SZ4SSITL50NA8LZ3OEX6" localSheetId="10" hidden="1">#REF!</definedName>
    <definedName name="BExH2ZA0SZ4SSITL50NA8LZ3OEX6" hidden="1">#REF!</definedName>
    <definedName name="BExIGWT86FPOEYTI8GXCGU5Y3KGK" localSheetId="2" hidden="1">#REF!</definedName>
    <definedName name="BExIGWT86FPOEYTI8GXCGU5Y3KGK" localSheetId="12" hidden="1">#REF!</definedName>
    <definedName name="BExIGWT86FPOEYTI8GXCGU5Y3KGK" localSheetId="34" hidden="1">#REF!</definedName>
    <definedName name="BExIGWT86FPOEYTI8GXCGU5Y3KGK" localSheetId="7" hidden="1">#REF!</definedName>
    <definedName name="BExIGWT86FPOEYTI8GXCGU5Y3KGK" localSheetId="6" hidden="1">#REF!</definedName>
    <definedName name="BExIGWT86FPOEYTI8GXCGU5Y3KGK" localSheetId="1" hidden="1">#REF!</definedName>
    <definedName name="BExIGWT86FPOEYTI8GXCGU5Y3KGK" localSheetId="10" hidden="1">#REF!</definedName>
    <definedName name="BExIGWT86FPOEYTI8GXCGU5Y3KGK" hidden="1">#REF!</definedName>
    <definedName name="BExIJFGZJ5ED9D6KAY4PGQYLELAX" localSheetId="2" hidden="1">#REF!</definedName>
    <definedName name="BExIJFGZJ5ED9D6KAY4PGQYLELAX" localSheetId="12" hidden="1">#REF!</definedName>
    <definedName name="BExIJFGZJ5ED9D6KAY4PGQYLELAX" localSheetId="34" hidden="1">#REF!</definedName>
    <definedName name="BExIJFGZJ5ED9D6KAY4PGQYLELAX" localSheetId="7" hidden="1">#REF!</definedName>
    <definedName name="BExIJFGZJ5ED9D6KAY4PGQYLELAX" localSheetId="6" hidden="1">#REF!</definedName>
    <definedName name="BExIJFGZJ5ED9D6KAY4PGQYLELAX" localSheetId="1" hidden="1">#REF!</definedName>
    <definedName name="BExIJFGZJ5ED9D6KAY4PGQYLELAX" localSheetId="10" hidden="1">#REF!</definedName>
    <definedName name="BExIJFGZJ5ED9D6KAY4PGQYLELAX" hidden="1">#REF!</definedName>
    <definedName name="BExILG5F338C0FFLMVOKMKF8X5ZP" localSheetId="2" hidden="1">#REF!</definedName>
    <definedName name="BExILG5F338C0FFLMVOKMKF8X5ZP" localSheetId="12" hidden="1">#REF!</definedName>
    <definedName name="BExILG5F338C0FFLMVOKMKF8X5ZP" localSheetId="34" hidden="1">#REF!</definedName>
    <definedName name="BExILG5F338C0FFLMVOKMKF8X5ZP" localSheetId="7" hidden="1">#REF!</definedName>
    <definedName name="BExILG5F338C0FFLMVOKMKF8X5ZP" localSheetId="6" hidden="1">#REF!</definedName>
    <definedName name="BExILG5F338C0FFLMVOKMKF8X5ZP" localSheetId="1" hidden="1">#REF!</definedName>
    <definedName name="BExILG5F338C0FFLMVOKMKF8X5ZP" localSheetId="10" hidden="1">#REF!</definedName>
    <definedName name="BExILG5F338C0FFLMVOKMKF8X5ZP" hidden="1">#REF!</definedName>
    <definedName name="BExINLX401ZKEGWU168DS4JUM2J6" localSheetId="2" hidden="1">#REF!</definedName>
    <definedName name="BExINLX401ZKEGWU168DS4JUM2J6" localSheetId="12" hidden="1">#REF!</definedName>
    <definedName name="BExINLX401ZKEGWU168DS4JUM2J6" localSheetId="34" hidden="1">#REF!</definedName>
    <definedName name="BExINLX401ZKEGWU168DS4JUM2J6" localSheetId="7" hidden="1">#REF!</definedName>
    <definedName name="BExINLX401ZKEGWU168DS4JUM2J6" localSheetId="6" hidden="1">#REF!</definedName>
    <definedName name="BExINLX401ZKEGWU168DS4JUM2J6" localSheetId="1" hidden="1">#REF!</definedName>
    <definedName name="BExINLX401ZKEGWU168DS4JUM2J6" localSheetId="10" hidden="1">#REF!</definedName>
    <definedName name="BExINLX401ZKEGWU168DS4JUM2J6" hidden="1">#REF!</definedName>
    <definedName name="BExINMYYJO1FTV1CZF6O5XCFAMQX" localSheetId="2" hidden="1">#REF!</definedName>
    <definedName name="BExINMYYJO1FTV1CZF6O5XCFAMQX" localSheetId="12" hidden="1">#REF!</definedName>
    <definedName name="BExINMYYJO1FTV1CZF6O5XCFAMQX" localSheetId="34" hidden="1">#REF!</definedName>
    <definedName name="BExINMYYJO1FTV1CZF6O5XCFAMQX" localSheetId="7" hidden="1">#REF!</definedName>
    <definedName name="BExINMYYJO1FTV1CZF6O5XCFAMQX" localSheetId="6" hidden="1">#REF!</definedName>
    <definedName name="BExINMYYJO1FTV1CZF6O5XCFAMQX" localSheetId="1" hidden="1">#REF!</definedName>
    <definedName name="BExINMYYJO1FTV1CZF6O5XCFAMQX" localSheetId="10" hidden="1">#REF!</definedName>
    <definedName name="BExINMYYJO1FTV1CZF6O5XCFAMQX" hidden="1">#REF!</definedName>
    <definedName name="BExIPDLT8JYAMGE5HTN4D1YHZF3V" localSheetId="2" hidden="1">#REF!</definedName>
    <definedName name="BExIPDLT8JYAMGE5HTN4D1YHZF3V" localSheetId="12" hidden="1">#REF!</definedName>
    <definedName name="BExIPDLT8JYAMGE5HTN4D1YHZF3V" localSheetId="34" hidden="1">#REF!</definedName>
    <definedName name="BExIPDLT8JYAMGE5HTN4D1YHZF3V" localSheetId="7" hidden="1">#REF!</definedName>
    <definedName name="BExIPDLT8JYAMGE5HTN4D1YHZF3V" localSheetId="6" hidden="1">#REF!</definedName>
    <definedName name="BExIPDLT8JYAMGE5HTN4D1YHZF3V" localSheetId="1" hidden="1">#REF!</definedName>
    <definedName name="BExIPDLT8JYAMGE5HTN4D1YHZF3V" localSheetId="10" hidden="1">#REF!</definedName>
    <definedName name="BExIPDLT8JYAMGE5HTN4D1YHZF3V" hidden="1">#REF!</definedName>
    <definedName name="BExIPYAAOZP764DQYX0K3FGLP313" localSheetId="2" hidden="1">#REF!</definedName>
    <definedName name="BExIPYAAOZP764DQYX0K3FGLP313" localSheetId="12" hidden="1">#REF!</definedName>
    <definedName name="BExIPYAAOZP764DQYX0K3FGLP313" localSheetId="34" hidden="1">#REF!</definedName>
    <definedName name="BExIPYAAOZP764DQYX0K3FGLP313" localSheetId="7" hidden="1">#REF!</definedName>
    <definedName name="BExIPYAAOZP764DQYX0K3FGLP313" localSheetId="6" hidden="1">#REF!</definedName>
    <definedName name="BExIPYAAOZP764DQYX0K3FGLP313" localSheetId="1" hidden="1">#REF!</definedName>
    <definedName name="BExIPYAAOZP764DQYX0K3FGLP313" localSheetId="10" hidden="1">#REF!</definedName>
    <definedName name="BExIPYAAOZP764DQYX0K3FGLP313" hidden="1">#REF!</definedName>
    <definedName name="BExIUUT2MHIOV6R3WHA0DPM1KBKY" localSheetId="2" hidden="1">#REF!</definedName>
    <definedName name="BExIUUT2MHIOV6R3WHA0DPM1KBKY" localSheetId="12" hidden="1">#REF!</definedName>
    <definedName name="BExIUUT2MHIOV6R3WHA0DPM1KBKY" localSheetId="34" hidden="1">#REF!</definedName>
    <definedName name="BExIUUT2MHIOV6R3WHA0DPM1KBKY" localSheetId="7" hidden="1">#REF!</definedName>
    <definedName name="BExIUUT2MHIOV6R3WHA0DPM1KBKY" localSheetId="6" hidden="1">#REF!</definedName>
    <definedName name="BExIUUT2MHIOV6R3WHA0DPM1KBKY" localSheetId="1" hidden="1">#REF!</definedName>
    <definedName name="BExIUUT2MHIOV6R3WHA0DPM1KBKY" localSheetId="10" hidden="1">#REF!</definedName>
    <definedName name="BExIUUT2MHIOV6R3WHA0DPM1KBKY" hidden="1">#REF!</definedName>
    <definedName name="BExIVYTFI35KNR2XSA6N8OJYUTUR" localSheetId="2" hidden="1">#REF!</definedName>
    <definedName name="BExIVYTFI35KNR2XSA6N8OJYUTUR" localSheetId="12" hidden="1">#REF!</definedName>
    <definedName name="BExIVYTFI35KNR2XSA6N8OJYUTUR" localSheetId="34" hidden="1">#REF!</definedName>
    <definedName name="BExIVYTFI35KNR2XSA6N8OJYUTUR" localSheetId="7" hidden="1">#REF!</definedName>
    <definedName name="BExIVYTFI35KNR2XSA6N8OJYUTUR" localSheetId="6" hidden="1">#REF!</definedName>
    <definedName name="BExIVYTFI35KNR2XSA6N8OJYUTUR" localSheetId="1" hidden="1">#REF!</definedName>
    <definedName name="BExIVYTFI35KNR2XSA6N8OJYUTUR" localSheetId="10" hidden="1">#REF!</definedName>
    <definedName name="BExIVYTFI35KNR2XSA6N8OJYUTUR" hidden="1">#REF!</definedName>
    <definedName name="BExIWG1W7XP9DFYYSZAIOSHM0QLQ" localSheetId="2" hidden="1">#REF!</definedName>
    <definedName name="BExIWG1W7XP9DFYYSZAIOSHM0QLQ" localSheetId="12" hidden="1">#REF!</definedName>
    <definedName name="BExIWG1W7XP9DFYYSZAIOSHM0QLQ" localSheetId="34" hidden="1">#REF!</definedName>
    <definedName name="BExIWG1W7XP9DFYYSZAIOSHM0QLQ" localSheetId="7" hidden="1">#REF!</definedName>
    <definedName name="BExIWG1W7XP9DFYYSZAIOSHM0QLQ" localSheetId="6" hidden="1">#REF!</definedName>
    <definedName name="BExIWG1W7XP9DFYYSZAIOSHM0QLQ" localSheetId="1" hidden="1">#REF!</definedName>
    <definedName name="BExIWG1W7XP9DFYYSZAIOSHM0QLQ" localSheetId="10" hidden="1">#REF!</definedName>
    <definedName name="BExIWG1W7XP9DFYYSZAIOSHM0QLQ" hidden="1">#REF!</definedName>
    <definedName name="BExIYI2RH0K4225XO970K2IQ1E79" localSheetId="2" hidden="1">#REF!</definedName>
    <definedName name="BExIYI2RH0K4225XO970K2IQ1E79" localSheetId="12" hidden="1">#REF!</definedName>
    <definedName name="BExIYI2RH0K4225XO970K2IQ1E79" localSheetId="34" hidden="1">#REF!</definedName>
    <definedName name="BExIYI2RH0K4225XO970K2IQ1E79" localSheetId="7" hidden="1">#REF!</definedName>
    <definedName name="BExIYI2RH0K4225XO970K2IQ1E79" localSheetId="6" hidden="1">#REF!</definedName>
    <definedName name="BExIYI2RH0K4225XO970K2IQ1E79" localSheetId="1" hidden="1">#REF!</definedName>
    <definedName name="BExIYI2RH0K4225XO970K2IQ1E79" localSheetId="10" hidden="1">#REF!</definedName>
    <definedName name="BExIYI2RH0K4225XO970K2IQ1E79" hidden="1">#REF!</definedName>
    <definedName name="BExJ08KBRR2XMWW3VZMPSQKXHZUH" localSheetId="2" hidden="1">#REF!</definedName>
    <definedName name="BExJ08KBRR2XMWW3VZMPSQKXHZUH" localSheetId="12" hidden="1">#REF!</definedName>
    <definedName name="BExJ08KBRR2XMWW3VZMPSQKXHZUH" localSheetId="34" hidden="1">#REF!</definedName>
    <definedName name="BExJ08KBRR2XMWW3VZMPSQKXHZUH" localSheetId="7" hidden="1">#REF!</definedName>
    <definedName name="BExJ08KBRR2XMWW3VZMPSQKXHZUH" localSheetId="6" hidden="1">#REF!</definedName>
    <definedName name="BExJ08KBRR2XMWW3VZMPSQKXHZUH" localSheetId="1" hidden="1">#REF!</definedName>
    <definedName name="BExJ08KBRR2XMWW3VZMPSQKXHZUH" localSheetId="10" hidden="1">#REF!</definedName>
    <definedName name="BExJ08KBRR2XMWW3VZMPSQKXHZUH" hidden="1">#REF!</definedName>
    <definedName name="BExKI4076KXCDE5KXL79KT36OKLO" localSheetId="2" hidden="1">#REF!</definedName>
    <definedName name="BExKI4076KXCDE5KXL79KT36OKLO" localSheetId="12" hidden="1">#REF!</definedName>
    <definedName name="BExKI4076KXCDE5KXL79KT36OKLO" localSheetId="34" hidden="1">#REF!</definedName>
    <definedName name="BExKI4076KXCDE5KXL79KT36OKLO" localSheetId="7" hidden="1">#REF!</definedName>
    <definedName name="BExKI4076KXCDE5KXL79KT36OKLO" localSheetId="6" hidden="1">#REF!</definedName>
    <definedName name="BExKI4076KXCDE5KXL79KT36OKLO" localSheetId="1" hidden="1">#REF!</definedName>
    <definedName name="BExKI4076KXCDE5KXL79KT36OKLO" localSheetId="10" hidden="1">#REF!</definedName>
    <definedName name="BExKI4076KXCDE5KXL79KT36OKLO" hidden="1">#REF!</definedName>
    <definedName name="BExKKQ3ZWADYV03YHMXDOAMU90EB" localSheetId="2" hidden="1">#REF!</definedName>
    <definedName name="BExKKQ3ZWADYV03YHMXDOAMU90EB" localSheetId="12" hidden="1">#REF!</definedName>
    <definedName name="BExKKQ3ZWADYV03YHMXDOAMU90EB" localSheetId="34" hidden="1">#REF!</definedName>
    <definedName name="BExKKQ3ZWADYV03YHMXDOAMU90EB" localSheetId="7" hidden="1">#REF!</definedName>
    <definedName name="BExKKQ3ZWADYV03YHMXDOAMU90EB" localSheetId="6" hidden="1">#REF!</definedName>
    <definedName name="BExKKQ3ZWADYV03YHMXDOAMU90EB" localSheetId="1" hidden="1">#REF!</definedName>
    <definedName name="BExKKQ3ZWADYV03YHMXDOAMU90EB" localSheetId="10" hidden="1">#REF!</definedName>
    <definedName name="BExKKQ3ZWADYV03YHMXDOAMU90EB" hidden="1">#REF!</definedName>
    <definedName name="BExKPLQJX0HJ8OTXBXH9IC9J2V0W" localSheetId="2" hidden="1">#REF!</definedName>
    <definedName name="BExKPLQJX0HJ8OTXBXH9IC9J2V0W" localSheetId="12" hidden="1">#REF!</definedName>
    <definedName name="BExKPLQJX0HJ8OTXBXH9IC9J2V0W" localSheetId="34" hidden="1">#REF!</definedName>
    <definedName name="BExKPLQJX0HJ8OTXBXH9IC9J2V0W" localSheetId="7" hidden="1">#REF!</definedName>
    <definedName name="BExKPLQJX0HJ8OTXBXH9IC9J2V0W" localSheetId="6" hidden="1">#REF!</definedName>
    <definedName name="BExKPLQJX0HJ8OTXBXH9IC9J2V0W" localSheetId="1" hidden="1">#REF!</definedName>
    <definedName name="BExKPLQJX0HJ8OTXBXH9IC9J2V0W" localSheetId="10" hidden="1">#REF!</definedName>
    <definedName name="BExKPLQJX0HJ8OTXBXH9IC9J2V0W" hidden="1">#REF!</definedName>
    <definedName name="BExKQJGAAWNM3NT19E9I0CQDBTU0" localSheetId="2" hidden="1">#REF!</definedName>
    <definedName name="BExKQJGAAWNM3NT19E9I0CQDBTU0" localSheetId="12" hidden="1">#REF!</definedName>
    <definedName name="BExKQJGAAWNM3NT19E9I0CQDBTU0" localSheetId="34" hidden="1">#REF!</definedName>
    <definedName name="BExKQJGAAWNM3NT19E9I0CQDBTU0" localSheetId="7" hidden="1">#REF!</definedName>
    <definedName name="BExKQJGAAWNM3NT19E9I0CQDBTU0" localSheetId="6" hidden="1">#REF!</definedName>
    <definedName name="BExKQJGAAWNM3NT19E9I0CQDBTU0" localSheetId="1" hidden="1">#REF!</definedName>
    <definedName name="BExKQJGAAWNM3NT19E9I0CQDBTU0" localSheetId="10" hidden="1">#REF!</definedName>
    <definedName name="BExKQJGAAWNM3NT19E9I0CQDBTU0" hidden="1">#REF!</definedName>
    <definedName name="BExKVFZ3ZZGIC1QI8XN6BYFWN0ZY" localSheetId="2" hidden="1">#REF!</definedName>
    <definedName name="BExKVFZ3ZZGIC1QI8XN6BYFWN0ZY" localSheetId="12" hidden="1">#REF!</definedName>
    <definedName name="BExKVFZ3ZZGIC1QI8XN6BYFWN0ZY" localSheetId="34" hidden="1">#REF!</definedName>
    <definedName name="BExKVFZ3ZZGIC1QI8XN6BYFWN0ZY" localSheetId="7" hidden="1">#REF!</definedName>
    <definedName name="BExKVFZ3ZZGIC1QI8XN6BYFWN0ZY" localSheetId="6" hidden="1">#REF!</definedName>
    <definedName name="BExKVFZ3ZZGIC1QI8XN6BYFWN0ZY" localSheetId="1" hidden="1">#REF!</definedName>
    <definedName name="BExKVFZ3ZZGIC1QI8XN6BYFWN0ZY" localSheetId="10" hidden="1">#REF!</definedName>
    <definedName name="BExKVFZ3ZZGIC1QI8XN6BYFWN0ZY" hidden="1">#REF!</definedName>
    <definedName name="BExM9OG182RP30MY23PG49LVPZ1C" localSheetId="2" hidden="1">#REF!</definedName>
    <definedName name="BExM9OG182RP30MY23PG49LVPZ1C" localSheetId="12" hidden="1">#REF!</definedName>
    <definedName name="BExM9OG182RP30MY23PG49LVPZ1C" localSheetId="34" hidden="1">#REF!</definedName>
    <definedName name="BExM9OG182RP30MY23PG49LVPZ1C" localSheetId="7" hidden="1">#REF!</definedName>
    <definedName name="BExM9OG182RP30MY23PG49LVPZ1C" localSheetId="6" hidden="1">#REF!</definedName>
    <definedName name="BExM9OG182RP30MY23PG49LVPZ1C" localSheetId="1" hidden="1">#REF!</definedName>
    <definedName name="BExM9OG182RP30MY23PG49LVPZ1C" localSheetId="10" hidden="1">#REF!</definedName>
    <definedName name="BExM9OG182RP30MY23PG49LVPZ1C" hidden="1">#REF!</definedName>
    <definedName name="BExMALEWFUEM8Y686IT03ECURUBR" localSheetId="2" hidden="1">#REF!</definedName>
    <definedName name="BExMALEWFUEM8Y686IT03ECURUBR" localSheetId="12" hidden="1">#REF!</definedName>
    <definedName name="BExMALEWFUEM8Y686IT03ECURUBR" localSheetId="34" hidden="1">#REF!</definedName>
    <definedName name="BExMALEWFUEM8Y686IT03ECURUBR" localSheetId="7" hidden="1">#REF!</definedName>
    <definedName name="BExMALEWFUEM8Y686IT03ECURUBR" localSheetId="6" hidden="1">#REF!</definedName>
    <definedName name="BExMALEWFUEM8Y686IT03ECURUBR" localSheetId="1" hidden="1">#REF!</definedName>
    <definedName name="BExMALEWFUEM8Y686IT03ECURUBR" localSheetId="10" hidden="1">#REF!</definedName>
    <definedName name="BExMALEWFUEM8Y686IT03ECURUBR" hidden="1">#REF!</definedName>
    <definedName name="BExMBYPQDG9AYDQ5E8IECVFREPO6" localSheetId="2" hidden="1">#REF!</definedName>
    <definedName name="BExMBYPQDG9AYDQ5E8IECVFREPO6" localSheetId="12" hidden="1">#REF!</definedName>
    <definedName name="BExMBYPQDG9AYDQ5E8IECVFREPO6" localSheetId="34" hidden="1">#REF!</definedName>
    <definedName name="BExMBYPQDG9AYDQ5E8IECVFREPO6" localSheetId="7" hidden="1">#REF!</definedName>
    <definedName name="BExMBYPQDG9AYDQ5E8IECVFREPO6" localSheetId="6" hidden="1">#REF!</definedName>
    <definedName name="BExMBYPQDG9AYDQ5E8IECVFREPO6" localSheetId="1" hidden="1">#REF!</definedName>
    <definedName name="BExMBYPQDG9AYDQ5E8IECVFREPO6" localSheetId="10" hidden="1">#REF!</definedName>
    <definedName name="BExMBYPQDG9AYDQ5E8IECVFREPO6" hidden="1">#REF!</definedName>
    <definedName name="BExMCA96YR10V72G2R0SCIKPZLIZ" localSheetId="2" hidden="1">#REF!</definedName>
    <definedName name="BExMCA96YR10V72G2R0SCIKPZLIZ" localSheetId="12" hidden="1">#REF!</definedName>
    <definedName name="BExMCA96YR10V72G2R0SCIKPZLIZ" localSheetId="34" hidden="1">#REF!</definedName>
    <definedName name="BExMCA96YR10V72G2R0SCIKPZLIZ" localSheetId="7" hidden="1">#REF!</definedName>
    <definedName name="BExMCA96YR10V72G2R0SCIKPZLIZ" localSheetId="6" hidden="1">#REF!</definedName>
    <definedName name="BExMCA96YR10V72G2R0SCIKPZLIZ" localSheetId="1" hidden="1">#REF!</definedName>
    <definedName name="BExMCA96YR10V72G2R0SCIKPZLIZ" localSheetId="10" hidden="1">#REF!</definedName>
    <definedName name="BExMCA96YR10V72G2R0SCIKPZLIZ" hidden="1">#REF!</definedName>
    <definedName name="BExMCFSQFSEMPY5IXDIRKZDASDBR" localSheetId="2" hidden="1">#REF!</definedName>
    <definedName name="BExMCFSQFSEMPY5IXDIRKZDASDBR" localSheetId="12" hidden="1">#REF!</definedName>
    <definedName name="BExMCFSQFSEMPY5IXDIRKZDASDBR" localSheetId="34" hidden="1">#REF!</definedName>
    <definedName name="BExMCFSQFSEMPY5IXDIRKZDASDBR" localSheetId="7" hidden="1">#REF!</definedName>
    <definedName name="BExMCFSQFSEMPY5IXDIRKZDASDBR" localSheetId="6" hidden="1">#REF!</definedName>
    <definedName name="BExMCFSQFSEMPY5IXDIRKZDASDBR" localSheetId="1" hidden="1">#REF!</definedName>
    <definedName name="BExMCFSQFSEMPY5IXDIRKZDASDBR" localSheetId="10" hidden="1">#REF!</definedName>
    <definedName name="BExMCFSQFSEMPY5IXDIRKZDASDBR" hidden="1">#REF!</definedName>
    <definedName name="BExMDGD1KQP7NNR78X2ZX4FCBQ1S" localSheetId="2" hidden="1">#REF!</definedName>
    <definedName name="BExMDGD1KQP7NNR78X2ZX4FCBQ1S" localSheetId="12" hidden="1">#REF!</definedName>
    <definedName name="BExMDGD1KQP7NNR78X2ZX4FCBQ1S" localSheetId="34" hidden="1">#REF!</definedName>
    <definedName name="BExMDGD1KQP7NNR78X2ZX4FCBQ1S" localSheetId="7" hidden="1">#REF!</definedName>
    <definedName name="BExMDGD1KQP7NNR78X2ZX4FCBQ1S" localSheetId="6" hidden="1">#REF!</definedName>
    <definedName name="BExMDGD1KQP7NNR78X2ZX4FCBQ1S" localSheetId="1" hidden="1">#REF!</definedName>
    <definedName name="BExMDGD1KQP7NNR78X2ZX4FCBQ1S" localSheetId="10" hidden="1">#REF!</definedName>
    <definedName name="BExMDGD1KQP7NNR78X2ZX4FCBQ1S" hidden="1">#REF!</definedName>
    <definedName name="BExMHOWPB34KPZ76M2KIX2C9R2VB" localSheetId="2" hidden="1">#REF!</definedName>
    <definedName name="BExMHOWPB34KPZ76M2KIX2C9R2VB" localSheetId="12" hidden="1">#REF!</definedName>
    <definedName name="BExMHOWPB34KPZ76M2KIX2C9R2VB" localSheetId="34" hidden="1">#REF!</definedName>
    <definedName name="BExMHOWPB34KPZ76M2KIX2C9R2VB" localSheetId="7" hidden="1">#REF!</definedName>
    <definedName name="BExMHOWPB34KPZ76M2KIX2C9R2VB" localSheetId="6" hidden="1">#REF!</definedName>
    <definedName name="BExMHOWPB34KPZ76M2KIX2C9R2VB" localSheetId="1" hidden="1">#REF!</definedName>
    <definedName name="BExMHOWPB34KPZ76M2KIX2C9R2VB" localSheetId="10" hidden="1">#REF!</definedName>
    <definedName name="BExMHOWPB34KPZ76M2KIX2C9R2VB" hidden="1">#REF!</definedName>
    <definedName name="BExMI3AJ9477KDL4T9DHET4LJJTW" localSheetId="2" hidden="1">#REF!</definedName>
    <definedName name="BExMI3AJ9477KDL4T9DHET4LJJTW" localSheetId="12" hidden="1">#REF!</definedName>
    <definedName name="BExMI3AJ9477KDL4T9DHET4LJJTW" localSheetId="34" hidden="1">#REF!</definedName>
    <definedName name="BExMI3AJ9477KDL4T9DHET4LJJTW" localSheetId="7" hidden="1">#REF!</definedName>
    <definedName name="BExMI3AJ9477KDL4T9DHET4LJJTW" localSheetId="6" hidden="1">#REF!</definedName>
    <definedName name="BExMI3AJ9477KDL4T9DHET4LJJTW" localSheetId="1" hidden="1">#REF!</definedName>
    <definedName name="BExMI3AJ9477KDL4T9DHET4LJJTW" localSheetId="10" hidden="1">#REF!</definedName>
    <definedName name="BExMI3AJ9477KDL4T9DHET4LJJTW" hidden="1">#REF!</definedName>
    <definedName name="BExMIBOOZU40JS3F89OMPSRCE9MM" localSheetId="2" hidden="1">#REF!</definedName>
    <definedName name="BExMIBOOZU40JS3F89OMPSRCE9MM" localSheetId="12" hidden="1">#REF!</definedName>
    <definedName name="BExMIBOOZU40JS3F89OMPSRCE9MM" localSheetId="34" hidden="1">#REF!</definedName>
    <definedName name="BExMIBOOZU40JS3F89OMPSRCE9MM" localSheetId="7" hidden="1">#REF!</definedName>
    <definedName name="BExMIBOOZU40JS3F89OMPSRCE9MM" localSheetId="6" hidden="1">#REF!</definedName>
    <definedName name="BExMIBOOZU40JS3F89OMPSRCE9MM" localSheetId="1" hidden="1">#REF!</definedName>
    <definedName name="BExMIBOOZU40JS3F89OMPSRCE9MM" localSheetId="10" hidden="1">#REF!</definedName>
    <definedName name="BExMIBOOZU40JS3F89OMPSRCE9MM" hidden="1">#REF!</definedName>
    <definedName name="BExMIV0KC8555D5E42ZGWG15Y0MO" localSheetId="2" hidden="1">#REF!</definedName>
    <definedName name="BExMIV0KC8555D5E42ZGWG15Y0MO" localSheetId="12" hidden="1">#REF!</definedName>
    <definedName name="BExMIV0KC8555D5E42ZGWG15Y0MO" localSheetId="34" hidden="1">#REF!</definedName>
    <definedName name="BExMIV0KC8555D5E42ZGWG15Y0MO" localSheetId="7" hidden="1">#REF!</definedName>
    <definedName name="BExMIV0KC8555D5E42ZGWG15Y0MO" localSheetId="6" hidden="1">#REF!</definedName>
    <definedName name="BExMIV0KC8555D5E42ZGWG15Y0MO" localSheetId="1" hidden="1">#REF!</definedName>
    <definedName name="BExMIV0KC8555D5E42ZGWG15Y0MO" localSheetId="10" hidden="1">#REF!</definedName>
    <definedName name="BExMIV0KC8555D5E42ZGWG15Y0MO" hidden="1">#REF!</definedName>
    <definedName name="BExMKUN3WPECJR2XRID2R7GZRGNX" localSheetId="2" hidden="1">#REF!</definedName>
    <definedName name="BExMKUN3WPECJR2XRID2R7GZRGNX" localSheetId="12" hidden="1">#REF!</definedName>
    <definedName name="BExMKUN3WPECJR2XRID2R7GZRGNX" localSheetId="34" hidden="1">#REF!</definedName>
    <definedName name="BExMKUN3WPECJR2XRID2R7GZRGNX" localSheetId="7" hidden="1">#REF!</definedName>
    <definedName name="BExMKUN3WPECJR2XRID2R7GZRGNX" localSheetId="6" hidden="1">#REF!</definedName>
    <definedName name="BExMKUN3WPECJR2XRID2R7GZRGNX" localSheetId="1" hidden="1">#REF!</definedName>
    <definedName name="BExMKUN3WPECJR2XRID2R7GZRGNX" localSheetId="10" hidden="1">#REF!</definedName>
    <definedName name="BExMKUN3WPECJR2XRID2R7GZRGNX" hidden="1">#REF!</definedName>
    <definedName name="BExMKZ535P011X4TNV16GCOH4H21" localSheetId="2" hidden="1">#REF!</definedName>
    <definedName name="BExMKZ535P011X4TNV16GCOH4H21" localSheetId="12" hidden="1">#REF!</definedName>
    <definedName name="BExMKZ535P011X4TNV16GCOH4H21" localSheetId="34" hidden="1">#REF!</definedName>
    <definedName name="BExMKZ535P011X4TNV16GCOH4H21" localSheetId="7" hidden="1">#REF!</definedName>
    <definedName name="BExMKZ535P011X4TNV16GCOH4H21" localSheetId="6" hidden="1">#REF!</definedName>
    <definedName name="BExMKZ535P011X4TNV16GCOH4H21" localSheetId="1" hidden="1">#REF!</definedName>
    <definedName name="BExMKZ535P011X4TNV16GCOH4H21" localSheetId="10" hidden="1">#REF!</definedName>
    <definedName name="BExMKZ535P011X4TNV16GCOH4H21" hidden="1">#REF!</definedName>
    <definedName name="BExMLVI7UORSHM9FMO8S2EI0TMTS" localSheetId="2" hidden="1">#REF!</definedName>
    <definedName name="BExMLVI7UORSHM9FMO8S2EI0TMTS" localSheetId="12" hidden="1">#REF!</definedName>
    <definedName name="BExMLVI7UORSHM9FMO8S2EI0TMTS" localSheetId="34" hidden="1">#REF!</definedName>
    <definedName name="BExMLVI7UORSHM9FMO8S2EI0TMTS" localSheetId="7" hidden="1">#REF!</definedName>
    <definedName name="BExMLVI7UORSHM9FMO8S2EI0TMTS" localSheetId="6" hidden="1">#REF!</definedName>
    <definedName name="BExMLVI7UORSHM9FMO8S2EI0TMTS" localSheetId="1" hidden="1">#REF!</definedName>
    <definedName name="BExMLVI7UORSHM9FMO8S2EI0TMTS" localSheetId="10" hidden="1">#REF!</definedName>
    <definedName name="BExMLVI7UORSHM9FMO8S2EI0TMTS" hidden="1">#REF!</definedName>
    <definedName name="BExMM5UCOT2HSSN0ZIPZW55GSOVO" localSheetId="2" hidden="1">#REF!</definedName>
    <definedName name="BExMM5UCOT2HSSN0ZIPZW55GSOVO" localSheetId="12" hidden="1">#REF!</definedName>
    <definedName name="BExMM5UCOT2HSSN0ZIPZW55GSOVO" localSheetId="34" hidden="1">#REF!</definedName>
    <definedName name="BExMM5UCOT2HSSN0ZIPZW55GSOVO" localSheetId="7" hidden="1">#REF!</definedName>
    <definedName name="BExMM5UCOT2HSSN0ZIPZW55GSOVO" localSheetId="6" hidden="1">#REF!</definedName>
    <definedName name="BExMM5UCOT2HSSN0ZIPZW55GSOVO" localSheetId="1" hidden="1">#REF!</definedName>
    <definedName name="BExMM5UCOT2HSSN0ZIPZW55GSOVO" localSheetId="10" hidden="1">#REF!</definedName>
    <definedName name="BExMM5UCOT2HSSN0ZIPZW55GSOVO" hidden="1">#REF!</definedName>
    <definedName name="BExMMNIZ2T7M22WECMUQXEF4NJ71" localSheetId="2" hidden="1">#REF!</definedName>
    <definedName name="BExMMNIZ2T7M22WECMUQXEF4NJ71" localSheetId="12" hidden="1">#REF!</definedName>
    <definedName name="BExMMNIZ2T7M22WECMUQXEF4NJ71" localSheetId="34" hidden="1">#REF!</definedName>
    <definedName name="BExMMNIZ2T7M22WECMUQXEF4NJ71" localSheetId="7" hidden="1">#REF!</definedName>
    <definedName name="BExMMNIZ2T7M22WECMUQXEF4NJ71" localSheetId="6" hidden="1">#REF!</definedName>
    <definedName name="BExMMNIZ2T7M22WECMUQXEF4NJ71" localSheetId="1" hidden="1">#REF!</definedName>
    <definedName name="BExMMNIZ2T7M22WECMUQXEF4NJ71" localSheetId="10" hidden="1">#REF!</definedName>
    <definedName name="BExMMNIZ2T7M22WECMUQXEF4NJ71" hidden="1">#REF!</definedName>
    <definedName name="BExMPSD77XQ3HA6A4FZOJK8G2JP3" localSheetId="2" hidden="1">#REF!</definedName>
    <definedName name="BExMPSD77XQ3HA6A4FZOJK8G2JP3" localSheetId="12" hidden="1">#REF!</definedName>
    <definedName name="BExMPSD77XQ3HA6A4FZOJK8G2JP3" localSheetId="34" hidden="1">#REF!</definedName>
    <definedName name="BExMPSD77XQ3HA6A4FZOJK8G2JP3" localSheetId="7" hidden="1">#REF!</definedName>
    <definedName name="BExMPSD77XQ3HA6A4FZOJK8G2JP3" localSheetId="6" hidden="1">#REF!</definedName>
    <definedName name="BExMPSD77XQ3HA6A4FZOJK8G2JP3" localSheetId="1" hidden="1">#REF!</definedName>
    <definedName name="BExMPSD77XQ3HA6A4FZOJK8G2JP3" localSheetId="10" hidden="1">#REF!</definedName>
    <definedName name="BExMPSD77XQ3HA6A4FZOJK8G2JP3" hidden="1">#REF!</definedName>
    <definedName name="BExMQ71WHW50GVX45JU951AGPLFQ" localSheetId="2" hidden="1">#REF!</definedName>
    <definedName name="BExMQ71WHW50GVX45JU951AGPLFQ" localSheetId="12" hidden="1">#REF!</definedName>
    <definedName name="BExMQ71WHW50GVX45JU951AGPLFQ" localSheetId="34" hidden="1">#REF!</definedName>
    <definedName name="BExMQ71WHW50GVX45JU951AGPLFQ" localSheetId="7" hidden="1">#REF!</definedName>
    <definedName name="BExMQ71WHW50GVX45JU951AGPLFQ" localSheetId="6" hidden="1">#REF!</definedName>
    <definedName name="BExMQ71WHW50GVX45JU951AGPLFQ" localSheetId="1" hidden="1">#REF!</definedName>
    <definedName name="BExMQ71WHW50GVX45JU951AGPLFQ" localSheetId="10" hidden="1">#REF!</definedName>
    <definedName name="BExMQ71WHW50GVX45JU951AGPLFQ" hidden="1">#REF!</definedName>
    <definedName name="BExOBP0FKQ4SVR59FB48UNLKCOR6" localSheetId="2" hidden="1">#REF!</definedName>
    <definedName name="BExOBP0FKQ4SVR59FB48UNLKCOR6" localSheetId="12" hidden="1">#REF!</definedName>
    <definedName name="BExOBP0FKQ4SVR59FB48UNLKCOR6" localSheetId="34" hidden="1">#REF!</definedName>
    <definedName name="BExOBP0FKQ4SVR59FB48UNLKCOR6" localSheetId="7" hidden="1">#REF!</definedName>
    <definedName name="BExOBP0FKQ4SVR59FB48UNLKCOR6" localSheetId="6" hidden="1">#REF!</definedName>
    <definedName name="BExOBP0FKQ4SVR59FB48UNLKCOR6" localSheetId="1" hidden="1">#REF!</definedName>
    <definedName name="BExOBP0FKQ4SVR59FB48UNLKCOR6" localSheetId="10" hidden="1">#REF!</definedName>
    <definedName name="BExOBP0FKQ4SVR59FB48UNLKCOR6" hidden="1">#REF!</definedName>
    <definedName name="BExOFVLXVD6RVHSQO8KZOOACSV24" localSheetId="2" hidden="1">#REF!</definedName>
    <definedName name="BExOFVLXVD6RVHSQO8KZOOACSV24" localSheetId="12" hidden="1">#REF!</definedName>
    <definedName name="BExOFVLXVD6RVHSQO8KZOOACSV24" localSheetId="34" hidden="1">#REF!</definedName>
    <definedName name="BExOFVLXVD6RVHSQO8KZOOACSV24" localSheetId="7" hidden="1">#REF!</definedName>
    <definedName name="BExOFVLXVD6RVHSQO8KZOOACSV24" localSheetId="6" hidden="1">#REF!</definedName>
    <definedName name="BExOFVLXVD6RVHSQO8KZOOACSV24" localSheetId="1" hidden="1">#REF!</definedName>
    <definedName name="BExOFVLXVD6RVHSQO8KZOOACSV24" localSheetId="10" hidden="1">#REF!</definedName>
    <definedName name="BExOFVLXVD6RVHSQO8KZOOACSV24" hidden="1">#REF!</definedName>
    <definedName name="BExOJXEUJJ9SYRJXKYYV2NCCDT2R" localSheetId="2" hidden="1">#REF!</definedName>
    <definedName name="BExOJXEUJJ9SYRJXKYYV2NCCDT2R" localSheetId="12" hidden="1">#REF!</definedName>
    <definedName name="BExOJXEUJJ9SYRJXKYYV2NCCDT2R" localSheetId="34" hidden="1">#REF!</definedName>
    <definedName name="BExOJXEUJJ9SYRJXKYYV2NCCDT2R" localSheetId="7" hidden="1">#REF!</definedName>
    <definedName name="BExOJXEUJJ9SYRJXKYYV2NCCDT2R" localSheetId="6" hidden="1">#REF!</definedName>
    <definedName name="BExOJXEUJJ9SYRJXKYYV2NCCDT2R" localSheetId="1" hidden="1">#REF!</definedName>
    <definedName name="BExOJXEUJJ9SYRJXKYYV2NCCDT2R" localSheetId="10" hidden="1">#REF!</definedName>
    <definedName name="BExOJXEUJJ9SYRJXKYYV2NCCDT2R" hidden="1">#REF!</definedName>
    <definedName name="BExOK0EQYM9JUMAGWOUN7QDH7VMZ" localSheetId="2" hidden="1">#REF!</definedName>
    <definedName name="BExOK0EQYM9JUMAGWOUN7QDH7VMZ" localSheetId="12" hidden="1">#REF!</definedName>
    <definedName name="BExOK0EQYM9JUMAGWOUN7QDH7VMZ" localSheetId="34" hidden="1">#REF!</definedName>
    <definedName name="BExOK0EQYM9JUMAGWOUN7QDH7VMZ" localSheetId="7" hidden="1">#REF!</definedName>
    <definedName name="BExOK0EQYM9JUMAGWOUN7QDH7VMZ" localSheetId="6" hidden="1">#REF!</definedName>
    <definedName name="BExOK0EQYM9JUMAGWOUN7QDH7VMZ" localSheetId="1" hidden="1">#REF!</definedName>
    <definedName name="BExOK0EQYM9JUMAGWOUN7QDH7VMZ" localSheetId="10" hidden="1">#REF!</definedName>
    <definedName name="BExOK0EQYM9JUMAGWOUN7QDH7VMZ" hidden="1">#REF!</definedName>
    <definedName name="BExOLICXFHJLILCJVFMJE5MGGWKR" localSheetId="2" hidden="1">#REF!</definedName>
    <definedName name="BExOLICXFHJLILCJVFMJE5MGGWKR" localSheetId="12" hidden="1">#REF!</definedName>
    <definedName name="BExOLICXFHJLILCJVFMJE5MGGWKR" localSheetId="34" hidden="1">#REF!</definedName>
    <definedName name="BExOLICXFHJLILCJVFMJE5MGGWKR" localSheetId="7" hidden="1">#REF!</definedName>
    <definedName name="BExOLICXFHJLILCJVFMJE5MGGWKR" localSheetId="6" hidden="1">#REF!</definedName>
    <definedName name="BExOLICXFHJLILCJVFMJE5MGGWKR" localSheetId="1" hidden="1">#REF!</definedName>
    <definedName name="BExOLICXFHJLILCJVFMJE5MGGWKR" localSheetId="10" hidden="1">#REF!</definedName>
    <definedName name="BExOLICXFHJLILCJVFMJE5MGGWKR" hidden="1">#REF!</definedName>
    <definedName name="BExOMU0A6XMY48SZRYL4WQZD13BI" localSheetId="2" hidden="1">#REF!</definedName>
    <definedName name="BExOMU0A6XMY48SZRYL4WQZD13BI" localSheetId="12" hidden="1">#REF!</definedName>
    <definedName name="BExOMU0A6XMY48SZRYL4WQZD13BI" localSheetId="34" hidden="1">#REF!</definedName>
    <definedName name="BExOMU0A6XMY48SZRYL4WQZD13BI" localSheetId="7" hidden="1">#REF!</definedName>
    <definedName name="BExOMU0A6XMY48SZRYL4WQZD13BI" localSheetId="6" hidden="1">#REF!</definedName>
    <definedName name="BExOMU0A6XMY48SZRYL4WQZD13BI" localSheetId="1" hidden="1">#REF!</definedName>
    <definedName name="BExOMU0A6XMY48SZRYL4WQZD13BI" localSheetId="10" hidden="1">#REF!</definedName>
    <definedName name="BExOMU0A6XMY48SZRYL4WQZD13BI" hidden="1">#REF!</definedName>
    <definedName name="BExQ2M841F5Z1BQYR8DG5FKK0LIU" localSheetId="2" hidden="1">#REF!</definedName>
    <definedName name="BExQ2M841F5Z1BQYR8DG5FKK0LIU" localSheetId="12" hidden="1">#REF!</definedName>
    <definedName name="BExQ2M841F5Z1BQYR8DG5FKK0LIU" localSheetId="34" hidden="1">#REF!</definedName>
    <definedName name="BExQ2M841F5Z1BQYR8DG5FKK0LIU" localSheetId="7" hidden="1">#REF!</definedName>
    <definedName name="BExQ2M841F5Z1BQYR8DG5FKK0LIU" localSheetId="6" hidden="1">#REF!</definedName>
    <definedName name="BExQ2M841F5Z1BQYR8DG5FKK0LIU" localSheetId="1" hidden="1">#REF!</definedName>
    <definedName name="BExQ2M841F5Z1BQYR8DG5FKK0LIU" localSheetId="10" hidden="1">#REF!</definedName>
    <definedName name="BExQ2M841F5Z1BQYR8DG5FKK0LIU" hidden="1">#REF!</definedName>
    <definedName name="BExQ300G8I8TK45A0MVHV15422EU" localSheetId="2" hidden="1">#REF!</definedName>
    <definedName name="BExQ300G8I8TK45A0MVHV15422EU" localSheetId="12" hidden="1">#REF!</definedName>
    <definedName name="BExQ300G8I8TK45A0MVHV15422EU" localSheetId="34" hidden="1">#REF!</definedName>
    <definedName name="BExQ300G8I8TK45A0MVHV15422EU" localSheetId="7" hidden="1">#REF!</definedName>
    <definedName name="BExQ300G8I8TK45A0MVHV15422EU" localSheetId="6" hidden="1">#REF!</definedName>
    <definedName name="BExQ300G8I8TK45A0MVHV15422EU" localSheetId="1" hidden="1">#REF!</definedName>
    <definedName name="BExQ300G8I8TK45A0MVHV15422EU" localSheetId="10" hidden="1">#REF!</definedName>
    <definedName name="BExQ300G8I8TK45A0MVHV15422EU" hidden="1">#REF!</definedName>
    <definedName name="BExQ39R28MXSG2SEV956F0KZ20AN" localSheetId="2" hidden="1">#REF!</definedName>
    <definedName name="BExQ39R28MXSG2SEV956F0KZ20AN" localSheetId="12" hidden="1">#REF!</definedName>
    <definedName name="BExQ39R28MXSG2SEV956F0KZ20AN" localSheetId="34" hidden="1">#REF!</definedName>
    <definedName name="BExQ39R28MXSG2SEV956F0KZ20AN" localSheetId="7" hidden="1">#REF!</definedName>
    <definedName name="BExQ39R28MXSG2SEV956F0KZ20AN" localSheetId="6" hidden="1">#REF!</definedName>
    <definedName name="BExQ39R28MXSG2SEV956F0KZ20AN" localSheetId="1" hidden="1">#REF!</definedName>
    <definedName name="BExQ39R28MXSG2SEV956F0KZ20AN" localSheetId="10" hidden="1">#REF!</definedName>
    <definedName name="BExQ39R28MXSG2SEV956F0KZ20AN" hidden="1">#REF!</definedName>
    <definedName name="BExQ3D1P3M5Z3HLMEZ17E0BLEE4U" localSheetId="2" hidden="1">#REF!</definedName>
    <definedName name="BExQ3D1P3M5Z3HLMEZ17E0BLEE4U" localSheetId="12" hidden="1">#REF!</definedName>
    <definedName name="BExQ3D1P3M5Z3HLMEZ17E0BLEE4U" localSheetId="34" hidden="1">#REF!</definedName>
    <definedName name="BExQ3D1P3M5Z3HLMEZ17E0BLEE4U" localSheetId="7" hidden="1">#REF!</definedName>
    <definedName name="BExQ3D1P3M5Z3HLMEZ17E0BLEE4U" localSheetId="6" hidden="1">#REF!</definedName>
    <definedName name="BExQ3D1P3M5Z3HLMEZ17E0BLEE4U" localSheetId="1" hidden="1">#REF!</definedName>
    <definedName name="BExQ3D1P3M5Z3HLMEZ17E0BLEE4U" localSheetId="10" hidden="1">#REF!</definedName>
    <definedName name="BExQ3D1P3M5Z3HLMEZ17E0BLEE4U" hidden="1">#REF!</definedName>
    <definedName name="BExQ42IU9MNDYLODP41DL6YTZMAR" localSheetId="2" hidden="1">#REF!</definedName>
    <definedName name="BExQ42IU9MNDYLODP41DL6YTZMAR" localSheetId="12" hidden="1">#REF!</definedName>
    <definedName name="BExQ42IU9MNDYLODP41DL6YTZMAR" localSheetId="34" hidden="1">#REF!</definedName>
    <definedName name="BExQ42IU9MNDYLODP41DL6YTZMAR" localSheetId="7" hidden="1">#REF!</definedName>
    <definedName name="BExQ42IU9MNDYLODP41DL6YTZMAR" localSheetId="6" hidden="1">#REF!</definedName>
    <definedName name="BExQ42IU9MNDYLODP41DL6YTZMAR" localSheetId="1" hidden="1">#REF!</definedName>
    <definedName name="BExQ42IU9MNDYLODP41DL6YTZMAR" localSheetId="10" hidden="1">#REF!</definedName>
    <definedName name="BExQ42IU9MNDYLODP41DL6YTZMAR" hidden="1">#REF!</definedName>
    <definedName name="BExQ63793YQ9BH7JLCNRIATIGTRG" localSheetId="2" hidden="1">#REF!</definedName>
    <definedName name="BExQ63793YQ9BH7JLCNRIATIGTRG" localSheetId="12" hidden="1">#REF!</definedName>
    <definedName name="BExQ63793YQ9BH7JLCNRIATIGTRG" localSheetId="34" hidden="1">#REF!</definedName>
    <definedName name="BExQ63793YQ9BH7JLCNRIATIGTRG" localSheetId="7" hidden="1">#REF!</definedName>
    <definedName name="BExQ63793YQ9BH7JLCNRIATIGTRG" localSheetId="6" hidden="1">#REF!</definedName>
    <definedName name="BExQ63793YQ9BH7JLCNRIATIGTRG" localSheetId="1" hidden="1">#REF!</definedName>
    <definedName name="BExQ63793YQ9BH7JLCNRIATIGTRG" localSheetId="10" hidden="1">#REF!</definedName>
    <definedName name="BExQ63793YQ9BH7JLCNRIATIGTRG" hidden="1">#REF!</definedName>
    <definedName name="BExQ7MY3U2Z1IZ71U5LJUD00VVB4" localSheetId="2" hidden="1">#REF!</definedName>
    <definedName name="BExQ7MY3U2Z1IZ71U5LJUD00VVB4" localSheetId="12" hidden="1">#REF!</definedName>
    <definedName name="BExQ7MY3U2Z1IZ71U5LJUD00VVB4" localSheetId="34" hidden="1">#REF!</definedName>
    <definedName name="BExQ7MY3U2Z1IZ71U5LJUD00VVB4" localSheetId="7" hidden="1">#REF!</definedName>
    <definedName name="BExQ7MY3U2Z1IZ71U5LJUD00VVB4" localSheetId="6" hidden="1">#REF!</definedName>
    <definedName name="BExQ7MY3U2Z1IZ71U5LJUD00VVB4" localSheetId="1" hidden="1">#REF!</definedName>
    <definedName name="BExQ7MY3U2Z1IZ71U5LJUD00VVB4" localSheetId="10" hidden="1">#REF!</definedName>
    <definedName name="BExQ7MY3U2Z1IZ71U5LJUD00VVB4" hidden="1">#REF!</definedName>
    <definedName name="BExQ7XL2Q1GVUFL1F9KK0K0EXMWG" localSheetId="2" hidden="1">#REF!</definedName>
    <definedName name="BExQ7XL2Q1GVUFL1F9KK0K0EXMWG" localSheetId="12" hidden="1">#REF!</definedName>
    <definedName name="BExQ7XL2Q1GVUFL1F9KK0K0EXMWG" localSheetId="34" hidden="1">#REF!</definedName>
    <definedName name="BExQ7XL2Q1GVUFL1F9KK0K0EXMWG" localSheetId="7" hidden="1">#REF!</definedName>
    <definedName name="BExQ7XL2Q1GVUFL1F9KK0K0EXMWG" localSheetId="6" hidden="1">#REF!</definedName>
    <definedName name="BExQ7XL2Q1GVUFL1F9KK0K0EXMWG" localSheetId="1" hidden="1">#REF!</definedName>
    <definedName name="BExQ7XL2Q1GVUFL1F9KK0K0EXMWG" localSheetId="10" hidden="1">#REF!</definedName>
    <definedName name="BExQ7XL2Q1GVUFL1F9KK0K0EXMWG" hidden="1">#REF!</definedName>
    <definedName name="BExQ8A0RPE3IMIFIZLUE7KD2N21W" localSheetId="2" hidden="1">#REF!</definedName>
    <definedName name="BExQ8A0RPE3IMIFIZLUE7KD2N21W" localSheetId="12" hidden="1">#REF!</definedName>
    <definedName name="BExQ8A0RPE3IMIFIZLUE7KD2N21W" localSheetId="34" hidden="1">#REF!</definedName>
    <definedName name="BExQ8A0RPE3IMIFIZLUE7KD2N21W" localSheetId="7" hidden="1">#REF!</definedName>
    <definedName name="BExQ8A0RPE3IMIFIZLUE7KD2N21W" localSheetId="6" hidden="1">#REF!</definedName>
    <definedName name="BExQ8A0RPE3IMIFIZLUE7KD2N21W" localSheetId="1" hidden="1">#REF!</definedName>
    <definedName name="BExQ8A0RPE3IMIFIZLUE7KD2N21W" localSheetId="10" hidden="1">#REF!</definedName>
    <definedName name="BExQ8A0RPE3IMIFIZLUE7KD2N21W" hidden="1">#REF!</definedName>
    <definedName name="BExQ8O3WEU8HNTTGKTW5T0QSKCLP" localSheetId="2" hidden="1">#REF!</definedName>
    <definedName name="BExQ8O3WEU8HNTTGKTW5T0QSKCLP" localSheetId="12" hidden="1">#REF!</definedName>
    <definedName name="BExQ8O3WEU8HNTTGKTW5T0QSKCLP" localSheetId="34" hidden="1">#REF!</definedName>
    <definedName name="BExQ8O3WEU8HNTTGKTW5T0QSKCLP" localSheetId="7" hidden="1">#REF!</definedName>
    <definedName name="BExQ8O3WEU8HNTTGKTW5T0QSKCLP" localSheetId="6" hidden="1">#REF!</definedName>
    <definedName name="BExQ8O3WEU8HNTTGKTW5T0QSKCLP" localSheetId="1" hidden="1">#REF!</definedName>
    <definedName name="BExQ8O3WEU8HNTTGKTW5T0QSKCLP" localSheetId="10" hidden="1">#REF!</definedName>
    <definedName name="BExQ8O3WEU8HNTTGKTW5T0QSKCLP" hidden="1">#REF!</definedName>
    <definedName name="BExQ9M4E2ACZOWWWP1JJIQO8AHUM" localSheetId="2" hidden="1">#REF!</definedName>
    <definedName name="BExQ9M4E2ACZOWWWP1JJIQO8AHUM" localSheetId="12" hidden="1">#REF!</definedName>
    <definedName name="BExQ9M4E2ACZOWWWP1JJIQO8AHUM" localSheetId="34" hidden="1">#REF!</definedName>
    <definedName name="BExQ9M4E2ACZOWWWP1JJIQO8AHUM" localSheetId="7" hidden="1">#REF!</definedName>
    <definedName name="BExQ9M4E2ACZOWWWP1JJIQO8AHUM" localSheetId="6" hidden="1">#REF!</definedName>
    <definedName name="BExQ9M4E2ACZOWWWP1JJIQO8AHUM" localSheetId="1" hidden="1">#REF!</definedName>
    <definedName name="BExQ9M4E2ACZOWWWP1JJIQO8AHUM" localSheetId="10" hidden="1">#REF!</definedName>
    <definedName name="BExQ9M4E2ACZOWWWP1JJIQO8AHUM" hidden="1">#REF!</definedName>
    <definedName name="BExQ9ZLYHWABXAA9NJDW8ZS0UQ9P" localSheetId="2" hidden="1">#REF!</definedName>
    <definedName name="BExQ9ZLYHWABXAA9NJDW8ZS0UQ9P" localSheetId="12" hidden="1">#REF!</definedName>
    <definedName name="BExQ9ZLYHWABXAA9NJDW8ZS0UQ9P" localSheetId="34" hidden="1">#REF!</definedName>
    <definedName name="BExQ9ZLYHWABXAA9NJDW8ZS0UQ9P" localSheetId="7" hidden="1">#REF!</definedName>
    <definedName name="BExQ9ZLYHWABXAA9NJDW8ZS0UQ9P" localSheetId="6" hidden="1">#REF!</definedName>
    <definedName name="BExQ9ZLYHWABXAA9NJDW8ZS0UQ9P" localSheetId="1" hidden="1">#REF!</definedName>
    <definedName name="BExQ9ZLYHWABXAA9NJDW8ZS0UQ9P" localSheetId="10" hidden="1">#REF!</definedName>
    <definedName name="BExQ9ZLYHWABXAA9NJDW8ZS0UQ9P" hidden="1">#REF!</definedName>
    <definedName name="BExQA324HSCK40ENJUT9CS9EC71B" localSheetId="2" hidden="1">#REF!</definedName>
    <definedName name="BExQA324HSCK40ENJUT9CS9EC71B" localSheetId="12" hidden="1">#REF!</definedName>
    <definedName name="BExQA324HSCK40ENJUT9CS9EC71B" localSheetId="34" hidden="1">#REF!</definedName>
    <definedName name="BExQA324HSCK40ENJUT9CS9EC71B" localSheetId="7" hidden="1">#REF!</definedName>
    <definedName name="BExQA324HSCK40ENJUT9CS9EC71B" localSheetId="6" hidden="1">#REF!</definedName>
    <definedName name="BExQA324HSCK40ENJUT9CS9EC71B" localSheetId="1" hidden="1">#REF!</definedName>
    <definedName name="BExQA324HSCK40ENJUT9CS9EC71B" localSheetId="10" hidden="1">#REF!</definedName>
    <definedName name="BExQA324HSCK40ENJUT9CS9EC71B" hidden="1">#REF!</definedName>
    <definedName name="BExQAX0WXHFYUMB6XDMGQ9IS2IZ3" localSheetId="2" hidden="1">#REF!</definedName>
    <definedName name="BExQAX0WXHFYUMB6XDMGQ9IS2IZ3" localSheetId="12" hidden="1">#REF!</definedName>
    <definedName name="BExQAX0WXHFYUMB6XDMGQ9IS2IZ3" localSheetId="34" hidden="1">#REF!</definedName>
    <definedName name="BExQAX0WXHFYUMB6XDMGQ9IS2IZ3" localSheetId="7" hidden="1">#REF!</definedName>
    <definedName name="BExQAX0WXHFYUMB6XDMGQ9IS2IZ3" localSheetId="6" hidden="1">#REF!</definedName>
    <definedName name="BExQAX0WXHFYUMB6XDMGQ9IS2IZ3" localSheetId="1" hidden="1">#REF!</definedName>
    <definedName name="BExQAX0WXHFYUMB6XDMGQ9IS2IZ3" localSheetId="10" hidden="1">#REF!</definedName>
    <definedName name="BExQAX0WXHFYUMB6XDMGQ9IS2IZ3" hidden="1">#REF!</definedName>
    <definedName name="BExQDE1B6U2Q9B73KBENABP71YM1" localSheetId="2" hidden="1">#REF!</definedName>
    <definedName name="BExQDE1B6U2Q9B73KBENABP71YM1" localSheetId="12" hidden="1">#REF!</definedName>
    <definedName name="BExQDE1B6U2Q9B73KBENABP71YM1" localSheetId="34" hidden="1">#REF!</definedName>
    <definedName name="BExQDE1B6U2Q9B73KBENABP71YM1" localSheetId="7" hidden="1">#REF!</definedName>
    <definedName name="BExQDE1B6U2Q9B73KBENABP71YM1" localSheetId="6" hidden="1">#REF!</definedName>
    <definedName name="BExQDE1B6U2Q9B73KBENABP71YM1" localSheetId="1" hidden="1">#REF!</definedName>
    <definedName name="BExQDE1B6U2Q9B73KBENABP71YM1" localSheetId="10" hidden="1">#REF!</definedName>
    <definedName name="BExQDE1B6U2Q9B73KBENABP71YM1" hidden="1">#REF!</definedName>
    <definedName name="BExQEMUA4HEFM4OVO8M8MA8PIAW1" localSheetId="2" hidden="1">#REF!</definedName>
    <definedName name="BExQEMUA4HEFM4OVO8M8MA8PIAW1" localSheetId="12" hidden="1">#REF!</definedName>
    <definedName name="BExQEMUA4HEFM4OVO8M8MA8PIAW1" localSheetId="34" hidden="1">#REF!</definedName>
    <definedName name="BExQEMUA4HEFM4OVO8M8MA8PIAW1" localSheetId="7" hidden="1">#REF!</definedName>
    <definedName name="BExQEMUA4HEFM4OVO8M8MA8PIAW1" localSheetId="6" hidden="1">#REF!</definedName>
    <definedName name="BExQEMUA4HEFM4OVO8M8MA8PIAW1" localSheetId="1" hidden="1">#REF!</definedName>
    <definedName name="BExQEMUA4HEFM4OVO8M8MA8PIAW1" localSheetId="10" hidden="1">#REF!</definedName>
    <definedName name="BExQEMUA4HEFM4OVO8M8MA8PIAW1" hidden="1">#REF!</definedName>
    <definedName name="BExQFEK8NUD04X2OBRA275ADPSDL" localSheetId="2" hidden="1">#REF!</definedName>
    <definedName name="BExQFEK8NUD04X2OBRA275ADPSDL" localSheetId="12" hidden="1">#REF!</definedName>
    <definedName name="BExQFEK8NUD04X2OBRA275ADPSDL" localSheetId="34" hidden="1">#REF!</definedName>
    <definedName name="BExQFEK8NUD04X2OBRA275ADPSDL" localSheetId="7" hidden="1">#REF!</definedName>
    <definedName name="BExQFEK8NUD04X2OBRA275ADPSDL" localSheetId="6" hidden="1">#REF!</definedName>
    <definedName name="BExQFEK8NUD04X2OBRA275ADPSDL" localSheetId="1" hidden="1">#REF!</definedName>
    <definedName name="BExQFEK8NUD04X2OBRA275ADPSDL" localSheetId="10" hidden="1">#REF!</definedName>
    <definedName name="BExQFEK8NUD04X2OBRA275ADPSDL" hidden="1">#REF!</definedName>
    <definedName name="BExS6ITKSZFRR01YD5B0F676SYN7" localSheetId="2" hidden="1">#REF!</definedName>
    <definedName name="BExS6ITKSZFRR01YD5B0F676SYN7" localSheetId="12" hidden="1">#REF!</definedName>
    <definedName name="BExS6ITKSZFRR01YD5B0F676SYN7" localSheetId="34" hidden="1">#REF!</definedName>
    <definedName name="BExS6ITKSZFRR01YD5B0F676SYN7" localSheetId="7" hidden="1">#REF!</definedName>
    <definedName name="BExS6ITKSZFRR01YD5B0F676SYN7" localSheetId="6" hidden="1">#REF!</definedName>
    <definedName name="BExS6ITKSZFRR01YD5B0F676SYN7" localSheetId="1" hidden="1">#REF!</definedName>
    <definedName name="BExS6ITKSZFRR01YD5B0F676SYN7" localSheetId="10" hidden="1">#REF!</definedName>
    <definedName name="BExS6ITKSZFRR01YD5B0F676SYN7" hidden="1">#REF!</definedName>
    <definedName name="BExS81TE0EY44Y3W2M4Z4MGNP5OM" localSheetId="2" hidden="1">#REF!</definedName>
    <definedName name="BExS81TE0EY44Y3W2M4Z4MGNP5OM" localSheetId="12" hidden="1">#REF!</definedName>
    <definedName name="BExS81TE0EY44Y3W2M4Z4MGNP5OM" localSheetId="34" hidden="1">#REF!</definedName>
    <definedName name="BExS81TE0EY44Y3W2M4Z4MGNP5OM" localSheetId="7" hidden="1">#REF!</definedName>
    <definedName name="BExS81TE0EY44Y3W2M4Z4MGNP5OM" localSheetId="6" hidden="1">#REF!</definedName>
    <definedName name="BExS81TE0EY44Y3W2M4Z4MGNP5OM" localSheetId="1" hidden="1">#REF!</definedName>
    <definedName name="BExS81TE0EY44Y3W2M4Z4MGNP5OM" localSheetId="10" hidden="1">#REF!</definedName>
    <definedName name="BExS81TE0EY44Y3W2M4Z4MGNP5OM" hidden="1">#REF!</definedName>
    <definedName name="BExSAY9CA9TFXQ9M9FBJRGJO9T9E" localSheetId="2" hidden="1">#REF!</definedName>
    <definedName name="BExSAY9CA9TFXQ9M9FBJRGJO9T9E" localSheetId="12" hidden="1">#REF!</definedName>
    <definedName name="BExSAY9CA9TFXQ9M9FBJRGJO9T9E" localSheetId="34" hidden="1">#REF!</definedName>
    <definedName name="BExSAY9CA9TFXQ9M9FBJRGJO9T9E" localSheetId="7" hidden="1">#REF!</definedName>
    <definedName name="BExSAY9CA9TFXQ9M9FBJRGJO9T9E" localSheetId="6" hidden="1">#REF!</definedName>
    <definedName name="BExSAY9CA9TFXQ9M9FBJRGJO9T9E" localSheetId="1" hidden="1">#REF!</definedName>
    <definedName name="BExSAY9CA9TFXQ9M9FBJRGJO9T9E" localSheetId="10" hidden="1">#REF!</definedName>
    <definedName name="BExSAY9CA9TFXQ9M9FBJRGJO9T9E" hidden="1">#REF!</definedName>
    <definedName name="BExSBMOS41ZRLWYLOU29V6Y7YORR" localSheetId="2" hidden="1">#REF!</definedName>
    <definedName name="BExSBMOS41ZRLWYLOU29V6Y7YORR" localSheetId="12" hidden="1">#REF!</definedName>
    <definedName name="BExSBMOS41ZRLWYLOU29V6Y7YORR" localSheetId="34" hidden="1">#REF!</definedName>
    <definedName name="BExSBMOS41ZRLWYLOU29V6Y7YORR" localSheetId="7" hidden="1">#REF!</definedName>
    <definedName name="BExSBMOS41ZRLWYLOU29V6Y7YORR" localSheetId="6" hidden="1">#REF!</definedName>
    <definedName name="BExSBMOS41ZRLWYLOU29V6Y7YORR" localSheetId="1" hidden="1">#REF!</definedName>
    <definedName name="BExSBMOS41ZRLWYLOU29V6Y7YORR" localSheetId="10" hidden="1">#REF!</definedName>
    <definedName name="BExSBMOS41ZRLWYLOU29V6Y7YORR" hidden="1">#REF!</definedName>
    <definedName name="BExSG9X3DU845PNXYJGGLBQY2UHG" localSheetId="2" hidden="1">#REF!</definedName>
    <definedName name="BExSG9X3DU845PNXYJGGLBQY2UHG" localSheetId="12" hidden="1">#REF!</definedName>
    <definedName name="BExSG9X3DU845PNXYJGGLBQY2UHG" localSheetId="34" hidden="1">#REF!</definedName>
    <definedName name="BExSG9X3DU845PNXYJGGLBQY2UHG" localSheetId="7" hidden="1">#REF!</definedName>
    <definedName name="BExSG9X3DU845PNXYJGGLBQY2UHG" localSheetId="6" hidden="1">#REF!</definedName>
    <definedName name="BExSG9X3DU845PNXYJGGLBQY2UHG" localSheetId="1" hidden="1">#REF!</definedName>
    <definedName name="BExSG9X3DU845PNXYJGGLBQY2UHG" localSheetId="10" hidden="1">#REF!</definedName>
    <definedName name="BExSG9X3DU845PNXYJGGLBQY2UHG" hidden="1">#REF!</definedName>
    <definedName name="BExSGOAYG73SFWOPAQV80P710GID" localSheetId="2" hidden="1">#REF!</definedName>
    <definedName name="BExSGOAYG73SFWOPAQV80P710GID" localSheetId="12" hidden="1">#REF!</definedName>
    <definedName name="BExSGOAYG73SFWOPAQV80P710GID" localSheetId="34" hidden="1">#REF!</definedName>
    <definedName name="BExSGOAYG73SFWOPAQV80P710GID" localSheetId="7" hidden="1">#REF!</definedName>
    <definedName name="BExSGOAYG73SFWOPAQV80P710GID" localSheetId="6" hidden="1">#REF!</definedName>
    <definedName name="BExSGOAYG73SFWOPAQV80P710GID" localSheetId="1" hidden="1">#REF!</definedName>
    <definedName name="BExSGOAYG73SFWOPAQV80P710GID" localSheetId="10" hidden="1">#REF!</definedName>
    <definedName name="BExSGOAYG73SFWOPAQV80P710GID" hidden="1">#REF!</definedName>
    <definedName name="BExTTZNS2PBCR93C9IUW49UZ4I6T" localSheetId="2" hidden="1">#REF!</definedName>
    <definedName name="BExTTZNS2PBCR93C9IUW49UZ4I6T" localSheetId="12" hidden="1">#REF!</definedName>
    <definedName name="BExTTZNS2PBCR93C9IUW49UZ4I6T" localSheetId="34" hidden="1">#REF!</definedName>
    <definedName name="BExTTZNS2PBCR93C9IUW49UZ4I6T" localSheetId="7" hidden="1">#REF!</definedName>
    <definedName name="BExTTZNS2PBCR93C9IUW49UZ4I6T" localSheetId="6" hidden="1">#REF!</definedName>
    <definedName name="BExTTZNS2PBCR93C9IUW49UZ4I6T" localSheetId="1" hidden="1">#REF!</definedName>
    <definedName name="BExTTZNS2PBCR93C9IUW49UZ4I6T" localSheetId="10" hidden="1">#REF!</definedName>
    <definedName name="BExTTZNS2PBCR93C9IUW49UZ4I6T" hidden="1">#REF!</definedName>
    <definedName name="BExTUY9WNSJ91GV8CP0SKJTEIV82" localSheetId="2" hidden="1">#REF!</definedName>
    <definedName name="BExTUY9WNSJ91GV8CP0SKJTEIV82" localSheetId="12" hidden="1">#REF!</definedName>
    <definedName name="BExTUY9WNSJ91GV8CP0SKJTEIV82" localSheetId="34" hidden="1">#REF!</definedName>
    <definedName name="BExTUY9WNSJ91GV8CP0SKJTEIV82" localSheetId="7" hidden="1">#REF!</definedName>
    <definedName name="BExTUY9WNSJ91GV8CP0SKJTEIV82" localSheetId="6" hidden="1">#REF!</definedName>
    <definedName name="BExTUY9WNSJ91GV8CP0SKJTEIV82" localSheetId="1" hidden="1">#REF!</definedName>
    <definedName name="BExTUY9WNSJ91GV8CP0SKJTEIV82" localSheetId="10" hidden="1">#REF!</definedName>
    <definedName name="BExTUY9WNSJ91GV8CP0SKJTEIV82" hidden="1">#REF!</definedName>
    <definedName name="BExTVELZCF2YA5L6F23BYZZR6WHF" localSheetId="2" hidden="1">#REF!</definedName>
    <definedName name="BExTVELZCF2YA5L6F23BYZZR6WHF" localSheetId="12" hidden="1">#REF!</definedName>
    <definedName name="BExTVELZCF2YA5L6F23BYZZR6WHF" localSheetId="34" hidden="1">#REF!</definedName>
    <definedName name="BExTVELZCF2YA5L6F23BYZZR6WHF" localSheetId="7" hidden="1">#REF!</definedName>
    <definedName name="BExTVELZCF2YA5L6F23BYZZR6WHF" localSheetId="6" hidden="1">#REF!</definedName>
    <definedName name="BExTVELZCF2YA5L6F23BYZZR6WHF" localSheetId="1" hidden="1">#REF!</definedName>
    <definedName name="BExTVELZCF2YA5L6F23BYZZR6WHF" localSheetId="10" hidden="1">#REF!</definedName>
    <definedName name="BExTVELZCF2YA5L6F23BYZZR6WHF" hidden="1">#REF!</definedName>
    <definedName name="BExTXJ6HBAIXMMWKZTJNFDYVZCAY" localSheetId="2" hidden="1">#REF!</definedName>
    <definedName name="BExTXJ6HBAIXMMWKZTJNFDYVZCAY" localSheetId="12" hidden="1">#REF!</definedName>
    <definedName name="BExTXJ6HBAIXMMWKZTJNFDYVZCAY" localSheetId="34" hidden="1">#REF!</definedName>
    <definedName name="BExTXJ6HBAIXMMWKZTJNFDYVZCAY" localSheetId="7" hidden="1">#REF!</definedName>
    <definedName name="BExTXJ6HBAIXMMWKZTJNFDYVZCAY" localSheetId="6" hidden="1">#REF!</definedName>
    <definedName name="BExTXJ6HBAIXMMWKZTJNFDYVZCAY" localSheetId="1" hidden="1">#REF!</definedName>
    <definedName name="BExTXJ6HBAIXMMWKZTJNFDYVZCAY" localSheetId="10" hidden="1">#REF!</definedName>
    <definedName name="BExTXJ6HBAIXMMWKZTJNFDYVZCAY" hidden="1">#REF!</definedName>
    <definedName name="BExTXT812NQT8GAEGH738U29BI0D" localSheetId="2" hidden="1">#REF!</definedName>
    <definedName name="BExTXT812NQT8GAEGH738U29BI0D" localSheetId="12" hidden="1">#REF!</definedName>
    <definedName name="BExTXT812NQT8GAEGH738U29BI0D" localSheetId="34" hidden="1">#REF!</definedName>
    <definedName name="BExTXT812NQT8GAEGH738U29BI0D" localSheetId="7" hidden="1">#REF!</definedName>
    <definedName name="BExTXT812NQT8GAEGH738U29BI0D" localSheetId="6" hidden="1">#REF!</definedName>
    <definedName name="BExTXT812NQT8GAEGH738U29BI0D" localSheetId="1" hidden="1">#REF!</definedName>
    <definedName name="BExTXT812NQT8GAEGH738U29BI0D" localSheetId="10" hidden="1">#REF!</definedName>
    <definedName name="BExTXT812NQT8GAEGH738U29BI0D" hidden="1">#REF!</definedName>
    <definedName name="BExTY5T62H651VC86QM4X7E28JVA" localSheetId="2" hidden="1">#REF!</definedName>
    <definedName name="BExTY5T62H651VC86QM4X7E28JVA" localSheetId="12" hidden="1">#REF!</definedName>
    <definedName name="BExTY5T62H651VC86QM4X7E28JVA" localSheetId="34" hidden="1">#REF!</definedName>
    <definedName name="BExTY5T62H651VC86QM4X7E28JVA" localSheetId="7" hidden="1">#REF!</definedName>
    <definedName name="BExTY5T62H651VC86QM4X7E28JVA" localSheetId="6" hidden="1">#REF!</definedName>
    <definedName name="BExTY5T62H651VC86QM4X7E28JVA" localSheetId="1" hidden="1">#REF!</definedName>
    <definedName name="BExTY5T62H651VC86QM4X7E28JVA" localSheetId="10" hidden="1">#REF!</definedName>
    <definedName name="BExTY5T62H651VC86QM4X7E28JVA" hidden="1">#REF!</definedName>
    <definedName name="BExTZO2596CBZKPI7YNA1QQNPAIJ" localSheetId="2" hidden="1">#REF!</definedName>
    <definedName name="BExTZO2596CBZKPI7YNA1QQNPAIJ" localSheetId="12" hidden="1">#REF!</definedName>
    <definedName name="BExTZO2596CBZKPI7YNA1QQNPAIJ" localSheetId="34" hidden="1">#REF!</definedName>
    <definedName name="BExTZO2596CBZKPI7YNA1QQNPAIJ" localSheetId="7" hidden="1">#REF!</definedName>
    <definedName name="BExTZO2596CBZKPI7YNA1QQNPAIJ" localSheetId="6" hidden="1">#REF!</definedName>
    <definedName name="BExTZO2596CBZKPI7YNA1QQNPAIJ" localSheetId="1" hidden="1">#REF!</definedName>
    <definedName name="BExTZO2596CBZKPI7YNA1QQNPAIJ" localSheetId="10" hidden="1">#REF!</definedName>
    <definedName name="BExTZO2596CBZKPI7YNA1QQNPAIJ" hidden="1">#REF!</definedName>
    <definedName name="BExU02QNT4LT7H9JPUC4FXTLVGZT" localSheetId="2" hidden="1">#REF!</definedName>
    <definedName name="BExU02QNT4LT7H9JPUC4FXTLVGZT" localSheetId="12" hidden="1">#REF!</definedName>
    <definedName name="BExU02QNT4LT7H9JPUC4FXTLVGZT" localSheetId="34" hidden="1">#REF!</definedName>
    <definedName name="BExU02QNT4LT7H9JPUC4FXTLVGZT" localSheetId="7" hidden="1">#REF!</definedName>
    <definedName name="BExU02QNT4LT7H9JPUC4FXTLVGZT" localSheetId="6" hidden="1">#REF!</definedName>
    <definedName name="BExU02QNT4LT7H9JPUC4FXTLVGZT" localSheetId="1" hidden="1">#REF!</definedName>
    <definedName name="BExU02QNT4LT7H9JPUC4FXTLVGZT" localSheetId="10" hidden="1">#REF!</definedName>
    <definedName name="BExU02QNT4LT7H9JPUC4FXTLVGZT" hidden="1">#REF!</definedName>
    <definedName name="BExU1IL9AOHFO85BZB6S60DK3N8H" localSheetId="2" hidden="1">#REF!</definedName>
    <definedName name="BExU1IL9AOHFO85BZB6S60DK3N8H" localSheetId="12" hidden="1">#REF!</definedName>
    <definedName name="BExU1IL9AOHFO85BZB6S60DK3N8H" localSheetId="34" hidden="1">#REF!</definedName>
    <definedName name="BExU1IL9AOHFO85BZB6S60DK3N8H" localSheetId="7" hidden="1">#REF!</definedName>
    <definedName name="BExU1IL9AOHFO85BZB6S60DK3N8H" localSheetId="6" hidden="1">#REF!</definedName>
    <definedName name="BExU1IL9AOHFO85BZB6S60DK3N8H" localSheetId="1" hidden="1">#REF!</definedName>
    <definedName name="BExU1IL9AOHFO85BZB6S60DK3N8H" localSheetId="10" hidden="1">#REF!</definedName>
    <definedName name="BExU1IL9AOHFO85BZB6S60DK3N8H" hidden="1">#REF!</definedName>
    <definedName name="BExU1NOPS09CLFZL1O31RAF9BQNQ" localSheetId="2" hidden="1">#REF!</definedName>
    <definedName name="BExU1NOPS09CLFZL1O31RAF9BQNQ" localSheetId="12" hidden="1">#REF!</definedName>
    <definedName name="BExU1NOPS09CLFZL1O31RAF9BQNQ" localSheetId="34" hidden="1">#REF!</definedName>
    <definedName name="BExU1NOPS09CLFZL1O31RAF9BQNQ" localSheetId="7" hidden="1">#REF!</definedName>
    <definedName name="BExU1NOPS09CLFZL1O31RAF9BQNQ" localSheetId="6" hidden="1">#REF!</definedName>
    <definedName name="BExU1NOPS09CLFZL1O31RAF9BQNQ" localSheetId="1" hidden="1">#REF!</definedName>
    <definedName name="BExU1NOPS09CLFZL1O31RAF9BQNQ" localSheetId="10" hidden="1">#REF!</definedName>
    <definedName name="BExU1NOPS09CLFZL1O31RAF9BQNQ" hidden="1">#REF!</definedName>
    <definedName name="BExU1VRURIWWVJ95O40WA23LMTJD" localSheetId="2" hidden="1">#REF!</definedName>
    <definedName name="BExU1VRURIWWVJ95O40WA23LMTJD" localSheetId="12" hidden="1">#REF!</definedName>
    <definedName name="BExU1VRURIWWVJ95O40WA23LMTJD" localSheetId="34" hidden="1">#REF!</definedName>
    <definedName name="BExU1VRURIWWVJ95O40WA23LMTJD" localSheetId="7" hidden="1">#REF!</definedName>
    <definedName name="BExU1VRURIWWVJ95O40WA23LMTJD" localSheetId="6" hidden="1">#REF!</definedName>
    <definedName name="BExU1VRURIWWVJ95O40WA23LMTJD" localSheetId="1" hidden="1">#REF!</definedName>
    <definedName name="BExU1VRURIWWVJ95O40WA23LMTJD" localSheetId="10" hidden="1">#REF!</definedName>
    <definedName name="BExU1VRURIWWVJ95O40WA23LMTJD" hidden="1">#REF!</definedName>
    <definedName name="BExU4GDVLPUEWBA4MRYRTQAUNO7B" localSheetId="2" hidden="1">#REF!</definedName>
    <definedName name="BExU4GDVLPUEWBA4MRYRTQAUNO7B" localSheetId="12" hidden="1">#REF!</definedName>
    <definedName name="BExU4GDVLPUEWBA4MRYRTQAUNO7B" localSheetId="34" hidden="1">#REF!</definedName>
    <definedName name="BExU4GDVLPUEWBA4MRYRTQAUNO7B" localSheetId="7" hidden="1">#REF!</definedName>
    <definedName name="BExU4GDVLPUEWBA4MRYRTQAUNO7B" localSheetId="6" hidden="1">#REF!</definedName>
    <definedName name="BExU4GDVLPUEWBA4MRYRTQAUNO7B" localSheetId="1" hidden="1">#REF!</definedName>
    <definedName name="BExU4GDVLPUEWBA4MRYRTQAUNO7B" localSheetId="10" hidden="1">#REF!</definedName>
    <definedName name="BExU4GDVLPUEWBA4MRYRTQAUNO7B" hidden="1">#REF!</definedName>
    <definedName name="BExU80I6AE5OU7P7F5V7HWIZBJ4P" localSheetId="2" hidden="1">#REF!</definedName>
    <definedName name="BExU80I6AE5OU7P7F5V7HWIZBJ4P" localSheetId="12" hidden="1">#REF!</definedName>
    <definedName name="BExU80I6AE5OU7P7F5V7HWIZBJ4P" localSheetId="34" hidden="1">#REF!</definedName>
    <definedName name="BExU80I6AE5OU7P7F5V7HWIZBJ4P" localSheetId="7" hidden="1">#REF!</definedName>
    <definedName name="BExU80I6AE5OU7P7F5V7HWIZBJ4P" localSheetId="6" hidden="1">#REF!</definedName>
    <definedName name="BExU80I6AE5OU7P7F5V7HWIZBJ4P" localSheetId="1" hidden="1">#REF!</definedName>
    <definedName name="BExU80I6AE5OU7P7F5V7HWIZBJ4P" localSheetId="10" hidden="1">#REF!</definedName>
    <definedName name="BExU80I6AE5OU7P7F5V7HWIZBJ4P" hidden="1">#REF!</definedName>
    <definedName name="BExUC623BDYEODBN0N4DO6PJQ7NU" localSheetId="2" hidden="1">#REF!</definedName>
    <definedName name="BExUC623BDYEODBN0N4DO6PJQ7NU" localSheetId="12" hidden="1">#REF!</definedName>
    <definedName name="BExUC623BDYEODBN0N4DO6PJQ7NU" localSheetId="34" hidden="1">#REF!</definedName>
    <definedName name="BExUC623BDYEODBN0N4DO6PJQ7NU" localSheetId="7" hidden="1">#REF!</definedName>
    <definedName name="BExUC623BDYEODBN0N4DO6PJQ7NU" localSheetId="6" hidden="1">#REF!</definedName>
    <definedName name="BExUC623BDYEODBN0N4DO6PJQ7NU" localSheetId="1" hidden="1">#REF!</definedName>
    <definedName name="BExUC623BDYEODBN0N4DO6PJQ7NU" localSheetId="10" hidden="1">#REF!</definedName>
    <definedName name="BExUC623BDYEODBN0N4DO6PJQ7NU" hidden="1">#REF!</definedName>
    <definedName name="BExUDEV0CYVO7Y5IQQBEJ6FUY9S6" localSheetId="2" hidden="1">#REF!</definedName>
    <definedName name="BExUDEV0CYVO7Y5IQQBEJ6FUY9S6" localSheetId="12" hidden="1">#REF!</definedName>
    <definedName name="BExUDEV0CYVO7Y5IQQBEJ6FUY9S6" localSheetId="34" hidden="1">#REF!</definedName>
    <definedName name="BExUDEV0CYVO7Y5IQQBEJ6FUY9S6" localSheetId="7" hidden="1">#REF!</definedName>
    <definedName name="BExUDEV0CYVO7Y5IQQBEJ6FUY9S6" localSheetId="6" hidden="1">#REF!</definedName>
    <definedName name="BExUDEV0CYVO7Y5IQQBEJ6FUY9S6" localSheetId="1" hidden="1">#REF!</definedName>
    <definedName name="BExUDEV0CYVO7Y5IQQBEJ6FUY9S6" localSheetId="10" hidden="1">#REF!</definedName>
    <definedName name="BExUDEV0CYVO7Y5IQQBEJ6FUY9S6" hidden="1">#REF!</definedName>
    <definedName name="BExUEJGX3OQQP5KFRJSRCZ70EI9V" localSheetId="2" hidden="1">#REF!</definedName>
    <definedName name="BExUEJGX3OQQP5KFRJSRCZ70EI9V" localSheetId="12" hidden="1">#REF!</definedName>
    <definedName name="BExUEJGX3OQQP5KFRJSRCZ70EI9V" localSheetId="34" hidden="1">#REF!</definedName>
    <definedName name="BExUEJGX3OQQP5KFRJSRCZ70EI9V" localSheetId="7" hidden="1">#REF!</definedName>
    <definedName name="BExUEJGX3OQQP5KFRJSRCZ70EI9V" localSheetId="6" hidden="1">#REF!</definedName>
    <definedName name="BExUEJGX3OQQP5KFRJSRCZ70EI9V" localSheetId="1" hidden="1">#REF!</definedName>
    <definedName name="BExUEJGX3OQQP5KFRJSRCZ70EI9V" localSheetId="10" hidden="1">#REF!</definedName>
    <definedName name="BExUEJGX3OQQP5KFRJSRCZ70EI9V" hidden="1">#REF!</definedName>
    <definedName name="BExVTCMDDEDGLUIMUU6BSFHEWTOP" localSheetId="2" hidden="1">#REF!</definedName>
    <definedName name="BExVTCMDDEDGLUIMUU6BSFHEWTOP" localSheetId="12" hidden="1">#REF!</definedName>
    <definedName name="BExVTCMDDEDGLUIMUU6BSFHEWTOP" localSheetId="34" hidden="1">#REF!</definedName>
    <definedName name="BExVTCMDDEDGLUIMUU6BSFHEWTOP" localSheetId="7" hidden="1">#REF!</definedName>
    <definedName name="BExVTCMDDEDGLUIMUU6BSFHEWTOP" localSheetId="6" hidden="1">#REF!</definedName>
    <definedName name="BExVTCMDDEDGLUIMUU6BSFHEWTOP" localSheetId="1" hidden="1">#REF!</definedName>
    <definedName name="BExVTCMDDEDGLUIMUU6BSFHEWTOP" localSheetId="10" hidden="1">#REF!</definedName>
    <definedName name="BExVTCMDDEDGLUIMUU6BSFHEWTOP" hidden="1">#REF!</definedName>
    <definedName name="BExVVPFO2J7FMSRPD36909HN4BZJ" localSheetId="2" hidden="1">#REF!</definedName>
    <definedName name="BExVVPFO2J7FMSRPD36909HN4BZJ" localSheetId="12" hidden="1">#REF!</definedName>
    <definedName name="BExVVPFO2J7FMSRPD36909HN4BZJ" localSheetId="34" hidden="1">#REF!</definedName>
    <definedName name="BExVVPFO2J7FMSRPD36909HN4BZJ" localSheetId="7" hidden="1">#REF!</definedName>
    <definedName name="BExVVPFO2J7FMSRPD36909HN4BZJ" localSheetId="6" hidden="1">#REF!</definedName>
    <definedName name="BExVVPFO2J7FMSRPD36909HN4BZJ" localSheetId="1" hidden="1">#REF!</definedName>
    <definedName name="BExVVPFO2J7FMSRPD36909HN4BZJ" localSheetId="10" hidden="1">#REF!</definedName>
    <definedName name="BExVVPFO2J7FMSRPD36909HN4BZJ" hidden="1">#REF!</definedName>
    <definedName name="BExVVQ19TAECID45CS4HXT1RD3AQ" localSheetId="2" hidden="1">#REF!</definedName>
    <definedName name="BExVVQ19TAECID45CS4HXT1RD3AQ" localSheetId="12" hidden="1">#REF!</definedName>
    <definedName name="BExVVQ19TAECID45CS4HXT1RD3AQ" localSheetId="34" hidden="1">#REF!</definedName>
    <definedName name="BExVVQ19TAECID45CS4HXT1RD3AQ" localSheetId="7" hidden="1">#REF!</definedName>
    <definedName name="BExVVQ19TAECID45CS4HXT1RD3AQ" localSheetId="6" hidden="1">#REF!</definedName>
    <definedName name="BExVVQ19TAECID45CS4HXT1RD3AQ" localSheetId="1" hidden="1">#REF!</definedName>
    <definedName name="BExVVQ19TAECID45CS4HXT1RD3AQ" localSheetId="10" hidden="1">#REF!</definedName>
    <definedName name="BExVVQ19TAECID45CS4HXT1RD3AQ" hidden="1">#REF!</definedName>
    <definedName name="BExVXLX2BZ5EF2X6R41BTKRJR1NM" localSheetId="2" hidden="1">#REF!</definedName>
    <definedName name="BExVXLX2BZ5EF2X6R41BTKRJR1NM" localSheetId="12" hidden="1">#REF!</definedName>
    <definedName name="BExVXLX2BZ5EF2X6R41BTKRJR1NM" localSheetId="34" hidden="1">#REF!</definedName>
    <definedName name="BExVXLX2BZ5EF2X6R41BTKRJR1NM" localSheetId="7" hidden="1">#REF!</definedName>
    <definedName name="BExVXLX2BZ5EF2X6R41BTKRJR1NM" localSheetId="6" hidden="1">#REF!</definedName>
    <definedName name="BExVXLX2BZ5EF2X6R41BTKRJR1NM" localSheetId="1" hidden="1">#REF!</definedName>
    <definedName name="BExVXLX2BZ5EF2X6R41BTKRJR1NM" localSheetId="10" hidden="1">#REF!</definedName>
    <definedName name="BExVXLX2BZ5EF2X6R41BTKRJR1NM" hidden="1">#REF!</definedName>
    <definedName name="BExVY1SV37DL5YU59HS4IG3VBCP4" localSheetId="2" hidden="1">#REF!</definedName>
    <definedName name="BExVY1SV37DL5YU59HS4IG3VBCP4" localSheetId="12" hidden="1">#REF!</definedName>
    <definedName name="BExVY1SV37DL5YU59HS4IG3VBCP4" localSheetId="34" hidden="1">#REF!</definedName>
    <definedName name="BExVY1SV37DL5YU59HS4IG3VBCP4" localSheetId="7" hidden="1">#REF!</definedName>
    <definedName name="BExVY1SV37DL5YU59HS4IG3VBCP4" localSheetId="6" hidden="1">#REF!</definedName>
    <definedName name="BExVY1SV37DL5YU59HS4IG3VBCP4" localSheetId="1" hidden="1">#REF!</definedName>
    <definedName name="BExVY1SV37DL5YU59HS4IG3VBCP4" localSheetId="10" hidden="1">#REF!</definedName>
    <definedName name="BExVY1SV37DL5YU59HS4IG3VBCP4" hidden="1">#REF!</definedName>
    <definedName name="BExVZJQVO5LQ0BJH5JEN5NOBIAF6" localSheetId="2" hidden="1">#REF!</definedName>
    <definedName name="BExVZJQVO5LQ0BJH5JEN5NOBIAF6" localSheetId="12" hidden="1">#REF!</definedName>
    <definedName name="BExVZJQVO5LQ0BJH5JEN5NOBIAF6" localSheetId="34" hidden="1">#REF!</definedName>
    <definedName name="BExVZJQVO5LQ0BJH5JEN5NOBIAF6" localSheetId="7" hidden="1">#REF!</definedName>
    <definedName name="BExVZJQVO5LQ0BJH5JEN5NOBIAF6" localSheetId="6" hidden="1">#REF!</definedName>
    <definedName name="BExVZJQVO5LQ0BJH5JEN5NOBIAF6" localSheetId="1" hidden="1">#REF!</definedName>
    <definedName name="BExVZJQVO5LQ0BJH5JEN5NOBIAF6" localSheetId="10" hidden="1">#REF!</definedName>
    <definedName name="BExVZJQVO5LQ0BJH5JEN5NOBIAF6" hidden="1">#REF!</definedName>
    <definedName name="BExW66LVVZK656PQY1257QMHP2AY" localSheetId="2" hidden="1">#REF!</definedName>
    <definedName name="BExW66LVVZK656PQY1257QMHP2AY" localSheetId="12" hidden="1">#REF!</definedName>
    <definedName name="BExW66LVVZK656PQY1257QMHP2AY" localSheetId="34" hidden="1">#REF!</definedName>
    <definedName name="BExW66LVVZK656PQY1257QMHP2AY" localSheetId="7" hidden="1">#REF!</definedName>
    <definedName name="BExW66LVVZK656PQY1257QMHP2AY" localSheetId="6" hidden="1">#REF!</definedName>
    <definedName name="BExW66LVVZK656PQY1257QMHP2AY" localSheetId="1" hidden="1">#REF!</definedName>
    <definedName name="BExW66LVVZK656PQY1257QMHP2AY" localSheetId="10" hidden="1">#REF!</definedName>
    <definedName name="BExW66LVVZK656PQY1257QMHP2AY" hidden="1">#REF!</definedName>
    <definedName name="BExXLDE6PN4ESWT3LXJNQCY94NE4" localSheetId="2" hidden="1">#REF!</definedName>
    <definedName name="BExXLDE6PN4ESWT3LXJNQCY94NE4" localSheetId="12" hidden="1">#REF!</definedName>
    <definedName name="BExXLDE6PN4ESWT3LXJNQCY94NE4" localSheetId="34" hidden="1">#REF!</definedName>
    <definedName name="BExXLDE6PN4ESWT3LXJNQCY94NE4" localSheetId="7" hidden="1">#REF!</definedName>
    <definedName name="BExXLDE6PN4ESWT3LXJNQCY94NE4" localSheetId="6" hidden="1">#REF!</definedName>
    <definedName name="BExXLDE6PN4ESWT3LXJNQCY94NE4" localSheetId="1" hidden="1">#REF!</definedName>
    <definedName name="BExXLDE6PN4ESWT3LXJNQCY94NE4" localSheetId="10" hidden="1">#REF!</definedName>
    <definedName name="BExXLDE6PN4ESWT3LXJNQCY94NE4" hidden="1">#REF!</definedName>
    <definedName name="BExXM065WOLYRYHGHOJE0OOFXA4M" localSheetId="2" hidden="1">#REF!</definedName>
    <definedName name="BExXM065WOLYRYHGHOJE0OOFXA4M" localSheetId="12" hidden="1">#REF!</definedName>
    <definedName name="BExXM065WOLYRYHGHOJE0OOFXA4M" localSheetId="34" hidden="1">#REF!</definedName>
    <definedName name="BExXM065WOLYRYHGHOJE0OOFXA4M" localSheetId="7" hidden="1">#REF!</definedName>
    <definedName name="BExXM065WOLYRYHGHOJE0OOFXA4M" localSheetId="6" hidden="1">#REF!</definedName>
    <definedName name="BExXM065WOLYRYHGHOJE0OOFXA4M" localSheetId="1" hidden="1">#REF!</definedName>
    <definedName name="BExXM065WOLYRYHGHOJE0OOFXA4M" localSheetId="10" hidden="1">#REF!</definedName>
    <definedName name="BExXM065WOLYRYHGHOJE0OOFXA4M" hidden="1">#REF!</definedName>
    <definedName name="BExXNWYB165VO9MHARCL5WLCHWS0" localSheetId="2" hidden="1">#REF!</definedName>
    <definedName name="BExXNWYB165VO9MHARCL5WLCHWS0" localSheetId="12" hidden="1">#REF!</definedName>
    <definedName name="BExXNWYB165VO9MHARCL5WLCHWS0" localSheetId="34" hidden="1">#REF!</definedName>
    <definedName name="BExXNWYB165VO9MHARCL5WLCHWS0" localSheetId="7" hidden="1">#REF!</definedName>
    <definedName name="BExXNWYB165VO9MHARCL5WLCHWS0" localSheetId="6" hidden="1">#REF!</definedName>
    <definedName name="BExXNWYB165VO9MHARCL5WLCHWS0" localSheetId="1" hidden="1">#REF!</definedName>
    <definedName name="BExXNWYB165VO9MHARCL5WLCHWS0" localSheetId="10" hidden="1">#REF!</definedName>
    <definedName name="BExXNWYB165VO9MHARCL5WLCHWS0" hidden="1">#REF!</definedName>
    <definedName name="BExXQH41O5HZAH8BO6HCFY8YC3TU" localSheetId="2" hidden="1">#REF!</definedName>
    <definedName name="BExXQH41O5HZAH8BO6HCFY8YC3TU" localSheetId="12" hidden="1">#REF!</definedName>
    <definedName name="BExXQH41O5HZAH8BO6HCFY8YC3TU" localSheetId="34" hidden="1">#REF!</definedName>
    <definedName name="BExXQH41O5HZAH8BO6HCFY8YC3TU" localSheetId="7" hidden="1">#REF!</definedName>
    <definedName name="BExXQH41O5HZAH8BO6HCFY8YC3TU" localSheetId="6" hidden="1">#REF!</definedName>
    <definedName name="BExXQH41O5HZAH8BO6HCFY8YC3TU" localSheetId="1" hidden="1">#REF!</definedName>
    <definedName name="BExXQH41O5HZAH8BO6HCFY8YC3TU" localSheetId="10" hidden="1">#REF!</definedName>
    <definedName name="BExXQH41O5HZAH8BO6HCFY8YC3TU" hidden="1">#REF!</definedName>
    <definedName name="BExXRD13K1S9Y3JGR7CXSONT7RJZ" localSheetId="2" hidden="1">#REF!</definedName>
    <definedName name="BExXRD13K1S9Y3JGR7CXSONT7RJZ" localSheetId="12" hidden="1">#REF!</definedName>
    <definedName name="BExXRD13K1S9Y3JGR7CXSONT7RJZ" localSheetId="34" hidden="1">#REF!</definedName>
    <definedName name="BExXRD13K1S9Y3JGR7CXSONT7RJZ" localSheetId="7" hidden="1">#REF!</definedName>
    <definedName name="BExXRD13K1S9Y3JGR7CXSONT7RJZ" localSheetId="6" hidden="1">#REF!</definedName>
    <definedName name="BExXRD13K1S9Y3JGR7CXSONT7RJZ" localSheetId="1" hidden="1">#REF!</definedName>
    <definedName name="BExXRD13K1S9Y3JGR7CXSONT7RJZ" localSheetId="10" hidden="1">#REF!</definedName>
    <definedName name="BExXRD13K1S9Y3JGR7CXSONT7RJZ" hidden="1">#REF!</definedName>
    <definedName name="BExXRO4A6VUH1F4XV8N1BRJ4896W" localSheetId="2" hidden="1">#REF!</definedName>
    <definedName name="BExXRO4A6VUH1F4XV8N1BRJ4896W" localSheetId="12" hidden="1">#REF!</definedName>
    <definedName name="BExXRO4A6VUH1F4XV8N1BRJ4896W" localSheetId="34" hidden="1">#REF!</definedName>
    <definedName name="BExXRO4A6VUH1F4XV8N1BRJ4896W" localSheetId="7" hidden="1">#REF!</definedName>
    <definedName name="BExXRO4A6VUH1F4XV8N1BRJ4896W" localSheetId="6" hidden="1">#REF!</definedName>
    <definedName name="BExXRO4A6VUH1F4XV8N1BRJ4896W" localSheetId="1" hidden="1">#REF!</definedName>
    <definedName name="BExXRO4A6VUH1F4XV8N1BRJ4896W" localSheetId="10" hidden="1">#REF!</definedName>
    <definedName name="BExXRO4A6VUH1F4XV8N1BRJ4896W" hidden="1">#REF!</definedName>
    <definedName name="BExXU8VLZA7WLPZ3RAQZGNERUD26" localSheetId="2" hidden="1">#REF!</definedName>
    <definedName name="BExXU8VLZA7WLPZ3RAQZGNERUD26" localSheetId="12" hidden="1">#REF!</definedName>
    <definedName name="BExXU8VLZA7WLPZ3RAQZGNERUD26" localSheetId="34" hidden="1">#REF!</definedName>
    <definedName name="BExXU8VLZA7WLPZ3RAQZGNERUD26" localSheetId="7" hidden="1">#REF!</definedName>
    <definedName name="BExXU8VLZA7WLPZ3RAQZGNERUD26" localSheetId="6" hidden="1">#REF!</definedName>
    <definedName name="BExXU8VLZA7WLPZ3RAQZGNERUD26" localSheetId="1" hidden="1">#REF!</definedName>
    <definedName name="BExXU8VLZA7WLPZ3RAQZGNERUD26" localSheetId="10" hidden="1">#REF!</definedName>
    <definedName name="BExXU8VLZA7WLPZ3RAQZGNERUD26" hidden="1">#REF!</definedName>
    <definedName name="BExXXBM521DL8R4ZX7NZ3DBCUOR5" localSheetId="2" hidden="1">#REF!</definedName>
    <definedName name="BExXXBM521DL8R4ZX7NZ3DBCUOR5" localSheetId="12" hidden="1">#REF!</definedName>
    <definedName name="BExXXBM521DL8R4ZX7NZ3DBCUOR5" localSheetId="34" hidden="1">#REF!</definedName>
    <definedName name="BExXXBM521DL8R4ZX7NZ3DBCUOR5" localSheetId="7" hidden="1">#REF!</definedName>
    <definedName name="BExXXBM521DL8R4ZX7NZ3DBCUOR5" localSheetId="6" hidden="1">#REF!</definedName>
    <definedName name="BExXXBM521DL8R4ZX7NZ3DBCUOR5" localSheetId="1" hidden="1">#REF!</definedName>
    <definedName name="BExXXBM521DL8R4ZX7NZ3DBCUOR5" localSheetId="10" hidden="1">#REF!</definedName>
    <definedName name="BExXXBM521DL8R4ZX7NZ3DBCUOR5" hidden="1">#REF!</definedName>
    <definedName name="BExXXZQNZY6IZI45DJXJK0MQZWA7" localSheetId="2" hidden="1">#REF!</definedName>
    <definedName name="BExXXZQNZY6IZI45DJXJK0MQZWA7" localSheetId="12" hidden="1">#REF!</definedName>
    <definedName name="BExXXZQNZY6IZI45DJXJK0MQZWA7" localSheetId="34" hidden="1">#REF!</definedName>
    <definedName name="BExXXZQNZY6IZI45DJXJK0MQZWA7" localSheetId="7" hidden="1">#REF!</definedName>
    <definedName name="BExXXZQNZY6IZI45DJXJK0MQZWA7" localSheetId="6" hidden="1">#REF!</definedName>
    <definedName name="BExXXZQNZY6IZI45DJXJK0MQZWA7" localSheetId="1" hidden="1">#REF!</definedName>
    <definedName name="BExXXZQNZY6IZI45DJXJK0MQZWA7" localSheetId="10" hidden="1">#REF!</definedName>
    <definedName name="BExXXZQNZY6IZI45DJXJK0MQZWA7" hidden="1">#REF!</definedName>
    <definedName name="BExXY7TYEBFXRYUYIFHTN65RJ8EW" localSheetId="2" hidden="1">#REF!</definedName>
    <definedName name="BExXY7TYEBFXRYUYIFHTN65RJ8EW" localSheetId="12" hidden="1">#REF!</definedName>
    <definedName name="BExXY7TYEBFXRYUYIFHTN65RJ8EW" localSheetId="34" hidden="1">#REF!</definedName>
    <definedName name="BExXY7TYEBFXRYUYIFHTN65RJ8EW" localSheetId="7" hidden="1">#REF!</definedName>
    <definedName name="BExXY7TYEBFXRYUYIFHTN65RJ8EW" localSheetId="6" hidden="1">#REF!</definedName>
    <definedName name="BExXY7TYEBFXRYUYIFHTN65RJ8EW" localSheetId="1" hidden="1">#REF!</definedName>
    <definedName name="BExXY7TYEBFXRYUYIFHTN65RJ8EW" localSheetId="10" hidden="1">#REF!</definedName>
    <definedName name="BExXY7TYEBFXRYUYIFHTN65RJ8EW" hidden="1">#REF!</definedName>
    <definedName name="BExXZOVPCEP495TQSON6PSRQ8XCY" localSheetId="2" hidden="1">#REF!</definedName>
    <definedName name="BExXZOVPCEP495TQSON6PSRQ8XCY" localSheetId="12" hidden="1">#REF!</definedName>
    <definedName name="BExXZOVPCEP495TQSON6PSRQ8XCY" localSheetId="34" hidden="1">#REF!</definedName>
    <definedName name="BExXZOVPCEP495TQSON6PSRQ8XCY" localSheetId="7" hidden="1">#REF!</definedName>
    <definedName name="BExXZOVPCEP495TQSON6PSRQ8XCY" localSheetId="6" hidden="1">#REF!</definedName>
    <definedName name="BExXZOVPCEP495TQSON6PSRQ8XCY" localSheetId="1" hidden="1">#REF!</definedName>
    <definedName name="BExXZOVPCEP495TQSON6PSRQ8XCY" localSheetId="10" hidden="1">#REF!</definedName>
    <definedName name="BExXZOVPCEP495TQSON6PSRQ8XCY" hidden="1">#REF!</definedName>
    <definedName name="BExY07WSDH5QEVM7BJXJK2ZRAI1O" localSheetId="2" hidden="1">#REF!</definedName>
    <definedName name="BExY07WSDH5QEVM7BJXJK2ZRAI1O" localSheetId="12" hidden="1">#REF!</definedName>
    <definedName name="BExY07WSDH5QEVM7BJXJK2ZRAI1O" localSheetId="34" hidden="1">#REF!</definedName>
    <definedName name="BExY07WSDH5QEVM7BJXJK2ZRAI1O" localSheetId="7" hidden="1">#REF!</definedName>
    <definedName name="BExY07WSDH5QEVM7BJXJK2ZRAI1O" localSheetId="6" hidden="1">#REF!</definedName>
    <definedName name="BExY07WSDH5QEVM7BJXJK2ZRAI1O" localSheetId="1" hidden="1">#REF!</definedName>
    <definedName name="BExY07WSDH5QEVM7BJXJK2ZRAI1O" localSheetId="10" hidden="1">#REF!</definedName>
    <definedName name="BExY07WSDH5QEVM7BJXJK2ZRAI1O" hidden="1">#REF!</definedName>
    <definedName name="BExY3HOSK7YI364K15OX70AVR6F1" localSheetId="2" hidden="1">#REF!</definedName>
    <definedName name="BExY3HOSK7YI364K15OX70AVR6F1" localSheetId="12" hidden="1">#REF!</definedName>
    <definedName name="BExY3HOSK7YI364K15OX70AVR6F1" localSheetId="34" hidden="1">#REF!</definedName>
    <definedName name="BExY3HOSK7YI364K15OX70AVR6F1" localSheetId="7" hidden="1">#REF!</definedName>
    <definedName name="BExY3HOSK7YI364K15OX70AVR6F1" localSheetId="6" hidden="1">#REF!</definedName>
    <definedName name="BExY3HOSK7YI364K15OX70AVR6F1" localSheetId="1" hidden="1">#REF!</definedName>
    <definedName name="BExY3HOSK7YI364K15OX70AVR6F1" localSheetId="10" hidden="1">#REF!</definedName>
    <definedName name="BExY3HOSK7YI364K15OX70AVR6F1" hidden="1">#REF!</definedName>
    <definedName name="BExZK3FGPHH5H771U7D5XY7XBS6E" localSheetId="2" hidden="1">#REF!</definedName>
    <definedName name="BExZK3FGPHH5H771U7D5XY7XBS6E" localSheetId="12" hidden="1">#REF!</definedName>
    <definedName name="BExZK3FGPHH5H771U7D5XY7XBS6E" localSheetId="34" hidden="1">#REF!</definedName>
    <definedName name="BExZK3FGPHH5H771U7D5XY7XBS6E" localSheetId="7" hidden="1">#REF!</definedName>
    <definedName name="BExZK3FGPHH5H771U7D5XY7XBS6E" localSheetId="6" hidden="1">#REF!</definedName>
    <definedName name="BExZK3FGPHH5H771U7D5XY7XBS6E" localSheetId="1" hidden="1">#REF!</definedName>
    <definedName name="BExZK3FGPHH5H771U7D5XY7XBS6E" localSheetId="10" hidden="1">#REF!</definedName>
    <definedName name="BExZK3FGPHH5H771U7D5XY7XBS6E" hidden="1">#REF!</definedName>
    <definedName name="BExZKHYORG3O8C772XPFHM1N8T80" localSheetId="2" hidden="1">#REF!</definedName>
    <definedName name="BExZKHYORG3O8C772XPFHM1N8T80" localSheetId="12" hidden="1">#REF!</definedName>
    <definedName name="BExZKHYORG3O8C772XPFHM1N8T80" localSheetId="34" hidden="1">#REF!</definedName>
    <definedName name="BExZKHYORG3O8C772XPFHM1N8T80" localSheetId="7" hidden="1">#REF!</definedName>
    <definedName name="BExZKHYORG3O8C772XPFHM1N8T80" localSheetId="6" hidden="1">#REF!</definedName>
    <definedName name="BExZKHYORG3O8C772XPFHM1N8T80" localSheetId="1" hidden="1">#REF!</definedName>
    <definedName name="BExZKHYORG3O8C772XPFHM1N8T80" localSheetId="10" hidden="1">#REF!</definedName>
    <definedName name="BExZKHYORG3O8C772XPFHM1N8T80" hidden="1">#REF!</definedName>
    <definedName name="BExZL6E4YVXRUN7ZGF2BIGIXFR8K" localSheetId="2" hidden="1">#REF!</definedName>
    <definedName name="BExZL6E4YVXRUN7ZGF2BIGIXFR8K" localSheetId="12" hidden="1">#REF!</definedName>
    <definedName name="BExZL6E4YVXRUN7ZGF2BIGIXFR8K" localSheetId="34" hidden="1">#REF!</definedName>
    <definedName name="BExZL6E4YVXRUN7ZGF2BIGIXFR8K" localSheetId="7" hidden="1">#REF!</definedName>
    <definedName name="BExZL6E4YVXRUN7ZGF2BIGIXFR8K" localSheetId="6" hidden="1">#REF!</definedName>
    <definedName name="BExZL6E4YVXRUN7ZGF2BIGIXFR8K" localSheetId="1" hidden="1">#REF!</definedName>
    <definedName name="BExZL6E4YVXRUN7ZGF2BIGIXFR8K" localSheetId="10" hidden="1">#REF!</definedName>
    <definedName name="BExZL6E4YVXRUN7ZGF2BIGIXFR8K" hidden="1">#REF!</definedName>
    <definedName name="BExZQIHTGHK7OOI2Y2PN3JYBY82I" localSheetId="2" hidden="1">#REF!</definedName>
    <definedName name="BExZQIHTGHK7OOI2Y2PN3JYBY82I" localSheetId="12" hidden="1">#REF!</definedName>
    <definedName name="BExZQIHTGHK7OOI2Y2PN3JYBY82I" localSheetId="34" hidden="1">#REF!</definedName>
    <definedName name="BExZQIHTGHK7OOI2Y2PN3JYBY82I" localSheetId="7" hidden="1">#REF!</definedName>
    <definedName name="BExZQIHTGHK7OOI2Y2PN3JYBY82I" localSheetId="6" hidden="1">#REF!</definedName>
    <definedName name="BExZQIHTGHK7OOI2Y2PN3JYBY82I" localSheetId="1" hidden="1">#REF!</definedName>
    <definedName name="BExZQIHTGHK7OOI2Y2PN3JYBY82I" localSheetId="10" hidden="1">#REF!</definedName>
    <definedName name="BExZQIHTGHK7OOI2Y2PN3JYBY82I" hidden="1">#REF!</definedName>
    <definedName name="BExZQJJMGU5MHQOILGXGJPAQI5XI" localSheetId="2" hidden="1">#REF!</definedName>
    <definedName name="BExZQJJMGU5MHQOILGXGJPAQI5XI" localSheetId="12" hidden="1">#REF!</definedName>
    <definedName name="BExZQJJMGU5MHQOILGXGJPAQI5XI" localSheetId="34" hidden="1">#REF!</definedName>
    <definedName name="BExZQJJMGU5MHQOILGXGJPAQI5XI" localSheetId="7" hidden="1">#REF!</definedName>
    <definedName name="BExZQJJMGU5MHQOILGXGJPAQI5XI" localSheetId="6" hidden="1">#REF!</definedName>
    <definedName name="BExZQJJMGU5MHQOILGXGJPAQI5XI" localSheetId="1" hidden="1">#REF!</definedName>
    <definedName name="BExZQJJMGU5MHQOILGXGJPAQI5XI" localSheetId="10" hidden="1">#REF!</definedName>
    <definedName name="BExZQJJMGU5MHQOILGXGJPAQI5XI" hidden="1">#REF!</definedName>
    <definedName name="BExZQZKT146WEN8FTVZ7Y5TSB8L5" localSheetId="2" hidden="1">#REF!</definedName>
    <definedName name="BExZQZKT146WEN8FTVZ7Y5TSB8L5" localSheetId="12" hidden="1">#REF!</definedName>
    <definedName name="BExZQZKT146WEN8FTVZ7Y5TSB8L5" localSheetId="34" hidden="1">#REF!</definedName>
    <definedName name="BExZQZKT146WEN8FTVZ7Y5TSB8L5" localSheetId="7" hidden="1">#REF!</definedName>
    <definedName name="BExZQZKT146WEN8FTVZ7Y5TSB8L5" localSheetId="6" hidden="1">#REF!</definedName>
    <definedName name="BExZQZKT146WEN8FTVZ7Y5TSB8L5" localSheetId="1" hidden="1">#REF!</definedName>
    <definedName name="BExZQZKT146WEN8FTVZ7Y5TSB8L5" localSheetId="10" hidden="1">#REF!</definedName>
    <definedName name="BExZQZKT146WEN8FTVZ7Y5TSB8L5" hidden="1">#REF!</definedName>
    <definedName name="BExZRP1X6UVLN1UOLHH5VF4STP1O" localSheetId="2" hidden="1">#REF!</definedName>
    <definedName name="BExZRP1X6UVLN1UOLHH5VF4STP1O" localSheetId="12" hidden="1">#REF!</definedName>
    <definedName name="BExZRP1X6UVLN1UOLHH5VF4STP1O" localSheetId="34" hidden="1">#REF!</definedName>
    <definedName name="BExZRP1X6UVLN1UOLHH5VF4STP1O" localSheetId="7" hidden="1">#REF!</definedName>
    <definedName name="BExZRP1X6UVLN1UOLHH5VF4STP1O" localSheetId="6" hidden="1">#REF!</definedName>
    <definedName name="BExZRP1X6UVLN1UOLHH5VF4STP1O" localSheetId="1" hidden="1">#REF!</definedName>
    <definedName name="BExZRP1X6UVLN1UOLHH5VF4STP1O" localSheetId="10" hidden="1">#REF!</definedName>
    <definedName name="BExZRP1X6UVLN1UOLHH5VF4STP1O" hidden="1">#REF!</definedName>
    <definedName name="BExZRW8W514W8OZ72YBONYJ64GXF" localSheetId="2" hidden="1">#REF!</definedName>
    <definedName name="BExZRW8W514W8OZ72YBONYJ64GXF" localSheetId="12" hidden="1">#REF!</definedName>
    <definedName name="BExZRW8W514W8OZ72YBONYJ64GXF" localSheetId="34" hidden="1">#REF!</definedName>
    <definedName name="BExZRW8W514W8OZ72YBONYJ64GXF" localSheetId="7" hidden="1">#REF!</definedName>
    <definedName name="BExZRW8W514W8OZ72YBONYJ64GXF" localSheetId="6" hidden="1">#REF!</definedName>
    <definedName name="BExZRW8W514W8OZ72YBONYJ64GXF" localSheetId="1" hidden="1">#REF!</definedName>
    <definedName name="BExZRW8W514W8OZ72YBONYJ64GXF" localSheetId="10" hidden="1">#REF!</definedName>
    <definedName name="BExZRW8W514W8OZ72YBONYJ64GXF" hidden="1">#REF!</definedName>
    <definedName name="BExZTAQV2QVSZY5Y3VCCWUBSBW9P" localSheetId="2" hidden="1">#REF!</definedName>
    <definedName name="BExZTAQV2QVSZY5Y3VCCWUBSBW9P" localSheetId="12" hidden="1">#REF!</definedName>
    <definedName name="BExZTAQV2QVSZY5Y3VCCWUBSBW9P" localSheetId="34" hidden="1">#REF!</definedName>
    <definedName name="BExZTAQV2QVSZY5Y3VCCWUBSBW9P" localSheetId="7" hidden="1">#REF!</definedName>
    <definedName name="BExZTAQV2QVSZY5Y3VCCWUBSBW9P" localSheetId="6" hidden="1">#REF!</definedName>
    <definedName name="BExZTAQV2QVSZY5Y3VCCWUBSBW9P" localSheetId="1" hidden="1">#REF!</definedName>
    <definedName name="BExZTAQV2QVSZY5Y3VCCWUBSBW9P" localSheetId="10" hidden="1">#REF!</definedName>
    <definedName name="BExZTAQV2QVSZY5Y3VCCWUBSBW9P" hidden="1">#REF!</definedName>
    <definedName name="BExZTT6J3X0TOX0ZY6YPLUVMCW9X" localSheetId="2" hidden="1">#REF!</definedName>
    <definedName name="BExZTT6J3X0TOX0ZY6YPLUVMCW9X" localSheetId="12" hidden="1">#REF!</definedName>
    <definedName name="BExZTT6J3X0TOX0ZY6YPLUVMCW9X" localSheetId="34" hidden="1">#REF!</definedName>
    <definedName name="BExZTT6J3X0TOX0ZY6YPLUVMCW9X" localSheetId="7" hidden="1">#REF!</definedName>
    <definedName name="BExZTT6J3X0TOX0ZY6YPLUVMCW9X" localSheetId="6" hidden="1">#REF!</definedName>
    <definedName name="BExZTT6J3X0TOX0ZY6YPLUVMCW9X" localSheetId="1" hidden="1">#REF!</definedName>
    <definedName name="BExZTT6J3X0TOX0ZY6YPLUVMCW9X" localSheetId="10" hidden="1">#REF!</definedName>
    <definedName name="BExZTT6J3X0TOX0ZY6YPLUVMCW9X" hidden="1">#REF!</definedName>
    <definedName name="BExZY02V77YJBMODJSWZOYCMPS5X" localSheetId="2" hidden="1">#REF!</definedName>
    <definedName name="BExZY02V77YJBMODJSWZOYCMPS5X" localSheetId="12" hidden="1">#REF!</definedName>
    <definedName name="BExZY02V77YJBMODJSWZOYCMPS5X" localSheetId="34" hidden="1">#REF!</definedName>
    <definedName name="BExZY02V77YJBMODJSWZOYCMPS5X" localSheetId="7" hidden="1">#REF!</definedName>
    <definedName name="BExZY02V77YJBMODJSWZOYCMPS5X" localSheetId="6" hidden="1">#REF!</definedName>
    <definedName name="BExZY02V77YJBMODJSWZOYCMPS5X" localSheetId="1" hidden="1">#REF!</definedName>
    <definedName name="BExZY02V77YJBMODJSWZOYCMPS5X" localSheetId="10" hidden="1">#REF!</definedName>
    <definedName name="BExZY02V77YJBMODJSWZOYCMPS5X" hidden="1">#REF!</definedName>
    <definedName name="BExZZTK54OTLF2YB68BHGOS27GEN" localSheetId="2" hidden="1">#REF!</definedName>
    <definedName name="BExZZTK54OTLF2YB68BHGOS27GEN" localSheetId="12" hidden="1">#REF!</definedName>
    <definedName name="BExZZTK54OTLF2YB68BHGOS27GEN" localSheetId="34" hidden="1">#REF!</definedName>
    <definedName name="BExZZTK54OTLF2YB68BHGOS27GEN" localSheetId="7" hidden="1">#REF!</definedName>
    <definedName name="BExZZTK54OTLF2YB68BHGOS27GEN" localSheetId="6" hidden="1">#REF!</definedName>
    <definedName name="BExZZTK54OTLF2YB68BHGOS27GEN" localSheetId="1" hidden="1">#REF!</definedName>
    <definedName name="BExZZTK54OTLF2YB68BHGOS27GEN" localSheetId="10" hidden="1">#REF!</definedName>
    <definedName name="BExZZTK54OTLF2YB68BHGOS27GEN" hidden="1">#REF!</definedName>
    <definedName name="BExZZZEMIIFKMLLV4DJKX5TB9R5V" localSheetId="2" hidden="1">#REF!</definedName>
    <definedName name="BExZZZEMIIFKMLLV4DJKX5TB9R5V" localSheetId="12" hidden="1">#REF!</definedName>
    <definedName name="BExZZZEMIIFKMLLV4DJKX5TB9R5V" localSheetId="34" hidden="1">#REF!</definedName>
    <definedName name="BExZZZEMIIFKMLLV4DJKX5TB9R5V" localSheetId="7" hidden="1">#REF!</definedName>
    <definedName name="BExZZZEMIIFKMLLV4DJKX5TB9R5V" localSheetId="6" hidden="1">#REF!</definedName>
    <definedName name="BExZZZEMIIFKMLLV4DJKX5TB9R5V" localSheetId="1" hidden="1">#REF!</definedName>
    <definedName name="BExZZZEMIIFKMLLV4DJKX5TB9R5V" localSheetId="10" hidden="1">#REF!</definedName>
    <definedName name="BExZZZEMIIFKMLLV4DJKX5TB9R5V" hidden="1">#REF!</definedName>
    <definedName name="bg" localSheetId="15" hidden="1">#REF!</definedName>
    <definedName name="bg" localSheetId="2" hidden="1">#REF!</definedName>
    <definedName name="bg" localSheetId="12" hidden="1">#REF!</definedName>
    <definedName name="bg" localSheetId="39" hidden="1">#REF!</definedName>
    <definedName name="bg" localSheetId="34" hidden="1">#REF!</definedName>
    <definedName name="bg" localSheetId="7" hidden="1">#REF!</definedName>
    <definedName name="bg" localSheetId="6" hidden="1">#REF!</definedName>
    <definedName name="bg" localSheetId="14" hidden="1">#REF!</definedName>
    <definedName name="bg" localSheetId="11" hidden="1">#REF!</definedName>
    <definedName name="bg" localSheetId="1" hidden="1">#REF!</definedName>
    <definedName name="bg" localSheetId="10" hidden="1">#REF!</definedName>
    <definedName name="bg" hidden="1">#REF!</definedName>
    <definedName name="BG_Del" hidden="1">15</definedName>
    <definedName name="BG_Ins" hidden="1">4</definedName>
    <definedName name="BG_Mod" hidden="1">6</definedName>
    <definedName name="bloqueio">#REF!</definedName>
    <definedName name="BLPH1" localSheetId="15" hidden="1">#REF!</definedName>
    <definedName name="BLPH1" localSheetId="2" hidden="1">#REF!</definedName>
    <definedName name="BLPH1" localSheetId="12" hidden="1">#REF!</definedName>
    <definedName name="BLPH1" localSheetId="39" hidden="1">#REF!</definedName>
    <definedName name="BLPH1" localSheetId="34" hidden="1">#REF!</definedName>
    <definedName name="BLPH1" localSheetId="7" hidden="1">#REF!</definedName>
    <definedName name="BLPH1" localSheetId="6" hidden="1">#REF!</definedName>
    <definedName name="BLPH1" localSheetId="14" hidden="1">#REF!</definedName>
    <definedName name="BLPH1" localSheetId="11" hidden="1">#REF!</definedName>
    <definedName name="BLPH1" localSheetId="1" hidden="1">#REF!</definedName>
    <definedName name="BLPH1" localSheetId="10"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2" hidden="1">#REF!</definedName>
    <definedName name="BLPH107" localSheetId="12" hidden="1">#REF!</definedName>
    <definedName name="BLPH107" localSheetId="34" hidden="1">#REF!</definedName>
    <definedName name="BLPH107" localSheetId="7" hidden="1">#REF!</definedName>
    <definedName name="BLPH107" localSheetId="6" hidden="1">#REF!</definedName>
    <definedName name="BLPH107" localSheetId="1" hidden="1">#REF!</definedName>
    <definedName name="BLPH107" localSheetId="10" hidden="1">#REF!</definedName>
    <definedName name="BLPH107" hidden="1">#REF!</definedName>
    <definedName name="BLPH2" localSheetId="15" hidden="1">#REF!</definedName>
    <definedName name="BLPH2" localSheetId="2" hidden="1">#REF!</definedName>
    <definedName name="BLPH2" localSheetId="12" hidden="1">#REF!</definedName>
    <definedName name="BLPH2" localSheetId="39" hidden="1">#REF!</definedName>
    <definedName name="BLPH2" localSheetId="34" hidden="1">#REF!</definedName>
    <definedName name="BLPH2" localSheetId="7" hidden="1">#REF!</definedName>
    <definedName name="BLPH2" localSheetId="6" hidden="1">#REF!</definedName>
    <definedName name="BLPH2" localSheetId="14" hidden="1">#REF!</definedName>
    <definedName name="BLPH2" localSheetId="11" hidden="1">#REF!</definedName>
    <definedName name="BLPH2" localSheetId="1" hidden="1">#REF!</definedName>
    <definedName name="BLPH2" localSheetId="10" hidden="1">#REF!</definedName>
    <definedName name="BLPH2" hidden="1">#REF!</definedName>
    <definedName name="BLPH3" localSheetId="15" hidden="1">#REF!</definedName>
    <definedName name="BLPH3" localSheetId="2" hidden="1">#REF!</definedName>
    <definedName name="BLPH3" localSheetId="12" hidden="1">#REF!</definedName>
    <definedName name="BLPH3" localSheetId="39" hidden="1">#REF!</definedName>
    <definedName name="BLPH3" localSheetId="34" hidden="1">#REF!</definedName>
    <definedName name="BLPH3" localSheetId="7" hidden="1">#REF!</definedName>
    <definedName name="BLPH3" localSheetId="6" hidden="1">#REF!</definedName>
    <definedName name="BLPH3" localSheetId="14" hidden="1">#REF!</definedName>
    <definedName name="BLPH3" localSheetId="11" hidden="1">#REF!</definedName>
    <definedName name="BLPH3" localSheetId="1" hidden="1">#REF!</definedName>
    <definedName name="BLPH3" localSheetId="10" hidden="1">#REF!</definedName>
    <definedName name="BLPH3" hidden="1">#REF!</definedName>
    <definedName name="BLPH4" localSheetId="15" hidden="1">#REF!</definedName>
    <definedName name="BLPH4" localSheetId="2" hidden="1">#REF!</definedName>
    <definedName name="BLPH4" localSheetId="12" hidden="1">#REF!</definedName>
    <definedName name="BLPH4" localSheetId="39" hidden="1">#REF!</definedName>
    <definedName name="BLPH4" localSheetId="34" hidden="1">#REF!</definedName>
    <definedName name="BLPH4" localSheetId="7" hidden="1">#REF!</definedName>
    <definedName name="BLPH4" localSheetId="6" hidden="1">#REF!</definedName>
    <definedName name="BLPH4" localSheetId="14" hidden="1">#REF!</definedName>
    <definedName name="BLPH4" localSheetId="11" hidden="1">#REF!</definedName>
    <definedName name="BLPH4" localSheetId="1" hidden="1">#REF!</definedName>
    <definedName name="BLPH4" localSheetId="10" hidden="1">#REF!</definedName>
    <definedName name="BLPH4" hidden="1">#REF!</definedName>
    <definedName name="BLPH5" localSheetId="15" hidden="1">#REF!</definedName>
    <definedName name="BLPH5" localSheetId="2" hidden="1">#REF!</definedName>
    <definedName name="BLPH5" localSheetId="12" hidden="1">#REF!</definedName>
    <definedName name="BLPH5" localSheetId="39" hidden="1">#REF!</definedName>
    <definedName name="BLPH5" localSheetId="34" hidden="1">#REF!</definedName>
    <definedName name="BLPH5" localSheetId="7" hidden="1">#REF!</definedName>
    <definedName name="BLPH5" localSheetId="6" hidden="1">#REF!</definedName>
    <definedName name="BLPH5" localSheetId="14" hidden="1">#REF!</definedName>
    <definedName name="BLPH5" localSheetId="11" hidden="1">#REF!</definedName>
    <definedName name="BLPH5" localSheetId="1" hidden="1">#REF!</definedName>
    <definedName name="BLPH5" localSheetId="10" hidden="1">#REF!</definedName>
    <definedName name="BLPH5" hidden="1">#REF!</definedName>
    <definedName name="BLPH6" localSheetId="15" hidden="1">#REF!</definedName>
    <definedName name="BLPH6" localSheetId="2" hidden="1">#REF!</definedName>
    <definedName name="BLPH6" localSheetId="12" hidden="1">#REF!</definedName>
    <definedName name="BLPH6" localSheetId="39" hidden="1">#REF!</definedName>
    <definedName name="BLPH6" localSheetId="34" hidden="1">#REF!</definedName>
    <definedName name="BLPH6" localSheetId="7" hidden="1">#REF!</definedName>
    <definedName name="BLPH6" localSheetId="6" hidden="1">#REF!</definedName>
    <definedName name="BLPH6" localSheetId="14" hidden="1">#REF!</definedName>
    <definedName name="BLPH6" localSheetId="11" hidden="1">#REF!</definedName>
    <definedName name="BLPH6" localSheetId="1" hidden="1">#REF!</definedName>
    <definedName name="BLPH6" localSheetId="10" hidden="1">#REF!</definedName>
    <definedName name="BLPH6" hidden="1">#REF!</definedName>
    <definedName name="BLPH7" localSheetId="15" hidden="1">#REF!</definedName>
    <definedName name="BLPH7" localSheetId="2" hidden="1">#REF!</definedName>
    <definedName name="BLPH7" localSheetId="12" hidden="1">#REF!</definedName>
    <definedName name="BLPH7" localSheetId="39" hidden="1">#REF!</definedName>
    <definedName name="BLPH7" localSheetId="34" hidden="1">#REF!</definedName>
    <definedName name="BLPH7" localSheetId="7" hidden="1">#REF!</definedName>
    <definedName name="BLPH7" localSheetId="6" hidden="1">#REF!</definedName>
    <definedName name="BLPH7" localSheetId="14" hidden="1">#REF!</definedName>
    <definedName name="BLPH7" localSheetId="11" hidden="1">#REF!</definedName>
    <definedName name="BLPH7" localSheetId="1" hidden="1">#REF!</definedName>
    <definedName name="BLPH7" localSheetId="10" hidden="1">#REF!</definedName>
    <definedName name="BLPH7" hidden="1">#REF!</definedName>
    <definedName name="BLPH8" localSheetId="15" hidden="1">#REF!</definedName>
    <definedName name="BLPH8" localSheetId="2" hidden="1">#REF!</definedName>
    <definedName name="BLPH8" localSheetId="12" hidden="1">#REF!</definedName>
    <definedName name="BLPH8" localSheetId="39" hidden="1">#REF!</definedName>
    <definedName name="BLPH8" localSheetId="34" hidden="1">#REF!</definedName>
    <definedName name="BLPH8" localSheetId="7" hidden="1">#REF!</definedName>
    <definedName name="BLPH8" localSheetId="6" hidden="1">#REF!</definedName>
    <definedName name="BLPH8" localSheetId="14" hidden="1">#REF!</definedName>
    <definedName name="BLPH8" localSheetId="11" hidden="1">#REF!</definedName>
    <definedName name="BLPH8" localSheetId="1" hidden="1">#REF!</definedName>
    <definedName name="BLPH8" localSheetId="10"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2"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39" hidden="1">{#N/A,#N/A,FALSE,"output";#N/A,#N/A,FALSE,"contrib";#N/A,#N/A,FALSE,"profile";#N/A,#N/A,FALSE,"comps"}</definedName>
    <definedName name="bnkj" localSheetId="34" hidden="1">{#N/A,#N/A,FALSE,"output";#N/A,#N/A,FALSE,"contrib";#N/A,#N/A,FALSE,"profile";#N/A,#N/A,FALSE,"comps"}</definedName>
    <definedName name="bnkj" localSheetId="14"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2"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39" hidden="1">{"TotalGeralDespesasPorArea",#N/A,FALSE,"VinculosAccessEfetivo"}</definedName>
    <definedName name="boston" localSheetId="34" hidden="1">{"TotalGeralDespesasPorArea",#N/A,FALSE,"VinculosAccessEfetivo"}</definedName>
    <definedName name="boston" localSheetId="14"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2"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39" hidden="1">{"TotalGeralDespesasPorArea",#N/A,FALSE,"VinculosAccessEfetivo"}</definedName>
    <definedName name="boston_1" localSheetId="34" hidden="1">{"TotalGeralDespesasPorArea",#N/A,FALSE,"VinculosAccessEfetivo"}</definedName>
    <definedName name="boston_1" localSheetId="14"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2"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39" hidden="1">{#N/A,#N/A,FALSE,"HONORÁRIOS"}</definedName>
    <definedName name="ccc" localSheetId="34" hidden="1">{#N/A,#N/A,FALSE,"HONORÁRIOS"}</definedName>
    <definedName name="ccc" localSheetId="14"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2"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39" hidden="1">{#N/A,#N/A,FALSE,"HONORÁRIOS"}</definedName>
    <definedName name="ccc_1" localSheetId="34" hidden="1">{#N/A,#N/A,FALSE,"HONORÁRIOS"}</definedName>
    <definedName name="ccc_1" localSheetId="14"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2"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39" hidden="1">{#N/A,#N/A,FALSE,"FFCXOUT3"}</definedName>
    <definedName name="cdsc" localSheetId="34" hidden="1">{#N/A,#N/A,FALSE,"FFCXOUT3"}</definedName>
    <definedName name="cdsc" localSheetId="14"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5" hidden="1">#REF!</definedName>
    <definedName name="cliente" localSheetId="2" hidden="1">#REF!</definedName>
    <definedName name="cliente" localSheetId="12" hidden="1">#REF!</definedName>
    <definedName name="cliente" localSheetId="39" hidden="1">#REF!</definedName>
    <definedName name="cliente" localSheetId="34" hidden="1">#REF!</definedName>
    <definedName name="cliente" localSheetId="7" hidden="1">#REF!</definedName>
    <definedName name="cliente" localSheetId="6" hidden="1">#REF!</definedName>
    <definedName name="cliente" localSheetId="14" hidden="1">#REF!</definedName>
    <definedName name="cliente" localSheetId="1" hidden="1">#REF!</definedName>
    <definedName name="cliente" localSheetId="10"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2"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39" hidden="1">{"consolidated",#N/A,FALSE,"Sheet1";"cms",#N/A,FALSE,"Sheet1";"fse",#N/A,FALSE,"Sheet1"}</definedName>
    <definedName name="DD" localSheetId="34" hidden="1">{"consolidated",#N/A,FALSE,"Sheet1";"cms",#N/A,FALSE,"Sheet1";"fse",#N/A,FALSE,"Sheet1"}</definedName>
    <definedName name="DD" localSheetId="14"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2"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39" hidden="1">{0,#N/A,FALSE,0;0,#N/A,FALSE,0;0,#N/A,FALSE,0;0,#N/A,FALSE,0}</definedName>
    <definedName name="dddddddddddd" localSheetId="34" hidden="1">{0,#N/A,FALSE,0;0,#N/A,FALSE,0;0,#N/A,FALSE,0;0,#N/A,FALSE,0}</definedName>
    <definedName name="dddddddddddd" localSheetId="14"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2"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39" hidden="1">{0,#N/A,FALSE,0;0,#N/A,FALSE,0;0,#N/A,FALSE,0;0,#N/A,FALSE,0}</definedName>
    <definedName name="dddddddddddd_1" localSheetId="34" hidden="1">{0,#N/A,FALSE,0;0,#N/A,FALSE,0;0,#N/A,FALSE,0;0,#N/A,FALSE,0}</definedName>
    <definedName name="dddddddddddd_1" localSheetId="14"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2"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39" hidden="1">{"comp1",#N/A,FALSE,"COMPS";"footnotes",#N/A,FALSE,"COMPS"}</definedName>
    <definedName name="DEDD" localSheetId="34" hidden="1">{"comp1",#N/A,FALSE,"COMPS";"footnotes",#N/A,FALSE,"COMPS"}</definedName>
    <definedName name="DEDD" localSheetId="14"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2"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39" hidden="1">{"comps",#N/A,FALSE,"HANDPACK";"footnotes",#N/A,FALSE,"HANDPACK"}</definedName>
    <definedName name="DÍVIDA" localSheetId="34" hidden="1">{"comps",#N/A,FALSE,"HANDPACK";"footnotes",#N/A,FALSE,"HANDPACK"}</definedName>
    <definedName name="DÍVIDA" localSheetId="14"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2"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39" hidden="1">{"TotalGeralDespesasPorArea",#N/A,FALSE,"VinculosAccessEfetivo"}</definedName>
    <definedName name="DNFIDFDFDSHUFV" localSheetId="34" hidden="1">{"TotalGeralDespesasPorArea",#N/A,FALSE,"VinculosAccessEfetivo"}</definedName>
    <definedName name="DNFIDFDFDSHUFV" localSheetId="14"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2"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39" hidden="1">{"'PXR_6500'!$A$1:$I$124"}</definedName>
    <definedName name="ECNOFIBRAS" localSheetId="34" hidden="1">{"'PXR_6500'!$A$1:$I$124"}</definedName>
    <definedName name="ECNOFIBRAS" localSheetId="14"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2"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39" hidden="1">{"'PXR_6500'!$A$1:$I$124"}</definedName>
    <definedName name="ECNOFIBRAS2" localSheetId="34" hidden="1">{"'PXR_6500'!$A$1:$I$124"}</definedName>
    <definedName name="ECNOFIBRAS2" localSheetId="14"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2" hidden="1">#REF!</definedName>
    <definedName name="eeee" localSheetId="12" hidden="1">#REF!</definedName>
    <definedName name="eeee" localSheetId="34" hidden="1">#REF!</definedName>
    <definedName name="eeee" localSheetId="7" hidden="1">#REF!</definedName>
    <definedName name="eeee" localSheetId="6" hidden="1">#REF!</definedName>
    <definedName name="eeee" localSheetId="1" hidden="1">#REF!</definedName>
    <definedName name="eeee" localSheetId="10" hidden="1">#REF!</definedName>
    <definedName name="eeee" hidden="1">#REF!</definedName>
    <definedName name="eeeee" localSheetId="2" hidden="1">#REF!</definedName>
    <definedName name="eeeee" localSheetId="12" hidden="1">#REF!</definedName>
    <definedName name="eeeee" localSheetId="34" hidden="1">#REF!</definedName>
    <definedName name="eeeee" localSheetId="7" hidden="1">#REF!</definedName>
    <definedName name="eeeee" localSheetId="6" hidden="1">#REF!</definedName>
    <definedName name="eeeee" localSheetId="1" hidden="1">#REF!</definedName>
    <definedName name="eeeee" localSheetId="10" hidden="1">#REF!</definedName>
    <definedName name="eeeee" hidden="1">#REF!</definedName>
    <definedName name="emily" localSheetId="15" hidden="1">{#N/A,#N/A,FALSE,"Calc";#N/A,#N/A,FALSE,"Sensitivity";#N/A,#N/A,FALSE,"LT Earn.Dil.";#N/A,#N/A,FALSE,"Dil. AVP"}</definedName>
    <definedName name="emily" localSheetId="2"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39" hidden="1">{#N/A,#N/A,FALSE,"Calc";#N/A,#N/A,FALSE,"Sensitivity";#N/A,#N/A,FALSE,"LT Earn.Dil.";#N/A,#N/A,FALSE,"Dil. AVP"}</definedName>
    <definedName name="emily" localSheetId="34" hidden="1">{#N/A,#N/A,FALSE,"Calc";#N/A,#N/A,FALSE,"Sensitivity";#N/A,#N/A,FALSE,"LT Earn.Dil.";#N/A,#N/A,FALSE,"Dil. AVP"}</definedName>
    <definedName name="emily" localSheetId="14"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2"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39" hidden="1">{0,#N/A,FALSE,0;0,#N/A,FALSE,0;0,#N/A,FALSE,0;0,#N/A,FALSE,0}</definedName>
    <definedName name="ERFDFD" localSheetId="34" hidden="1">{0,#N/A,FALSE,0;0,#N/A,FALSE,0;0,#N/A,FALSE,0;0,#N/A,FALSE,0}</definedName>
    <definedName name="ERFDFD" localSheetId="14"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2"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39" hidden="1">{"hiden",#N/A,FALSE,"14";"hidden",#N/A,FALSE,"16";"hidden",#N/A,FALSE,"18";"hidden",#N/A,FALSE,"20"}</definedName>
    <definedName name="eyr" localSheetId="34" hidden="1">{"hiden",#N/A,FALSE,"14";"hidden",#N/A,FALSE,"16";"hidden",#N/A,FALSE,"18";"hidden",#N/A,FALSE,"20"}</definedName>
    <definedName name="eyr" localSheetId="14"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2"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39" hidden="1">{"comps",#N/A,FALSE,"comps";"notes",#N/A,FALSE,"comps"}</definedName>
    <definedName name="fds" localSheetId="34" hidden="1">{"comps",#N/A,FALSE,"comps";"notes",#N/A,FALSE,"comps"}</definedName>
    <definedName name="fds" localSheetId="14"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2"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39" hidden="1">{"general",#N/A,FALSE,"Assumptions"}</definedName>
    <definedName name="fdsf" localSheetId="34" hidden="1">{"general",#N/A,FALSE,"Assumptions"}</definedName>
    <definedName name="fdsf" localSheetId="14"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2"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39" hidden="1">{#N/A,#N/A,FALSE,"Calc";#N/A,#N/A,FALSE,"Sensitivity";#N/A,#N/A,FALSE,"LT Earn.Dil.";#N/A,#N/A,FALSE,"Dil. AVP"}</definedName>
    <definedName name="fins1" localSheetId="34" hidden="1">{#N/A,#N/A,FALSE,"Calc";#N/A,#N/A,FALSE,"Sensitivity";#N/A,#N/A,FALSE,"LT Earn.Dil.";#N/A,#N/A,FALSE,"Dil. AVP"}</definedName>
    <definedName name="fins1" localSheetId="14"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2" hidden="1">#REF!</definedName>
    <definedName name="FIPEQUADMER" localSheetId="3" hidden="1">#REF!</definedName>
    <definedName name="FIPEQUADMER" localSheetId="12" hidden="1">#REF!</definedName>
    <definedName name="FIPEQUADMER" localSheetId="34" hidden="1">#REF!</definedName>
    <definedName name="FIPEQUADMER" localSheetId="7" hidden="1">#REF!</definedName>
    <definedName name="FIPEQUADMER" localSheetId="6" hidden="1">#REF!</definedName>
    <definedName name="FIPEQUADMER" localSheetId="1" hidden="1">#REF!</definedName>
    <definedName name="FIPEQUADMER" localSheetId="10"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2"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39" hidden="1">{"comps",#N/A,FALSE,"comps";"notes",#N/A,FALSE,"comps"}</definedName>
    <definedName name="ggf" localSheetId="34" hidden="1">{"comps",#N/A,FALSE,"comps";"notes",#N/A,FALSE,"comps"}</definedName>
    <definedName name="ggf" localSheetId="14"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2"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39" hidden="1">{"up stand alones",#N/A,FALSE,"Acquiror"}</definedName>
    <definedName name="hhhsdf" localSheetId="34" hidden="1">{"up stand alones",#N/A,FALSE,"Acquiror"}</definedName>
    <definedName name="hhhsdf" localSheetId="14"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2" hidden="1">{"'PXR_6500'!$A$1:$I$124"}</definedName>
    <definedName name="HTML" localSheetId="8" hidden="1">{"'PXR_6500'!$A$1:$I$124"}</definedName>
    <definedName name="HTML" localSheetId="12" hidden="1">{"'PXR_6500'!$A$1:$I$124"}</definedName>
    <definedName name="HTML" localSheetId="13" hidden="1">{"'PXR_6500'!$A$1:$I$124"}</definedName>
    <definedName name="HTML" localSheetId="39" hidden="1">{"'PXR_6500'!$A$1:$I$124"}</definedName>
    <definedName name="HTML" localSheetId="34" hidden="1">{"'PXR_6500'!$A$1:$I$124"}</definedName>
    <definedName name="HTML" localSheetId="14"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2" hidden="1">{"'TG'!$A$1:$L$37"}</definedName>
    <definedName name="HTML_Control" localSheetId="8" hidden="1">{"'TG'!$A$1:$L$37"}</definedName>
    <definedName name="HTML_Control" localSheetId="12" hidden="1">{"'TG'!$A$1:$L$37"}</definedName>
    <definedName name="HTML_Control" localSheetId="13" hidden="1">{"'TG'!$A$1:$L$37"}</definedName>
    <definedName name="HTML_Control" localSheetId="39" hidden="1">{"'TG'!$A$1:$L$37"}</definedName>
    <definedName name="HTML_Control" localSheetId="34" hidden="1">{"'TG'!$A$1:$L$37"}</definedName>
    <definedName name="HTML_Control" localSheetId="0" hidden="1">{"'ec X reg'!$C$27:$F$31","'ec X reg'!$C$27:$F$31","'cobert reg(-)ant'!$B$8:$D$20","'ec X reg'!$C$27:$F$31"}</definedName>
    <definedName name="HTML_Control" localSheetId="14" hidden="1">{"'TG'!$A$1:$L$37"}</definedName>
    <definedName name="HTML_Control" localSheetId="11" hidden="1">{"'TG'!$A$1:$L$37"}</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2"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39" hidden="1">{"casespecific",#N/A,FALSE,"Assumptions"}</definedName>
    <definedName name="ik" localSheetId="34"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{"casespecific",#N/A,FALSE,"Assumptions"}</definedName>
    <definedName name="ik" localSheetId="11" hidden="1">{"casespecific",#N/A,FALSE,"Assumptions"}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2"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39" hidden="1">{"TotalGeralDespesasPorArea",#N/A,FALSE,"VinculosAccessEfetivo"}</definedName>
    <definedName name="kkkkk" localSheetId="34" hidden="1">{"TotalGeralDespesasPorArea",#N/A,FALSE,"VinculosAccessEfetivo"}</definedName>
    <definedName name="kkkkk" localSheetId="14"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2"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39" hidden="1">{"TotalGeralDespesasPorArea",#N/A,FALSE,"VinculosAccessEfetivo"}</definedName>
    <definedName name="kkkkk_1" localSheetId="34" hidden="1">{"TotalGeralDespesasPorArea",#N/A,FALSE,"VinculosAccessEfetivo"}</definedName>
    <definedName name="kkkkk_1" localSheetId="14"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2"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39" hidden="1">{"away stand alones",#N/A,FALSE,"Target"}</definedName>
    <definedName name="kol" localSheetId="34" hidden="1">{"away stand alones",#N/A,FALSE,"Target"}</definedName>
    <definedName name="kol" localSheetId="14"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2" hidden="1">#REF!</definedName>
    <definedName name="li" localSheetId="12" hidden="1">#REF!</definedName>
    <definedName name="li" localSheetId="34" hidden="1">#REF!</definedName>
    <definedName name="li" localSheetId="7" hidden="1">#REF!</definedName>
    <definedName name="li" localSheetId="6" hidden="1">#REF!</definedName>
    <definedName name="li" localSheetId="1" hidden="1">#REF!</definedName>
    <definedName name="li" localSheetId="10"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2" hidden="1">{"'Welcome'!$A$1:$J$27"}</definedName>
    <definedName name="list2" localSheetId="8" hidden="1">{"'Welcome'!$A$1:$J$27"}</definedName>
    <definedName name="list2" localSheetId="12" hidden="1">{"'Welcome'!$A$1:$J$27"}</definedName>
    <definedName name="list2" localSheetId="13" hidden="1">{"'Welcome'!$A$1:$J$27"}</definedName>
    <definedName name="list2" localSheetId="39" hidden="1">{"'Welcome'!$A$1:$J$27"}</definedName>
    <definedName name="list2" localSheetId="34" hidden="1">{"'Welcome'!$A$1:$J$27"}</definedName>
    <definedName name="list2" localSheetId="14"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2" hidden="1">{#N/A,#N/A,FALSE,"Acum Julio - 00"}</definedName>
    <definedName name="marzo" localSheetId="3"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39" hidden="1">{#N/A,#N/A,FALSE,"Acum Julio - 00"}</definedName>
    <definedName name="marzo" localSheetId="34" hidden="1">{#N/A,#N/A,FALSE,"Acum Julio - 00"}</definedName>
    <definedName name="marzo" localSheetId="14"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2" hidden="1">{#N/A,#N/A,FALSE,"Acum Julio - 00"}</definedName>
    <definedName name="marzo1" localSheetId="3"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39" hidden="1">{#N/A,#N/A,FALSE,"Acum Julio - 00"}</definedName>
    <definedName name="marzo1" localSheetId="34" hidden="1">{#N/A,#N/A,FALSE,"Acum Julio - 00"}</definedName>
    <definedName name="marzo1" localSheetId="14"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2" hidden="1">{"Fecha_Novembro",#N/A,FALSE,"FECHAMENTO-2002 ";"Defer_Novembro",#N/A,FALSE,"DIFERIDO";"Pis_Novembro",#N/A,FALSE,"PIS COFINS";"Iss_Novembro",#N/A,FALSE,"ISS"}</definedName>
    <definedName name="mtk" localSheetId="1"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2" hidden="1">{"'PXR_6500'!$A$1:$I$124"}</definedName>
    <definedName name="NEWWW" localSheetId="8" hidden="1">{"'PXR_6500'!$A$1:$I$124"}</definedName>
    <definedName name="NEWWW" localSheetId="12" hidden="1">{"'PXR_6500'!$A$1:$I$124"}</definedName>
    <definedName name="NEWWW" localSheetId="13" hidden="1">{"'PXR_6500'!$A$1:$I$124"}</definedName>
    <definedName name="NEWWW" localSheetId="39" hidden="1">{"'PXR_6500'!$A$1:$I$124"}</definedName>
    <definedName name="NEWWW" localSheetId="34" hidden="1">{"'PXR_6500'!$A$1:$I$124"}</definedName>
    <definedName name="NEWWW" localSheetId="14"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2"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39" hidden="1">{#N/A,#N/A,FALSE,"Calc";#N/A,#N/A,FALSE,"Sensitivity";#N/A,#N/A,FALSE,"LT Earn.Dil.";#N/A,#N/A,FALSE,"Dil. AVP"}</definedName>
    <definedName name="noidea" localSheetId="34" hidden="1">{#N/A,#N/A,FALSE,"Calc";#N/A,#N/A,FALSE,"Sensitivity";#N/A,#N/A,FALSE,"LT Earn.Dil.";#N/A,#N/A,FALSE,"Dil. AVP"}</definedName>
    <definedName name="noidea" localSheetId="14"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2"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39" hidden="1">{#N/A,#N/A,FALSE,"Calc";#N/A,#N/A,FALSE,"Sensitivity";#N/A,#N/A,FALSE,"LT Earn.Dil.";#N/A,#N/A,FALSE,"Dil. AVP"}</definedName>
    <definedName name="NOIDEA2" localSheetId="34" hidden="1">{#N/A,#N/A,FALSE,"Calc";#N/A,#N/A,FALSE,"Sensitivity";#N/A,#N/A,FALSE,"LT Earn.Dil.";#N/A,#N/A,FALSE,"Dil. AVP"}</definedName>
    <definedName name="NOIDEA2" localSheetId="14"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2" hidden="1">{"'Welcome'!$A$1:$J$27"}</definedName>
    <definedName name="oi" localSheetId="8" hidden="1">{"'Welcome'!$A$1:$J$27"}</definedName>
    <definedName name="oi" localSheetId="12" hidden="1">{"'Welcome'!$A$1:$J$27"}</definedName>
    <definedName name="oi" localSheetId="13" hidden="1">{"'Welcome'!$A$1:$J$27"}</definedName>
    <definedName name="oi" localSheetId="39" hidden="1">{"'Welcome'!$A$1:$J$27"}</definedName>
    <definedName name="oi" localSheetId="34" hidden="1">{"'Welcome'!$A$1:$J$27"}</definedName>
    <definedName name="oi" localSheetId="14" hidden="1">{"'Welcome'!$A$1:$J$27"}</definedName>
    <definedName name="oi" hidden="1">{"'Welcome'!$A$1:$J$27"}</definedName>
    <definedName name="ok" localSheetId="15" hidden="1">{#N/A,#N/A,FALSE,"Calc";#N/A,#N/A,FALSE,"Sensitivity";#N/A,#N/A,FALSE,"LT Earn.Dil.";#N/A,#N/A,FALSE,"Dil. AVP"}</definedName>
    <definedName name="ok" localSheetId="2"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39" hidden="1">{#N/A,#N/A,FALSE,"Calc";#N/A,#N/A,FALSE,"Sensitivity";#N/A,#N/A,FALSE,"LT Earn.Dil.";#N/A,#N/A,FALSE,"Dil. AVP"}</definedName>
    <definedName name="ok" localSheetId="34" hidden="1">{#N/A,#N/A,FALSE,"Calc";#N/A,#N/A,FALSE,"Sensitivity";#N/A,#N/A,FALSE,"LT Earn.Dil.";#N/A,#N/A,FALSE,"Dil. AVP"}</definedName>
    <definedName name="ok" localSheetId="14"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2" hidden="1">{"'PXR_6500'!$A$1:$I$124"}</definedName>
    <definedName name="OUTRO" localSheetId="8" hidden="1">{"'PXR_6500'!$A$1:$I$124"}</definedName>
    <definedName name="OUTRO" localSheetId="12" hidden="1">{"'PXR_6500'!$A$1:$I$124"}</definedName>
    <definedName name="OUTRO" localSheetId="13" hidden="1">{"'PXR_6500'!$A$1:$I$124"}</definedName>
    <definedName name="OUTRO" localSheetId="39" hidden="1">{"'PXR_6500'!$A$1:$I$124"}</definedName>
    <definedName name="OUTRO" localSheetId="34" hidden="1">{"'PXR_6500'!$A$1:$I$124"}</definedName>
    <definedName name="OUTRO" localSheetId="14"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5" hidden="1">#REF!</definedName>
    <definedName name="PDC" localSheetId="2" hidden="1">#REF!</definedName>
    <definedName name="PDC" localSheetId="12" hidden="1">#REF!</definedName>
    <definedName name="PDC" localSheetId="39" hidden="1">#REF!</definedName>
    <definedName name="PDC" localSheetId="34" hidden="1">#REF!</definedName>
    <definedName name="PDC" localSheetId="7" hidden="1">#REF!</definedName>
    <definedName name="PDC" localSheetId="6" hidden="1">#REF!</definedName>
    <definedName name="PDC" localSheetId="14" hidden="1">#REF!</definedName>
    <definedName name="PDC" localSheetId="1" hidden="1">#REF!</definedName>
    <definedName name="PDC" localSheetId="10"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5" hidden="1">#REF!</definedName>
    <definedName name="pinco" localSheetId="2" hidden="1">#REF!</definedName>
    <definedName name="pinco" localSheetId="12" hidden="1">#REF!</definedName>
    <definedName name="pinco" localSheetId="34" hidden="1">#REF!</definedName>
    <definedName name="pinco" localSheetId="7" hidden="1">#REF!</definedName>
    <definedName name="pinco" localSheetId="6" hidden="1">#REF!</definedName>
    <definedName name="pinco" localSheetId="1" hidden="1">#REF!</definedName>
    <definedName name="pinco" localSheetId="10" hidden="1">#REF!</definedName>
    <definedName name="pinco" hidden="1">#REF!</definedName>
    <definedName name="pippo" localSheetId="2" hidden="1">#REF!</definedName>
    <definedName name="pippo" localSheetId="12" hidden="1">#REF!</definedName>
    <definedName name="pippo" localSheetId="34" hidden="1">#REF!</definedName>
    <definedName name="pippo" localSheetId="7" hidden="1">#REF!</definedName>
    <definedName name="pippo" localSheetId="6" hidden="1">#REF!</definedName>
    <definedName name="pippo" localSheetId="1" hidden="1">#REF!</definedName>
    <definedName name="pippo" localSheetId="10" hidden="1">#REF!</definedName>
    <definedName name="pippo" hidden="1">#REF!</definedName>
    <definedName name="PIS">#REF!</definedName>
    <definedName name="po" localSheetId="15" hidden="1">{#N/A,#N/A,FALSE,"Calc";#N/A,#N/A,FALSE,"Sensitivity";#N/A,#N/A,FALSE,"LT Earn.Dil.";#N/A,#N/A,FALSE,"Dil. AVP"}</definedName>
    <definedName name="po" localSheetId="2"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39" hidden="1">{#N/A,#N/A,FALSE,"Calc";#N/A,#N/A,FALSE,"Sensitivity";#N/A,#N/A,FALSE,"LT Earn.Dil.";#N/A,#N/A,FALSE,"Dil. AVP"}</definedName>
    <definedName name="po" localSheetId="34" hidden="1">{#N/A,#N/A,FALSE,"Calc";#N/A,#N/A,FALSE,"Sensitivity";#N/A,#N/A,FALSE,"LT Earn.Dil.";#N/A,#N/A,FALSE,"Dil. AVP"}</definedName>
    <definedName name="po" localSheetId="14"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2"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39" hidden="1">{"summary1",#N/A,TRUE,"Comps";"summary2",#N/A,TRUE,"Comps";"summary3",#N/A,TRUE,"Comps"}</definedName>
    <definedName name="Premissas" localSheetId="34" hidden="1">{"summary1",#N/A,TRUE,"Comps";"summary2",#N/A,TRUE,"Comps";"summary3",#N/A,TRUE,"Comps"}</definedName>
    <definedName name="Premissas" localSheetId="14"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2"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39" hidden="1">{"comp1",#N/A,FALSE,"COMPS";"footnotes",#N/A,FALSE,"COMPS"}</definedName>
    <definedName name="prout" localSheetId="34" hidden="1">{"comp1",#N/A,FALSE,"COMPS";"footnotes",#N/A,FALSE,"COMPS"}</definedName>
    <definedName name="prout" localSheetId="14"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2" hidden="1">{"'TG'!$A$1:$L$37"}</definedName>
    <definedName name="Ratios_2" localSheetId="8" hidden="1">{"'TG'!$A$1:$L$37"}</definedName>
    <definedName name="Ratios_2" localSheetId="12" hidden="1">{"'TG'!$A$1:$L$37"}</definedName>
    <definedName name="Ratios_2" localSheetId="13" hidden="1">{"'TG'!$A$1:$L$37"}</definedName>
    <definedName name="Ratios_2" localSheetId="39" hidden="1">{"'TG'!$A$1:$L$37"}</definedName>
    <definedName name="Ratios_2" localSheetId="34" hidden="1">{"'TG'!$A$1:$L$37"}</definedName>
    <definedName name="Ratios_2" localSheetId="14"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2"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39" hidden="1">{#N/A,#N/A,TRUE,"Pro Forma";#N/A,#N/A,TRUE,"PF_Bal";#N/A,#N/A,TRUE,"PF_INC";#N/A,#N/A,TRUE,"CBE";#N/A,#N/A,TRUE,"SWK"}</definedName>
    <definedName name="rty" localSheetId="34" hidden="1">{#N/A,#N/A,TRUE,"Pro Forma";#N/A,#N/A,TRUE,"PF_Bal";#N/A,#N/A,TRUE,"PF_INC";#N/A,#N/A,TRUE,"CBE";#N/A,#N/A,TRUE,"SWK"}</definedName>
    <definedName name="rty" localSheetId="14"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2"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39" hidden="1">{#N/A,#N/A,FALSE,"Calc";#N/A,#N/A,FALSE,"Sensitivity";#N/A,#N/A,FALSE,"LT Earn.Dil.";#N/A,#N/A,FALSE,"Dil. AVP"}</definedName>
    <definedName name="sdf" localSheetId="34" hidden="1">{#N/A,#N/A,FALSE,"Calc";#N/A,#N/A,FALSE,"Sensitivity";#N/A,#N/A,FALSE,"LT Earn.Dil.";#N/A,#N/A,FALSE,"Dil. AVP"}</definedName>
    <definedName name="sdf" localSheetId="14"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2"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39" hidden="1">{"general",#N/A,FALSE,"Assumptions"}</definedName>
    <definedName name="sdgdfghfhgfjhgfjhjjjg" localSheetId="34" hidden="1">{"general",#N/A,FALSE,"Assumptions"}</definedName>
    <definedName name="sdgdfghfhgfjhgfjhjjjg" localSheetId="14"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2"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39" hidden="1">{"consolidated",#N/A,FALSE,"Sheet1";"cms",#N/A,FALSE,"Sheet1";"fse",#N/A,FALSE,"Sheet1"}</definedName>
    <definedName name="se" localSheetId="34" hidden="1">{"consolidated",#N/A,FALSE,"Sheet1";"cms",#N/A,FALSE,"Sheet1";"fse",#N/A,FALSE,"Sheet1"}</definedName>
    <definedName name="se" localSheetId="14"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5" hidden="1">#REF!,#REF!</definedName>
    <definedName name="solver_adj" localSheetId="2" hidden="1">#REF!,#REF!</definedName>
    <definedName name="solver_adj" localSheetId="12" hidden="1">#REF!,#REF!</definedName>
    <definedName name="solver_adj" localSheetId="39" hidden="1">#REF!,#REF!</definedName>
    <definedName name="solver_adj" localSheetId="34" hidden="1">#REF!,#REF!</definedName>
    <definedName name="solver_adj" localSheetId="7" hidden="1">#REF!,#REF!</definedName>
    <definedName name="solver_adj" localSheetId="6" hidden="1">#REF!,#REF!</definedName>
    <definedName name="solver_adj" localSheetId="14" hidden="1">#REF!,#REF!</definedName>
    <definedName name="solver_adj" localSheetId="11" hidden="1">#REF!,#REF!</definedName>
    <definedName name="solver_adj" localSheetId="1" hidden="1">#REF!,#REF!</definedName>
    <definedName name="solver_adj" localSheetId="10"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5" hidden="1">#REF!</definedName>
    <definedName name="solver_opt" localSheetId="2" hidden="1">#REF!</definedName>
    <definedName name="solver_opt" localSheetId="12" hidden="1">#REF!</definedName>
    <definedName name="solver_opt" localSheetId="39" hidden="1">#REF!</definedName>
    <definedName name="solver_opt" localSheetId="34" hidden="1">#REF!</definedName>
    <definedName name="solver_opt" localSheetId="7" hidden="1">#REF!</definedName>
    <definedName name="solver_opt" localSheetId="6" hidden="1">#REF!</definedName>
    <definedName name="solver_opt" localSheetId="14" hidden="1">#REF!</definedName>
    <definedName name="solver_opt" localSheetId="11" hidden="1">#REF!</definedName>
    <definedName name="solver_opt" localSheetId="1"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2"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39" hidden="1">{#N/A,#N/A,FALSE,"HONORÁRIOS"}</definedName>
    <definedName name="sss" localSheetId="34" hidden="1">{#N/A,#N/A,FALSE,"HONORÁRIOS"}</definedName>
    <definedName name="sss" localSheetId="14"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2"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39" hidden="1">{#N/A,#N/A,FALSE,"HONORÁRIOS"}</definedName>
    <definedName name="sss_1" localSheetId="34" hidden="1">{#N/A,#N/A,FALSE,"HONORÁRIOS"}</definedName>
    <definedName name="sss_1" localSheetId="14"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2" hidden="1">{"'TG'!$A$1:$L$37"}</definedName>
    <definedName name="t" localSheetId="8" hidden="1">{"'TG'!$A$1:$L$37"}</definedName>
    <definedName name="t" localSheetId="12" hidden="1">{"'TG'!$A$1:$L$37"}</definedName>
    <definedName name="t" localSheetId="13" hidden="1">{"'TG'!$A$1:$L$37"}</definedName>
    <definedName name="t" localSheetId="39" hidden="1">{"'TG'!$A$1:$L$37"}</definedName>
    <definedName name="t" localSheetId="34" hidden="1">{"'TG'!$A$1:$L$37"}</definedName>
    <definedName name="t" localSheetId="14"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2"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39" hidden="1">{"'PXR_6500'!$A$1:$I$124"}</definedName>
    <definedName name="TECNOFIBRAS" localSheetId="34" hidden="1">{"'PXR_6500'!$A$1:$I$124"}</definedName>
    <definedName name="TECNOFIBRAS" localSheetId="14"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2"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39" hidden="1">{"'PXR_6500'!$A$1:$I$124"}</definedName>
    <definedName name="TECNOFIBRAS2" localSheetId="34" hidden="1">{"'PXR_6500'!$A$1:$I$124"}</definedName>
    <definedName name="TECNOFIBRAS2" localSheetId="14" hidden="1">{"'PXR_6500'!$A$1:$I$124"}</definedName>
    <definedName name="TECNOFIBRAS2" localSheetId="11" hidden="1">{"'PXR_6500'!$A$1:$I$124"}</definedName>
    <definedName name="TECNOFIBRAS2" hidden="1">{"'PXR_6500'!$A$1:$I$124"}</definedName>
    <definedName name="test" localSheetId="15" hidden="1">{"'PXR_6500'!$A$1:$I$124"}</definedName>
    <definedName name="test" localSheetId="2" hidden="1">{"'PXR_6500'!$A$1:$I$124"}</definedName>
    <definedName name="test" localSheetId="8" hidden="1">{"'PXR_6500'!$A$1:$I$124"}</definedName>
    <definedName name="test" localSheetId="12" hidden="1">{"'PXR_6500'!$A$1:$I$124"}</definedName>
    <definedName name="test" localSheetId="13" hidden="1">{"'PXR_6500'!$A$1:$I$124"}</definedName>
    <definedName name="test" localSheetId="39" hidden="1">{"'PXR_6500'!$A$1:$I$124"}</definedName>
    <definedName name="test" localSheetId="34" hidden="1">{"'PXR_6500'!$A$1:$I$124"}</definedName>
    <definedName name="test" localSheetId="14"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2"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39" hidden="1">{#N/A,#N/A,FALSE,"HONORÁRIOS"}</definedName>
    <definedName name="teste4" localSheetId="34" hidden="1">{#N/A,#N/A,FALSE,"HONORÁRIOS"}</definedName>
    <definedName name="teste4" localSheetId="14"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2"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39" hidden="1">{#N/A,#N/A,FALSE,"HONORÁRIOS"}</definedName>
    <definedName name="teste4_1" localSheetId="34" hidden="1">{#N/A,#N/A,FALSE,"HONORÁRIOS"}</definedName>
    <definedName name="teste4_1" localSheetId="14"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2"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39" hidden="1">{"TotalGeralDespesasPorArea",#N/A,FALSE,"VinculosAccessEfetivo"}</definedName>
    <definedName name="UGEFRYGDFYGYRG" localSheetId="34" hidden="1">{"TotalGeralDespesasPorArea",#N/A,FALSE,"VinculosAccessEfetivo"}</definedName>
    <definedName name="UGEFRYGDFYGYRG" localSheetId="14"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2" hidden="1">{"'PXR_6500'!$A$1:$I$124"}</definedName>
    <definedName name="wq" localSheetId="8" hidden="1">{"'PXR_6500'!$A$1:$I$124"}</definedName>
    <definedName name="wq" localSheetId="12" hidden="1">{"'PXR_6500'!$A$1:$I$124"}</definedName>
    <definedName name="wq" localSheetId="13" hidden="1">{"'PXR_6500'!$A$1:$I$124"}</definedName>
    <definedName name="wq" localSheetId="39" hidden="1">{"'PXR_6500'!$A$1:$I$124"}</definedName>
    <definedName name="wq" localSheetId="34" hidden="1">{"'PXR_6500'!$A$1:$I$124"}</definedName>
    <definedName name="wq" localSheetId="14"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2"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39" hidden="1">{#N/A,#N/A,FALSE,"Calc";#N/A,#N/A,FALSE,"Sensitivity";#N/A,#N/A,FALSE,"LT Earn.Dil.";#N/A,#N/A,FALSE,"Dil. AVP"}</definedName>
    <definedName name="wrn.1." localSheetId="34" hidden="1">{#N/A,#N/A,FALSE,"Calc";#N/A,#N/A,FALSE,"Sensitivity";#N/A,#N/A,FALSE,"LT Earn.Dil.";#N/A,#N/A,FALSE,"Dil. AVP"}</definedName>
    <definedName name="wrn.1." localSheetId="14"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2"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39" hidden="1">{#N/A,#N/A,FALSE,"Calc";#N/A,#N/A,FALSE,"Sensitivity";#N/A,#N/A,FALSE,"LT Earn.Dil.";#N/A,#N/A,FALSE,"Dil. AVP"}</definedName>
    <definedName name="WRN.2." localSheetId="34" hidden="1">{#N/A,#N/A,FALSE,"Calc";#N/A,#N/A,FALSE,"Sensitivity";#N/A,#N/A,FALSE,"LT Earn.Dil.";#N/A,#N/A,FALSE,"Dil. AVP"}</definedName>
    <definedName name="WRN.2." localSheetId="14"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2" hidden="1">{#N/A,#N/A,FALSE,"Acum Julio - 00"}</definedName>
    <definedName name="wrn.Advertising._.Acum._.Julio._.00." localSheetId="3"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39" hidden="1">{#N/A,#N/A,FALSE,"Acum Julio - 00"}</definedName>
    <definedName name="wrn.Advertising._.Acum._.Julio._.00." localSheetId="34" hidden="1">{#N/A,#N/A,FALSE,"Acum Julio - 00"}</definedName>
    <definedName name="wrn.Advertising._.Acum._.Julio._.00." localSheetId="14"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2"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39" hidden="1">{#N/A,#N/A,FALSE,"BALANCE";#N/A,#N/A,FALSE,"CUENTA DE PYG";#N/A,#N/A,FALSE,"RATIOS"}</definedName>
    <definedName name="wrn.ANALISIS._.SENSIBILIDAD." localSheetId="34" hidden="1">{#N/A,#N/A,FALSE,"BALANCE";#N/A,#N/A,FALSE,"CUENTA DE PYG";#N/A,#N/A,FALSE,"RATIOS"}</definedName>
    <definedName name="wrn.ANALISIS._.SENSIBILIDAD." localSheetId="14"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2"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39" hidden="1">{"casespecific",#N/A,FALSE,"Assumptions"}</definedName>
    <definedName name="wrn.assumptions." localSheetId="34" hidden="1">{"casespecific",#N/A,FALSE,"Assumptions"}</definedName>
    <definedName name="wrn.assumptions." localSheetId="14"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2"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39" hidden="1">{"away stand alones",#N/A,FALSE,"Target"}</definedName>
    <definedName name="wrn.away." localSheetId="34" hidden="1">{"away stand alones",#N/A,FALSE,"Target"}</definedName>
    <definedName name="wrn.away." localSheetId="14"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2"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39" hidden="1">{#N/A,#N/A,FALSE,"output";#N/A,#N/A,FALSE,"contrib";#N/A,#N/A,FALSE,"profile";#N/A,#N/A,FALSE,"comps"}</definedName>
    <definedName name="wrn.brian." localSheetId="34" hidden="1">{#N/A,#N/A,FALSE,"output";#N/A,#N/A,FALSE,"contrib";#N/A,#N/A,FALSE,"profile";#N/A,#N/A,FALSE,"comps"}</definedName>
    <definedName name="wrn.brian." localSheetId="14"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2"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39" hidden="1">{"comps",#N/A,FALSE,"comps";"notes",#N/A,FALSE,"comps"}</definedName>
    <definedName name="wrn.comps." localSheetId="34" hidden="1">{"comps",#N/A,FALSE,"comps";"notes",#N/A,FALSE,"comps"}</definedName>
    <definedName name="wrn.comps." localSheetId="14"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2"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39" hidden="1">{#N/A,#N/A,TRUE,"Pro Forma";#N/A,#N/A,TRUE,"PF_Bal";#N/A,#N/A,TRUE,"PF_INC";#N/A,#N/A,TRUE,"CBE";#N/A,#N/A,TRUE,"SWK"}</definedName>
    <definedName name="wrn.cooper." localSheetId="34" hidden="1">{#N/A,#N/A,TRUE,"Pro Forma";#N/A,#N/A,TRUE,"PF_Bal";#N/A,#N/A,TRUE,"PF_INC";#N/A,#N/A,TRUE,"CBE";#N/A,#N/A,TRUE,"SWK"}</definedName>
    <definedName name="wrn.cooper." localSheetId="14"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2" hidden="1">{"CotaçõesDiáriasAGO95",#N/A,FALSE,"CotaçõesDiáriasJUL95"}</definedName>
    <definedName name="wrn.CotaçõesDiáriasAGO95." localSheetId="3"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39" hidden="1">{"CotaçõesDiáriasAGO95",#N/A,FALSE,"CotaçõesDiáriasJUL95"}</definedName>
    <definedName name="wrn.CotaçõesDiáriasAGO95." localSheetId="34" hidden="1">{"CotaçõesDiáriasAGO95",#N/A,FALSE,"CotaçõesDiáriasJUL95"}</definedName>
    <definedName name="wrn.CotaçõesDiáriasAGO95." localSheetId="14"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2" hidden="1">{"COTAÇÕESDIÁRIASJUL95",#N/A,FALSE,"CotaçõesDiáriasJUL95"}</definedName>
    <definedName name="wrn.CotaçõesDiáriasJUL95." localSheetId="3"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39" hidden="1">{"COTAÇÕESDIÁRIASJUL95",#N/A,FALSE,"CotaçõesDiáriasJUL95"}</definedName>
    <definedName name="wrn.CotaçõesDiáriasJUL95." localSheetId="34" hidden="1">{"COTAÇÕESDIÁRIASJUL95",#N/A,FALSE,"CotaçõesDiáriasJUL95"}</definedName>
    <definedName name="wrn.CotaçõesDiáriasJUL95." localSheetId="14"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2"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39" hidden="1">{#N/A,#N/A,FALSE,"FFCXOUT3"}</definedName>
    <definedName name="wrn.cxdia." localSheetId="34" hidden="1">{#N/A,#N/A,FALSE,"FFCXOUT3"}</definedName>
    <definedName name="wrn.cxdia." localSheetId="14"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2"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39" hidden="1">{#N/A,#N/A,FALSE,"FFCXOUT3"}</definedName>
    <definedName name="wrn.cxdiager." localSheetId="34" hidden="1">{#N/A,#N/A,FALSE,"FFCXOUT3"}</definedName>
    <definedName name="wrn.cxdiager." localSheetId="14"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2"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39" hidden="1">{"TotalGeralDespesasPorArea",#N/A,FALSE,"VinculosAccessEfetivo"}</definedName>
    <definedName name="wrn.DespesasPorArea." localSheetId="34" hidden="1">{"TotalGeralDespesasPorArea",#N/A,FALSE,"VinculosAccessEfetivo"}</definedName>
    <definedName name="wrn.DespesasPorArea." localSheetId="14"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2"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39" hidden="1">{"TotalGeralDespesasPorArea",#N/A,FALSE,"VinculosAccessEfetivo"}</definedName>
    <definedName name="wrn.DespesasPorArea._1" localSheetId="34" hidden="1">{"TotalGeralDespesasPorArea",#N/A,FALSE,"VinculosAccessEfetivo"}</definedName>
    <definedName name="wrn.DespesasPorArea._1" localSheetId="14"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2"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39" hidden="1">{"hiden",#N/A,FALSE,"14";"hidden",#N/A,FALSE,"16";"hidden",#N/A,FALSE,"18";"hidden",#N/A,FALSE,"20"}</definedName>
    <definedName name="wrn.dil_anal." localSheetId="34" hidden="1">{"hiden",#N/A,FALSE,"14";"hidden",#N/A,FALSE,"16";"hidden",#N/A,FALSE,"18";"hidden",#N/A,FALSE,"20"}</definedName>
    <definedName name="wrn.dil_anal." localSheetId="14"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2"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39" hidden="1">{"consolidated",#N/A,FALSE,"Sheet1";"cms",#N/A,FALSE,"Sheet1";"fse",#N/A,FALSE,"Sheet1"}</definedName>
    <definedName name="wrn.document." localSheetId="34" hidden="1">{"consolidated",#N/A,FALSE,"Sheet1";"cms",#N/A,FALSE,"Sheet1";"fse",#N/A,FALSE,"Sheet1"}</definedName>
    <definedName name="wrn.document." localSheetId="14"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2"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39" hidden="1">{"comps2",#N/A,FALSE,"AERO";"footnotes",#N/A,FALSE,"AERO"}</definedName>
    <definedName name="wrn.documentaero." localSheetId="34" hidden="1">{"comps2",#N/A,FALSE,"AERO";"footnotes",#N/A,FALSE,"AERO"}</definedName>
    <definedName name="wrn.documentaero." localSheetId="14"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2"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39" hidden="1">{"comps",#N/A,FALSE,"HANDPACK";"footnotes",#N/A,FALSE,"HANDPACK"}</definedName>
    <definedName name="wrn.documenthand." localSheetId="34" hidden="1">{"comps",#N/A,FALSE,"HANDPACK";"footnotes",#N/A,FALSE,"HANDPACK"}</definedName>
    <definedName name="wrn.documenthand." localSheetId="14"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2"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39" hidden="1">{#N/A,#N/A,FALSE,"model"}</definedName>
    <definedName name="wrn.forecast." localSheetId="34" hidden="1">{#N/A,#N/A,FALSE,"model"}</definedName>
    <definedName name="wrn.forecast." localSheetId="14"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2"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39" hidden="1">{#N/A,#N/A,FALSE,"model"}</definedName>
    <definedName name="wrn.forecast2" localSheetId="34" hidden="1">{#N/A,#N/A,FALSE,"model"}</definedName>
    <definedName name="wrn.forecast2" localSheetId="14"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2"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39" hidden="1">{#N/A,#N/A,FALSE,"model"}</definedName>
    <definedName name="wrn.forecastassumptions." localSheetId="34" hidden="1">{#N/A,#N/A,FALSE,"model"}</definedName>
    <definedName name="wrn.forecastassumptions." localSheetId="14"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2"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39" hidden="1">{#N/A,#N/A,FALSE,"model"}</definedName>
    <definedName name="wrn.forecastassumptions2" localSheetId="34" hidden="1">{#N/A,#N/A,FALSE,"model"}</definedName>
    <definedName name="wrn.forecastassumptions2" localSheetId="14"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2"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39" hidden="1">{#N/A,#N/A,FALSE,"model"}</definedName>
    <definedName name="wrn.forecastROIC." localSheetId="34" hidden="1">{#N/A,#N/A,FALSE,"model"}</definedName>
    <definedName name="wrn.forecastROIC." localSheetId="14"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2"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39" hidden="1">{#N/A,#N/A,FALSE,"model"}</definedName>
    <definedName name="wrn.forecastROIC2" localSheetId="34" hidden="1">{#N/A,#N/A,FALSE,"model"}</definedName>
    <definedName name="wrn.forecastROIC2" localSheetId="14"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2"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39" hidden="1">{#N/A,#N/A,FALSE,"model"}</definedName>
    <definedName name="wrn.history." localSheetId="34" hidden="1">{#N/A,#N/A,FALSE,"model"}</definedName>
    <definedName name="wrn.history." localSheetId="14"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2"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39" hidden="1">{#N/A,#N/A,FALSE,"model"}</definedName>
    <definedName name="wrn.history2" localSheetId="34" hidden="1">{#N/A,#N/A,FALSE,"model"}</definedName>
    <definedName name="wrn.history2" localSheetId="14"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2"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39" hidden="1">{#N/A,#N/A,FALSE,"model"}</definedName>
    <definedName name="wrn.histROIC." localSheetId="34" hidden="1">{#N/A,#N/A,FALSE,"model"}</definedName>
    <definedName name="wrn.histROIC." localSheetId="14"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2"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39" hidden="1">{#N/A,#N/A,FALSE,"model"}</definedName>
    <definedName name="wrn.histROIC2" localSheetId="34" hidden="1">{#N/A,#N/A,FALSE,"model"}</definedName>
    <definedName name="wrn.histROIC2" localSheetId="14"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2"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39" hidden="1">{#N/A,#N/A,TRUE,"financial";#N/A,#N/A,TRUE,"plants"}</definedName>
    <definedName name="wrn.memo." localSheetId="34" hidden="1">{#N/A,#N/A,TRUE,"financial";#N/A,#N/A,TRUE,"plants"}</definedName>
    <definedName name="wrn.memo." localSheetId="14"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2"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9" hidden="1">{"inputs raw data",#N/A,TRUE,"INPUT"}</definedName>
    <definedName name="wrn.print._.raw._.data._.entry." localSheetId="34" hidden="1">{"inputs raw data",#N/A,TRUE,"INPUT"}</definedName>
    <definedName name="wrn.print._.raw._.data._.entry." localSheetId="14"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2"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9" hidden="1">{"summary1",#N/A,TRUE,"Comps";"summary2",#N/A,TRUE,"Comps";"summary3",#N/A,TRUE,"Comps"}</definedName>
    <definedName name="wrn.print._.summary._.sheets." localSheetId="34" hidden="1">{"summary1",#N/A,TRUE,"Comps";"summary2",#N/A,TRUE,"Comps";"summary3",#N/A,TRUE,"Comps"}</definedName>
    <definedName name="wrn.print._.summary._.sheets." localSheetId="14"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2"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39" hidden="1">{#N/A,#N/A,FALSE,"HONORÁRIOS"}</definedName>
    <definedName name="wrn.RESUMO." localSheetId="34" hidden="1">{#N/A,#N/A,FALSE,"HONORÁRIOS"}</definedName>
    <definedName name="wrn.RESUMO." localSheetId="14"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2"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39" hidden="1">{#N/A,#N/A,FALSE,"HONORÁRIOS"}</definedName>
    <definedName name="wrn.RESUMO._1" localSheetId="34" hidden="1">{#N/A,#N/A,FALSE,"HONORÁRIOS"}</definedName>
    <definedName name="wrn.RESUMO._1" localSheetId="14"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2"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39" hidden="1">{"general",#N/A,FALSE,"Assumptions"}</definedName>
    <definedName name="wrn.sensitivity._.analyses." localSheetId="34" hidden="1">{"general",#N/A,FALSE,"Assumptions"}</definedName>
    <definedName name="wrn.sensitivity._.analyses." localSheetId="14"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2"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39" hidden="1">{#N/A,#N/A,FALSE,"CBE";#N/A,#N/A,FALSE,"SWK"}</definedName>
    <definedName name="wrn.stand_alone." localSheetId="34" hidden="1">{#N/A,#N/A,FALSE,"CBE";#N/A,#N/A,FALSE,"SWK"}</definedName>
    <definedName name="wrn.stand_alone." localSheetId="14"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2"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39" hidden="1">{"comp1",#N/A,FALSE,"COMPS";"footnotes",#N/A,FALSE,"COMPS"}</definedName>
    <definedName name="wrn.totalcomp." localSheetId="34" hidden="1">{"comp1",#N/A,FALSE,"COMPS";"footnotes",#N/A,FALSE,"COMPS"}</definedName>
    <definedName name="wrn.totalcomp." localSheetId="14"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2"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39" hidden="1">{"trans assumptions",#N/A,FALSE,"Merger";"trans accretion",#N/A,FALSE,"Merger"}</definedName>
    <definedName name="wrn.trans._.sum." localSheetId="34" hidden="1">{"trans assumptions",#N/A,FALSE,"Merger";"trans accretion",#N/A,FALSE,"Merger"}</definedName>
    <definedName name="wrn.trans._.sum." localSheetId="14"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2"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39" hidden="1">{"up stand alones",#N/A,FALSE,"Acquiror"}</definedName>
    <definedName name="wrn.up." localSheetId="34" hidden="1">{"up stand alones",#N/A,FALSE,"Acquiror"}</definedName>
    <definedName name="wrn.up." localSheetId="14"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2"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39" hidden="1">{"Area1",#N/A,FALSE,"OREWACC";"Area2",#N/A,FALSE,"OREWACC"}</definedName>
    <definedName name="wrn.Wacc." localSheetId="34" hidden="1">{"Area1",#N/A,FALSE,"OREWACC";"Area2",#N/A,FALSE,"OREWACC"}</definedName>
    <definedName name="wrn.Wacc." localSheetId="14"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2"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39" hidden="1">{#N/A,#N/A,FALSE,"model"}</definedName>
    <definedName name="wrn1.history" localSheetId="34" hidden="1">{#N/A,#N/A,FALSE,"model"}</definedName>
    <definedName name="wrn1.history" localSheetId="14"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2"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39" hidden="1">{"consolidated",#N/A,FALSE,"Sheet1";"cms",#N/A,FALSE,"Sheet1";"fse",#N/A,FALSE,"Sheet1"}</definedName>
    <definedName name="WRN2.Document" localSheetId="34" hidden="1">{"consolidated",#N/A,FALSE,"Sheet1";"cms",#N/A,FALSE,"Sheet1";"fse",#N/A,FALSE,"Sheet1"}</definedName>
    <definedName name="WRN2.Document" localSheetId="14"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2"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39" hidden="1">{#N/A,#N/A,FALSE,"model"}</definedName>
    <definedName name="wrn3.histroic" localSheetId="34" hidden="1">{#N/A,#N/A,FALSE,"model"}</definedName>
    <definedName name="wrn3.histroic" localSheetId="14"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5" hidden="1">#REF!</definedName>
    <definedName name="XREF_COLUMN_1" localSheetId="2" hidden="1">#REF!</definedName>
    <definedName name="XREF_COLUMN_1" localSheetId="12" hidden="1">#REF!</definedName>
    <definedName name="XREF_COLUMN_1" localSheetId="39" hidden="1">#REF!</definedName>
    <definedName name="XREF_COLUMN_1" localSheetId="34" hidden="1">#REF!</definedName>
    <definedName name="XREF_COLUMN_1" localSheetId="7" hidden="1">#REF!</definedName>
    <definedName name="XREF_COLUMN_1" localSheetId="6" hidden="1">#REF!</definedName>
    <definedName name="XREF_COLUMN_1" localSheetId="14" hidden="1">#REF!</definedName>
    <definedName name="XREF_COLUMN_1" localSheetId="1" hidden="1">#REF!</definedName>
    <definedName name="XREF_COLUMN_1" localSheetId="10" hidden="1">#REF!</definedName>
    <definedName name="XREF_COLUMN_1" hidden="1">#REF!</definedName>
    <definedName name="XREF_COLUMN_10" localSheetId="15" hidden="1">#REF!</definedName>
    <definedName name="XREF_COLUMN_10" localSheetId="2" hidden="1">#REF!</definedName>
    <definedName name="XREF_COLUMN_10" localSheetId="12" hidden="1">#REF!</definedName>
    <definedName name="XREF_COLUMN_10" localSheetId="34" hidden="1">#REF!</definedName>
    <definedName name="XREF_COLUMN_10" localSheetId="7" hidden="1">#REF!</definedName>
    <definedName name="XREF_COLUMN_10" localSheetId="6" hidden="1">#REF!</definedName>
    <definedName name="XREF_COLUMN_10" localSheetId="1" hidden="1">#REF!</definedName>
    <definedName name="XREF_COLUMN_10" localSheetId="10" hidden="1">#REF!</definedName>
    <definedName name="XREF_COLUMN_10" hidden="1">#REF!</definedName>
    <definedName name="XREF_COLUMN_13" localSheetId="15" hidden="1">#REF!</definedName>
    <definedName name="XREF_COLUMN_13" localSheetId="2" hidden="1">#REF!</definedName>
    <definedName name="XREF_COLUMN_13" localSheetId="12" hidden="1">#REF!</definedName>
    <definedName name="XREF_COLUMN_13" localSheetId="39" hidden="1">#REF!</definedName>
    <definedName name="XREF_COLUMN_13" localSheetId="34" hidden="1">#REF!</definedName>
    <definedName name="XREF_COLUMN_13" localSheetId="7" hidden="1">#REF!</definedName>
    <definedName name="XREF_COLUMN_13" localSheetId="6" hidden="1">#REF!</definedName>
    <definedName name="XREF_COLUMN_13" localSheetId="14" hidden="1">#REF!</definedName>
    <definedName name="XREF_COLUMN_13" localSheetId="11" hidden="1">#REF!</definedName>
    <definedName name="XREF_COLUMN_13" localSheetId="1" hidden="1">#REF!</definedName>
    <definedName name="XREF_COLUMN_13" localSheetId="10" hidden="1">#REF!</definedName>
    <definedName name="XREF_COLUMN_13" hidden="1">#REF!</definedName>
    <definedName name="XREF_COLUMN_14" localSheetId="15" hidden="1">#REF!</definedName>
    <definedName name="XREF_COLUMN_14" localSheetId="2" hidden="1">#REF!</definedName>
    <definedName name="XREF_COLUMN_14" localSheetId="12" hidden="1">#REF!</definedName>
    <definedName name="XREF_COLUMN_14" localSheetId="39" hidden="1">#REF!</definedName>
    <definedName name="XREF_COLUMN_14" localSheetId="34" hidden="1">#REF!</definedName>
    <definedName name="XREF_COLUMN_14" localSheetId="7" hidden="1">#REF!</definedName>
    <definedName name="XREF_COLUMN_14" localSheetId="6" hidden="1">#REF!</definedName>
    <definedName name="XREF_COLUMN_14" localSheetId="14" hidden="1">#REF!</definedName>
    <definedName name="XREF_COLUMN_14" localSheetId="11" hidden="1">#REF!</definedName>
    <definedName name="XREF_COLUMN_14" localSheetId="1" hidden="1">#REF!</definedName>
    <definedName name="XREF_COLUMN_14" localSheetId="10" hidden="1">#REF!</definedName>
    <definedName name="XREF_COLUMN_14" hidden="1">#REF!</definedName>
    <definedName name="XREF_COLUMN_15" localSheetId="15" hidden="1">#REF!</definedName>
    <definedName name="XREF_COLUMN_15" localSheetId="2" hidden="1">#REF!</definedName>
    <definedName name="XREF_COLUMN_15" localSheetId="12" hidden="1">#REF!</definedName>
    <definedName name="XREF_COLUMN_15" localSheetId="39" hidden="1">#REF!</definedName>
    <definedName name="XREF_COLUMN_15" localSheetId="34" hidden="1">#REF!</definedName>
    <definedName name="XREF_COLUMN_15" localSheetId="7" hidden="1">#REF!</definedName>
    <definedName name="XREF_COLUMN_15" localSheetId="6" hidden="1">#REF!</definedName>
    <definedName name="XREF_COLUMN_15" localSheetId="11" hidden="1">#REF!</definedName>
    <definedName name="XREF_COLUMN_15" localSheetId="1" hidden="1">#REF!</definedName>
    <definedName name="XREF_COLUMN_15" localSheetId="10" hidden="1">#REF!</definedName>
    <definedName name="XREF_COLUMN_15" hidden="1">#REF!</definedName>
    <definedName name="XREF_COLUMN_16" localSheetId="15" hidden="1">#REF!</definedName>
    <definedName name="XREF_COLUMN_16" localSheetId="2" hidden="1">#REF!</definedName>
    <definedName name="XREF_COLUMN_16" localSheetId="12" hidden="1">#REF!</definedName>
    <definedName name="XREF_COLUMN_16" localSheetId="39" hidden="1">#REF!</definedName>
    <definedName name="XREF_COLUMN_16" localSheetId="34" hidden="1">#REF!</definedName>
    <definedName name="XREF_COLUMN_16" localSheetId="7" hidden="1">#REF!</definedName>
    <definedName name="XREF_COLUMN_16" localSheetId="6" hidden="1">#REF!</definedName>
    <definedName name="XREF_COLUMN_16" localSheetId="14" hidden="1">#REF!</definedName>
    <definedName name="XREF_COLUMN_16" localSheetId="1" hidden="1">#REF!</definedName>
    <definedName name="XREF_COLUMN_16" localSheetId="10" hidden="1">#REF!</definedName>
    <definedName name="XREF_COLUMN_16" hidden="1">#REF!</definedName>
    <definedName name="XREF_COLUMN_17" localSheetId="15" hidden="1">#REF!</definedName>
    <definedName name="XREF_COLUMN_17" localSheetId="2" hidden="1">#REF!</definedName>
    <definedName name="XREF_COLUMN_17" localSheetId="12" hidden="1">#REF!</definedName>
    <definedName name="XREF_COLUMN_17" localSheetId="39" hidden="1">#REF!</definedName>
    <definedName name="XREF_COLUMN_17" localSheetId="34" hidden="1">#REF!</definedName>
    <definedName name="XREF_COLUMN_17" localSheetId="7" hidden="1">#REF!</definedName>
    <definedName name="XREF_COLUMN_17" localSheetId="6" hidden="1">#REF!</definedName>
    <definedName name="XREF_COLUMN_17" localSheetId="14" hidden="1">#REF!</definedName>
    <definedName name="XREF_COLUMN_17" localSheetId="1" hidden="1">#REF!</definedName>
    <definedName name="XREF_COLUMN_17" localSheetId="10" hidden="1">#REF!</definedName>
    <definedName name="XREF_COLUMN_17" hidden="1">#REF!</definedName>
    <definedName name="XREF_COLUMN_19" localSheetId="15" hidden="1">#REF!</definedName>
    <definedName name="XREF_COLUMN_19" localSheetId="2" hidden="1">#REF!</definedName>
    <definedName name="XREF_COLUMN_19" localSheetId="12" hidden="1">#REF!</definedName>
    <definedName name="XREF_COLUMN_19" localSheetId="39" hidden="1">#REF!</definedName>
    <definedName name="XREF_COLUMN_19" localSheetId="34" hidden="1">#REF!</definedName>
    <definedName name="XREF_COLUMN_19" localSheetId="7" hidden="1">#REF!</definedName>
    <definedName name="XREF_COLUMN_19" localSheetId="6" hidden="1">#REF!</definedName>
    <definedName name="XREF_COLUMN_19" localSheetId="11" hidden="1">#REF!</definedName>
    <definedName name="XREF_COLUMN_19" localSheetId="1" hidden="1">#REF!</definedName>
    <definedName name="XREF_COLUMN_19" localSheetId="10" hidden="1">#REF!</definedName>
    <definedName name="XREF_COLUMN_19" hidden="1">#REF!</definedName>
    <definedName name="XREF_COLUMN_2" localSheetId="2" hidden="1">#REF!</definedName>
    <definedName name="XREF_COLUMN_2" localSheetId="12" hidden="1">#REF!</definedName>
    <definedName name="XREF_COLUMN_2" localSheetId="39" hidden="1">#REF!</definedName>
    <definedName name="XREF_COLUMN_2" localSheetId="34" hidden="1">#REF!</definedName>
    <definedName name="XREF_COLUMN_2" localSheetId="7" hidden="1">#REF!</definedName>
    <definedName name="XREF_COLUMN_2" localSheetId="6" hidden="1">#REF!</definedName>
    <definedName name="XREF_COLUMN_2" localSheetId="11" hidden="1">#REF!</definedName>
    <definedName name="XREF_COLUMN_2" localSheetId="1" hidden="1">#REF!</definedName>
    <definedName name="XREF_COLUMN_2" localSheetId="10" hidden="1">#REF!</definedName>
    <definedName name="XREF_COLUMN_2" hidden="1">#REF!</definedName>
    <definedName name="XREF_COLUMN_20" localSheetId="15" hidden="1">#REF!</definedName>
    <definedName name="XREF_COLUMN_20" localSheetId="2" hidden="1">#REF!</definedName>
    <definedName name="XREF_COLUMN_20" localSheetId="12" hidden="1">#REF!</definedName>
    <definedName name="XREF_COLUMN_20" localSheetId="39" hidden="1">#REF!</definedName>
    <definedName name="XREF_COLUMN_20" localSheetId="34" hidden="1">#REF!</definedName>
    <definedName name="XREF_COLUMN_20" localSheetId="7" hidden="1">#REF!</definedName>
    <definedName name="XREF_COLUMN_20" localSheetId="6" hidden="1">#REF!</definedName>
    <definedName name="XREF_COLUMN_20" localSheetId="14" hidden="1">#REF!</definedName>
    <definedName name="XREF_COLUMN_20" localSheetId="11" hidden="1">#REF!</definedName>
    <definedName name="XREF_COLUMN_20" localSheetId="1" hidden="1">#REF!</definedName>
    <definedName name="XREF_COLUMN_20" localSheetId="10" hidden="1">#REF!</definedName>
    <definedName name="XREF_COLUMN_20" hidden="1">#REF!</definedName>
    <definedName name="XREF_COLUMN_21" localSheetId="15" hidden="1">#REF!</definedName>
    <definedName name="XREF_COLUMN_21" localSheetId="2" hidden="1">#REF!</definedName>
    <definedName name="XREF_COLUMN_21" localSheetId="12" hidden="1">#REF!</definedName>
    <definedName name="XREF_COLUMN_21" localSheetId="39" hidden="1">#REF!</definedName>
    <definedName name="XREF_COLUMN_21" localSheetId="34" hidden="1">#REF!</definedName>
    <definedName name="XREF_COLUMN_21" localSheetId="7" hidden="1">#REF!</definedName>
    <definedName name="XREF_COLUMN_21" localSheetId="6" hidden="1">#REF!</definedName>
    <definedName name="XREF_COLUMN_21" localSheetId="11" hidden="1">#REF!</definedName>
    <definedName name="XREF_COLUMN_21" localSheetId="1" hidden="1">#REF!</definedName>
    <definedName name="XREF_COLUMN_21" localSheetId="10" hidden="1">#REF!</definedName>
    <definedName name="XREF_COLUMN_21" hidden="1">#REF!</definedName>
    <definedName name="XREF_COLUMN_22" localSheetId="15" hidden="1">#REF!</definedName>
    <definedName name="XREF_COLUMN_22" localSheetId="2" hidden="1">#REF!</definedName>
    <definedName name="XREF_COLUMN_22" localSheetId="12" hidden="1">#REF!</definedName>
    <definedName name="XREF_COLUMN_22" localSheetId="39" hidden="1">#REF!</definedName>
    <definedName name="XREF_COLUMN_22" localSheetId="34" hidden="1">#REF!</definedName>
    <definedName name="XREF_COLUMN_22" localSheetId="7" hidden="1">#REF!</definedName>
    <definedName name="XREF_COLUMN_22" localSheetId="6" hidden="1">#REF!</definedName>
    <definedName name="XREF_COLUMN_22" localSheetId="14" hidden="1">#REF!</definedName>
    <definedName name="XREF_COLUMN_22" localSheetId="11" hidden="1">#REF!</definedName>
    <definedName name="XREF_COLUMN_22" localSheetId="1" hidden="1">#REF!</definedName>
    <definedName name="XREF_COLUMN_22" localSheetId="10" hidden="1">#REF!</definedName>
    <definedName name="XREF_COLUMN_22" hidden="1">#REF!</definedName>
    <definedName name="XREF_COLUMN_23" localSheetId="15" hidden="1">#REF!</definedName>
    <definedName name="XREF_COLUMN_23" localSheetId="2" hidden="1">#REF!</definedName>
    <definedName name="XREF_COLUMN_23" localSheetId="12" hidden="1">#REF!</definedName>
    <definedName name="XREF_COLUMN_23" localSheetId="39" hidden="1">#REF!</definedName>
    <definedName name="XREF_COLUMN_23" localSheetId="34" hidden="1">#REF!</definedName>
    <definedName name="XREF_COLUMN_23" localSheetId="7" hidden="1">#REF!</definedName>
    <definedName name="XREF_COLUMN_23" localSheetId="6" hidden="1">#REF!</definedName>
    <definedName name="XREF_COLUMN_23" localSheetId="14" hidden="1">#REF!</definedName>
    <definedName name="XREF_COLUMN_23" localSheetId="1" hidden="1">#REF!</definedName>
    <definedName name="XREF_COLUMN_23" localSheetId="10" hidden="1">#REF!</definedName>
    <definedName name="XREF_COLUMN_23" hidden="1">#REF!</definedName>
    <definedName name="XREF_COLUMN_24" localSheetId="15" hidden="1">#REF!</definedName>
    <definedName name="XREF_COLUMN_24" localSheetId="2" hidden="1">#REF!</definedName>
    <definedName name="XREF_COLUMN_24" localSheetId="12" hidden="1">#REF!</definedName>
    <definedName name="XREF_COLUMN_24" localSheetId="39" hidden="1">#REF!</definedName>
    <definedName name="XREF_COLUMN_24" localSheetId="34" hidden="1">#REF!</definedName>
    <definedName name="XREF_COLUMN_24" localSheetId="7" hidden="1">#REF!</definedName>
    <definedName name="XREF_COLUMN_24" localSheetId="6" hidden="1">#REF!</definedName>
    <definedName name="XREF_COLUMN_24" localSheetId="14" hidden="1">#REF!</definedName>
    <definedName name="XREF_COLUMN_24" localSheetId="1" hidden="1">#REF!</definedName>
    <definedName name="XREF_COLUMN_24" localSheetId="10" hidden="1">#REF!</definedName>
    <definedName name="XREF_COLUMN_24" hidden="1">#REF!</definedName>
    <definedName name="XREF_COLUMN_26" localSheetId="15" hidden="1">#REF!</definedName>
    <definedName name="XREF_COLUMN_26" localSheetId="2" hidden="1">#REF!</definedName>
    <definedName name="XREF_COLUMN_26" localSheetId="12" hidden="1">#REF!</definedName>
    <definedName name="XREF_COLUMN_26" localSheetId="39" hidden="1">#REF!</definedName>
    <definedName name="XREF_COLUMN_26" localSheetId="34" hidden="1">#REF!</definedName>
    <definedName name="XREF_COLUMN_26" localSheetId="7" hidden="1">#REF!</definedName>
    <definedName name="XREF_COLUMN_26" localSheetId="6" hidden="1">#REF!</definedName>
    <definedName name="XREF_COLUMN_26" localSheetId="14" hidden="1">#REF!</definedName>
    <definedName name="XREF_COLUMN_26" localSheetId="1" hidden="1">#REF!</definedName>
    <definedName name="XREF_COLUMN_26" localSheetId="10" hidden="1">#REF!</definedName>
    <definedName name="XREF_COLUMN_26" hidden="1">#REF!</definedName>
    <definedName name="XREF_COLUMN_27" localSheetId="15" hidden="1">#REF!</definedName>
    <definedName name="XREF_COLUMN_27" localSheetId="2" hidden="1">#REF!</definedName>
    <definedName name="XREF_COLUMN_27" localSheetId="12" hidden="1">#REF!</definedName>
    <definedName name="XREF_COLUMN_27" localSheetId="39" hidden="1">#REF!</definedName>
    <definedName name="XREF_COLUMN_27" localSheetId="34" hidden="1">#REF!</definedName>
    <definedName name="XREF_COLUMN_27" localSheetId="7" hidden="1">#REF!</definedName>
    <definedName name="XREF_COLUMN_27" localSheetId="6" hidden="1">#REF!</definedName>
    <definedName name="XREF_COLUMN_27" localSheetId="14" hidden="1">#REF!</definedName>
    <definedName name="XREF_COLUMN_27" localSheetId="1" hidden="1">#REF!</definedName>
    <definedName name="XREF_COLUMN_27" localSheetId="10" hidden="1">#REF!</definedName>
    <definedName name="XREF_COLUMN_27" hidden="1">#REF!</definedName>
    <definedName name="XREF_COLUMN_28" localSheetId="15" hidden="1">#REF!</definedName>
    <definedName name="XREF_COLUMN_28" localSheetId="2" hidden="1">#REF!</definedName>
    <definedName name="XREF_COLUMN_28" localSheetId="12" hidden="1">#REF!</definedName>
    <definedName name="XREF_COLUMN_28" localSheetId="39" hidden="1">#REF!</definedName>
    <definedName name="XREF_COLUMN_28" localSheetId="34" hidden="1">#REF!</definedName>
    <definedName name="XREF_COLUMN_28" localSheetId="7" hidden="1">#REF!</definedName>
    <definedName name="XREF_COLUMN_28" localSheetId="6" hidden="1">#REF!</definedName>
    <definedName name="XREF_COLUMN_28" localSheetId="1" hidden="1">#REF!</definedName>
    <definedName name="XREF_COLUMN_28" localSheetId="10" hidden="1">#REF!</definedName>
    <definedName name="XREF_COLUMN_28" hidden="1">#REF!</definedName>
    <definedName name="XREF_COLUMN_3" localSheetId="15" hidden="1">#REF!</definedName>
    <definedName name="XREF_COLUMN_3" localSheetId="2" hidden="1">#REF!</definedName>
    <definedName name="XREF_COLUMN_3" localSheetId="12" hidden="1">#REF!</definedName>
    <definedName name="XREF_COLUMN_3" localSheetId="39" hidden="1">#REF!</definedName>
    <definedName name="XREF_COLUMN_3" localSheetId="34" hidden="1">#REF!</definedName>
    <definedName name="XREF_COLUMN_3" localSheetId="7" hidden="1">#REF!</definedName>
    <definedName name="XREF_COLUMN_3" localSheetId="6" hidden="1">#REF!</definedName>
    <definedName name="XREF_COLUMN_3" localSheetId="14" hidden="1">#REF!</definedName>
    <definedName name="XREF_COLUMN_3" localSheetId="11" hidden="1">#REF!</definedName>
    <definedName name="XREF_COLUMN_3" localSheetId="1" hidden="1">#REF!</definedName>
    <definedName name="XREF_COLUMN_3" localSheetId="10" hidden="1">#REF!</definedName>
    <definedName name="XREF_COLUMN_3" hidden="1">#REF!</definedName>
    <definedName name="XREF_COLUMN_4" localSheetId="15" hidden="1">#REF!</definedName>
    <definedName name="XREF_COLUMN_4" localSheetId="2" hidden="1">#REF!</definedName>
    <definedName name="XREF_COLUMN_4" localSheetId="12" hidden="1">#REF!</definedName>
    <definedName name="XREF_COLUMN_4" localSheetId="39" hidden="1">#REF!</definedName>
    <definedName name="XREF_COLUMN_4" localSheetId="34" hidden="1">#REF!</definedName>
    <definedName name="XREF_COLUMN_4" localSheetId="7" hidden="1">#REF!</definedName>
    <definedName name="XREF_COLUMN_4" localSheetId="6" hidden="1">#REF!</definedName>
    <definedName name="XREF_COLUMN_4" localSheetId="14" hidden="1">#REF!</definedName>
    <definedName name="XREF_COLUMN_4" localSheetId="11" hidden="1">#REF!</definedName>
    <definedName name="XREF_COLUMN_4" localSheetId="1" hidden="1">#REF!</definedName>
    <definedName name="XREF_COLUMN_4" localSheetId="10" hidden="1">#REF!</definedName>
    <definedName name="XREF_COLUMN_4" hidden="1">#REF!</definedName>
    <definedName name="XREF_COLUMN_5" localSheetId="15" hidden="1">#REF!</definedName>
    <definedName name="XREF_COLUMN_5" localSheetId="2" hidden="1">#REF!</definedName>
    <definedName name="XREF_COLUMN_5" localSheetId="12" hidden="1">#REF!</definedName>
    <definedName name="XREF_COLUMN_5" localSheetId="39" hidden="1">#REF!</definedName>
    <definedName name="XREF_COLUMN_5" localSheetId="34" hidden="1">#REF!</definedName>
    <definedName name="XREF_COLUMN_5" localSheetId="7" hidden="1">#REF!</definedName>
    <definedName name="XREF_COLUMN_5" localSheetId="6" hidden="1">#REF!</definedName>
    <definedName name="XREF_COLUMN_5" localSheetId="14" hidden="1">#REF!</definedName>
    <definedName name="XREF_COLUMN_5" localSheetId="11" hidden="1">#REF!</definedName>
    <definedName name="XREF_COLUMN_5" localSheetId="1" hidden="1">#REF!</definedName>
    <definedName name="XREF_COLUMN_5" localSheetId="10" hidden="1">#REF!</definedName>
    <definedName name="XREF_COLUMN_5" hidden="1">#REF!</definedName>
    <definedName name="XREF_COLUMN_6" localSheetId="15" hidden="1">#REF!</definedName>
    <definedName name="XREF_COLUMN_6" localSheetId="2" hidden="1">#REF!</definedName>
    <definedName name="XREF_COLUMN_6" localSheetId="12" hidden="1">#REF!</definedName>
    <definedName name="XREF_COLUMN_6" localSheetId="39" hidden="1">#REF!</definedName>
    <definedName name="XREF_COLUMN_6" localSheetId="34" hidden="1">#REF!</definedName>
    <definedName name="XREF_COLUMN_6" localSheetId="7" hidden="1">#REF!</definedName>
    <definedName name="XREF_COLUMN_6" localSheetId="6" hidden="1">#REF!</definedName>
    <definedName name="XREF_COLUMN_6" localSheetId="11" hidden="1">#REF!</definedName>
    <definedName name="XREF_COLUMN_6" localSheetId="1" hidden="1">#REF!</definedName>
    <definedName name="XREF_COLUMN_6" localSheetId="10" hidden="1">#REF!</definedName>
    <definedName name="XREF_COLUMN_6" hidden="1">#REF!</definedName>
    <definedName name="XREF_COLUMN_7" localSheetId="15" hidden="1">#REF!</definedName>
    <definedName name="XREF_COLUMN_7" localSheetId="2" hidden="1">#REF!</definedName>
    <definedName name="XREF_COLUMN_7" localSheetId="12" hidden="1">#REF!</definedName>
    <definedName name="XREF_COLUMN_7" localSheetId="39" hidden="1">#REF!</definedName>
    <definedName name="XREF_COLUMN_7" localSheetId="34" hidden="1">#REF!</definedName>
    <definedName name="XREF_COLUMN_7" localSheetId="7" hidden="1">#REF!</definedName>
    <definedName name="XREF_COLUMN_7" localSheetId="6" hidden="1">#REF!</definedName>
    <definedName name="XREF_COLUMN_7" localSheetId="14" hidden="1">#REF!</definedName>
    <definedName name="XREF_COLUMN_7" localSheetId="11" hidden="1">#REF!</definedName>
    <definedName name="XREF_COLUMN_7" localSheetId="1" hidden="1">#REF!</definedName>
    <definedName name="XREF_COLUMN_7" localSheetId="10" hidden="1">#REF!</definedName>
    <definedName name="XREF_COLUMN_7" hidden="1">#REF!</definedName>
    <definedName name="XREF_COLUMN_8" localSheetId="15" hidden="1">#REF!</definedName>
    <definedName name="XREF_COLUMN_8" localSheetId="2" hidden="1">#REF!</definedName>
    <definedName name="XREF_COLUMN_8" localSheetId="12" hidden="1">#REF!</definedName>
    <definedName name="XREF_COLUMN_8" localSheetId="39" hidden="1">#REF!</definedName>
    <definedName name="XREF_COLUMN_8" localSheetId="34" hidden="1">#REF!</definedName>
    <definedName name="XREF_COLUMN_8" localSheetId="7" hidden="1">#REF!</definedName>
    <definedName name="XREF_COLUMN_8" localSheetId="6" hidden="1">#REF!</definedName>
    <definedName name="XREF_COLUMN_8" localSheetId="11" hidden="1">#REF!</definedName>
    <definedName name="XREF_COLUMN_8" localSheetId="1" hidden="1">#REF!</definedName>
    <definedName name="XREF_COLUMN_8" localSheetId="10" hidden="1">#REF!</definedName>
    <definedName name="XREF_COLUMN_8" hidden="1">#REF!</definedName>
    <definedName name="XREF_COLUMN_9" localSheetId="15" hidden="1">#REF!</definedName>
    <definedName name="XREF_COLUMN_9" localSheetId="2" hidden="1">#REF!</definedName>
    <definedName name="XREF_COLUMN_9" localSheetId="12" hidden="1">#REF!</definedName>
    <definedName name="XREF_COLUMN_9" localSheetId="39" hidden="1">#REF!</definedName>
    <definedName name="XREF_COLUMN_9" localSheetId="34" hidden="1">#REF!</definedName>
    <definedName name="XREF_COLUMN_9" localSheetId="7" hidden="1">#REF!</definedName>
    <definedName name="XREF_COLUMN_9" localSheetId="6" hidden="1">#REF!</definedName>
    <definedName name="XREF_COLUMN_9" localSheetId="14" hidden="1">#REF!</definedName>
    <definedName name="XREF_COLUMN_9" localSheetId="1" hidden="1">#REF!</definedName>
    <definedName name="XREF_COLUMN_9" localSheetId="10" hidden="1">#REF!</definedName>
    <definedName name="XREF_COLUMN_9" hidden="1">#REF!</definedName>
    <definedName name="XRefColumnsCount" hidden="1">2</definedName>
    <definedName name="XRefCopy1" localSheetId="15" hidden="1">#REF!</definedName>
    <definedName name="XRefCopy1" localSheetId="2" hidden="1">#REF!</definedName>
    <definedName name="XRefCopy1" localSheetId="12" hidden="1">#REF!</definedName>
    <definedName name="XRefCopy1" localSheetId="39" hidden="1">#REF!</definedName>
    <definedName name="XRefCopy1" localSheetId="34" hidden="1">#REF!</definedName>
    <definedName name="XRefCopy1" localSheetId="7" hidden="1">#REF!</definedName>
    <definedName name="XRefCopy1" localSheetId="6" hidden="1">#REF!</definedName>
    <definedName name="XRefCopy1" localSheetId="14" hidden="1">#REF!</definedName>
    <definedName name="XRefCopy1" localSheetId="11" hidden="1">#REF!</definedName>
    <definedName name="XRefCopy1" localSheetId="1" hidden="1">#REF!</definedName>
    <definedName name="XRefCopy1" localSheetId="10" hidden="1">#REF!</definedName>
    <definedName name="XRefCopy1" hidden="1">#REF!</definedName>
    <definedName name="XRefCopy10" localSheetId="15" hidden="1">#REF!</definedName>
    <definedName name="XRefCopy10" localSheetId="2" hidden="1">#REF!</definedName>
    <definedName name="XRefCopy10" localSheetId="12" hidden="1">#REF!</definedName>
    <definedName name="XRefCopy10" localSheetId="39" hidden="1">#REF!</definedName>
    <definedName name="XRefCopy10" localSheetId="34" hidden="1">#REF!</definedName>
    <definedName name="XRefCopy10" localSheetId="7" hidden="1">#REF!</definedName>
    <definedName name="XRefCopy10" localSheetId="6" hidden="1">#REF!</definedName>
    <definedName name="XRefCopy10" localSheetId="14" hidden="1">#REF!</definedName>
    <definedName name="XRefCopy10" localSheetId="1" hidden="1">#REF!</definedName>
    <definedName name="XRefCopy10" localSheetId="10" hidden="1">#REF!</definedName>
    <definedName name="XRefCopy10" hidden="1">#REF!</definedName>
    <definedName name="XRefCopy10Row" localSheetId="15" hidden="1">#REF!</definedName>
    <definedName name="XRefCopy10Row" localSheetId="2" hidden="1">#REF!</definedName>
    <definedName name="XRefCopy10Row" localSheetId="12" hidden="1">#REF!</definedName>
    <definedName name="XRefCopy10Row" localSheetId="39" hidden="1">#REF!</definedName>
    <definedName name="XRefCopy10Row" localSheetId="34" hidden="1">#REF!</definedName>
    <definedName name="XRefCopy10Row" localSheetId="7" hidden="1">#REF!</definedName>
    <definedName name="XRefCopy10Row" localSheetId="6" hidden="1">#REF!</definedName>
    <definedName name="XRefCopy10Row" localSheetId="14" hidden="1">#REF!</definedName>
    <definedName name="XRefCopy10Row" localSheetId="11" hidden="1">#REF!</definedName>
    <definedName name="XRefCopy10Row" localSheetId="1" hidden="1">#REF!</definedName>
    <definedName name="XRefCopy10Row" localSheetId="10" hidden="1">#REF!</definedName>
    <definedName name="XRefCopy10Row" hidden="1">#REF!</definedName>
    <definedName name="XRefCopy11" localSheetId="15" hidden="1">#REF!</definedName>
    <definedName name="XRefCopy11" localSheetId="2" hidden="1">#REF!</definedName>
    <definedName name="XRefCopy11" localSheetId="12" hidden="1">#REF!</definedName>
    <definedName name="XRefCopy11" localSheetId="39" hidden="1">#REF!</definedName>
    <definedName name="XRefCopy11" localSheetId="34" hidden="1">#REF!</definedName>
    <definedName name="XRefCopy11" localSheetId="7" hidden="1">#REF!</definedName>
    <definedName name="XRefCopy11" localSheetId="6" hidden="1">#REF!</definedName>
    <definedName name="XRefCopy11" localSheetId="14" hidden="1">#REF!</definedName>
    <definedName name="XRefCopy11" localSheetId="1" hidden="1">#REF!</definedName>
    <definedName name="XRefCopy11" localSheetId="10" hidden="1">#REF!</definedName>
    <definedName name="XRefCopy11" hidden="1">#REF!</definedName>
    <definedName name="XRefCopy11Row" localSheetId="15" hidden="1">#REF!</definedName>
    <definedName name="XRefCopy11Row" localSheetId="2" hidden="1">#REF!</definedName>
    <definedName name="XRefCopy11Row" localSheetId="12" hidden="1">#REF!</definedName>
    <definedName name="XRefCopy11Row" localSheetId="39" hidden="1">#REF!</definedName>
    <definedName name="XRefCopy11Row" localSheetId="34" hidden="1">#REF!</definedName>
    <definedName name="XRefCopy11Row" localSheetId="7" hidden="1">#REF!</definedName>
    <definedName name="XRefCopy11Row" localSheetId="6" hidden="1">#REF!</definedName>
    <definedName name="XRefCopy11Row" localSheetId="14" hidden="1">#REF!</definedName>
    <definedName name="XRefCopy11Row" localSheetId="11" hidden="1">#REF!</definedName>
    <definedName name="XRefCopy11Row" localSheetId="1" hidden="1">#REF!</definedName>
    <definedName name="XRefCopy11Row" localSheetId="10" hidden="1">#REF!</definedName>
    <definedName name="XRefCopy11Row" hidden="1">#REF!</definedName>
    <definedName name="XRefCopy12" localSheetId="15" hidden="1">#REF!</definedName>
    <definedName name="XRefCopy12" localSheetId="2" hidden="1">#REF!</definedName>
    <definedName name="XRefCopy12" localSheetId="12" hidden="1">#REF!</definedName>
    <definedName name="XRefCopy12" localSheetId="39" hidden="1">#REF!</definedName>
    <definedName name="XRefCopy12" localSheetId="34" hidden="1">#REF!</definedName>
    <definedName name="XRefCopy12" localSheetId="7" hidden="1">#REF!</definedName>
    <definedName name="XRefCopy12" localSheetId="6" hidden="1">#REF!</definedName>
    <definedName name="XRefCopy12" localSheetId="14" hidden="1">#REF!</definedName>
    <definedName name="XRefCopy12" localSheetId="11" hidden="1">#REF!</definedName>
    <definedName name="XRefCopy12" localSheetId="1" hidden="1">#REF!</definedName>
    <definedName name="XRefCopy12" localSheetId="10" hidden="1">#REF!</definedName>
    <definedName name="XRefCopy12" hidden="1">#REF!</definedName>
    <definedName name="XRefCopy12Row" localSheetId="15" hidden="1">#REF!</definedName>
    <definedName name="XRefCopy12Row" localSheetId="2" hidden="1">#REF!</definedName>
    <definedName name="XRefCopy12Row" localSheetId="12" hidden="1">#REF!</definedName>
    <definedName name="XRefCopy12Row" localSheetId="39" hidden="1">#REF!</definedName>
    <definedName name="XRefCopy12Row" localSheetId="34" hidden="1">#REF!</definedName>
    <definedName name="XRefCopy12Row" localSheetId="7" hidden="1">#REF!</definedName>
    <definedName name="XRefCopy12Row" localSheetId="6" hidden="1">#REF!</definedName>
    <definedName name="XRefCopy12Row" localSheetId="14" hidden="1">#REF!</definedName>
    <definedName name="XRefCopy12Row" localSheetId="11" hidden="1">#REF!</definedName>
    <definedName name="XRefCopy12Row" localSheetId="1" hidden="1">#REF!</definedName>
    <definedName name="XRefCopy12Row" localSheetId="10" hidden="1">#REF!</definedName>
    <definedName name="XRefCopy12Row" hidden="1">#REF!</definedName>
    <definedName name="XRefCopy13" localSheetId="15" hidden="1">#REF!</definedName>
    <definedName name="XRefCopy13" localSheetId="2" hidden="1">#REF!</definedName>
    <definedName name="XRefCopy13" localSheetId="12" hidden="1">#REF!</definedName>
    <definedName name="XRefCopy13" localSheetId="39" hidden="1">#REF!</definedName>
    <definedName name="XRefCopy13" localSheetId="34" hidden="1">#REF!</definedName>
    <definedName name="XRefCopy13" localSheetId="7" hidden="1">#REF!</definedName>
    <definedName name="XRefCopy13" localSheetId="6" hidden="1">#REF!</definedName>
    <definedName name="XRefCopy13" localSheetId="14" hidden="1">#REF!</definedName>
    <definedName name="XRefCopy13" localSheetId="11" hidden="1">#REF!</definedName>
    <definedName name="XRefCopy13" localSheetId="1" hidden="1">#REF!</definedName>
    <definedName name="XRefCopy13" localSheetId="10" hidden="1">#REF!</definedName>
    <definedName name="XRefCopy13" hidden="1">#REF!</definedName>
    <definedName name="XRefCopy13Row" localSheetId="15" hidden="1">#REF!</definedName>
    <definedName name="XRefCopy13Row" localSheetId="2" hidden="1">#REF!</definedName>
    <definedName name="XRefCopy13Row" localSheetId="12" hidden="1">#REF!</definedName>
    <definedName name="XRefCopy13Row" localSheetId="39" hidden="1">#REF!</definedName>
    <definedName name="XRefCopy13Row" localSheetId="34" hidden="1">#REF!</definedName>
    <definedName name="XRefCopy13Row" localSheetId="7" hidden="1">#REF!</definedName>
    <definedName name="XRefCopy13Row" localSheetId="6" hidden="1">#REF!</definedName>
    <definedName name="XRefCopy13Row" localSheetId="14" hidden="1">#REF!</definedName>
    <definedName name="XRefCopy13Row" localSheetId="11" hidden="1">#REF!</definedName>
    <definedName name="XRefCopy13Row" localSheetId="1" hidden="1">#REF!</definedName>
    <definedName name="XRefCopy13Row" localSheetId="10" hidden="1">#REF!</definedName>
    <definedName name="XRefCopy13Row" hidden="1">#REF!</definedName>
    <definedName name="XRefCopy14" localSheetId="15" hidden="1">#REF!</definedName>
    <definedName name="XRefCopy14" localSheetId="2" hidden="1">#REF!</definedName>
    <definedName name="XRefCopy14" localSheetId="12" hidden="1">#REF!</definedName>
    <definedName name="XRefCopy14" localSheetId="39" hidden="1">#REF!</definedName>
    <definedName name="XRefCopy14" localSheetId="34" hidden="1">#REF!</definedName>
    <definedName name="XRefCopy14" localSheetId="7" hidden="1">#REF!</definedName>
    <definedName name="XRefCopy14" localSheetId="6" hidden="1">#REF!</definedName>
    <definedName name="XRefCopy14" localSheetId="14" hidden="1">#REF!</definedName>
    <definedName name="XRefCopy14" localSheetId="11" hidden="1">#REF!</definedName>
    <definedName name="XRefCopy14" localSheetId="1" hidden="1">#REF!</definedName>
    <definedName name="XRefCopy14" localSheetId="10" hidden="1">#REF!</definedName>
    <definedName name="XRefCopy14" hidden="1">#REF!</definedName>
    <definedName name="XRefCopy14Row" localSheetId="15" hidden="1">#REF!</definedName>
    <definedName name="XRefCopy14Row" localSheetId="2" hidden="1">#REF!</definedName>
    <definedName name="XRefCopy14Row" localSheetId="12" hidden="1">#REF!</definedName>
    <definedName name="XRefCopy14Row" localSheetId="39" hidden="1">#REF!</definedName>
    <definedName name="XRefCopy14Row" localSheetId="34" hidden="1">#REF!</definedName>
    <definedName name="XRefCopy14Row" localSheetId="7" hidden="1">#REF!</definedName>
    <definedName name="XRefCopy14Row" localSheetId="6" hidden="1">#REF!</definedName>
    <definedName name="XRefCopy14Row" localSheetId="14" hidden="1">#REF!</definedName>
    <definedName name="XRefCopy14Row" localSheetId="11" hidden="1">#REF!</definedName>
    <definedName name="XRefCopy14Row" localSheetId="1" hidden="1">#REF!</definedName>
    <definedName name="XRefCopy14Row" localSheetId="10" hidden="1">#REF!</definedName>
    <definedName name="XRefCopy14Row" hidden="1">#REF!</definedName>
    <definedName name="XRefCopy15" localSheetId="15" hidden="1">#REF!</definedName>
    <definedName name="XRefCopy15" localSheetId="2" hidden="1">#REF!</definedName>
    <definedName name="XRefCopy15" localSheetId="12" hidden="1">#REF!</definedName>
    <definedName name="XRefCopy15" localSheetId="39" hidden="1">#REF!</definedName>
    <definedName name="XRefCopy15" localSheetId="34" hidden="1">#REF!</definedName>
    <definedName name="XRefCopy15" localSheetId="7" hidden="1">#REF!</definedName>
    <definedName name="XRefCopy15" localSheetId="6" hidden="1">#REF!</definedName>
    <definedName name="XRefCopy15" localSheetId="14" hidden="1">#REF!</definedName>
    <definedName name="XRefCopy15" localSheetId="11" hidden="1">#REF!</definedName>
    <definedName name="XRefCopy15" localSheetId="1" hidden="1">#REF!</definedName>
    <definedName name="XRefCopy15" localSheetId="10" hidden="1">#REF!</definedName>
    <definedName name="XRefCopy15" hidden="1">#REF!</definedName>
    <definedName name="XRefCopy15Row" localSheetId="15" hidden="1">#REF!</definedName>
    <definedName name="XRefCopy15Row" localSheetId="2" hidden="1">#REF!</definedName>
    <definedName name="XRefCopy15Row" localSheetId="12" hidden="1">#REF!</definedName>
    <definedName name="XRefCopy15Row" localSheetId="39" hidden="1">#REF!</definedName>
    <definedName name="XRefCopy15Row" localSheetId="34" hidden="1">#REF!</definedName>
    <definedName name="XRefCopy15Row" localSheetId="7" hidden="1">#REF!</definedName>
    <definedName name="XRefCopy15Row" localSheetId="6" hidden="1">#REF!</definedName>
    <definedName name="XRefCopy15Row" localSheetId="14" hidden="1">#REF!</definedName>
    <definedName name="XRefCopy15Row" localSheetId="11" hidden="1">#REF!</definedName>
    <definedName name="XRefCopy15Row" localSheetId="1" hidden="1">#REF!</definedName>
    <definedName name="XRefCopy15Row" localSheetId="10" hidden="1">#REF!</definedName>
    <definedName name="XRefCopy15Row" hidden="1">#REF!</definedName>
    <definedName name="XRefCopy16" localSheetId="15" hidden="1">#REF!</definedName>
    <definedName name="XRefCopy16" localSheetId="2" hidden="1">#REF!</definedName>
    <definedName name="XRefCopy16" localSheetId="12" hidden="1">#REF!</definedName>
    <definedName name="XRefCopy16" localSheetId="39" hidden="1">#REF!</definedName>
    <definedName name="XRefCopy16" localSheetId="34" hidden="1">#REF!</definedName>
    <definedName name="XRefCopy16" localSheetId="7" hidden="1">#REF!</definedName>
    <definedName name="XRefCopy16" localSheetId="6" hidden="1">#REF!</definedName>
    <definedName name="XRefCopy16" localSheetId="14" hidden="1">#REF!</definedName>
    <definedName name="XRefCopy16" localSheetId="11" hidden="1">#REF!</definedName>
    <definedName name="XRefCopy16" localSheetId="1" hidden="1">#REF!</definedName>
    <definedName name="XRefCopy16" localSheetId="10" hidden="1">#REF!</definedName>
    <definedName name="XRefCopy16" hidden="1">#REF!</definedName>
    <definedName name="XRefCopy16Row" localSheetId="15" hidden="1">#REF!</definedName>
    <definedName name="XRefCopy16Row" localSheetId="2" hidden="1">#REF!</definedName>
    <definedName name="XRefCopy16Row" localSheetId="12" hidden="1">#REF!</definedName>
    <definedName name="XRefCopy16Row" localSheetId="39" hidden="1">#REF!</definedName>
    <definedName name="XRefCopy16Row" localSheetId="34" hidden="1">#REF!</definedName>
    <definedName name="XRefCopy16Row" localSheetId="7" hidden="1">#REF!</definedName>
    <definedName name="XRefCopy16Row" localSheetId="6" hidden="1">#REF!</definedName>
    <definedName name="XRefCopy16Row" localSheetId="14" hidden="1">#REF!</definedName>
    <definedName name="XRefCopy16Row" localSheetId="11" hidden="1">#REF!</definedName>
    <definedName name="XRefCopy16Row" localSheetId="1" hidden="1">#REF!</definedName>
    <definedName name="XRefCopy16Row" localSheetId="10" hidden="1">#REF!</definedName>
    <definedName name="XRefCopy16Row" hidden="1">#REF!</definedName>
    <definedName name="XRefCopy17" localSheetId="15" hidden="1">#REF!</definedName>
    <definedName name="XRefCopy17" localSheetId="2" hidden="1">#REF!</definedName>
    <definedName name="XRefCopy17" localSheetId="12" hidden="1">#REF!</definedName>
    <definedName name="XRefCopy17" localSheetId="39" hidden="1">#REF!</definedName>
    <definedName name="XRefCopy17" localSheetId="34" hidden="1">#REF!</definedName>
    <definedName name="XRefCopy17" localSheetId="7" hidden="1">#REF!</definedName>
    <definedName name="XRefCopy17" localSheetId="6" hidden="1">#REF!</definedName>
    <definedName name="XRefCopy17" localSheetId="14" hidden="1">#REF!</definedName>
    <definedName name="XRefCopy17" localSheetId="1" hidden="1">#REF!</definedName>
    <definedName name="XRefCopy17" localSheetId="10" hidden="1">#REF!</definedName>
    <definedName name="XRefCopy17" hidden="1">#REF!</definedName>
    <definedName name="XRefCopy17Row" localSheetId="15" hidden="1">#REF!</definedName>
    <definedName name="XRefCopy17Row" localSheetId="2" hidden="1">#REF!</definedName>
    <definedName name="XRefCopy17Row" localSheetId="12" hidden="1">#REF!</definedName>
    <definedName name="XRefCopy17Row" localSheetId="39" hidden="1">#REF!</definedName>
    <definedName name="XRefCopy17Row" localSheetId="34" hidden="1">#REF!</definedName>
    <definedName name="XRefCopy17Row" localSheetId="7" hidden="1">#REF!</definedName>
    <definedName name="XRefCopy17Row" localSheetId="6" hidden="1">#REF!</definedName>
    <definedName name="XRefCopy17Row" localSheetId="14" hidden="1">#REF!</definedName>
    <definedName name="XRefCopy17Row" localSheetId="11" hidden="1">#REF!</definedName>
    <definedName name="XRefCopy17Row" localSheetId="1" hidden="1">#REF!</definedName>
    <definedName name="XRefCopy17Row" localSheetId="10" hidden="1">#REF!</definedName>
    <definedName name="XRefCopy17Row" hidden="1">#REF!</definedName>
    <definedName name="XRefCopy18" localSheetId="15" hidden="1">#REF!</definedName>
    <definedName name="XRefCopy18" localSheetId="2" hidden="1">#REF!</definedName>
    <definedName name="XRefCopy18" localSheetId="12" hidden="1">#REF!</definedName>
    <definedName name="XRefCopy18" localSheetId="39" hidden="1">#REF!</definedName>
    <definedName name="XRefCopy18" localSheetId="34" hidden="1">#REF!</definedName>
    <definedName name="XRefCopy18" localSheetId="7" hidden="1">#REF!</definedName>
    <definedName name="XRefCopy18" localSheetId="6" hidden="1">#REF!</definedName>
    <definedName name="XRefCopy18" localSheetId="14" hidden="1">#REF!</definedName>
    <definedName name="XRefCopy18" localSheetId="11" hidden="1">#REF!</definedName>
    <definedName name="XRefCopy18" localSheetId="1" hidden="1">#REF!</definedName>
    <definedName name="XRefCopy18" localSheetId="10" hidden="1">#REF!</definedName>
    <definedName name="XRefCopy18" hidden="1">#REF!</definedName>
    <definedName name="XRefCopy18Row" localSheetId="15" hidden="1">#REF!</definedName>
    <definedName name="XRefCopy18Row" localSheetId="2" hidden="1">#REF!</definedName>
    <definedName name="XRefCopy18Row" localSheetId="12" hidden="1">#REF!</definedName>
    <definedName name="XRefCopy18Row" localSheetId="39" hidden="1">#REF!</definedName>
    <definedName name="XRefCopy18Row" localSheetId="34" hidden="1">#REF!</definedName>
    <definedName name="XRefCopy18Row" localSheetId="7" hidden="1">#REF!</definedName>
    <definedName name="XRefCopy18Row" localSheetId="6" hidden="1">#REF!</definedName>
    <definedName name="XRefCopy18Row" localSheetId="1" hidden="1">#REF!</definedName>
    <definedName name="XRefCopy18Row" localSheetId="10" hidden="1">#REF!</definedName>
    <definedName name="XRefCopy18Row" hidden="1">#REF!</definedName>
    <definedName name="XRefCopy19" localSheetId="15" hidden="1">#REF!</definedName>
    <definedName name="XRefCopy19" localSheetId="2" hidden="1">#REF!</definedName>
    <definedName name="XRefCopy19" localSheetId="12" hidden="1">#REF!</definedName>
    <definedName name="XRefCopy19" localSheetId="39" hidden="1">#REF!</definedName>
    <definedName name="XRefCopy19" localSheetId="34" hidden="1">#REF!</definedName>
    <definedName name="XRefCopy19" localSheetId="7" hidden="1">#REF!</definedName>
    <definedName name="XRefCopy19" localSheetId="6" hidden="1">#REF!</definedName>
    <definedName name="XRefCopy19" localSheetId="14" hidden="1">#REF!</definedName>
    <definedName name="XRefCopy19" localSheetId="1" hidden="1">#REF!</definedName>
    <definedName name="XRefCopy19" localSheetId="10" hidden="1">#REF!</definedName>
    <definedName name="XRefCopy19" hidden="1">#REF!</definedName>
    <definedName name="XRefCopy19Row" localSheetId="15" hidden="1">#REF!</definedName>
    <definedName name="XRefCopy19Row" localSheetId="2" hidden="1">#REF!</definedName>
    <definedName name="XRefCopy19Row" localSheetId="12" hidden="1">#REF!</definedName>
    <definedName name="XRefCopy19Row" localSheetId="39" hidden="1">#REF!</definedName>
    <definedName name="XRefCopy19Row" localSheetId="34" hidden="1">#REF!</definedName>
    <definedName name="XRefCopy19Row" localSheetId="7" hidden="1">#REF!</definedName>
    <definedName name="XRefCopy19Row" localSheetId="6" hidden="1">#REF!</definedName>
    <definedName name="XRefCopy19Row" localSheetId="14" hidden="1">#REF!</definedName>
    <definedName name="XRefCopy19Row" localSheetId="1" hidden="1">#REF!</definedName>
    <definedName name="XRefCopy19Row" localSheetId="10" hidden="1">#REF!</definedName>
    <definedName name="XRefCopy19Row" hidden="1">#REF!</definedName>
    <definedName name="XRefCopy1Row" localSheetId="15" hidden="1">#REF!</definedName>
    <definedName name="XRefCopy1Row" localSheetId="2" hidden="1">#REF!</definedName>
    <definedName name="XRefCopy1Row" localSheetId="12" hidden="1">#REF!</definedName>
    <definedName name="XRefCopy1Row" localSheetId="39" hidden="1">#REF!</definedName>
    <definedName name="XRefCopy1Row" localSheetId="34" hidden="1">#REF!</definedName>
    <definedName name="XRefCopy1Row" localSheetId="7" hidden="1">#REF!</definedName>
    <definedName name="XRefCopy1Row" localSheetId="6" hidden="1">#REF!</definedName>
    <definedName name="XRefCopy1Row" localSheetId="14" hidden="1">#REF!</definedName>
    <definedName name="XRefCopy1Row" localSheetId="11" hidden="1">#REF!</definedName>
    <definedName name="XRefCopy1Row" localSheetId="1" hidden="1">#REF!</definedName>
    <definedName name="XRefCopy1Row" localSheetId="10" hidden="1">#REF!</definedName>
    <definedName name="XRefCopy1Row" hidden="1">#REF!</definedName>
    <definedName name="XRefCopy2" localSheetId="15" hidden="1">#REF!</definedName>
    <definedName name="XRefCopy2" localSheetId="2" hidden="1">#REF!</definedName>
    <definedName name="XRefCopy2" localSheetId="12" hidden="1">#REF!</definedName>
    <definedName name="XRefCopy2" localSheetId="39" hidden="1">#REF!</definedName>
    <definedName name="XRefCopy2" localSheetId="34" hidden="1">#REF!</definedName>
    <definedName name="XRefCopy2" localSheetId="7" hidden="1">#REF!</definedName>
    <definedName name="XRefCopy2" localSheetId="6" hidden="1">#REF!</definedName>
    <definedName name="XRefCopy2" localSheetId="11" hidden="1">#REF!</definedName>
    <definedName name="XRefCopy2" localSheetId="1" hidden="1">#REF!</definedName>
    <definedName name="XRefCopy2" localSheetId="10" hidden="1">#REF!</definedName>
    <definedName name="XRefCopy2" hidden="1">#REF!</definedName>
    <definedName name="XRefCopy20" localSheetId="15" hidden="1">#REF!</definedName>
    <definedName name="XRefCopy20" localSheetId="2" hidden="1">#REF!</definedName>
    <definedName name="XRefCopy20" localSheetId="12" hidden="1">#REF!</definedName>
    <definedName name="XRefCopy20" localSheetId="39" hidden="1">#REF!</definedName>
    <definedName name="XRefCopy20" localSheetId="34" hidden="1">#REF!</definedName>
    <definedName name="XRefCopy20" localSheetId="7" hidden="1">#REF!</definedName>
    <definedName name="XRefCopy20" localSheetId="6" hidden="1">#REF!</definedName>
    <definedName name="XRefCopy20" localSheetId="14" hidden="1">#REF!</definedName>
    <definedName name="XRefCopy20" localSheetId="1" hidden="1">#REF!</definedName>
    <definedName name="XRefCopy20" localSheetId="10" hidden="1">#REF!</definedName>
    <definedName name="XRefCopy20" hidden="1">#REF!</definedName>
    <definedName name="XRefCopy20Row" localSheetId="15" hidden="1">#REF!</definedName>
    <definedName name="XRefCopy20Row" localSheetId="2" hidden="1">#REF!</definedName>
    <definedName name="XRefCopy20Row" localSheetId="12" hidden="1">#REF!</definedName>
    <definedName name="XRefCopy20Row" localSheetId="39" hidden="1">#REF!</definedName>
    <definedName name="XRefCopy20Row" localSheetId="34" hidden="1">#REF!</definedName>
    <definedName name="XRefCopy20Row" localSheetId="7" hidden="1">#REF!</definedName>
    <definedName name="XRefCopy20Row" localSheetId="6" hidden="1">#REF!</definedName>
    <definedName name="XRefCopy20Row" localSheetId="14" hidden="1">#REF!</definedName>
    <definedName name="XRefCopy20Row" localSheetId="1" hidden="1">#REF!</definedName>
    <definedName name="XRefCopy20Row" localSheetId="10" hidden="1">#REF!</definedName>
    <definedName name="XRefCopy20Row" hidden="1">#REF!</definedName>
    <definedName name="XRefCopy21" localSheetId="15" hidden="1">#REF!</definedName>
    <definedName name="XRefCopy21" localSheetId="2" hidden="1">#REF!</definedName>
    <definedName name="XRefCopy21" localSheetId="12" hidden="1">#REF!</definedName>
    <definedName name="XRefCopy21" localSheetId="39" hidden="1">#REF!</definedName>
    <definedName name="XRefCopy21" localSheetId="34" hidden="1">#REF!</definedName>
    <definedName name="XRefCopy21" localSheetId="7" hidden="1">#REF!</definedName>
    <definedName name="XRefCopy21" localSheetId="6" hidden="1">#REF!</definedName>
    <definedName name="XRefCopy21" localSheetId="14" hidden="1">#REF!</definedName>
    <definedName name="XRefCopy21" localSheetId="1" hidden="1">#REF!</definedName>
    <definedName name="XRefCopy21" localSheetId="10" hidden="1">#REF!</definedName>
    <definedName name="XRefCopy21" hidden="1">#REF!</definedName>
    <definedName name="XRefCopy21Row" localSheetId="15" hidden="1">#REF!</definedName>
    <definedName name="XRefCopy21Row" localSheetId="2" hidden="1">#REF!</definedName>
    <definedName name="XRefCopy21Row" localSheetId="12" hidden="1">#REF!</definedName>
    <definedName name="XRefCopy21Row" localSheetId="39" hidden="1">#REF!</definedName>
    <definedName name="XRefCopy21Row" localSheetId="34" hidden="1">#REF!</definedName>
    <definedName name="XRefCopy21Row" localSheetId="7" hidden="1">#REF!</definedName>
    <definedName name="XRefCopy21Row" localSheetId="6" hidden="1">#REF!</definedName>
    <definedName name="XRefCopy21Row" localSheetId="14" hidden="1">#REF!</definedName>
    <definedName name="XRefCopy21Row" localSheetId="1" hidden="1">#REF!</definedName>
    <definedName name="XRefCopy21Row" localSheetId="10" hidden="1">#REF!</definedName>
    <definedName name="XRefCopy21Row" hidden="1">#REF!</definedName>
    <definedName name="XRefCopy22" localSheetId="15" hidden="1">#REF!</definedName>
    <definedName name="XRefCopy22" localSheetId="2" hidden="1">#REF!</definedName>
    <definedName name="XRefCopy22" localSheetId="12" hidden="1">#REF!</definedName>
    <definedName name="XRefCopy22" localSheetId="39" hidden="1">#REF!</definedName>
    <definedName name="XRefCopy22" localSheetId="34" hidden="1">#REF!</definedName>
    <definedName name="XRefCopy22" localSheetId="7" hidden="1">#REF!</definedName>
    <definedName name="XRefCopy22" localSheetId="6" hidden="1">#REF!</definedName>
    <definedName name="XRefCopy22" localSheetId="14" hidden="1">#REF!</definedName>
    <definedName name="XRefCopy22" localSheetId="1" hidden="1">#REF!</definedName>
    <definedName name="XRefCopy22" localSheetId="10" hidden="1">#REF!</definedName>
    <definedName name="XRefCopy22" hidden="1">#REF!</definedName>
    <definedName name="XRefCopy22Row" localSheetId="15" hidden="1">#REF!</definedName>
    <definedName name="XRefCopy22Row" localSheetId="2" hidden="1">#REF!</definedName>
    <definedName name="XRefCopy22Row" localSheetId="12" hidden="1">#REF!</definedName>
    <definedName name="XRefCopy22Row" localSheetId="39" hidden="1">#REF!</definedName>
    <definedName name="XRefCopy22Row" localSheetId="34" hidden="1">#REF!</definedName>
    <definedName name="XRefCopy22Row" localSheetId="7" hidden="1">#REF!</definedName>
    <definedName name="XRefCopy22Row" localSheetId="6" hidden="1">#REF!</definedName>
    <definedName name="XRefCopy22Row" localSheetId="1" hidden="1">#REF!</definedName>
    <definedName name="XRefCopy22Row" localSheetId="10" hidden="1">#REF!</definedName>
    <definedName name="XRefCopy22Row" hidden="1">#REF!</definedName>
    <definedName name="XRefCopy23" localSheetId="15" hidden="1">#REF!</definedName>
    <definedName name="XRefCopy23" localSheetId="2" hidden="1">#REF!</definedName>
    <definedName name="XRefCopy23" localSheetId="12" hidden="1">#REF!</definedName>
    <definedName name="XRefCopy23" localSheetId="39" hidden="1">#REF!</definedName>
    <definedName name="XRefCopy23" localSheetId="34" hidden="1">#REF!</definedName>
    <definedName name="XRefCopy23" localSheetId="7" hidden="1">#REF!</definedName>
    <definedName name="XRefCopy23" localSheetId="6" hidden="1">#REF!</definedName>
    <definedName name="XRefCopy23" localSheetId="14" hidden="1">#REF!</definedName>
    <definedName name="XRefCopy23" localSheetId="1" hidden="1">#REF!</definedName>
    <definedName name="XRefCopy23" localSheetId="10" hidden="1">#REF!</definedName>
    <definedName name="XRefCopy23" hidden="1">#REF!</definedName>
    <definedName name="XRefCopy23Row" localSheetId="15" hidden="1">#REF!</definedName>
    <definedName name="XRefCopy23Row" localSheetId="2" hidden="1">#REF!</definedName>
    <definedName name="XRefCopy23Row" localSheetId="12" hidden="1">#REF!</definedName>
    <definedName name="XRefCopy23Row" localSheetId="39" hidden="1">#REF!</definedName>
    <definedName name="XRefCopy23Row" localSheetId="34" hidden="1">#REF!</definedName>
    <definedName name="XRefCopy23Row" localSheetId="7" hidden="1">#REF!</definedName>
    <definedName name="XRefCopy23Row" localSheetId="6" hidden="1">#REF!</definedName>
    <definedName name="XRefCopy23Row" localSheetId="14" hidden="1">#REF!</definedName>
    <definedName name="XRefCopy23Row" localSheetId="1" hidden="1">#REF!</definedName>
    <definedName name="XRefCopy23Row" localSheetId="10" hidden="1">#REF!</definedName>
    <definedName name="XRefCopy23Row" hidden="1">#REF!</definedName>
    <definedName name="XRefCopy24" localSheetId="15" hidden="1">#REF!</definedName>
    <definedName name="XRefCopy24" localSheetId="2" hidden="1">#REF!</definedName>
    <definedName name="XRefCopy24" localSheetId="12" hidden="1">#REF!</definedName>
    <definedName name="XRefCopy24" localSheetId="39" hidden="1">#REF!</definedName>
    <definedName name="XRefCopy24" localSheetId="34" hidden="1">#REF!</definedName>
    <definedName name="XRefCopy24" localSheetId="7" hidden="1">#REF!</definedName>
    <definedName name="XRefCopy24" localSheetId="6" hidden="1">#REF!</definedName>
    <definedName name="XRefCopy24" localSheetId="14" hidden="1">#REF!</definedName>
    <definedName name="XRefCopy24" localSheetId="1" hidden="1">#REF!</definedName>
    <definedName name="XRefCopy24" localSheetId="10" hidden="1">#REF!</definedName>
    <definedName name="XRefCopy24" hidden="1">#REF!</definedName>
    <definedName name="XRefCopy24Row" localSheetId="15" hidden="1">#REF!</definedName>
    <definedName name="XRefCopy24Row" localSheetId="2" hidden="1">#REF!</definedName>
    <definedName name="XRefCopy24Row" localSheetId="12" hidden="1">#REF!</definedName>
    <definedName name="XRefCopy24Row" localSheetId="39" hidden="1">#REF!</definedName>
    <definedName name="XRefCopy24Row" localSheetId="34" hidden="1">#REF!</definedName>
    <definedName name="XRefCopy24Row" localSheetId="7" hidden="1">#REF!</definedName>
    <definedName name="XRefCopy24Row" localSheetId="6" hidden="1">#REF!</definedName>
    <definedName name="XRefCopy24Row" localSheetId="14" hidden="1">#REF!</definedName>
    <definedName name="XRefCopy24Row" localSheetId="1" hidden="1">#REF!</definedName>
    <definedName name="XRefCopy24Row" localSheetId="10" hidden="1">#REF!</definedName>
    <definedName name="XRefCopy24Row" hidden="1">#REF!</definedName>
    <definedName name="XRefCopy25" localSheetId="15" hidden="1">#REF!</definedName>
    <definedName name="XRefCopy25" localSheetId="2" hidden="1">#REF!</definedName>
    <definedName name="XRefCopy25" localSheetId="12" hidden="1">#REF!</definedName>
    <definedName name="XRefCopy25" localSheetId="39" hidden="1">#REF!</definedName>
    <definedName name="XRefCopy25" localSheetId="34" hidden="1">#REF!</definedName>
    <definedName name="XRefCopy25" localSheetId="7" hidden="1">#REF!</definedName>
    <definedName name="XRefCopy25" localSheetId="6" hidden="1">#REF!</definedName>
    <definedName name="XRefCopy25" localSheetId="14" hidden="1">#REF!</definedName>
    <definedName name="XRefCopy25" localSheetId="1" hidden="1">#REF!</definedName>
    <definedName name="XRefCopy25" localSheetId="10" hidden="1">#REF!</definedName>
    <definedName name="XRefCopy25" hidden="1">#REF!</definedName>
    <definedName name="XRefCopy25Row" localSheetId="15" hidden="1">#REF!</definedName>
    <definedName name="XRefCopy25Row" localSheetId="2" hidden="1">#REF!</definedName>
    <definedName name="XRefCopy25Row" localSheetId="12" hidden="1">#REF!</definedName>
    <definedName name="XRefCopy25Row" localSheetId="39" hidden="1">#REF!</definedName>
    <definedName name="XRefCopy25Row" localSheetId="34" hidden="1">#REF!</definedName>
    <definedName name="XRefCopy25Row" localSheetId="7" hidden="1">#REF!</definedName>
    <definedName name="XRefCopy25Row" localSheetId="6" hidden="1">#REF!</definedName>
    <definedName name="XRefCopy25Row" localSheetId="14" hidden="1">#REF!</definedName>
    <definedName name="XRefCopy25Row" localSheetId="1" hidden="1">#REF!</definedName>
    <definedName name="XRefCopy25Row" localSheetId="10" hidden="1">#REF!</definedName>
    <definedName name="XRefCopy25Row" hidden="1">#REF!</definedName>
    <definedName name="XRefCopy26" localSheetId="15" hidden="1">#REF!</definedName>
    <definedName name="XRefCopy26" localSheetId="2" hidden="1">#REF!</definedName>
    <definedName name="XRefCopy26" localSheetId="12" hidden="1">#REF!</definedName>
    <definedName name="XRefCopy26" localSheetId="39" hidden="1">#REF!</definedName>
    <definedName name="XRefCopy26" localSheetId="34" hidden="1">#REF!</definedName>
    <definedName name="XRefCopy26" localSheetId="7" hidden="1">#REF!</definedName>
    <definedName name="XRefCopy26" localSheetId="6" hidden="1">#REF!</definedName>
    <definedName name="XRefCopy26" localSheetId="14" hidden="1">#REF!</definedName>
    <definedName name="XRefCopy26" localSheetId="1" hidden="1">#REF!</definedName>
    <definedName name="XRefCopy26" localSheetId="10" hidden="1">#REF!</definedName>
    <definedName name="XRefCopy26" hidden="1">#REF!</definedName>
    <definedName name="XRefCopy26Row" localSheetId="15" hidden="1">#REF!</definedName>
    <definedName name="XRefCopy26Row" localSheetId="2" hidden="1">#REF!</definedName>
    <definedName name="XRefCopy26Row" localSheetId="12" hidden="1">#REF!</definedName>
    <definedName name="XRefCopy26Row" localSheetId="39" hidden="1">#REF!</definedName>
    <definedName name="XRefCopy26Row" localSheetId="34" hidden="1">#REF!</definedName>
    <definedName name="XRefCopy26Row" localSheetId="7" hidden="1">#REF!</definedName>
    <definedName name="XRefCopy26Row" localSheetId="6" hidden="1">#REF!</definedName>
    <definedName name="XRefCopy26Row" localSheetId="14" hidden="1">#REF!</definedName>
    <definedName name="XRefCopy26Row" localSheetId="1" hidden="1">#REF!</definedName>
    <definedName name="XRefCopy26Row" localSheetId="10" hidden="1">#REF!</definedName>
    <definedName name="XRefCopy26Row" hidden="1">#REF!</definedName>
    <definedName name="XRefCopy27" localSheetId="15" hidden="1">#REF!</definedName>
    <definedName name="XRefCopy27" localSheetId="2" hidden="1">#REF!</definedName>
    <definedName name="XRefCopy27" localSheetId="12" hidden="1">#REF!</definedName>
    <definedName name="XRefCopy27" localSheetId="39" hidden="1">#REF!</definedName>
    <definedName name="XRefCopy27" localSheetId="34" hidden="1">#REF!</definedName>
    <definedName name="XRefCopy27" localSheetId="7" hidden="1">#REF!</definedName>
    <definedName name="XRefCopy27" localSheetId="6" hidden="1">#REF!</definedName>
    <definedName name="XRefCopy27" localSheetId="11" hidden="1">#REF!</definedName>
    <definedName name="XRefCopy27" localSheetId="1" hidden="1">#REF!</definedName>
    <definedName name="XRefCopy27" localSheetId="10" hidden="1">#REF!</definedName>
    <definedName name="XRefCopy27" hidden="1">#REF!</definedName>
    <definedName name="XRefCopy27Row" localSheetId="15" hidden="1">#REF!</definedName>
    <definedName name="XRefCopy27Row" localSheetId="2" hidden="1">#REF!</definedName>
    <definedName name="XRefCopy27Row" localSheetId="12" hidden="1">#REF!</definedName>
    <definedName name="XRefCopy27Row" localSheetId="39" hidden="1">#REF!</definedName>
    <definedName name="XRefCopy27Row" localSheetId="34" hidden="1">#REF!</definedName>
    <definedName name="XRefCopy27Row" localSheetId="7" hidden="1">#REF!</definedName>
    <definedName name="XRefCopy27Row" localSheetId="6" hidden="1">#REF!</definedName>
    <definedName name="XRefCopy27Row" localSheetId="14" hidden="1">#REF!</definedName>
    <definedName name="XRefCopy27Row" localSheetId="1" hidden="1">#REF!</definedName>
    <definedName name="XRefCopy27Row" localSheetId="10" hidden="1">#REF!</definedName>
    <definedName name="XRefCopy27Row" hidden="1">#REF!</definedName>
    <definedName name="XRefCopy28" localSheetId="15" hidden="1">#REF!</definedName>
    <definedName name="XRefCopy28" localSheetId="2" hidden="1">#REF!</definedName>
    <definedName name="XRefCopy28" localSheetId="12" hidden="1">#REF!</definedName>
    <definedName name="XRefCopy28" localSheetId="39" hidden="1">#REF!</definedName>
    <definedName name="XRefCopy28" localSheetId="34" hidden="1">#REF!</definedName>
    <definedName name="XRefCopy28" localSheetId="7" hidden="1">#REF!</definedName>
    <definedName name="XRefCopy28" localSheetId="6" hidden="1">#REF!</definedName>
    <definedName name="XRefCopy28" localSheetId="1" hidden="1">#REF!</definedName>
    <definedName name="XRefCopy28" localSheetId="10" hidden="1">#REF!</definedName>
    <definedName name="XRefCopy28" hidden="1">#REF!</definedName>
    <definedName name="XRefCopy28Row" localSheetId="15" hidden="1">#REF!</definedName>
    <definedName name="XRefCopy28Row" localSheetId="2" hidden="1">#REF!</definedName>
    <definedName name="XRefCopy28Row" localSheetId="12" hidden="1">#REF!</definedName>
    <definedName name="XRefCopy28Row" localSheetId="39" hidden="1">#REF!</definedName>
    <definedName name="XRefCopy28Row" localSheetId="34" hidden="1">#REF!</definedName>
    <definedName name="XRefCopy28Row" localSheetId="7" hidden="1">#REF!</definedName>
    <definedName name="XRefCopy28Row" localSheetId="6" hidden="1">#REF!</definedName>
    <definedName name="XRefCopy28Row" localSheetId="14" hidden="1">#REF!</definedName>
    <definedName name="XRefCopy28Row" localSheetId="1" hidden="1">#REF!</definedName>
    <definedName name="XRefCopy28Row" localSheetId="10" hidden="1">#REF!</definedName>
    <definedName name="XRefCopy28Row" hidden="1">#REF!</definedName>
    <definedName name="XRefCopy29Row" localSheetId="15" hidden="1">#REF!</definedName>
    <definedName name="XRefCopy29Row" localSheetId="2" hidden="1">#REF!</definedName>
    <definedName name="XRefCopy29Row" localSheetId="12" hidden="1">#REF!</definedName>
    <definedName name="XRefCopy29Row" localSheetId="39" hidden="1">#REF!</definedName>
    <definedName name="XRefCopy29Row" localSheetId="34" hidden="1">#REF!</definedName>
    <definedName name="XRefCopy29Row" localSheetId="7" hidden="1">#REF!</definedName>
    <definedName name="XRefCopy29Row" localSheetId="6" hidden="1">#REF!</definedName>
    <definedName name="XRefCopy29Row" localSheetId="14" hidden="1">#REF!</definedName>
    <definedName name="XRefCopy29Row" localSheetId="1" hidden="1">#REF!</definedName>
    <definedName name="XRefCopy29Row" localSheetId="10" hidden="1">#REF!</definedName>
    <definedName name="XRefCopy29Row" hidden="1">#REF!</definedName>
    <definedName name="XRefCopy2Row" localSheetId="15" hidden="1">#REF!</definedName>
    <definedName name="XRefCopy2Row" localSheetId="2" hidden="1">#REF!</definedName>
    <definedName name="XRefCopy2Row" localSheetId="12" hidden="1">#REF!</definedName>
    <definedName name="XRefCopy2Row" localSheetId="39" hidden="1">#REF!</definedName>
    <definedName name="XRefCopy2Row" localSheetId="34" hidden="1">#REF!</definedName>
    <definedName name="XRefCopy2Row" localSheetId="7" hidden="1">#REF!</definedName>
    <definedName name="XRefCopy2Row" localSheetId="6" hidden="1">#REF!</definedName>
    <definedName name="XRefCopy2Row" localSheetId="11" hidden="1">#REF!</definedName>
    <definedName name="XRefCopy2Row" localSheetId="1" hidden="1">#REF!</definedName>
    <definedName name="XRefCopy2Row" localSheetId="10" hidden="1">#REF!</definedName>
    <definedName name="XRefCopy2Row" hidden="1">#REF!</definedName>
    <definedName name="XRefCopy3" localSheetId="15" hidden="1">#REF!</definedName>
    <definedName name="XRefCopy3" localSheetId="2" hidden="1">#REF!</definedName>
    <definedName name="XRefCopy3" localSheetId="12" hidden="1">#REF!</definedName>
    <definedName name="XRefCopy3" localSheetId="39" hidden="1">#REF!</definedName>
    <definedName name="XRefCopy3" localSheetId="34" hidden="1">#REF!</definedName>
    <definedName name="XRefCopy3" localSheetId="7" hidden="1">#REF!</definedName>
    <definedName name="XRefCopy3" localSheetId="6" hidden="1">#REF!</definedName>
    <definedName name="XRefCopy3" localSheetId="14" hidden="1">#REF!</definedName>
    <definedName name="XRefCopy3" localSheetId="11" hidden="1">#REF!</definedName>
    <definedName name="XRefCopy3" localSheetId="1" hidden="1">#REF!</definedName>
    <definedName name="XRefCopy3" localSheetId="10" hidden="1">#REF!</definedName>
    <definedName name="XRefCopy3" hidden="1">#REF!</definedName>
    <definedName name="XRefCopy30" localSheetId="15" hidden="1">#REF!</definedName>
    <definedName name="XRefCopy30" localSheetId="2" hidden="1">#REF!</definedName>
    <definedName name="XRefCopy30" localSheetId="12" hidden="1">#REF!</definedName>
    <definedName name="XRefCopy30" localSheetId="39" hidden="1">#REF!</definedName>
    <definedName name="XRefCopy30" localSheetId="34" hidden="1">#REF!</definedName>
    <definedName name="XRefCopy30" localSheetId="7" hidden="1">#REF!</definedName>
    <definedName name="XRefCopy30" localSheetId="6" hidden="1">#REF!</definedName>
    <definedName name="XRefCopy30" localSheetId="14" hidden="1">#REF!</definedName>
    <definedName name="XRefCopy30" localSheetId="1" hidden="1">#REF!</definedName>
    <definedName name="XRefCopy30" localSheetId="10" hidden="1">#REF!</definedName>
    <definedName name="XRefCopy30" hidden="1">#REF!</definedName>
    <definedName name="XRefCopy30Row" localSheetId="15" hidden="1">#REF!</definedName>
    <definedName name="XRefCopy30Row" localSheetId="2" hidden="1">#REF!</definedName>
    <definedName name="XRefCopy30Row" localSheetId="12" hidden="1">#REF!</definedName>
    <definedName name="XRefCopy30Row" localSheetId="39" hidden="1">#REF!</definedName>
    <definedName name="XRefCopy30Row" localSheetId="34" hidden="1">#REF!</definedName>
    <definedName name="XRefCopy30Row" localSheetId="7" hidden="1">#REF!</definedName>
    <definedName name="XRefCopy30Row" localSheetId="6" hidden="1">#REF!</definedName>
    <definedName name="XRefCopy30Row" localSheetId="14" hidden="1">#REF!</definedName>
    <definedName name="XRefCopy30Row" localSheetId="1" hidden="1">#REF!</definedName>
    <definedName name="XRefCopy30Row" localSheetId="10" hidden="1">#REF!</definedName>
    <definedName name="XRefCopy30Row" hidden="1">#REF!</definedName>
    <definedName name="XRefCopy31" localSheetId="15" hidden="1">#REF!</definedName>
    <definedName name="XRefCopy31" localSheetId="2" hidden="1">#REF!</definedName>
    <definedName name="XRefCopy31" localSheetId="12" hidden="1">#REF!</definedName>
    <definedName name="XRefCopy31" localSheetId="39" hidden="1">#REF!</definedName>
    <definedName name="XRefCopy31" localSheetId="34" hidden="1">#REF!</definedName>
    <definedName name="XRefCopy31" localSheetId="7" hidden="1">#REF!</definedName>
    <definedName name="XRefCopy31" localSheetId="6" hidden="1">#REF!</definedName>
    <definedName name="XRefCopy31" localSheetId="14" hidden="1">#REF!</definedName>
    <definedName name="XRefCopy31" localSheetId="1" hidden="1">#REF!</definedName>
    <definedName name="XRefCopy31" localSheetId="10" hidden="1">#REF!</definedName>
    <definedName name="XRefCopy31" hidden="1">#REF!</definedName>
    <definedName name="XRefCopy31Row" localSheetId="15" hidden="1">#REF!</definedName>
    <definedName name="XRefCopy31Row" localSheetId="2" hidden="1">#REF!</definedName>
    <definedName name="XRefCopy31Row" localSheetId="12" hidden="1">#REF!</definedName>
    <definedName name="XRefCopy31Row" localSheetId="39" hidden="1">#REF!</definedName>
    <definedName name="XRefCopy31Row" localSheetId="34" hidden="1">#REF!</definedName>
    <definedName name="XRefCopy31Row" localSheetId="7" hidden="1">#REF!</definedName>
    <definedName name="XRefCopy31Row" localSheetId="6" hidden="1">#REF!</definedName>
    <definedName name="XRefCopy31Row" localSheetId="14" hidden="1">#REF!</definedName>
    <definedName name="XRefCopy31Row" localSheetId="1" hidden="1">#REF!</definedName>
    <definedName name="XRefCopy31Row" localSheetId="10" hidden="1">#REF!</definedName>
    <definedName name="XRefCopy31Row" hidden="1">#REF!</definedName>
    <definedName name="XRefCopy32" localSheetId="15" hidden="1">#REF!</definedName>
    <definedName name="XRefCopy32" localSheetId="2" hidden="1">#REF!</definedName>
    <definedName name="XRefCopy32" localSheetId="12" hidden="1">#REF!</definedName>
    <definedName name="XRefCopy32" localSheetId="39" hidden="1">#REF!</definedName>
    <definedName name="XRefCopy32" localSheetId="34" hidden="1">#REF!</definedName>
    <definedName name="XRefCopy32" localSheetId="7" hidden="1">#REF!</definedName>
    <definedName name="XRefCopy32" localSheetId="6" hidden="1">#REF!</definedName>
    <definedName name="XRefCopy32" localSheetId="14" hidden="1">#REF!</definedName>
    <definedName name="XRefCopy32" localSheetId="1" hidden="1">#REF!</definedName>
    <definedName name="XRefCopy32" localSheetId="10" hidden="1">#REF!</definedName>
    <definedName name="XRefCopy32" hidden="1">#REF!</definedName>
    <definedName name="XRefCopy32Row" localSheetId="15" hidden="1">#REF!</definedName>
    <definedName name="XRefCopy32Row" localSheetId="2" hidden="1">#REF!</definedName>
    <definedName name="XRefCopy32Row" localSheetId="12" hidden="1">#REF!</definedName>
    <definedName name="XRefCopy32Row" localSheetId="39" hidden="1">#REF!</definedName>
    <definedName name="XRefCopy32Row" localSheetId="34" hidden="1">#REF!</definedName>
    <definedName name="XRefCopy32Row" localSheetId="7" hidden="1">#REF!</definedName>
    <definedName name="XRefCopy32Row" localSheetId="6" hidden="1">#REF!</definedName>
    <definedName name="XRefCopy32Row" localSheetId="14" hidden="1">#REF!</definedName>
    <definedName name="XRefCopy32Row" localSheetId="1" hidden="1">#REF!</definedName>
    <definedName name="XRefCopy32Row" localSheetId="10" hidden="1">#REF!</definedName>
    <definedName name="XRefCopy32Row" hidden="1">#REF!</definedName>
    <definedName name="XRefCopy33" localSheetId="15" hidden="1">#REF!</definedName>
    <definedName name="XRefCopy33" localSheetId="2" hidden="1">#REF!</definedName>
    <definedName name="XRefCopy33" localSheetId="12" hidden="1">#REF!</definedName>
    <definedName name="XRefCopy33" localSheetId="39" hidden="1">#REF!</definedName>
    <definedName name="XRefCopy33" localSheetId="34" hidden="1">#REF!</definedName>
    <definedName name="XRefCopy33" localSheetId="7" hidden="1">#REF!</definedName>
    <definedName name="XRefCopy33" localSheetId="6" hidden="1">#REF!</definedName>
    <definedName name="XRefCopy33" localSheetId="14" hidden="1">#REF!</definedName>
    <definedName name="XRefCopy33" localSheetId="1" hidden="1">#REF!</definedName>
    <definedName name="XRefCopy33" localSheetId="10" hidden="1">#REF!</definedName>
    <definedName name="XRefCopy33" hidden="1">#REF!</definedName>
    <definedName name="XRefCopy33Row" localSheetId="15" hidden="1">#REF!</definedName>
    <definedName name="XRefCopy33Row" localSheetId="2" hidden="1">#REF!</definedName>
    <definedName name="XRefCopy33Row" localSheetId="12" hidden="1">#REF!</definedName>
    <definedName name="XRefCopy33Row" localSheetId="39" hidden="1">#REF!</definedName>
    <definedName name="XRefCopy33Row" localSheetId="34" hidden="1">#REF!</definedName>
    <definedName name="XRefCopy33Row" localSheetId="7" hidden="1">#REF!</definedName>
    <definedName name="XRefCopy33Row" localSheetId="6" hidden="1">#REF!</definedName>
    <definedName name="XRefCopy33Row" localSheetId="14" hidden="1">#REF!</definedName>
    <definedName name="XRefCopy33Row" localSheetId="1" hidden="1">#REF!</definedName>
    <definedName name="XRefCopy33Row" localSheetId="10" hidden="1">#REF!</definedName>
    <definedName name="XRefCopy33Row" hidden="1">#REF!</definedName>
    <definedName name="XRefCopy34" localSheetId="15" hidden="1">#REF!</definedName>
    <definedName name="XRefCopy34" localSheetId="2" hidden="1">#REF!</definedName>
    <definedName name="XRefCopy34" localSheetId="12" hidden="1">#REF!</definedName>
    <definedName name="XRefCopy34" localSheetId="39" hidden="1">#REF!</definedName>
    <definedName name="XRefCopy34" localSheetId="34" hidden="1">#REF!</definedName>
    <definedName name="XRefCopy34" localSheetId="7" hidden="1">#REF!</definedName>
    <definedName name="XRefCopy34" localSheetId="6" hidden="1">#REF!</definedName>
    <definedName name="XRefCopy34" localSheetId="14" hidden="1">#REF!</definedName>
    <definedName name="XRefCopy34" localSheetId="1" hidden="1">#REF!</definedName>
    <definedName name="XRefCopy34" localSheetId="10" hidden="1">#REF!</definedName>
    <definedName name="XRefCopy34" hidden="1">#REF!</definedName>
    <definedName name="XRefCopy34Row" localSheetId="15" hidden="1">#REF!</definedName>
    <definedName name="XRefCopy34Row" localSheetId="2" hidden="1">#REF!</definedName>
    <definedName name="XRefCopy34Row" localSheetId="12" hidden="1">#REF!</definedName>
    <definedName name="XRefCopy34Row" localSheetId="39" hidden="1">#REF!</definedName>
    <definedName name="XRefCopy34Row" localSheetId="34" hidden="1">#REF!</definedName>
    <definedName name="XRefCopy34Row" localSheetId="7" hidden="1">#REF!</definedName>
    <definedName name="XRefCopy34Row" localSheetId="6" hidden="1">#REF!</definedName>
    <definedName name="XRefCopy34Row" localSheetId="14" hidden="1">#REF!</definedName>
    <definedName name="XRefCopy34Row" localSheetId="1" hidden="1">#REF!</definedName>
    <definedName name="XRefCopy34Row" localSheetId="10" hidden="1">#REF!</definedName>
    <definedName name="XRefCopy34Row" hidden="1">#REF!</definedName>
    <definedName name="XRefCopy35" localSheetId="15" hidden="1">#REF!</definedName>
    <definedName name="XRefCopy35" localSheetId="2" hidden="1">#REF!</definedName>
    <definedName name="XRefCopy35" localSheetId="12" hidden="1">#REF!</definedName>
    <definedName name="XRefCopy35" localSheetId="39" hidden="1">#REF!</definedName>
    <definedName name="XRefCopy35" localSheetId="34" hidden="1">#REF!</definedName>
    <definedName name="XRefCopy35" localSheetId="7" hidden="1">#REF!</definedName>
    <definedName name="XRefCopy35" localSheetId="6" hidden="1">#REF!</definedName>
    <definedName name="XRefCopy35" localSheetId="14" hidden="1">#REF!</definedName>
    <definedName name="XRefCopy35" localSheetId="1" hidden="1">#REF!</definedName>
    <definedName name="XRefCopy35" localSheetId="10" hidden="1">#REF!</definedName>
    <definedName name="XRefCopy35" hidden="1">#REF!</definedName>
    <definedName name="XRefCopy35Row" localSheetId="15" hidden="1">#REF!</definedName>
    <definedName name="XRefCopy35Row" localSheetId="2" hidden="1">#REF!</definedName>
    <definedName name="XRefCopy35Row" localSheetId="12" hidden="1">#REF!</definedName>
    <definedName name="XRefCopy35Row" localSheetId="39" hidden="1">#REF!</definedName>
    <definedName name="XRefCopy35Row" localSheetId="34" hidden="1">#REF!</definedName>
    <definedName name="XRefCopy35Row" localSheetId="7" hidden="1">#REF!</definedName>
    <definedName name="XRefCopy35Row" localSheetId="6" hidden="1">#REF!</definedName>
    <definedName name="XRefCopy35Row" localSheetId="14" hidden="1">#REF!</definedName>
    <definedName name="XRefCopy35Row" localSheetId="1" hidden="1">#REF!</definedName>
    <definedName name="XRefCopy35Row" localSheetId="10" hidden="1">#REF!</definedName>
    <definedName name="XRefCopy35Row" hidden="1">#REF!</definedName>
    <definedName name="XRefCopy36" localSheetId="15" hidden="1">#REF!</definedName>
    <definedName name="XRefCopy36" localSheetId="2" hidden="1">#REF!</definedName>
    <definedName name="XRefCopy36" localSheetId="12" hidden="1">#REF!</definedName>
    <definedName name="XRefCopy36" localSheetId="39" hidden="1">#REF!</definedName>
    <definedName name="XRefCopy36" localSheetId="34" hidden="1">#REF!</definedName>
    <definedName name="XRefCopy36" localSheetId="7" hidden="1">#REF!</definedName>
    <definedName name="XRefCopy36" localSheetId="6" hidden="1">#REF!</definedName>
    <definedName name="XRefCopy36" localSheetId="14" hidden="1">#REF!</definedName>
    <definedName name="XRefCopy36" localSheetId="1" hidden="1">#REF!</definedName>
    <definedName name="XRefCopy36" localSheetId="10" hidden="1">#REF!</definedName>
    <definedName name="XRefCopy36" hidden="1">#REF!</definedName>
    <definedName name="XRefCopy36Row" localSheetId="15" hidden="1">#REF!</definedName>
    <definedName name="XRefCopy36Row" localSheetId="2" hidden="1">#REF!</definedName>
    <definedName name="XRefCopy36Row" localSheetId="12" hidden="1">#REF!</definedName>
    <definedName name="XRefCopy36Row" localSheetId="39" hidden="1">#REF!</definedName>
    <definedName name="XRefCopy36Row" localSheetId="34" hidden="1">#REF!</definedName>
    <definedName name="XRefCopy36Row" localSheetId="7" hidden="1">#REF!</definedName>
    <definedName name="XRefCopy36Row" localSheetId="6" hidden="1">#REF!</definedName>
    <definedName name="XRefCopy36Row" localSheetId="14" hidden="1">#REF!</definedName>
    <definedName name="XRefCopy36Row" localSheetId="1" hidden="1">#REF!</definedName>
    <definedName name="XRefCopy36Row" localSheetId="10" hidden="1">#REF!</definedName>
    <definedName name="XRefCopy36Row" hidden="1">#REF!</definedName>
    <definedName name="XRefCopy37" localSheetId="15" hidden="1">#REF!</definedName>
    <definedName name="XRefCopy37" localSheetId="2" hidden="1">#REF!</definedName>
    <definedName name="XRefCopy37" localSheetId="12" hidden="1">#REF!</definedName>
    <definedName name="XRefCopy37" localSheetId="39" hidden="1">#REF!</definedName>
    <definedName name="XRefCopy37" localSheetId="34" hidden="1">#REF!</definedName>
    <definedName name="XRefCopy37" localSheetId="7" hidden="1">#REF!</definedName>
    <definedName name="XRefCopy37" localSheetId="6" hidden="1">#REF!</definedName>
    <definedName name="XRefCopy37" localSheetId="14" hidden="1">#REF!</definedName>
    <definedName name="XRefCopy37" localSheetId="1" hidden="1">#REF!</definedName>
    <definedName name="XRefCopy37" localSheetId="10" hidden="1">#REF!</definedName>
    <definedName name="XRefCopy37" hidden="1">#REF!</definedName>
    <definedName name="XRefCopy37Row" localSheetId="15" hidden="1">#REF!</definedName>
    <definedName name="XRefCopy37Row" localSheetId="2" hidden="1">#REF!</definedName>
    <definedName name="XRefCopy37Row" localSheetId="12" hidden="1">#REF!</definedName>
    <definedName name="XRefCopy37Row" localSheetId="39" hidden="1">#REF!</definedName>
    <definedName name="XRefCopy37Row" localSheetId="34" hidden="1">#REF!</definedName>
    <definedName name="XRefCopy37Row" localSheetId="7" hidden="1">#REF!</definedName>
    <definedName name="XRefCopy37Row" localSheetId="6" hidden="1">#REF!</definedName>
    <definedName name="XRefCopy37Row" localSheetId="14" hidden="1">#REF!</definedName>
    <definedName name="XRefCopy37Row" localSheetId="1" hidden="1">#REF!</definedName>
    <definedName name="XRefCopy37Row" localSheetId="10" hidden="1">#REF!</definedName>
    <definedName name="XRefCopy37Row" hidden="1">#REF!</definedName>
    <definedName name="XRefCopy38" localSheetId="15" hidden="1">#REF!</definedName>
    <definedName name="XRefCopy38" localSheetId="2" hidden="1">#REF!</definedName>
    <definedName name="XRefCopy38" localSheetId="12" hidden="1">#REF!</definedName>
    <definedName name="XRefCopy38" localSheetId="39" hidden="1">#REF!</definedName>
    <definedName name="XRefCopy38" localSheetId="34" hidden="1">#REF!</definedName>
    <definedName name="XRefCopy38" localSheetId="7" hidden="1">#REF!</definedName>
    <definedName name="XRefCopy38" localSheetId="6" hidden="1">#REF!</definedName>
    <definedName name="XRefCopy38" localSheetId="14" hidden="1">#REF!</definedName>
    <definedName name="XRefCopy38" localSheetId="1" hidden="1">#REF!</definedName>
    <definedName name="XRefCopy38" localSheetId="10" hidden="1">#REF!</definedName>
    <definedName name="XRefCopy38" hidden="1">#REF!</definedName>
    <definedName name="XRefCopy38Row" localSheetId="15" hidden="1">#REF!</definedName>
    <definedName name="XRefCopy38Row" localSheetId="2" hidden="1">#REF!</definedName>
    <definedName name="XRefCopy38Row" localSheetId="12" hidden="1">#REF!</definedName>
    <definedName name="XRefCopy38Row" localSheetId="39" hidden="1">#REF!</definedName>
    <definedName name="XRefCopy38Row" localSheetId="34" hidden="1">#REF!</definedName>
    <definedName name="XRefCopy38Row" localSheetId="7" hidden="1">#REF!</definedName>
    <definedName name="XRefCopy38Row" localSheetId="6" hidden="1">#REF!</definedName>
    <definedName name="XRefCopy38Row" localSheetId="14" hidden="1">#REF!</definedName>
    <definedName name="XRefCopy38Row" localSheetId="1" hidden="1">#REF!</definedName>
    <definedName name="XRefCopy38Row" localSheetId="10" hidden="1">#REF!</definedName>
    <definedName name="XRefCopy38Row" hidden="1">#REF!</definedName>
    <definedName name="XRefCopy39" localSheetId="15" hidden="1">#REF!</definedName>
    <definedName name="XRefCopy39" localSheetId="2" hidden="1">#REF!</definedName>
    <definedName name="XRefCopy39" localSheetId="12" hidden="1">#REF!</definedName>
    <definedName name="XRefCopy39" localSheetId="39" hidden="1">#REF!</definedName>
    <definedName name="XRefCopy39" localSheetId="34" hidden="1">#REF!</definedName>
    <definedName name="XRefCopy39" localSheetId="7" hidden="1">#REF!</definedName>
    <definedName name="XRefCopy39" localSheetId="6" hidden="1">#REF!</definedName>
    <definedName name="XRefCopy39" localSheetId="14" hidden="1">#REF!</definedName>
    <definedName name="XRefCopy39" localSheetId="1" hidden="1">#REF!</definedName>
    <definedName name="XRefCopy39" localSheetId="10" hidden="1">#REF!</definedName>
    <definedName name="XRefCopy39" hidden="1">#REF!</definedName>
    <definedName name="XRefCopy39Row" localSheetId="15" hidden="1">#REF!</definedName>
    <definedName name="XRefCopy39Row" localSheetId="2" hidden="1">#REF!</definedName>
    <definedName name="XRefCopy39Row" localSheetId="12" hidden="1">#REF!</definedName>
    <definedName name="XRefCopy39Row" localSheetId="39" hidden="1">#REF!</definedName>
    <definedName name="XRefCopy39Row" localSheetId="34" hidden="1">#REF!</definedName>
    <definedName name="XRefCopy39Row" localSheetId="7" hidden="1">#REF!</definedName>
    <definedName name="XRefCopy39Row" localSheetId="6" hidden="1">#REF!</definedName>
    <definedName name="XRefCopy39Row" localSheetId="14" hidden="1">#REF!</definedName>
    <definedName name="XRefCopy39Row" localSheetId="1" hidden="1">#REF!</definedName>
    <definedName name="XRefCopy39Row" localSheetId="10" hidden="1">#REF!</definedName>
    <definedName name="XRefCopy39Row" hidden="1">#REF!</definedName>
    <definedName name="XRefCopy3Row" localSheetId="15" hidden="1">#REF!</definedName>
    <definedName name="XRefCopy3Row" localSheetId="2" hidden="1">#REF!</definedName>
    <definedName name="XRefCopy3Row" localSheetId="12" hidden="1">#REF!</definedName>
    <definedName name="XRefCopy3Row" localSheetId="39" hidden="1">#REF!</definedName>
    <definedName name="XRefCopy3Row" localSheetId="34" hidden="1">#REF!</definedName>
    <definedName name="XRefCopy3Row" localSheetId="7" hidden="1">#REF!</definedName>
    <definedName name="XRefCopy3Row" localSheetId="6" hidden="1">#REF!</definedName>
    <definedName name="XRefCopy3Row" localSheetId="14" hidden="1">#REF!</definedName>
    <definedName name="XRefCopy3Row" localSheetId="11" hidden="1">#REF!</definedName>
    <definedName name="XRefCopy3Row" localSheetId="1" hidden="1">#REF!</definedName>
    <definedName name="XRefCopy3Row" localSheetId="10" hidden="1">#REF!</definedName>
    <definedName name="XRefCopy3Row" hidden="1">#REF!</definedName>
    <definedName name="XRefCopy4" localSheetId="15" hidden="1">#REF!</definedName>
    <definedName name="XRefCopy4" localSheetId="2" hidden="1">#REF!</definedName>
    <definedName name="XRefCopy4" localSheetId="12" hidden="1">#REF!</definedName>
    <definedName name="XRefCopy4" localSheetId="39" hidden="1">#REF!</definedName>
    <definedName name="XRefCopy4" localSheetId="34" hidden="1">#REF!</definedName>
    <definedName name="XRefCopy4" localSheetId="7" hidden="1">#REF!</definedName>
    <definedName name="XRefCopy4" localSheetId="6" hidden="1">#REF!</definedName>
    <definedName name="XRefCopy4" localSheetId="14" hidden="1">#REF!</definedName>
    <definedName name="XRefCopy4" localSheetId="11" hidden="1">#REF!</definedName>
    <definedName name="XRefCopy4" localSheetId="1" hidden="1">#REF!</definedName>
    <definedName name="XRefCopy4" localSheetId="10" hidden="1">#REF!</definedName>
    <definedName name="XRefCopy4" hidden="1">#REF!</definedName>
    <definedName name="XRefCopy40" localSheetId="15" hidden="1">#REF!</definedName>
    <definedName name="XRefCopy40" localSheetId="2" hidden="1">#REF!</definedName>
    <definedName name="XRefCopy40" localSheetId="12" hidden="1">#REF!</definedName>
    <definedName name="XRefCopy40" localSheetId="39" hidden="1">#REF!</definedName>
    <definedName name="XRefCopy40" localSheetId="34" hidden="1">#REF!</definedName>
    <definedName name="XRefCopy40" localSheetId="7" hidden="1">#REF!</definedName>
    <definedName name="XRefCopy40" localSheetId="6" hidden="1">#REF!</definedName>
    <definedName name="XRefCopy40" localSheetId="14" hidden="1">#REF!</definedName>
    <definedName name="XRefCopy40" localSheetId="1" hidden="1">#REF!</definedName>
    <definedName name="XRefCopy40" localSheetId="10" hidden="1">#REF!</definedName>
    <definedName name="XRefCopy40" hidden="1">#REF!</definedName>
    <definedName name="XRefCopy41" localSheetId="15" hidden="1">#REF!</definedName>
    <definedName name="XRefCopy41" localSheetId="2" hidden="1">#REF!</definedName>
    <definedName name="XRefCopy41" localSheetId="12" hidden="1">#REF!</definedName>
    <definedName name="XRefCopy41" localSheetId="39" hidden="1">#REF!</definedName>
    <definedName name="XRefCopy41" localSheetId="34" hidden="1">#REF!</definedName>
    <definedName name="XRefCopy41" localSheetId="7" hidden="1">#REF!</definedName>
    <definedName name="XRefCopy41" localSheetId="6" hidden="1">#REF!</definedName>
    <definedName name="XRefCopy41" localSheetId="14" hidden="1">#REF!</definedName>
    <definedName name="XRefCopy41" localSheetId="1" hidden="1">#REF!</definedName>
    <definedName name="XRefCopy41" localSheetId="10" hidden="1">#REF!</definedName>
    <definedName name="XRefCopy41" hidden="1">#REF!</definedName>
    <definedName name="XRefCopy41Row" localSheetId="15" hidden="1">#REF!</definedName>
    <definedName name="XRefCopy41Row" localSheetId="2" hidden="1">#REF!</definedName>
    <definedName name="XRefCopy41Row" localSheetId="12" hidden="1">#REF!</definedName>
    <definedName name="XRefCopy41Row" localSheetId="39" hidden="1">#REF!</definedName>
    <definedName name="XRefCopy41Row" localSheetId="34" hidden="1">#REF!</definedName>
    <definedName name="XRefCopy41Row" localSheetId="7" hidden="1">#REF!</definedName>
    <definedName name="XRefCopy41Row" localSheetId="6" hidden="1">#REF!</definedName>
    <definedName name="XRefCopy41Row" localSheetId="14" hidden="1">#REF!</definedName>
    <definedName name="XRefCopy41Row" localSheetId="1" hidden="1">#REF!</definedName>
    <definedName name="XRefCopy41Row" localSheetId="10" hidden="1">#REF!</definedName>
    <definedName name="XRefCopy41Row" hidden="1">#REF!</definedName>
    <definedName name="XRefCopy42" localSheetId="15" hidden="1">#REF!</definedName>
    <definedName name="XRefCopy42" localSheetId="2" hidden="1">#REF!</definedName>
    <definedName name="XRefCopy42" localSheetId="12" hidden="1">#REF!</definedName>
    <definedName name="XRefCopy42" localSheetId="39" hidden="1">#REF!</definedName>
    <definedName name="XRefCopy42" localSheetId="34" hidden="1">#REF!</definedName>
    <definedName name="XRefCopy42" localSheetId="7" hidden="1">#REF!</definedName>
    <definedName name="XRefCopy42" localSheetId="6" hidden="1">#REF!</definedName>
    <definedName name="XRefCopy42" localSheetId="14" hidden="1">#REF!</definedName>
    <definedName name="XRefCopy42" localSheetId="1" hidden="1">#REF!</definedName>
    <definedName name="XRefCopy42" localSheetId="10" hidden="1">#REF!</definedName>
    <definedName name="XRefCopy42" hidden="1">#REF!</definedName>
    <definedName name="XRefCopy42Row" localSheetId="15" hidden="1">#REF!</definedName>
    <definedName name="XRefCopy42Row" localSheetId="2" hidden="1">#REF!</definedName>
    <definedName name="XRefCopy42Row" localSheetId="12" hidden="1">#REF!</definedName>
    <definedName name="XRefCopy42Row" localSheetId="39" hidden="1">#REF!</definedName>
    <definedName name="XRefCopy42Row" localSheetId="34" hidden="1">#REF!</definedName>
    <definedName name="XRefCopy42Row" localSheetId="7" hidden="1">#REF!</definedName>
    <definedName name="XRefCopy42Row" localSheetId="6" hidden="1">#REF!</definedName>
    <definedName name="XRefCopy42Row" localSheetId="14" hidden="1">#REF!</definedName>
    <definedName name="XRefCopy42Row" localSheetId="1" hidden="1">#REF!</definedName>
    <definedName name="XRefCopy42Row" localSheetId="10" hidden="1">#REF!</definedName>
    <definedName name="XRefCopy42Row" hidden="1">#REF!</definedName>
    <definedName name="XRefCopy43" localSheetId="15" hidden="1">#REF!</definedName>
    <definedName name="XRefCopy43" localSheetId="2" hidden="1">#REF!</definedName>
    <definedName name="XRefCopy43" localSheetId="12" hidden="1">#REF!</definedName>
    <definedName name="XRefCopy43" localSheetId="39" hidden="1">#REF!</definedName>
    <definedName name="XRefCopy43" localSheetId="34" hidden="1">#REF!</definedName>
    <definedName name="XRefCopy43" localSheetId="7" hidden="1">#REF!</definedName>
    <definedName name="XRefCopy43" localSheetId="6" hidden="1">#REF!</definedName>
    <definedName name="XRefCopy43" localSheetId="14" hidden="1">#REF!</definedName>
    <definedName name="XRefCopy43" localSheetId="1" hidden="1">#REF!</definedName>
    <definedName name="XRefCopy43" localSheetId="10" hidden="1">#REF!</definedName>
    <definedName name="XRefCopy43" hidden="1">#REF!</definedName>
    <definedName name="XRefCopy43Row" localSheetId="15" hidden="1">#REF!</definedName>
    <definedName name="XRefCopy43Row" localSheetId="2" hidden="1">#REF!</definedName>
    <definedName name="XRefCopy43Row" localSheetId="12" hidden="1">#REF!</definedName>
    <definedName name="XRefCopy43Row" localSheetId="39" hidden="1">#REF!</definedName>
    <definedName name="XRefCopy43Row" localSheetId="34" hidden="1">#REF!</definedName>
    <definedName name="XRefCopy43Row" localSheetId="7" hidden="1">#REF!</definedName>
    <definedName name="XRefCopy43Row" localSheetId="6" hidden="1">#REF!</definedName>
    <definedName name="XRefCopy43Row" localSheetId="14" hidden="1">#REF!</definedName>
    <definedName name="XRefCopy43Row" localSheetId="1" hidden="1">#REF!</definedName>
    <definedName name="XRefCopy43Row" localSheetId="10" hidden="1">#REF!</definedName>
    <definedName name="XRefCopy43Row" hidden="1">#REF!</definedName>
    <definedName name="XRefCopy44" localSheetId="15" hidden="1">#REF!</definedName>
    <definedName name="XRefCopy44" localSheetId="2" hidden="1">#REF!</definedName>
    <definedName name="XRefCopy44" localSheetId="12" hidden="1">#REF!</definedName>
    <definedName name="XRefCopy44" localSheetId="39" hidden="1">#REF!</definedName>
    <definedName name="XRefCopy44" localSheetId="34" hidden="1">#REF!</definedName>
    <definedName name="XRefCopy44" localSheetId="7" hidden="1">#REF!</definedName>
    <definedName name="XRefCopy44" localSheetId="6" hidden="1">#REF!</definedName>
    <definedName name="XRefCopy44" localSheetId="14" hidden="1">#REF!</definedName>
    <definedName name="XRefCopy44" localSheetId="1" hidden="1">#REF!</definedName>
    <definedName name="XRefCopy44" localSheetId="10" hidden="1">#REF!</definedName>
    <definedName name="XRefCopy44" hidden="1">#REF!</definedName>
    <definedName name="XRefCopy44Row" localSheetId="15" hidden="1">#REF!</definedName>
    <definedName name="XRefCopy44Row" localSheetId="2" hidden="1">#REF!</definedName>
    <definedName name="XRefCopy44Row" localSheetId="12" hidden="1">#REF!</definedName>
    <definedName name="XRefCopy44Row" localSheetId="39" hidden="1">#REF!</definedName>
    <definedName name="XRefCopy44Row" localSheetId="34" hidden="1">#REF!</definedName>
    <definedName name="XRefCopy44Row" localSheetId="7" hidden="1">#REF!</definedName>
    <definedName name="XRefCopy44Row" localSheetId="6" hidden="1">#REF!</definedName>
    <definedName name="XRefCopy44Row" localSheetId="14" hidden="1">#REF!</definedName>
    <definedName name="XRefCopy44Row" localSheetId="1" hidden="1">#REF!</definedName>
    <definedName name="XRefCopy44Row" localSheetId="10" hidden="1">#REF!</definedName>
    <definedName name="XRefCopy44Row" hidden="1">#REF!</definedName>
    <definedName name="XRefCopy45" localSheetId="15" hidden="1">#REF!</definedName>
    <definedName name="XRefCopy45" localSheetId="2" hidden="1">#REF!</definedName>
    <definedName name="XRefCopy45" localSheetId="12" hidden="1">#REF!</definedName>
    <definedName name="XRefCopy45" localSheetId="39" hidden="1">#REF!</definedName>
    <definedName name="XRefCopy45" localSheetId="34" hidden="1">#REF!</definedName>
    <definedName name="XRefCopy45" localSheetId="7" hidden="1">#REF!</definedName>
    <definedName name="XRefCopy45" localSheetId="6" hidden="1">#REF!</definedName>
    <definedName name="XRefCopy45" localSheetId="14" hidden="1">#REF!</definedName>
    <definedName name="XRefCopy45" localSheetId="1" hidden="1">#REF!</definedName>
    <definedName name="XRefCopy45" localSheetId="10" hidden="1">#REF!</definedName>
    <definedName name="XRefCopy45" hidden="1">#REF!</definedName>
    <definedName name="XRefCopy45Row" localSheetId="15" hidden="1">#REF!</definedName>
    <definedName name="XRefCopy45Row" localSheetId="2" hidden="1">#REF!</definedName>
    <definedName name="XRefCopy45Row" localSheetId="12" hidden="1">#REF!</definedName>
    <definedName name="XRefCopy45Row" localSheetId="39" hidden="1">#REF!</definedName>
    <definedName name="XRefCopy45Row" localSheetId="34" hidden="1">#REF!</definedName>
    <definedName name="XRefCopy45Row" localSheetId="7" hidden="1">#REF!</definedName>
    <definedName name="XRefCopy45Row" localSheetId="6" hidden="1">#REF!</definedName>
    <definedName name="XRefCopy45Row" localSheetId="14" hidden="1">#REF!</definedName>
    <definedName name="XRefCopy45Row" localSheetId="1" hidden="1">#REF!</definedName>
    <definedName name="XRefCopy45Row" localSheetId="10" hidden="1">#REF!</definedName>
    <definedName name="XRefCopy45Row" hidden="1">#REF!</definedName>
    <definedName name="XRefCopy46" localSheetId="15" hidden="1">#REF!</definedName>
    <definedName name="XRefCopy46" localSheetId="2" hidden="1">#REF!</definedName>
    <definedName name="XRefCopy46" localSheetId="12" hidden="1">#REF!</definedName>
    <definedName name="XRefCopy46" localSheetId="39" hidden="1">#REF!</definedName>
    <definedName name="XRefCopy46" localSheetId="34" hidden="1">#REF!</definedName>
    <definedName name="XRefCopy46" localSheetId="7" hidden="1">#REF!</definedName>
    <definedName name="XRefCopy46" localSheetId="6" hidden="1">#REF!</definedName>
    <definedName name="XRefCopy46" localSheetId="14" hidden="1">#REF!</definedName>
    <definedName name="XRefCopy46" localSheetId="1" hidden="1">#REF!</definedName>
    <definedName name="XRefCopy46" localSheetId="10" hidden="1">#REF!</definedName>
    <definedName name="XRefCopy46" hidden="1">#REF!</definedName>
    <definedName name="XRefCopy46Row" localSheetId="15" hidden="1">#REF!</definedName>
    <definedName name="XRefCopy46Row" localSheetId="2" hidden="1">#REF!</definedName>
    <definedName name="XRefCopy46Row" localSheetId="12" hidden="1">#REF!</definedName>
    <definedName name="XRefCopy46Row" localSheetId="39" hidden="1">#REF!</definedName>
    <definedName name="XRefCopy46Row" localSheetId="34" hidden="1">#REF!</definedName>
    <definedName name="XRefCopy46Row" localSheetId="7" hidden="1">#REF!</definedName>
    <definedName name="XRefCopy46Row" localSheetId="6" hidden="1">#REF!</definedName>
    <definedName name="XRefCopy46Row" localSheetId="14" hidden="1">#REF!</definedName>
    <definedName name="XRefCopy46Row" localSheetId="1" hidden="1">#REF!</definedName>
    <definedName name="XRefCopy46Row" localSheetId="10" hidden="1">#REF!</definedName>
    <definedName name="XRefCopy46Row" hidden="1">#REF!</definedName>
    <definedName name="XRefCopy47" localSheetId="15" hidden="1">#REF!</definedName>
    <definedName name="XRefCopy47" localSheetId="2" hidden="1">#REF!</definedName>
    <definedName name="XRefCopy47" localSheetId="12" hidden="1">#REF!</definedName>
    <definedName name="XRefCopy47" localSheetId="39" hidden="1">#REF!</definedName>
    <definedName name="XRefCopy47" localSheetId="34" hidden="1">#REF!</definedName>
    <definedName name="XRefCopy47" localSheetId="7" hidden="1">#REF!</definedName>
    <definedName name="XRefCopy47" localSheetId="6" hidden="1">#REF!</definedName>
    <definedName name="XRefCopy47" localSheetId="14" hidden="1">#REF!</definedName>
    <definedName name="XRefCopy47" localSheetId="1" hidden="1">#REF!</definedName>
    <definedName name="XRefCopy47" localSheetId="10" hidden="1">#REF!</definedName>
    <definedName name="XRefCopy47" hidden="1">#REF!</definedName>
    <definedName name="XRefCopy47Row" localSheetId="15" hidden="1">#REF!</definedName>
    <definedName name="XRefCopy47Row" localSheetId="2" hidden="1">#REF!</definedName>
    <definedName name="XRefCopy47Row" localSheetId="12" hidden="1">#REF!</definedName>
    <definedName name="XRefCopy47Row" localSheetId="39" hidden="1">#REF!</definedName>
    <definedName name="XRefCopy47Row" localSheetId="34" hidden="1">#REF!</definedName>
    <definedName name="XRefCopy47Row" localSheetId="7" hidden="1">#REF!</definedName>
    <definedName name="XRefCopy47Row" localSheetId="6" hidden="1">#REF!</definedName>
    <definedName name="XRefCopy47Row" localSheetId="14" hidden="1">#REF!</definedName>
    <definedName name="XRefCopy47Row" localSheetId="1" hidden="1">#REF!</definedName>
    <definedName name="XRefCopy47Row" localSheetId="10" hidden="1">#REF!</definedName>
    <definedName name="XRefCopy47Row" hidden="1">#REF!</definedName>
    <definedName name="XRefCopy48" localSheetId="15" hidden="1">#REF!</definedName>
    <definedName name="XRefCopy48" localSheetId="2" hidden="1">#REF!</definedName>
    <definedName name="XRefCopy48" localSheetId="12" hidden="1">#REF!</definedName>
    <definedName name="XRefCopy48" localSheetId="39" hidden="1">#REF!</definedName>
    <definedName name="XRefCopy48" localSheetId="34" hidden="1">#REF!</definedName>
    <definedName name="XRefCopy48" localSheetId="7" hidden="1">#REF!</definedName>
    <definedName name="XRefCopy48" localSheetId="6" hidden="1">#REF!</definedName>
    <definedName name="XRefCopy48" localSheetId="14" hidden="1">#REF!</definedName>
    <definedName name="XRefCopy48" localSheetId="1" hidden="1">#REF!</definedName>
    <definedName name="XRefCopy48" localSheetId="10" hidden="1">#REF!</definedName>
    <definedName name="XRefCopy48" hidden="1">#REF!</definedName>
    <definedName name="XRefCopy48Row" localSheetId="15" hidden="1">#REF!</definedName>
    <definedName name="XRefCopy48Row" localSheetId="2" hidden="1">#REF!</definedName>
    <definedName name="XRefCopy48Row" localSheetId="12" hidden="1">#REF!</definedName>
    <definedName name="XRefCopy48Row" localSheetId="39" hidden="1">#REF!</definedName>
    <definedName name="XRefCopy48Row" localSheetId="34" hidden="1">#REF!</definedName>
    <definedName name="XRefCopy48Row" localSheetId="7" hidden="1">#REF!</definedName>
    <definedName name="XRefCopy48Row" localSheetId="6" hidden="1">#REF!</definedName>
    <definedName name="XRefCopy48Row" localSheetId="14" hidden="1">#REF!</definedName>
    <definedName name="XRefCopy48Row" localSheetId="1" hidden="1">#REF!</definedName>
    <definedName name="XRefCopy48Row" localSheetId="10" hidden="1">#REF!</definedName>
    <definedName name="XRefCopy48Row" hidden="1">#REF!</definedName>
    <definedName name="XRefCopy49" localSheetId="15" hidden="1">#REF!</definedName>
    <definedName name="XRefCopy49" localSheetId="2" hidden="1">#REF!</definedName>
    <definedName name="XRefCopy49" localSheetId="12" hidden="1">#REF!</definedName>
    <definedName name="XRefCopy49" localSheetId="39" hidden="1">#REF!</definedName>
    <definedName name="XRefCopy49" localSheetId="34" hidden="1">#REF!</definedName>
    <definedName name="XRefCopy49" localSheetId="7" hidden="1">#REF!</definedName>
    <definedName name="XRefCopy49" localSheetId="6" hidden="1">#REF!</definedName>
    <definedName name="XRefCopy49" localSheetId="14" hidden="1">#REF!</definedName>
    <definedName name="XRefCopy49" localSheetId="1" hidden="1">#REF!</definedName>
    <definedName name="XRefCopy49" localSheetId="10" hidden="1">#REF!</definedName>
    <definedName name="XRefCopy49" hidden="1">#REF!</definedName>
    <definedName name="XRefCopy49Row" localSheetId="15" hidden="1">#REF!</definedName>
    <definedName name="XRefCopy49Row" localSheetId="2" hidden="1">#REF!</definedName>
    <definedName name="XRefCopy49Row" localSheetId="12" hidden="1">#REF!</definedName>
    <definedName name="XRefCopy49Row" localSheetId="39" hidden="1">#REF!</definedName>
    <definedName name="XRefCopy49Row" localSheetId="34" hidden="1">#REF!</definedName>
    <definedName name="XRefCopy49Row" localSheetId="7" hidden="1">#REF!</definedName>
    <definedName name="XRefCopy49Row" localSheetId="6" hidden="1">#REF!</definedName>
    <definedName name="XRefCopy49Row" localSheetId="14" hidden="1">#REF!</definedName>
    <definedName name="XRefCopy49Row" localSheetId="1" hidden="1">#REF!</definedName>
    <definedName name="XRefCopy49Row" localSheetId="10" hidden="1">#REF!</definedName>
    <definedName name="XRefCopy49Row" hidden="1">#REF!</definedName>
    <definedName name="XRefCopy4Row" localSheetId="15" hidden="1">#REF!</definedName>
    <definedName name="XRefCopy4Row" localSheetId="2" hidden="1">#REF!</definedName>
    <definedName name="XRefCopy4Row" localSheetId="12" hidden="1">#REF!</definedName>
    <definedName name="XRefCopy4Row" localSheetId="39" hidden="1">#REF!</definedName>
    <definedName name="XRefCopy4Row" localSheetId="34" hidden="1">#REF!</definedName>
    <definedName name="XRefCopy4Row" localSheetId="7" hidden="1">#REF!</definedName>
    <definedName name="XRefCopy4Row" localSheetId="6" hidden="1">#REF!</definedName>
    <definedName name="XRefCopy4Row" localSheetId="14" hidden="1">#REF!</definedName>
    <definedName name="XRefCopy4Row" localSheetId="1" hidden="1">#REF!</definedName>
    <definedName name="XRefCopy4Row" localSheetId="10" hidden="1">#REF!</definedName>
    <definedName name="XRefCopy4Row" hidden="1">#REF!</definedName>
    <definedName name="XRefCopy5" localSheetId="15" hidden="1">#REF!</definedName>
    <definedName name="XRefCopy5" localSheetId="2" hidden="1">#REF!</definedName>
    <definedName name="XRefCopy5" localSheetId="12" hidden="1">#REF!</definedName>
    <definedName name="XRefCopy5" localSheetId="39" hidden="1">#REF!</definedName>
    <definedName name="XRefCopy5" localSheetId="34" hidden="1">#REF!</definedName>
    <definedName name="XRefCopy5" localSheetId="7" hidden="1">#REF!</definedName>
    <definedName name="XRefCopy5" localSheetId="6" hidden="1">#REF!</definedName>
    <definedName name="XRefCopy5" localSheetId="11" hidden="1">#REF!</definedName>
    <definedName name="XRefCopy5" localSheetId="1" hidden="1">#REF!</definedName>
    <definedName name="XRefCopy5" localSheetId="10" hidden="1">#REF!</definedName>
    <definedName name="XRefCopy5" hidden="1">#REF!</definedName>
    <definedName name="XRefCopy50" localSheetId="15" hidden="1">#REF!</definedName>
    <definedName name="XRefCopy50" localSheetId="2" hidden="1">#REF!</definedName>
    <definedName name="XRefCopy50" localSheetId="12" hidden="1">#REF!</definedName>
    <definedName name="XRefCopy50" localSheetId="39" hidden="1">#REF!</definedName>
    <definedName name="XRefCopy50" localSheetId="34" hidden="1">#REF!</definedName>
    <definedName name="XRefCopy50" localSheetId="7" hidden="1">#REF!</definedName>
    <definedName name="XRefCopy50" localSheetId="6" hidden="1">#REF!</definedName>
    <definedName name="XRefCopy50" localSheetId="14" hidden="1">#REF!</definedName>
    <definedName name="XRefCopy50" localSheetId="1" hidden="1">#REF!</definedName>
    <definedName name="XRefCopy50" localSheetId="10" hidden="1">#REF!</definedName>
    <definedName name="XRefCopy50" hidden="1">#REF!</definedName>
    <definedName name="XRefCopy50Row" localSheetId="15" hidden="1">#REF!</definedName>
    <definedName name="XRefCopy50Row" localSheetId="2" hidden="1">#REF!</definedName>
    <definedName name="XRefCopy50Row" localSheetId="12" hidden="1">#REF!</definedName>
    <definedName name="XRefCopy50Row" localSheetId="39" hidden="1">#REF!</definedName>
    <definedName name="XRefCopy50Row" localSheetId="34" hidden="1">#REF!</definedName>
    <definedName name="XRefCopy50Row" localSheetId="7" hidden="1">#REF!</definedName>
    <definedName name="XRefCopy50Row" localSheetId="6" hidden="1">#REF!</definedName>
    <definedName name="XRefCopy50Row" localSheetId="14" hidden="1">#REF!</definedName>
    <definedName name="XRefCopy50Row" localSheetId="1" hidden="1">#REF!</definedName>
    <definedName name="XRefCopy50Row" localSheetId="10" hidden="1">#REF!</definedName>
    <definedName name="XRefCopy50Row" hidden="1">#REF!</definedName>
    <definedName name="XRefCopy51Row" localSheetId="15" hidden="1">#REF!</definedName>
    <definedName name="XRefCopy51Row" localSheetId="2" hidden="1">#REF!</definedName>
    <definedName name="XRefCopy51Row" localSheetId="12" hidden="1">#REF!</definedName>
    <definedName name="XRefCopy51Row" localSheetId="39" hidden="1">#REF!</definedName>
    <definedName name="XRefCopy51Row" localSheetId="34" hidden="1">#REF!</definedName>
    <definedName name="XRefCopy51Row" localSheetId="7" hidden="1">#REF!</definedName>
    <definedName name="XRefCopy51Row" localSheetId="6" hidden="1">#REF!</definedName>
    <definedName name="XRefCopy51Row" localSheetId="14" hidden="1">#REF!</definedName>
    <definedName name="XRefCopy51Row" localSheetId="1" hidden="1">#REF!</definedName>
    <definedName name="XRefCopy51Row" localSheetId="10" hidden="1">#REF!</definedName>
    <definedName name="XRefCopy51Row" hidden="1">#REF!</definedName>
    <definedName name="XRefCopy52Row" localSheetId="15" hidden="1">#REF!</definedName>
    <definedName name="XRefCopy52Row" localSheetId="2" hidden="1">#REF!</definedName>
    <definedName name="XRefCopy52Row" localSheetId="12" hidden="1">#REF!</definedName>
    <definedName name="XRefCopy52Row" localSheetId="39" hidden="1">#REF!</definedName>
    <definedName name="XRefCopy52Row" localSheetId="34" hidden="1">#REF!</definedName>
    <definedName name="XRefCopy52Row" localSheetId="7" hidden="1">#REF!</definedName>
    <definedName name="XRefCopy52Row" localSheetId="6" hidden="1">#REF!</definedName>
    <definedName name="XRefCopy52Row" localSheetId="14" hidden="1">#REF!</definedName>
    <definedName name="XRefCopy52Row" localSheetId="1" hidden="1">#REF!</definedName>
    <definedName name="XRefCopy52Row" localSheetId="10" hidden="1">#REF!</definedName>
    <definedName name="XRefCopy52Row" hidden="1">#REF!</definedName>
    <definedName name="XRefCopy54" localSheetId="15" hidden="1">#REF!</definedName>
    <definedName name="XRefCopy54" localSheetId="2" hidden="1">#REF!</definedName>
    <definedName name="XRefCopy54" localSheetId="12" hidden="1">#REF!</definedName>
    <definedName name="XRefCopy54" localSheetId="39" hidden="1">#REF!</definedName>
    <definedName name="XRefCopy54" localSheetId="34" hidden="1">#REF!</definedName>
    <definedName name="XRefCopy54" localSheetId="7" hidden="1">#REF!</definedName>
    <definedName name="XRefCopy54" localSheetId="6" hidden="1">#REF!</definedName>
    <definedName name="XRefCopy54" localSheetId="14" hidden="1">#REF!</definedName>
    <definedName name="XRefCopy54" localSheetId="1" hidden="1">#REF!</definedName>
    <definedName name="XRefCopy54" localSheetId="10" hidden="1">#REF!</definedName>
    <definedName name="XRefCopy54" hidden="1">#REF!</definedName>
    <definedName name="XRefCopy54Row" localSheetId="15" hidden="1">#REF!</definedName>
    <definedName name="XRefCopy54Row" localSheetId="2" hidden="1">#REF!</definedName>
    <definedName name="XRefCopy54Row" localSheetId="12" hidden="1">#REF!</definedName>
    <definedName name="XRefCopy54Row" localSheetId="39" hidden="1">#REF!</definedName>
    <definedName name="XRefCopy54Row" localSheetId="34" hidden="1">#REF!</definedName>
    <definedName name="XRefCopy54Row" localSheetId="7" hidden="1">#REF!</definedName>
    <definedName name="XRefCopy54Row" localSheetId="6" hidden="1">#REF!</definedName>
    <definedName name="XRefCopy54Row" localSheetId="14" hidden="1">#REF!</definedName>
    <definedName name="XRefCopy54Row" localSheetId="1" hidden="1">#REF!</definedName>
    <definedName name="XRefCopy54Row" localSheetId="10" hidden="1">#REF!</definedName>
    <definedName name="XRefCopy54Row" hidden="1">#REF!</definedName>
    <definedName name="XRefCopy55Row" localSheetId="15" hidden="1">#REF!</definedName>
    <definedName name="XRefCopy55Row" localSheetId="2" hidden="1">#REF!</definedName>
    <definedName name="XRefCopy55Row" localSheetId="12" hidden="1">#REF!</definedName>
    <definedName name="XRefCopy55Row" localSheetId="39" hidden="1">#REF!</definedName>
    <definedName name="XRefCopy55Row" localSheetId="34" hidden="1">#REF!</definedName>
    <definedName name="XRefCopy55Row" localSheetId="7" hidden="1">#REF!</definedName>
    <definedName name="XRefCopy55Row" localSheetId="6" hidden="1">#REF!</definedName>
    <definedName name="XRefCopy55Row" localSheetId="14" hidden="1">#REF!</definedName>
    <definedName name="XRefCopy55Row" localSheetId="1" hidden="1">#REF!</definedName>
    <definedName name="XRefCopy55Row" localSheetId="10" hidden="1">#REF!</definedName>
    <definedName name="XRefCopy55Row" hidden="1">#REF!</definedName>
    <definedName name="XRefCopy56Row" localSheetId="15" hidden="1">#REF!</definedName>
    <definedName name="XRefCopy56Row" localSheetId="2" hidden="1">#REF!</definedName>
    <definedName name="XRefCopy56Row" localSheetId="12" hidden="1">#REF!</definedName>
    <definedName name="XRefCopy56Row" localSheetId="39" hidden="1">#REF!</definedName>
    <definedName name="XRefCopy56Row" localSheetId="34" hidden="1">#REF!</definedName>
    <definedName name="XRefCopy56Row" localSheetId="7" hidden="1">#REF!</definedName>
    <definedName name="XRefCopy56Row" localSheetId="6" hidden="1">#REF!</definedName>
    <definedName name="XRefCopy56Row" localSheetId="14" hidden="1">#REF!</definedName>
    <definedName name="XRefCopy56Row" localSheetId="1" hidden="1">#REF!</definedName>
    <definedName name="XRefCopy56Row" localSheetId="10" hidden="1">#REF!</definedName>
    <definedName name="XRefCopy56Row" hidden="1">#REF!</definedName>
    <definedName name="XRefCopy57Row" localSheetId="15" hidden="1">#REF!</definedName>
    <definedName name="XRefCopy57Row" localSheetId="2" hidden="1">#REF!</definedName>
    <definedName name="XRefCopy57Row" localSheetId="12" hidden="1">#REF!</definedName>
    <definedName name="XRefCopy57Row" localSheetId="39" hidden="1">#REF!</definedName>
    <definedName name="XRefCopy57Row" localSheetId="34" hidden="1">#REF!</definedName>
    <definedName name="XRefCopy57Row" localSheetId="7" hidden="1">#REF!</definedName>
    <definedName name="XRefCopy57Row" localSheetId="6" hidden="1">#REF!</definedName>
    <definedName name="XRefCopy57Row" localSheetId="14" hidden="1">#REF!</definedName>
    <definedName name="XRefCopy57Row" localSheetId="1" hidden="1">#REF!</definedName>
    <definedName name="XRefCopy57Row" localSheetId="10" hidden="1">#REF!</definedName>
    <definedName name="XRefCopy57Row" hidden="1">#REF!</definedName>
    <definedName name="XRefCopy58Row" localSheetId="15" hidden="1">#REF!</definedName>
    <definedName name="XRefCopy58Row" localSheetId="2" hidden="1">#REF!</definedName>
    <definedName name="XRefCopy58Row" localSheetId="12" hidden="1">#REF!</definedName>
    <definedName name="XRefCopy58Row" localSheetId="39" hidden="1">#REF!</definedName>
    <definedName name="XRefCopy58Row" localSheetId="34" hidden="1">#REF!</definedName>
    <definedName name="XRefCopy58Row" localSheetId="7" hidden="1">#REF!</definedName>
    <definedName name="XRefCopy58Row" localSheetId="6" hidden="1">#REF!</definedName>
    <definedName name="XRefCopy58Row" localSheetId="14" hidden="1">#REF!</definedName>
    <definedName name="XRefCopy58Row" localSheetId="1" hidden="1">#REF!</definedName>
    <definedName name="XRefCopy58Row" localSheetId="10" hidden="1">#REF!</definedName>
    <definedName name="XRefCopy58Row" hidden="1">#REF!</definedName>
    <definedName name="XRefCopy59Row" localSheetId="15" hidden="1">#REF!</definedName>
    <definedName name="XRefCopy59Row" localSheetId="2" hidden="1">#REF!</definedName>
    <definedName name="XRefCopy59Row" localSheetId="12" hidden="1">#REF!</definedName>
    <definedName name="XRefCopy59Row" localSheetId="39" hidden="1">#REF!</definedName>
    <definedName name="XRefCopy59Row" localSheetId="34" hidden="1">#REF!</definedName>
    <definedName name="XRefCopy59Row" localSheetId="7" hidden="1">#REF!</definedName>
    <definedName name="XRefCopy59Row" localSheetId="6" hidden="1">#REF!</definedName>
    <definedName name="XRefCopy59Row" localSheetId="14" hidden="1">#REF!</definedName>
    <definedName name="XRefCopy59Row" localSheetId="1" hidden="1">#REF!</definedName>
    <definedName name="XRefCopy59Row" localSheetId="10" hidden="1">#REF!</definedName>
    <definedName name="XRefCopy59Row" hidden="1">#REF!</definedName>
    <definedName name="XRefCopy5Row" localSheetId="15" hidden="1">#REF!</definedName>
    <definedName name="XRefCopy5Row" localSheetId="2" hidden="1">#REF!</definedName>
    <definedName name="XRefCopy5Row" localSheetId="12" hidden="1">#REF!</definedName>
    <definedName name="XRefCopy5Row" localSheetId="39" hidden="1">#REF!</definedName>
    <definedName name="XRefCopy5Row" localSheetId="34" hidden="1">#REF!</definedName>
    <definedName name="XRefCopy5Row" localSheetId="7" hidden="1">#REF!</definedName>
    <definedName name="XRefCopy5Row" localSheetId="6" hidden="1">#REF!</definedName>
    <definedName name="XRefCopy5Row" localSheetId="14" hidden="1">#REF!</definedName>
    <definedName name="XRefCopy5Row" localSheetId="1" hidden="1">#REF!</definedName>
    <definedName name="XRefCopy5Row" localSheetId="10" hidden="1">#REF!</definedName>
    <definedName name="XRefCopy5Row" hidden="1">#REF!</definedName>
    <definedName name="XRefCopy6" localSheetId="15" hidden="1">#REF!</definedName>
    <definedName name="XRefCopy6" localSheetId="2" hidden="1">#REF!</definedName>
    <definedName name="XRefCopy6" localSheetId="12" hidden="1">#REF!</definedName>
    <definedName name="XRefCopy6" localSheetId="39" hidden="1">#REF!</definedName>
    <definedName name="XRefCopy6" localSheetId="34" hidden="1">#REF!</definedName>
    <definedName name="XRefCopy6" localSheetId="7" hidden="1">#REF!</definedName>
    <definedName name="XRefCopy6" localSheetId="6" hidden="1">#REF!</definedName>
    <definedName name="XRefCopy6" localSheetId="14" hidden="1">#REF!</definedName>
    <definedName name="XRefCopy6" localSheetId="11" hidden="1">#REF!</definedName>
    <definedName name="XRefCopy6" localSheetId="1" hidden="1">#REF!</definedName>
    <definedName name="XRefCopy6" localSheetId="10" hidden="1">#REF!</definedName>
    <definedName name="XRefCopy6" hidden="1">#REF!</definedName>
    <definedName name="XRefCopy60Row" localSheetId="15" hidden="1">#REF!</definedName>
    <definedName name="XRefCopy60Row" localSheetId="2" hidden="1">#REF!</definedName>
    <definedName name="XRefCopy60Row" localSheetId="12" hidden="1">#REF!</definedName>
    <definedName name="XRefCopy60Row" localSheetId="39" hidden="1">#REF!</definedName>
    <definedName name="XRefCopy60Row" localSheetId="34" hidden="1">#REF!</definedName>
    <definedName name="XRefCopy60Row" localSheetId="7" hidden="1">#REF!</definedName>
    <definedName name="XRefCopy60Row" localSheetId="6" hidden="1">#REF!</definedName>
    <definedName name="XRefCopy60Row" localSheetId="14" hidden="1">#REF!</definedName>
    <definedName name="XRefCopy60Row" localSheetId="1" hidden="1">#REF!</definedName>
    <definedName name="XRefCopy60Row" localSheetId="10" hidden="1">#REF!</definedName>
    <definedName name="XRefCopy60Row" hidden="1">#REF!</definedName>
    <definedName name="XRefCopy61Row" localSheetId="15" hidden="1">#REF!</definedName>
    <definedName name="XRefCopy61Row" localSheetId="2" hidden="1">#REF!</definedName>
    <definedName name="XRefCopy61Row" localSheetId="12" hidden="1">#REF!</definedName>
    <definedName name="XRefCopy61Row" localSheetId="39" hidden="1">#REF!</definedName>
    <definedName name="XRefCopy61Row" localSheetId="34" hidden="1">#REF!</definedName>
    <definedName name="XRefCopy61Row" localSheetId="7" hidden="1">#REF!</definedName>
    <definedName name="XRefCopy61Row" localSheetId="6" hidden="1">#REF!</definedName>
    <definedName name="XRefCopy61Row" localSheetId="14" hidden="1">#REF!</definedName>
    <definedName name="XRefCopy61Row" localSheetId="1" hidden="1">#REF!</definedName>
    <definedName name="XRefCopy61Row" localSheetId="10" hidden="1">#REF!</definedName>
    <definedName name="XRefCopy61Row" hidden="1">#REF!</definedName>
    <definedName name="XRefCopy62Row" localSheetId="15" hidden="1">#REF!</definedName>
    <definedName name="XRefCopy62Row" localSheetId="2" hidden="1">#REF!</definedName>
    <definedName name="XRefCopy62Row" localSheetId="12" hidden="1">#REF!</definedName>
    <definedName name="XRefCopy62Row" localSheetId="39" hidden="1">#REF!</definedName>
    <definedName name="XRefCopy62Row" localSheetId="34" hidden="1">#REF!</definedName>
    <definedName name="XRefCopy62Row" localSheetId="7" hidden="1">#REF!</definedName>
    <definedName name="XRefCopy62Row" localSheetId="6" hidden="1">#REF!</definedName>
    <definedName name="XRefCopy62Row" localSheetId="14" hidden="1">#REF!</definedName>
    <definedName name="XRefCopy62Row" localSheetId="1" hidden="1">#REF!</definedName>
    <definedName name="XRefCopy62Row" localSheetId="10" hidden="1">#REF!</definedName>
    <definedName name="XRefCopy62Row" hidden="1">#REF!</definedName>
    <definedName name="XRefCopy63Row" localSheetId="15" hidden="1">#REF!</definedName>
    <definedName name="XRefCopy63Row" localSheetId="2" hidden="1">#REF!</definedName>
    <definedName name="XRefCopy63Row" localSheetId="12" hidden="1">#REF!</definedName>
    <definedName name="XRefCopy63Row" localSheetId="39" hidden="1">#REF!</definedName>
    <definedName name="XRefCopy63Row" localSheetId="34" hidden="1">#REF!</definedName>
    <definedName name="XRefCopy63Row" localSheetId="7" hidden="1">#REF!</definedName>
    <definedName name="XRefCopy63Row" localSheetId="6" hidden="1">#REF!</definedName>
    <definedName name="XRefCopy63Row" localSheetId="14" hidden="1">#REF!</definedName>
    <definedName name="XRefCopy63Row" localSheetId="1" hidden="1">#REF!</definedName>
    <definedName name="XRefCopy63Row" localSheetId="10" hidden="1">#REF!</definedName>
    <definedName name="XRefCopy63Row" hidden="1">#REF!</definedName>
    <definedName name="XRefCopy64Row" localSheetId="15" hidden="1">#REF!</definedName>
    <definedName name="XRefCopy64Row" localSheetId="2" hidden="1">#REF!</definedName>
    <definedName name="XRefCopy64Row" localSheetId="12" hidden="1">#REF!</definedName>
    <definedName name="XRefCopy64Row" localSheetId="39" hidden="1">#REF!</definedName>
    <definedName name="XRefCopy64Row" localSheetId="34" hidden="1">#REF!</definedName>
    <definedName name="XRefCopy64Row" localSheetId="7" hidden="1">#REF!</definedName>
    <definedName name="XRefCopy64Row" localSheetId="6" hidden="1">#REF!</definedName>
    <definedName name="XRefCopy64Row" localSheetId="14" hidden="1">#REF!</definedName>
    <definedName name="XRefCopy64Row" localSheetId="1" hidden="1">#REF!</definedName>
    <definedName name="XRefCopy64Row" localSheetId="10" hidden="1">#REF!</definedName>
    <definedName name="XRefCopy64Row" hidden="1">#REF!</definedName>
    <definedName name="XRefCopy65Row" localSheetId="15" hidden="1">#REF!</definedName>
    <definedName name="XRefCopy65Row" localSheetId="2" hidden="1">#REF!</definedName>
    <definedName name="XRefCopy65Row" localSheetId="12" hidden="1">#REF!</definedName>
    <definedName name="XRefCopy65Row" localSheetId="39" hidden="1">#REF!</definedName>
    <definedName name="XRefCopy65Row" localSheetId="34" hidden="1">#REF!</definedName>
    <definedName name="XRefCopy65Row" localSheetId="7" hidden="1">#REF!</definedName>
    <definedName name="XRefCopy65Row" localSheetId="6" hidden="1">#REF!</definedName>
    <definedName name="XRefCopy65Row" localSheetId="14" hidden="1">#REF!</definedName>
    <definedName name="XRefCopy65Row" localSheetId="1" hidden="1">#REF!</definedName>
    <definedName name="XRefCopy65Row" localSheetId="10" hidden="1">#REF!</definedName>
    <definedName name="XRefCopy65Row" hidden="1">#REF!</definedName>
    <definedName name="XRefCopy66Row" localSheetId="15" hidden="1">#REF!</definedName>
    <definedName name="XRefCopy66Row" localSheetId="2" hidden="1">#REF!</definedName>
    <definedName name="XRefCopy66Row" localSheetId="12" hidden="1">#REF!</definedName>
    <definedName name="XRefCopy66Row" localSheetId="39" hidden="1">#REF!</definedName>
    <definedName name="XRefCopy66Row" localSheetId="34" hidden="1">#REF!</definedName>
    <definedName name="XRefCopy66Row" localSheetId="7" hidden="1">#REF!</definedName>
    <definedName name="XRefCopy66Row" localSheetId="6" hidden="1">#REF!</definedName>
    <definedName name="XRefCopy66Row" localSheetId="14" hidden="1">#REF!</definedName>
    <definedName name="XRefCopy66Row" localSheetId="1" hidden="1">#REF!</definedName>
    <definedName name="XRefCopy66Row" localSheetId="10" hidden="1">#REF!</definedName>
    <definedName name="XRefCopy66Row" hidden="1">#REF!</definedName>
    <definedName name="XRefCopy67Row" localSheetId="15" hidden="1">#REF!</definedName>
    <definedName name="XRefCopy67Row" localSheetId="2" hidden="1">#REF!</definedName>
    <definedName name="XRefCopy67Row" localSheetId="12" hidden="1">#REF!</definedName>
    <definedName name="XRefCopy67Row" localSheetId="39" hidden="1">#REF!</definedName>
    <definedName name="XRefCopy67Row" localSheetId="34" hidden="1">#REF!</definedName>
    <definedName name="XRefCopy67Row" localSheetId="7" hidden="1">#REF!</definedName>
    <definedName name="XRefCopy67Row" localSheetId="6" hidden="1">#REF!</definedName>
    <definedName name="XRefCopy67Row" localSheetId="14" hidden="1">#REF!</definedName>
    <definedName name="XRefCopy67Row" localSheetId="1" hidden="1">#REF!</definedName>
    <definedName name="XRefCopy67Row" localSheetId="10" hidden="1">#REF!</definedName>
    <definedName name="XRefCopy67Row" hidden="1">#REF!</definedName>
    <definedName name="XRefCopy6Row" localSheetId="15" hidden="1">#REF!</definedName>
    <definedName name="XRefCopy6Row" localSheetId="2" hidden="1">#REF!</definedName>
    <definedName name="XRefCopy6Row" localSheetId="12" hidden="1">#REF!</definedName>
    <definedName name="XRefCopy6Row" localSheetId="39" hidden="1">#REF!</definedName>
    <definedName name="XRefCopy6Row" localSheetId="34" hidden="1">#REF!</definedName>
    <definedName name="XRefCopy6Row" localSheetId="7" hidden="1">#REF!</definedName>
    <definedName name="XRefCopy6Row" localSheetId="6" hidden="1">#REF!</definedName>
    <definedName name="XRefCopy6Row" localSheetId="14" hidden="1">#REF!</definedName>
    <definedName name="XRefCopy6Row" localSheetId="1" hidden="1">#REF!</definedName>
    <definedName name="XRefCopy6Row" localSheetId="10" hidden="1">#REF!</definedName>
    <definedName name="XRefCopy6Row" hidden="1">#REF!</definedName>
    <definedName name="XRefCopy7" localSheetId="15" hidden="1">#REF!</definedName>
    <definedName name="XRefCopy7" localSheetId="2" hidden="1">#REF!</definedName>
    <definedName name="XRefCopy7" localSheetId="12" hidden="1">#REF!</definedName>
    <definedName name="XRefCopy7" localSheetId="39" hidden="1">#REF!</definedName>
    <definedName name="XRefCopy7" localSheetId="34" hidden="1">#REF!</definedName>
    <definedName name="XRefCopy7" localSheetId="7" hidden="1">#REF!</definedName>
    <definedName name="XRefCopy7" localSheetId="6" hidden="1">#REF!</definedName>
    <definedName name="XRefCopy7" localSheetId="14" hidden="1">#REF!</definedName>
    <definedName name="XRefCopy7" localSheetId="11" hidden="1">#REF!</definedName>
    <definedName name="XRefCopy7" localSheetId="1" hidden="1">#REF!</definedName>
    <definedName name="XRefCopy7" localSheetId="10" hidden="1">#REF!</definedName>
    <definedName name="XRefCopy7" hidden="1">#REF!</definedName>
    <definedName name="XRefCopy7Row" localSheetId="15" hidden="1">#REF!</definedName>
    <definedName name="XRefCopy7Row" localSheetId="2" hidden="1">#REF!</definedName>
    <definedName name="XRefCopy7Row" localSheetId="12" hidden="1">#REF!</definedName>
    <definedName name="XRefCopy7Row" localSheetId="39" hidden="1">#REF!</definedName>
    <definedName name="XRefCopy7Row" localSheetId="34" hidden="1">#REF!</definedName>
    <definedName name="XRefCopy7Row" localSheetId="7" hidden="1">#REF!</definedName>
    <definedName name="XRefCopy7Row" localSheetId="6" hidden="1">#REF!</definedName>
    <definedName name="XRefCopy7Row" localSheetId="14" hidden="1">#REF!</definedName>
    <definedName name="XRefCopy7Row" localSheetId="1" hidden="1">#REF!</definedName>
    <definedName name="XRefCopy7Row" localSheetId="10" hidden="1">#REF!</definedName>
    <definedName name="XRefCopy7Row" hidden="1">#REF!</definedName>
    <definedName name="XRefCopy8" localSheetId="15" hidden="1">#REF!</definedName>
    <definedName name="XRefCopy8" localSheetId="2" hidden="1">#REF!</definedName>
    <definedName name="XRefCopy8" localSheetId="12" hidden="1">#REF!</definedName>
    <definedName name="XRefCopy8" localSheetId="39" hidden="1">#REF!</definedName>
    <definedName name="XRefCopy8" localSheetId="34" hidden="1">#REF!</definedName>
    <definedName name="XRefCopy8" localSheetId="7" hidden="1">#REF!</definedName>
    <definedName name="XRefCopy8" localSheetId="6" hidden="1">#REF!</definedName>
    <definedName name="XRefCopy8" localSheetId="14" hidden="1">#REF!</definedName>
    <definedName name="XRefCopy8" localSheetId="11" hidden="1">#REF!</definedName>
    <definedName name="XRefCopy8" localSheetId="1" hidden="1">#REF!</definedName>
    <definedName name="XRefCopy8" localSheetId="10" hidden="1">#REF!</definedName>
    <definedName name="XRefCopy8" hidden="1">#REF!</definedName>
    <definedName name="XRefCopy82Row" localSheetId="15" hidden="1">#REF!</definedName>
    <definedName name="XRefCopy82Row" localSheetId="2" hidden="1">#REF!</definedName>
    <definedName name="XRefCopy82Row" localSheetId="12" hidden="1">#REF!</definedName>
    <definedName name="XRefCopy82Row" localSheetId="39" hidden="1">#REF!</definedName>
    <definedName name="XRefCopy82Row" localSheetId="34" hidden="1">#REF!</definedName>
    <definedName name="XRefCopy82Row" localSheetId="7" hidden="1">#REF!</definedName>
    <definedName name="XRefCopy82Row" localSheetId="6" hidden="1">#REF!</definedName>
    <definedName name="XRefCopy82Row" localSheetId="14" hidden="1">#REF!</definedName>
    <definedName name="XRefCopy82Row" localSheetId="1" hidden="1">#REF!</definedName>
    <definedName name="XRefCopy82Row" localSheetId="10" hidden="1">#REF!</definedName>
    <definedName name="XRefCopy82Row" hidden="1">#REF!</definedName>
    <definedName name="XRefCopy87" localSheetId="15" hidden="1">#REF!</definedName>
    <definedName name="XRefCopy87" localSheetId="2" hidden="1">#REF!</definedName>
    <definedName name="XRefCopy87" localSheetId="12" hidden="1">#REF!</definedName>
    <definedName name="XRefCopy87" localSheetId="39" hidden="1">#REF!</definedName>
    <definedName name="XRefCopy87" localSheetId="34" hidden="1">#REF!</definedName>
    <definedName name="XRefCopy87" localSheetId="7" hidden="1">#REF!</definedName>
    <definedName name="XRefCopy87" localSheetId="6" hidden="1">#REF!</definedName>
    <definedName name="XRefCopy87" localSheetId="14" hidden="1">#REF!</definedName>
    <definedName name="XRefCopy87" localSheetId="1" hidden="1">#REF!</definedName>
    <definedName name="XRefCopy87" localSheetId="10" hidden="1">#REF!</definedName>
    <definedName name="XRefCopy87" hidden="1">#REF!</definedName>
    <definedName name="XRefCopy87Row" localSheetId="15" hidden="1">#REF!</definedName>
    <definedName name="XRefCopy87Row" localSheetId="2" hidden="1">#REF!</definedName>
    <definedName name="XRefCopy87Row" localSheetId="12" hidden="1">#REF!</definedName>
    <definedName name="XRefCopy87Row" localSheetId="39" hidden="1">#REF!</definedName>
    <definedName name="XRefCopy87Row" localSheetId="34" hidden="1">#REF!</definedName>
    <definedName name="XRefCopy87Row" localSheetId="7" hidden="1">#REF!</definedName>
    <definedName name="XRefCopy87Row" localSheetId="6" hidden="1">#REF!</definedName>
    <definedName name="XRefCopy87Row" localSheetId="1" hidden="1">#REF!</definedName>
    <definedName name="XRefCopy87Row" localSheetId="10" hidden="1">#REF!</definedName>
    <definedName name="XRefCopy87Row" hidden="1">#REF!</definedName>
    <definedName name="XRefCopy88" localSheetId="15" hidden="1">#REF!</definedName>
    <definedName name="XRefCopy88" localSheetId="2" hidden="1">#REF!</definedName>
    <definedName name="XRefCopy88" localSheetId="12" hidden="1">#REF!</definedName>
    <definedName name="XRefCopy88" localSheetId="39" hidden="1">#REF!</definedName>
    <definedName name="XRefCopy88" localSheetId="34" hidden="1">#REF!</definedName>
    <definedName name="XRefCopy88" localSheetId="7" hidden="1">#REF!</definedName>
    <definedName name="XRefCopy88" localSheetId="6" hidden="1">#REF!</definedName>
    <definedName name="XRefCopy88" localSheetId="14" hidden="1">#REF!</definedName>
    <definedName name="XRefCopy88" localSheetId="1" hidden="1">#REF!</definedName>
    <definedName name="XRefCopy88" localSheetId="10" hidden="1">#REF!</definedName>
    <definedName name="XRefCopy88" hidden="1">#REF!</definedName>
    <definedName name="XRefCopy88Row" localSheetId="15" hidden="1">#REF!</definedName>
    <definedName name="XRefCopy88Row" localSheetId="2" hidden="1">#REF!</definedName>
    <definedName name="XRefCopy88Row" localSheetId="12" hidden="1">#REF!</definedName>
    <definedName name="XRefCopy88Row" localSheetId="39" hidden="1">#REF!</definedName>
    <definedName name="XRefCopy88Row" localSheetId="34" hidden="1">#REF!</definedName>
    <definedName name="XRefCopy88Row" localSheetId="7" hidden="1">#REF!</definedName>
    <definedName name="XRefCopy88Row" localSheetId="6" hidden="1">#REF!</definedName>
    <definedName name="XRefCopy88Row" localSheetId="1" hidden="1">#REF!</definedName>
    <definedName name="XRefCopy88Row" localSheetId="10" hidden="1">#REF!</definedName>
    <definedName name="XRefCopy88Row" hidden="1">#REF!</definedName>
    <definedName name="XRefCopy89" localSheetId="15" hidden="1">#REF!</definedName>
    <definedName name="XRefCopy89" localSheetId="2" hidden="1">#REF!</definedName>
    <definedName name="XRefCopy89" localSheetId="12" hidden="1">#REF!</definedName>
    <definedName name="XRefCopy89" localSheetId="39" hidden="1">#REF!</definedName>
    <definedName name="XRefCopy89" localSheetId="34" hidden="1">#REF!</definedName>
    <definedName name="XRefCopy89" localSheetId="7" hidden="1">#REF!</definedName>
    <definedName name="XRefCopy89" localSheetId="6" hidden="1">#REF!</definedName>
    <definedName name="XRefCopy89" localSheetId="14" hidden="1">#REF!</definedName>
    <definedName name="XRefCopy89" localSheetId="1" hidden="1">#REF!</definedName>
    <definedName name="XRefCopy89" localSheetId="10" hidden="1">#REF!</definedName>
    <definedName name="XRefCopy89" hidden="1">#REF!</definedName>
    <definedName name="XRefCopy89Row" localSheetId="15" hidden="1">#REF!</definedName>
    <definedName name="XRefCopy89Row" localSheetId="2" hidden="1">#REF!</definedName>
    <definedName name="XRefCopy89Row" localSheetId="12" hidden="1">#REF!</definedName>
    <definedName name="XRefCopy89Row" localSheetId="39" hidden="1">#REF!</definedName>
    <definedName name="XRefCopy89Row" localSheetId="34" hidden="1">#REF!</definedName>
    <definedName name="XRefCopy89Row" localSheetId="7" hidden="1">#REF!</definedName>
    <definedName name="XRefCopy89Row" localSheetId="6" hidden="1">#REF!</definedName>
    <definedName name="XRefCopy89Row" localSheetId="1" hidden="1">#REF!</definedName>
    <definedName name="XRefCopy89Row" localSheetId="10" hidden="1">#REF!</definedName>
    <definedName name="XRefCopy89Row" hidden="1">#REF!</definedName>
    <definedName name="XRefCopy8Row" localSheetId="15" hidden="1">#REF!</definedName>
    <definedName name="XRefCopy8Row" localSheetId="2" hidden="1">#REF!</definedName>
    <definedName name="XRefCopy8Row" localSheetId="12" hidden="1">#REF!</definedName>
    <definedName name="XRefCopy8Row" localSheetId="39" hidden="1">#REF!</definedName>
    <definedName name="XRefCopy8Row" localSheetId="34" hidden="1">#REF!</definedName>
    <definedName name="XRefCopy8Row" localSheetId="7" hidden="1">#REF!</definedName>
    <definedName name="XRefCopy8Row" localSheetId="6" hidden="1">#REF!</definedName>
    <definedName name="XRefCopy8Row" localSheetId="14" hidden="1">#REF!</definedName>
    <definedName name="XRefCopy8Row" localSheetId="1" hidden="1">#REF!</definedName>
    <definedName name="XRefCopy8Row" localSheetId="10" hidden="1">#REF!</definedName>
    <definedName name="XRefCopy8Row" hidden="1">#REF!</definedName>
    <definedName name="XRefCopy9" localSheetId="15" hidden="1">#REF!</definedName>
    <definedName name="XRefCopy9" localSheetId="2" hidden="1">#REF!</definedName>
    <definedName name="XRefCopy9" localSheetId="12" hidden="1">#REF!</definedName>
    <definedName name="XRefCopy9" localSheetId="39" hidden="1">#REF!</definedName>
    <definedName name="XRefCopy9" localSheetId="34" hidden="1">#REF!</definedName>
    <definedName name="XRefCopy9" localSheetId="7" hidden="1">#REF!</definedName>
    <definedName name="XRefCopy9" localSheetId="6" hidden="1">#REF!</definedName>
    <definedName name="XRefCopy9" localSheetId="11" hidden="1">#REF!</definedName>
    <definedName name="XRefCopy9" localSheetId="1" hidden="1">#REF!</definedName>
    <definedName name="XRefCopy9" localSheetId="10" hidden="1">#REF!</definedName>
    <definedName name="XRefCopy9" hidden="1">#REF!</definedName>
    <definedName name="XRefCopy91Row" localSheetId="2" hidden="1">#REF!</definedName>
    <definedName name="XRefCopy91Row" localSheetId="12" hidden="1">#REF!</definedName>
    <definedName name="XRefCopy91Row" localSheetId="39" hidden="1">#REF!</definedName>
    <definedName name="XRefCopy91Row" localSheetId="34" hidden="1">#REF!</definedName>
    <definedName name="XRefCopy91Row" localSheetId="7" hidden="1">#REF!</definedName>
    <definedName name="XRefCopy91Row" localSheetId="6" hidden="1">#REF!</definedName>
    <definedName name="XRefCopy91Row" localSheetId="1" hidden="1">#REF!</definedName>
    <definedName name="XRefCopy91Row" localSheetId="10" hidden="1">#REF!</definedName>
    <definedName name="XRefCopy91Row" hidden="1">#REF!</definedName>
    <definedName name="XRefCopy9Row" localSheetId="15" hidden="1">#REF!</definedName>
    <definedName name="XRefCopy9Row" localSheetId="2" hidden="1">#REF!</definedName>
    <definedName name="XRefCopy9Row" localSheetId="12" hidden="1">#REF!</definedName>
    <definedName name="XRefCopy9Row" localSheetId="39" hidden="1">#REF!</definedName>
    <definedName name="XRefCopy9Row" localSheetId="34" hidden="1">#REF!</definedName>
    <definedName name="XRefCopy9Row" localSheetId="7" hidden="1">#REF!</definedName>
    <definedName name="XRefCopy9Row" localSheetId="6" hidden="1">#REF!</definedName>
    <definedName name="XRefCopy9Row" localSheetId="14" hidden="1">#REF!</definedName>
    <definedName name="XRefCopy9Row" localSheetId="11" hidden="1">#REF!</definedName>
    <definedName name="XRefCopy9Row" localSheetId="1" hidden="1">#REF!</definedName>
    <definedName name="XRefCopy9Row" localSheetId="10" hidden="1">#REF!</definedName>
    <definedName name="XRefCopy9Row" hidden="1">#REF!</definedName>
    <definedName name="XRefCopyRangeCount" hidden="1">3</definedName>
    <definedName name="XRefPaste1" localSheetId="15" hidden="1">#REF!</definedName>
    <definedName name="XRefPaste1" localSheetId="2" hidden="1">#REF!</definedName>
    <definedName name="XRefPaste1" localSheetId="12" hidden="1">#REF!</definedName>
    <definedName name="XRefPaste1" localSheetId="39" hidden="1">#REF!</definedName>
    <definedName name="XRefPaste1" localSheetId="34" hidden="1">#REF!</definedName>
    <definedName name="XRefPaste1" localSheetId="7" hidden="1">#REF!</definedName>
    <definedName name="XRefPaste1" localSheetId="6" hidden="1">#REF!</definedName>
    <definedName name="XRefPaste1" localSheetId="11" hidden="1">#REF!</definedName>
    <definedName name="XRefPaste1" localSheetId="1" hidden="1">#REF!</definedName>
    <definedName name="XRefPaste1" localSheetId="10" hidden="1">#REF!</definedName>
    <definedName name="XRefPaste1" hidden="1">#REF!</definedName>
    <definedName name="XRefPaste10" localSheetId="15" hidden="1">#REF!</definedName>
    <definedName name="XRefPaste10" localSheetId="2" hidden="1">#REF!</definedName>
    <definedName name="XRefPaste10" localSheetId="12" hidden="1">#REF!</definedName>
    <definedName name="XRefPaste10" localSheetId="39" hidden="1">#REF!</definedName>
    <definedName name="XRefPaste10" localSheetId="34" hidden="1">#REF!</definedName>
    <definedName name="XRefPaste10" localSheetId="7" hidden="1">#REF!</definedName>
    <definedName name="XRefPaste10" localSheetId="6" hidden="1">#REF!</definedName>
    <definedName name="XRefPaste10" localSheetId="14" hidden="1">#REF!</definedName>
    <definedName name="XRefPaste10" localSheetId="1" hidden="1">#REF!</definedName>
    <definedName name="XRefPaste10" localSheetId="10" hidden="1">#REF!</definedName>
    <definedName name="XRefPaste10" hidden="1">#REF!</definedName>
    <definedName name="XRefPaste10Row" localSheetId="15" hidden="1">#REF!</definedName>
    <definedName name="XRefPaste10Row" localSheetId="2" hidden="1">#REF!</definedName>
    <definedName name="XRefPaste10Row" localSheetId="12" hidden="1">#REF!</definedName>
    <definedName name="XRefPaste10Row" localSheetId="39" hidden="1">#REF!</definedName>
    <definedName name="XRefPaste10Row" localSheetId="34" hidden="1">#REF!</definedName>
    <definedName name="XRefPaste10Row" localSheetId="7" hidden="1">#REF!</definedName>
    <definedName name="XRefPaste10Row" localSheetId="6" hidden="1">#REF!</definedName>
    <definedName name="XRefPaste10Row" localSheetId="14" hidden="1">#REF!</definedName>
    <definedName name="XRefPaste10Row" localSheetId="11" hidden="1">#REF!</definedName>
    <definedName name="XRefPaste10Row" localSheetId="1" hidden="1">#REF!</definedName>
    <definedName name="XRefPaste10Row" localSheetId="10" hidden="1">#REF!</definedName>
    <definedName name="XRefPaste10Row" hidden="1">#REF!</definedName>
    <definedName name="XRefPaste11Row" localSheetId="15" hidden="1">#REF!</definedName>
    <definedName name="XRefPaste11Row" localSheetId="2" hidden="1">#REF!</definedName>
    <definedName name="XRefPaste11Row" localSheetId="12" hidden="1">#REF!</definedName>
    <definedName name="XRefPaste11Row" localSheetId="39" hidden="1">#REF!</definedName>
    <definedName name="XRefPaste11Row" localSheetId="34" hidden="1">#REF!</definedName>
    <definedName name="XRefPaste11Row" localSheetId="7" hidden="1">#REF!</definedName>
    <definedName name="XRefPaste11Row" localSheetId="6" hidden="1">#REF!</definedName>
    <definedName name="XRefPaste11Row" localSheetId="14" hidden="1">#REF!</definedName>
    <definedName name="XRefPaste11Row" localSheetId="11" hidden="1">#REF!</definedName>
    <definedName name="XRefPaste11Row" localSheetId="1" hidden="1">#REF!</definedName>
    <definedName name="XRefPaste11Row" localSheetId="10" hidden="1">#REF!</definedName>
    <definedName name="XRefPaste11Row" hidden="1">#REF!</definedName>
    <definedName name="XRefPaste12" localSheetId="15" hidden="1">#REF!</definedName>
    <definedName name="XRefPaste12" localSheetId="2" hidden="1">#REF!</definedName>
    <definedName name="XRefPaste12" localSheetId="12" hidden="1">#REF!</definedName>
    <definedName name="XRefPaste12" localSheetId="39" hidden="1">#REF!</definedName>
    <definedName name="XRefPaste12" localSheetId="34" hidden="1">#REF!</definedName>
    <definedName name="XRefPaste12" localSheetId="7" hidden="1">#REF!</definedName>
    <definedName name="XRefPaste12" localSheetId="6" hidden="1">#REF!</definedName>
    <definedName name="XRefPaste12" localSheetId="14" hidden="1">#REF!</definedName>
    <definedName name="XRefPaste12" localSheetId="1" hidden="1">#REF!</definedName>
    <definedName name="XRefPaste12" localSheetId="10" hidden="1">#REF!</definedName>
    <definedName name="XRefPaste12" hidden="1">#REF!</definedName>
    <definedName name="XRefPaste12Row" localSheetId="15" hidden="1">#REF!</definedName>
    <definedName name="XRefPaste12Row" localSheetId="2" hidden="1">#REF!</definedName>
    <definedName name="XRefPaste12Row" localSheetId="12" hidden="1">#REF!</definedName>
    <definedName name="XRefPaste12Row" localSheetId="39" hidden="1">#REF!</definedName>
    <definedName name="XRefPaste12Row" localSheetId="34" hidden="1">#REF!</definedName>
    <definedName name="XRefPaste12Row" localSheetId="7" hidden="1">#REF!</definedName>
    <definedName name="XRefPaste12Row" localSheetId="6" hidden="1">#REF!</definedName>
    <definedName name="XRefPaste12Row" localSheetId="14" hidden="1">#REF!</definedName>
    <definedName name="XRefPaste12Row" localSheetId="11" hidden="1">#REF!</definedName>
    <definedName name="XRefPaste12Row" localSheetId="1" hidden="1">#REF!</definedName>
    <definedName name="XRefPaste12Row" localSheetId="10" hidden="1">#REF!</definedName>
    <definedName name="XRefPaste12Row" hidden="1">#REF!</definedName>
    <definedName name="XRefPaste13Row" localSheetId="15" hidden="1">#REF!</definedName>
    <definedName name="XRefPaste13Row" localSheetId="2" hidden="1">#REF!</definedName>
    <definedName name="XRefPaste13Row" localSheetId="12" hidden="1">#REF!</definedName>
    <definedName name="XRefPaste13Row" localSheetId="39" hidden="1">#REF!</definedName>
    <definedName name="XRefPaste13Row" localSheetId="34" hidden="1">#REF!</definedName>
    <definedName name="XRefPaste13Row" localSheetId="7" hidden="1">#REF!</definedName>
    <definedName name="XRefPaste13Row" localSheetId="6" hidden="1">#REF!</definedName>
    <definedName name="XRefPaste13Row" localSheetId="14" hidden="1">#REF!</definedName>
    <definedName name="XRefPaste13Row" localSheetId="11" hidden="1">#REF!</definedName>
    <definedName name="XRefPaste13Row" localSheetId="1" hidden="1">#REF!</definedName>
    <definedName name="XRefPaste13Row" localSheetId="10" hidden="1">#REF!</definedName>
    <definedName name="XRefPaste13Row" hidden="1">#REF!</definedName>
    <definedName name="XRefPaste14" localSheetId="15" hidden="1">#REF!</definedName>
    <definedName name="XRefPaste14" localSheetId="2" hidden="1">#REF!</definedName>
    <definedName name="XRefPaste14" localSheetId="12" hidden="1">#REF!</definedName>
    <definedName name="XRefPaste14" localSheetId="39" hidden="1">#REF!</definedName>
    <definedName name="XRefPaste14" localSheetId="34" hidden="1">#REF!</definedName>
    <definedName name="XRefPaste14" localSheetId="7" hidden="1">#REF!</definedName>
    <definedName name="XRefPaste14" localSheetId="6" hidden="1">#REF!</definedName>
    <definedName name="XRefPaste14" localSheetId="14" hidden="1">#REF!</definedName>
    <definedName name="XRefPaste14" localSheetId="1" hidden="1">#REF!</definedName>
    <definedName name="XRefPaste14" localSheetId="10" hidden="1">#REF!</definedName>
    <definedName name="XRefPaste14" hidden="1">#REF!</definedName>
    <definedName name="XRefPaste14Row" localSheetId="15" hidden="1">#REF!</definedName>
    <definedName name="XRefPaste14Row" localSheetId="2" hidden="1">#REF!</definedName>
    <definedName name="XRefPaste14Row" localSheetId="12" hidden="1">#REF!</definedName>
    <definedName name="XRefPaste14Row" localSheetId="39" hidden="1">#REF!</definedName>
    <definedName name="XRefPaste14Row" localSheetId="34" hidden="1">#REF!</definedName>
    <definedName name="XRefPaste14Row" localSheetId="7" hidden="1">#REF!</definedName>
    <definedName name="XRefPaste14Row" localSheetId="6" hidden="1">#REF!</definedName>
    <definedName name="XRefPaste14Row" localSheetId="14" hidden="1">#REF!</definedName>
    <definedName name="XRefPaste14Row" localSheetId="11" hidden="1">#REF!</definedName>
    <definedName name="XRefPaste14Row" localSheetId="1" hidden="1">#REF!</definedName>
    <definedName name="XRefPaste14Row" localSheetId="10" hidden="1">#REF!</definedName>
    <definedName name="XRefPaste14Row" hidden="1">#REF!</definedName>
    <definedName name="XRefPaste15" localSheetId="15" hidden="1">#REF!</definedName>
    <definedName name="XRefPaste15" localSheetId="2" hidden="1">#REF!</definedName>
    <definedName name="XRefPaste15" localSheetId="12" hidden="1">#REF!</definedName>
    <definedName name="XRefPaste15" localSheetId="39" hidden="1">#REF!</definedName>
    <definedName name="XRefPaste15" localSheetId="34" hidden="1">#REF!</definedName>
    <definedName name="XRefPaste15" localSheetId="7" hidden="1">#REF!</definedName>
    <definedName name="XRefPaste15" localSheetId="6" hidden="1">#REF!</definedName>
    <definedName name="XRefPaste15" localSheetId="14" hidden="1">#REF!</definedName>
    <definedName name="XRefPaste15" localSheetId="1" hidden="1">#REF!</definedName>
    <definedName name="XRefPaste15" localSheetId="10" hidden="1">#REF!</definedName>
    <definedName name="XRefPaste15" hidden="1">#REF!</definedName>
    <definedName name="XRefPaste15Row" localSheetId="15" hidden="1">#REF!</definedName>
    <definedName name="XRefPaste15Row" localSheetId="2" hidden="1">#REF!</definedName>
    <definedName name="XRefPaste15Row" localSheetId="12" hidden="1">#REF!</definedName>
    <definedName name="XRefPaste15Row" localSheetId="39" hidden="1">#REF!</definedName>
    <definedName name="XRefPaste15Row" localSheetId="34" hidden="1">#REF!</definedName>
    <definedName name="XRefPaste15Row" localSheetId="7" hidden="1">#REF!</definedName>
    <definedName name="XRefPaste15Row" localSheetId="6" hidden="1">#REF!</definedName>
    <definedName name="XRefPaste15Row" localSheetId="14" hidden="1">#REF!</definedName>
    <definedName name="XRefPaste15Row" localSheetId="11" hidden="1">#REF!</definedName>
    <definedName name="XRefPaste15Row" localSheetId="1" hidden="1">#REF!</definedName>
    <definedName name="XRefPaste15Row" localSheetId="10" hidden="1">#REF!</definedName>
    <definedName name="XRefPaste15Row" hidden="1">#REF!</definedName>
    <definedName name="XRefPaste16" localSheetId="15" hidden="1">#REF!</definedName>
    <definedName name="XRefPaste16" localSheetId="2" hidden="1">#REF!</definedName>
    <definedName name="XRefPaste16" localSheetId="12" hidden="1">#REF!</definedName>
    <definedName name="XRefPaste16" localSheetId="39" hidden="1">#REF!</definedName>
    <definedName name="XRefPaste16" localSheetId="34" hidden="1">#REF!</definedName>
    <definedName name="XRefPaste16" localSheetId="7" hidden="1">#REF!</definedName>
    <definedName name="XRefPaste16" localSheetId="6" hidden="1">#REF!</definedName>
    <definedName name="XRefPaste16" localSheetId="14" hidden="1">#REF!</definedName>
    <definedName name="XRefPaste16" localSheetId="1" hidden="1">#REF!</definedName>
    <definedName name="XRefPaste16" localSheetId="10" hidden="1">#REF!</definedName>
    <definedName name="XRefPaste16" hidden="1">#REF!</definedName>
    <definedName name="XRefPaste16Row" localSheetId="15" hidden="1">#REF!</definedName>
    <definedName name="XRefPaste16Row" localSheetId="2" hidden="1">#REF!</definedName>
    <definedName name="XRefPaste16Row" localSheetId="12" hidden="1">#REF!</definedName>
    <definedName name="XRefPaste16Row" localSheetId="39" hidden="1">#REF!</definedName>
    <definedName name="XRefPaste16Row" localSheetId="34" hidden="1">#REF!</definedName>
    <definedName name="XRefPaste16Row" localSheetId="7" hidden="1">#REF!</definedName>
    <definedName name="XRefPaste16Row" localSheetId="6" hidden="1">#REF!</definedName>
    <definedName name="XRefPaste16Row" localSheetId="14" hidden="1">#REF!</definedName>
    <definedName name="XRefPaste16Row" localSheetId="11" hidden="1">#REF!</definedName>
    <definedName name="XRefPaste16Row" localSheetId="1" hidden="1">#REF!</definedName>
    <definedName name="XRefPaste16Row" localSheetId="10" hidden="1">#REF!</definedName>
    <definedName name="XRefPaste16Row" hidden="1">#REF!</definedName>
    <definedName name="XRefPaste17" localSheetId="15" hidden="1">#REF!</definedName>
    <definedName name="XRefPaste17" localSheetId="2" hidden="1">#REF!</definedName>
    <definedName name="XRefPaste17" localSheetId="12" hidden="1">#REF!</definedName>
    <definedName name="XRefPaste17" localSheetId="39" hidden="1">#REF!</definedName>
    <definedName name="XRefPaste17" localSheetId="34" hidden="1">#REF!</definedName>
    <definedName name="XRefPaste17" localSheetId="7" hidden="1">#REF!</definedName>
    <definedName name="XRefPaste17" localSheetId="6" hidden="1">#REF!</definedName>
    <definedName name="XRefPaste17" localSheetId="14" hidden="1">#REF!</definedName>
    <definedName name="XRefPaste17" localSheetId="1" hidden="1">#REF!</definedName>
    <definedName name="XRefPaste17" localSheetId="10" hidden="1">#REF!</definedName>
    <definedName name="XRefPaste17" hidden="1">#REF!</definedName>
    <definedName name="XRefPaste17Row" localSheetId="15" hidden="1">#REF!</definedName>
    <definedName name="XRefPaste17Row" localSheetId="2" hidden="1">#REF!</definedName>
    <definedName name="XRefPaste17Row" localSheetId="12" hidden="1">#REF!</definedName>
    <definedName name="XRefPaste17Row" localSheetId="39" hidden="1">#REF!</definedName>
    <definedName name="XRefPaste17Row" localSheetId="34" hidden="1">#REF!</definedName>
    <definedName name="XRefPaste17Row" localSheetId="7" hidden="1">#REF!</definedName>
    <definedName name="XRefPaste17Row" localSheetId="6" hidden="1">#REF!</definedName>
    <definedName name="XRefPaste17Row" localSheetId="14" hidden="1">#REF!</definedName>
    <definedName name="XRefPaste17Row" localSheetId="11" hidden="1">#REF!</definedName>
    <definedName name="XRefPaste17Row" localSheetId="1" hidden="1">#REF!</definedName>
    <definedName name="XRefPaste17Row" localSheetId="10" hidden="1">#REF!</definedName>
    <definedName name="XRefPaste17Row" hidden="1">#REF!</definedName>
    <definedName name="XRefPaste18" localSheetId="15" hidden="1">#REF!</definedName>
    <definedName name="XRefPaste18" localSheetId="2" hidden="1">#REF!</definedName>
    <definedName name="XRefPaste18" localSheetId="12" hidden="1">#REF!</definedName>
    <definedName name="XRefPaste18" localSheetId="39" hidden="1">#REF!</definedName>
    <definedName name="XRefPaste18" localSheetId="34" hidden="1">#REF!</definedName>
    <definedName name="XRefPaste18" localSheetId="7" hidden="1">#REF!</definedName>
    <definedName name="XRefPaste18" localSheetId="6" hidden="1">#REF!</definedName>
    <definedName name="XRefPaste18" localSheetId="14" hidden="1">#REF!</definedName>
    <definedName name="XRefPaste18" localSheetId="11" hidden="1">#REF!</definedName>
    <definedName name="XRefPaste18" localSheetId="1" hidden="1">#REF!</definedName>
    <definedName name="XRefPaste18" localSheetId="10" hidden="1">#REF!</definedName>
    <definedName name="XRefPaste18" hidden="1">#REF!</definedName>
    <definedName name="XRefPaste18Row" localSheetId="15" hidden="1">#REF!</definedName>
    <definedName name="XRefPaste18Row" localSheetId="2" hidden="1">#REF!</definedName>
    <definedName name="XRefPaste18Row" localSheetId="12" hidden="1">#REF!</definedName>
    <definedName name="XRefPaste18Row" localSheetId="39" hidden="1">#REF!</definedName>
    <definedName name="XRefPaste18Row" localSheetId="34" hidden="1">#REF!</definedName>
    <definedName name="XRefPaste18Row" localSheetId="7" hidden="1">#REF!</definedName>
    <definedName name="XRefPaste18Row" localSheetId="6" hidden="1">#REF!</definedName>
    <definedName name="XRefPaste18Row" localSheetId="14" hidden="1">#REF!</definedName>
    <definedName name="XRefPaste18Row" localSheetId="11" hidden="1">#REF!</definedName>
    <definedName name="XRefPaste18Row" localSheetId="1" hidden="1">#REF!</definedName>
    <definedName name="XRefPaste18Row" localSheetId="10" hidden="1">#REF!</definedName>
    <definedName name="XRefPaste18Row" hidden="1">#REF!</definedName>
    <definedName name="XRefPaste19" localSheetId="15" hidden="1">#REF!</definedName>
    <definedName name="XRefPaste19" localSheetId="2" hidden="1">#REF!</definedName>
    <definedName name="XRefPaste19" localSheetId="12" hidden="1">#REF!</definedName>
    <definedName name="XRefPaste19" localSheetId="39" hidden="1">#REF!</definedName>
    <definedName name="XRefPaste19" localSheetId="34" hidden="1">#REF!</definedName>
    <definedName name="XRefPaste19" localSheetId="7" hidden="1">#REF!</definedName>
    <definedName name="XRefPaste19" localSheetId="6" hidden="1">#REF!</definedName>
    <definedName name="XRefPaste19" localSheetId="14" hidden="1">#REF!</definedName>
    <definedName name="XRefPaste19" localSheetId="1" hidden="1">#REF!</definedName>
    <definedName name="XRefPaste19" localSheetId="10" hidden="1">#REF!</definedName>
    <definedName name="XRefPaste19" hidden="1">#REF!</definedName>
    <definedName name="XRefPaste19Row" localSheetId="15" hidden="1">#REF!</definedName>
    <definedName name="XRefPaste19Row" localSheetId="2" hidden="1">#REF!</definedName>
    <definedName name="XRefPaste19Row" localSheetId="12" hidden="1">#REF!</definedName>
    <definedName name="XRefPaste19Row" localSheetId="39" hidden="1">#REF!</definedName>
    <definedName name="XRefPaste19Row" localSheetId="34" hidden="1">#REF!</definedName>
    <definedName name="XRefPaste19Row" localSheetId="7" hidden="1">#REF!</definedName>
    <definedName name="XRefPaste19Row" localSheetId="6" hidden="1">#REF!</definedName>
    <definedName name="XRefPaste19Row" localSheetId="14" hidden="1">#REF!</definedName>
    <definedName name="XRefPaste19Row" localSheetId="11" hidden="1">#REF!</definedName>
    <definedName name="XRefPaste19Row" localSheetId="1" hidden="1">#REF!</definedName>
    <definedName name="XRefPaste19Row" localSheetId="10" hidden="1">#REF!</definedName>
    <definedName name="XRefPaste19Row" hidden="1">#REF!</definedName>
    <definedName name="XRefPaste1Row" localSheetId="15" hidden="1">#REF!</definedName>
    <definedName name="XRefPaste1Row" localSheetId="2" hidden="1">#REF!</definedName>
    <definedName name="XRefPaste1Row" localSheetId="12" hidden="1">#REF!</definedName>
    <definedName name="XRefPaste1Row" localSheetId="39" hidden="1">#REF!</definedName>
    <definedName name="XRefPaste1Row" localSheetId="34" hidden="1">#REF!</definedName>
    <definedName name="XRefPaste1Row" localSheetId="7" hidden="1">#REF!</definedName>
    <definedName name="XRefPaste1Row" localSheetId="6" hidden="1">#REF!</definedName>
    <definedName name="XRefPaste1Row" localSheetId="14" hidden="1">#REF!</definedName>
    <definedName name="XRefPaste1Row" localSheetId="1" hidden="1">#REF!</definedName>
    <definedName name="XRefPaste1Row" localSheetId="10" hidden="1">#REF!</definedName>
    <definedName name="XRefPaste1Row" hidden="1">#REF!</definedName>
    <definedName name="XRefPaste2" localSheetId="15" hidden="1">#REF!</definedName>
    <definedName name="XRefPaste2" localSheetId="2" hidden="1">#REF!</definedName>
    <definedName name="XRefPaste2" localSheetId="12" hidden="1">#REF!</definedName>
    <definedName name="XRefPaste2" localSheetId="39" hidden="1">#REF!</definedName>
    <definedName name="XRefPaste2" localSheetId="34" hidden="1">#REF!</definedName>
    <definedName name="XRefPaste2" localSheetId="7" hidden="1">#REF!</definedName>
    <definedName name="XRefPaste2" localSheetId="6" hidden="1">#REF!</definedName>
    <definedName name="XRefPaste2" localSheetId="11" hidden="1">#REF!</definedName>
    <definedName name="XRefPaste2" localSheetId="1" hidden="1">#REF!</definedName>
    <definedName name="XRefPaste2" localSheetId="10" hidden="1">#REF!</definedName>
    <definedName name="XRefPaste2" hidden="1">#REF!</definedName>
    <definedName name="XRefPaste20" localSheetId="15" hidden="1">#REF!</definedName>
    <definedName name="XRefPaste20" localSheetId="2" hidden="1">#REF!</definedName>
    <definedName name="XRefPaste20" localSheetId="12" hidden="1">#REF!</definedName>
    <definedName name="XRefPaste20" localSheetId="39" hidden="1">#REF!</definedName>
    <definedName name="XRefPaste20" localSheetId="34" hidden="1">#REF!</definedName>
    <definedName name="XRefPaste20" localSheetId="7" hidden="1">#REF!</definedName>
    <definedName name="XRefPaste20" localSheetId="6" hidden="1">#REF!</definedName>
    <definedName name="XRefPaste20" localSheetId="14" hidden="1">#REF!</definedName>
    <definedName name="XRefPaste20" localSheetId="1" hidden="1">#REF!</definedName>
    <definedName name="XRefPaste20" localSheetId="10" hidden="1">#REF!</definedName>
    <definedName name="XRefPaste20" hidden="1">#REF!</definedName>
    <definedName name="XRefPaste20Row" localSheetId="15" hidden="1">#REF!</definedName>
    <definedName name="XRefPaste20Row" localSheetId="2" hidden="1">#REF!</definedName>
    <definedName name="XRefPaste20Row" localSheetId="12" hidden="1">#REF!</definedName>
    <definedName name="XRefPaste20Row" localSheetId="39" hidden="1">#REF!</definedName>
    <definedName name="XRefPaste20Row" localSheetId="34" hidden="1">#REF!</definedName>
    <definedName name="XRefPaste20Row" localSheetId="7" hidden="1">#REF!</definedName>
    <definedName name="XRefPaste20Row" localSheetId="6" hidden="1">#REF!</definedName>
    <definedName name="XRefPaste20Row" localSheetId="1" hidden="1">#REF!</definedName>
    <definedName name="XRefPaste20Row" localSheetId="10" hidden="1">#REF!</definedName>
    <definedName name="XRefPaste20Row" hidden="1">#REF!</definedName>
    <definedName name="XRefPaste21" localSheetId="15" hidden="1">#REF!</definedName>
    <definedName name="XRefPaste21" localSheetId="2" hidden="1">#REF!</definedName>
    <definedName name="XRefPaste21" localSheetId="12" hidden="1">#REF!</definedName>
    <definedName name="XRefPaste21" localSheetId="39" hidden="1">#REF!</definedName>
    <definedName name="XRefPaste21" localSheetId="34" hidden="1">#REF!</definedName>
    <definedName name="XRefPaste21" localSheetId="7" hidden="1">#REF!</definedName>
    <definedName name="XRefPaste21" localSheetId="6" hidden="1">#REF!</definedName>
    <definedName name="XRefPaste21" localSheetId="14" hidden="1">#REF!</definedName>
    <definedName name="XRefPaste21" localSheetId="1" hidden="1">#REF!</definedName>
    <definedName name="XRefPaste21" localSheetId="10" hidden="1">#REF!</definedName>
    <definedName name="XRefPaste21" hidden="1">#REF!</definedName>
    <definedName name="XRefPaste21Row" localSheetId="15" hidden="1">#REF!</definedName>
    <definedName name="XRefPaste21Row" localSheetId="2" hidden="1">#REF!</definedName>
    <definedName name="XRefPaste21Row" localSheetId="12" hidden="1">#REF!</definedName>
    <definedName name="XRefPaste21Row" localSheetId="39" hidden="1">#REF!</definedName>
    <definedName name="XRefPaste21Row" localSheetId="34" hidden="1">#REF!</definedName>
    <definedName name="XRefPaste21Row" localSheetId="7" hidden="1">#REF!</definedName>
    <definedName name="XRefPaste21Row" localSheetId="6" hidden="1">#REF!</definedName>
    <definedName name="XRefPaste21Row" localSheetId="14" hidden="1">#REF!</definedName>
    <definedName name="XRefPaste21Row" localSheetId="11" hidden="1">#REF!</definedName>
    <definedName name="XRefPaste21Row" localSheetId="1" hidden="1">#REF!</definedName>
    <definedName name="XRefPaste21Row" localSheetId="10" hidden="1">#REF!</definedName>
    <definedName name="XRefPaste21Row" hidden="1">#REF!</definedName>
    <definedName name="XRefPaste22" localSheetId="15" hidden="1">#REF!</definedName>
    <definedName name="XRefPaste22" localSheetId="2" hidden="1">#REF!</definedName>
    <definedName name="XRefPaste22" localSheetId="12" hidden="1">#REF!</definedName>
    <definedName name="XRefPaste22" localSheetId="39" hidden="1">#REF!</definedName>
    <definedName name="XRefPaste22" localSheetId="34" hidden="1">#REF!</definedName>
    <definedName name="XRefPaste22" localSheetId="7" hidden="1">#REF!</definedName>
    <definedName name="XRefPaste22" localSheetId="6" hidden="1">#REF!</definedName>
    <definedName name="XRefPaste22" localSheetId="14" hidden="1">#REF!</definedName>
    <definedName name="XRefPaste22" localSheetId="11" hidden="1">#REF!</definedName>
    <definedName name="XRefPaste22" localSheetId="1" hidden="1">#REF!</definedName>
    <definedName name="XRefPaste22" localSheetId="10" hidden="1">#REF!</definedName>
    <definedName name="XRefPaste22" hidden="1">#REF!</definedName>
    <definedName name="XRefPaste22Row" localSheetId="15" hidden="1">#REF!</definedName>
    <definedName name="XRefPaste22Row" localSheetId="2" hidden="1">#REF!</definedName>
    <definedName name="XRefPaste22Row" localSheetId="12" hidden="1">#REF!</definedName>
    <definedName name="XRefPaste22Row" localSheetId="39" hidden="1">#REF!</definedName>
    <definedName name="XRefPaste22Row" localSheetId="34" hidden="1">#REF!</definedName>
    <definedName name="XRefPaste22Row" localSheetId="7" hidden="1">#REF!</definedName>
    <definedName name="XRefPaste22Row" localSheetId="6" hidden="1">#REF!</definedName>
    <definedName name="XRefPaste22Row" localSheetId="1" hidden="1">#REF!</definedName>
    <definedName name="XRefPaste22Row" localSheetId="10" hidden="1">#REF!</definedName>
    <definedName name="XRefPaste22Row" hidden="1">#REF!</definedName>
    <definedName name="XRefPaste23" localSheetId="15" hidden="1">#REF!</definedName>
    <definedName name="XRefPaste23" localSheetId="2" hidden="1">#REF!</definedName>
    <definedName name="XRefPaste23" localSheetId="12" hidden="1">#REF!</definedName>
    <definedName name="XRefPaste23" localSheetId="39" hidden="1">#REF!</definedName>
    <definedName name="XRefPaste23" localSheetId="34" hidden="1">#REF!</definedName>
    <definedName name="XRefPaste23" localSheetId="7" hidden="1">#REF!</definedName>
    <definedName name="XRefPaste23" localSheetId="6" hidden="1">#REF!</definedName>
    <definedName name="XRefPaste23" localSheetId="14" hidden="1">#REF!</definedName>
    <definedName name="XRefPaste23" localSheetId="1" hidden="1">#REF!</definedName>
    <definedName name="XRefPaste23" localSheetId="10" hidden="1">#REF!</definedName>
    <definedName name="XRefPaste23" hidden="1">#REF!</definedName>
    <definedName name="XRefPaste23Row" localSheetId="15" hidden="1">#REF!</definedName>
    <definedName name="XRefPaste23Row" localSheetId="2" hidden="1">#REF!</definedName>
    <definedName name="XRefPaste23Row" localSheetId="12" hidden="1">#REF!</definedName>
    <definedName name="XRefPaste23Row" localSheetId="39" hidden="1">#REF!</definedName>
    <definedName name="XRefPaste23Row" localSheetId="34" hidden="1">#REF!</definedName>
    <definedName name="XRefPaste23Row" localSheetId="7" hidden="1">#REF!</definedName>
    <definedName name="XRefPaste23Row" localSheetId="6" hidden="1">#REF!</definedName>
    <definedName name="XRefPaste23Row" localSheetId="14" hidden="1">#REF!</definedName>
    <definedName name="XRefPaste23Row" localSheetId="11" hidden="1">#REF!</definedName>
    <definedName name="XRefPaste23Row" localSheetId="1" hidden="1">#REF!</definedName>
    <definedName name="XRefPaste23Row" localSheetId="10" hidden="1">#REF!</definedName>
    <definedName name="XRefPaste23Row" hidden="1">#REF!</definedName>
    <definedName name="XRefPaste24" localSheetId="15" hidden="1">#REF!</definedName>
    <definedName name="XRefPaste24" localSheetId="2" hidden="1">#REF!</definedName>
    <definedName name="XRefPaste24" localSheetId="12" hidden="1">#REF!</definedName>
    <definedName name="XRefPaste24" localSheetId="39" hidden="1">#REF!</definedName>
    <definedName name="XRefPaste24" localSheetId="34" hidden="1">#REF!</definedName>
    <definedName name="XRefPaste24" localSheetId="7" hidden="1">#REF!</definedName>
    <definedName name="XRefPaste24" localSheetId="6" hidden="1">#REF!</definedName>
    <definedName name="XRefPaste24" localSheetId="14" hidden="1">#REF!</definedName>
    <definedName name="XRefPaste24" localSheetId="1" hidden="1">#REF!</definedName>
    <definedName name="XRefPaste24" localSheetId="10" hidden="1">#REF!</definedName>
    <definedName name="XRefPaste24" hidden="1">#REF!</definedName>
    <definedName name="XRefPaste24Row" localSheetId="15" hidden="1">#REF!</definedName>
    <definedName name="XRefPaste24Row" localSheetId="2" hidden="1">#REF!</definedName>
    <definedName name="XRefPaste24Row" localSheetId="12" hidden="1">#REF!</definedName>
    <definedName name="XRefPaste24Row" localSheetId="39" hidden="1">#REF!</definedName>
    <definedName name="XRefPaste24Row" localSheetId="34" hidden="1">#REF!</definedName>
    <definedName name="XRefPaste24Row" localSheetId="7" hidden="1">#REF!</definedName>
    <definedName name="XRefPaste24Row" localSheetId="6" hidden="1">#REF!</definedName>
    <definedName name="XRefPaste24Row" localSheetId="14" hidden="1">#REF!</definedName>
    <definedName name="XRefPaste24Row" localSheetId="1" hidden="1">#REF!</definedName>
    <definedName name="XRefPaste24Row" localSheetId="10" hidden="1">#REF!</definedName>
    <definedName name="XRefPaste24Row" hidden="1">#REF!</definedName>
    <definedName name="XRefPaste25" localSheetId="15" hidden="1">#REF!</definedName>
    <definedName name="XRefPaste25" localSheetId="2" hidden="1">#REF!</definedName>
    <definedName name="XRefPaste25" localSheetId="12" hidden="1">#REF!</definedName>
    <definedName name="XRefPaste25" localSheetId="39" hidden="1">#REF!</definedName>
    <definedName name="XRefPaste25" localSheetId="34" hidden="1">#REF!</definedName>
    <definedName name="XRefPaste25" localSheetId="7" hidden="1">#REF!</definedName>
    <definedName name="XRefPaste25" localSheetId="6" hidden="1">#REF!</definedName>
    <definedName name="XRefPaste25" localSheetId="14" hidden="1">#REF!</definedName>
    <definedName name="XRefPaste25" localSheetId="1" hidden="1">#REF!</definedName>
    <definedName name="XRefPaste25" localSheetId="10" hidden="1">#REF!</definedName>
    <definedName name="XRefPaste25" hidden="1">#REF!</definedName>
    <definedName name="XRefPaste25Row" localSheetId="15" hidden="1">#REF!</definedName>
    <definedName name="XRefPaste25Row" localSheetId="2" hidden="1">#REF!</definedName>
    <definedName name="XRefPaste25Row" localSheetId="12" hidden="1">#REF!</definedName>
    <definedName name="XRefPaste25Row" localSheetId="39" hidden="1">#REF!</definedName>
    <definedName name="XRefPaste25Row" localSheetId="34" hidden="1">#REF!</definedName>
    <definedName name="XRefPaste25Row" localSheetId="7" hidden="1">#REF!</definedName>
    <definedName name="XRefPaste25Row" localSheetId="6" hidden="1">#REF!</definedName>
    <definedName name="XRefPaste25Row" localSheetId="14" hidden="1">#REF!</definedName>
    <definedName name="XRefPaste25Row" localSheetId="11" hidden="1">#REF!</definedName>
    <definedName name="XRefPaste25Row" localSheetId="1" hidden="1">#REF!</definedName>
    <definedName name="XRefPaste25Row" localSheetId="10" hidden="1">#REF!</definedName>
    <definedName name="XRefPaste25Row" hidden="1">#REF!</definedName>
    <definedName name="XRefPaste26" localSheetId="15" hidden="1">#REF!</definedName>
    <definedName name="XRefPaste26" localSheetId="2" hidden="1">#REF!</definedName>
    <definedName name="XRefPaste26" localSheetId="12" hidden="1">#REF!</definedName>
    <definedName name="XRefPaste26" localSheetId="39" hidden="1">#REF!</definedName>
    <definedName name="XRefPaste26" localSheetId="34" hidden="1">#REF!</definedName>
    <definedName name="XRefPaste26" localSheetId="7" hidden="1">#REF!</definedName>
    <definedName name="XRefPaste26" localSheetId="6" hidden="1">#REF!</definedName>
    <definedName name="XRefPaste26" localSheetId="14" hidden="1">#REF!</definedName>
    <definedName name="XRefPaste26" localSheetId="1" hidden="1">#REF!</definedName>
    <definedName name="XRefPaste26" localSheetId="10" hidden="1">#REF!</definedName>
    <definedName name="XRefPaste26" hidden="1">#REF!</definedName>
    <definedName name="XRefPaste26Row" localSheetId="15" hidden="1">#REF!</definedName>
    <definedName name="XRefPaste26Row" localSheetId="2" hidden="1">#REF!</definedName>
    <definedName name="XRefPaste26Row" localSheetId="12" hidden="1">#REF!</definedName>
    <definedName name="XRefPaste26Row" localSheetId="39" hidden="1">#REF!</definedName>
    <definedName name="XRefPaste26Row" localSheetId="34" hidden="1">#REF!</definedName>
    <definedName name="XRefPaste26Row" localSheetId="7" hidden="1">#REF!</definedName>
    <definedName name="XRefPaste26Row" localSheetId="6" hidden="1">#REF!</definedName>
    <definedName name="XRefPaste26Row" localSheetId="14" hidden="1">#REF!</definedName>
    <definedName name="XRefPaste26Row" localSheetId="11" hidden="1">#REF!</definedName>
    <definedName name="XRefPaste26Row" localSheetId="1" hidden="1">#REF!</definedName>
    <definedName name="XRefPaste26Row" localSheetId="10" hidden="1">#REF!</definedName>
    <definedName name="XRefPaste26Row" hidden="1">#REF!</definedName>
    <definedName name="XRefPaste27" localSheetId="15" hidden="1">#REF!</definedName>
    <definedName name="XRefPaste27" localSheetId="2" hidden="1">#REF!</definedName>
    <definedName name="XRefPaste27" localSheetId="12" hidden="1">#REF!</definedName>
    <definedName name="XRefPaste27" localSheetId="39" hidden="1">#REF!</definedName>
    <definedName name="XRefPaste27" localSheetId="34" hidden="1">#REF!</definedName>
    <definedName name="XRefPaste27" localSheetId="7" hidden="1">#REF!</definedName>
    <definedName name="XRefPaste27" localSheetId="6" hidden="1">#REF!</definedName>
    <definedName name="XRefPaste27" localSheetId="14" hidden="1">#REF!</definedName>
    <definedName name="XRefPaste27" localSheetId="1" hidden="1">#REF!</definedName>
    <definedName name="XRefPaste27" localSheetId="10" hidden="1">#REF!</definedName>
    <definedName name="XRefPaste27" hidden="1">#REF!</definedName>
    <definedName name="XRefPaste27Row" localSheetId="15" hidden="1">#REF!</definedName>
    <definedName name="XRefPaste27Row" localSheetId="2" hidden="1">#REF!</definedName>
    <definedName name="XRefPaste27Row" localSheetId="12" hidden="1">#REF!</definedName>
    <definedName name="XRefPaste27Row" localSheetId="39" hidden="1">#REF!</definedName>
    <definedName name="XRefPaste27Row" localSheetId="34" hidden="1">#REF!</definedName>
    <definedName name="XRefPaste27Row" localSheetId="7" hidden="1">#REF!</definedName>
    <definedName name="XRefPaste27Row" localSheetId="6" hidden="1">#REF!</definedName>
    <definedName name="XRefPaste27Row" localSheetId="14" hidden="1">#REF!</definedName>
    <definedName name="XRefPaste27Row" localSheetId="11" hidden="1">#REF!</definedName>
    <definedName name="XRefPaste27Row" localSheetId="1" hidden="1">#REF!</definedName>
    <definedName name="XRefPaste27Row" localSheetId="10" hidden="1">#REF!</definedName>
    <definedName name="XRefPaste27Row" hidden="1">#REF!</definedName>
    <definedName name="XRefPaste28" localSheetId="15" hidden="1">#REF!</definedName>
    <definedName name="XRefPaste28" localSheetId="2" hidden="1">#REF!</definedName>
    <definedName name="XRefPaste28" localSheetId="12" hidden="1">#REF!</definedName>
    <definedName name="XRefPaste28" localSheetId="39" hidden="1">#REF!</definedName>
    <definedName name="XRefPaste28" localSheetId="34" hidden="1">#REF!</definedName>
    <definedName name="XRefPaste28" localSheetId="7" hidden="1">#REF!</definedName>
    <definedName name="XRefPaste28" localSheetId="6" hidden="1">#REF!</definedName>
    <definedName name="XRefPaste28" localSheetId="14" hidden="1">#REF!</definedName>
    <definedName name="XRefPaste28" localSheetId="1" hidden="1">#REF!</definedName>
    <definedName name="XRefPaste28" localSheetId="10" hidden="1">#REF!</definedName>
    <definedName name="XRefPaste28" hidden="1">#REF!</definedName>
    <definedName name="XRefPaste28Row" localSheetId="15" hidden="1">#REF!</definedName>
    <definedName name="XRefPaste28Row" localSheetId="2" hidden="1">#REF!</definedName>
    <definedName name="XRefPaste28Row" localSheetId="12" hidden="1">#REF!</definedName>
    <definedName name="XRefPaste28Row" localSheetId="39" hidden="1">#REF!</definedName>
    <definedName name="XRefPaste28Row" localSheetId="34" hidden="1">#REF!</definedName>
    <definedName name="XRefPaste28Row" localSheetId="7" hidden="1">#REF!</definedName>
    <definedName name="XRefPaste28Row" localSheetId="6" hidden="1">#REF!</definedName>
    <definedName name="XRefPaste28Row" localSheetId="14" hidden="1">#REF!</definedName>
    <definedName name="XRefPaste28Row" localSheetId="11" hidden="1">#REF!</definedName>
    <definedName name="XRefPaste28Row" localSheetId="1" hidden="1">#REF!</definedName>
    <definedName name="XRefPaste28Row" localSheetId="10" hidden="1">#REF!</definedName>
    <definedName name="XRefPaste28Row" hidden="1">#REF!</definedName>
    <definedName name="XRefPaste29" localSheetId="15" hidden="1">#REF!</definedName>
    <definedName name="XRefPaste29" localSheetId="2" hidden="1">#REF!</definedName>
    <definedName name="XRefPaste29" localSheetId="12" hidden="1">#REF!</definedName>
    <definedName name="XRefPaste29" localSheetId="39" hidden="1">#REF!</definedName>
    <definedName name="XRefPaste29" localSheetId="34" hidden="1">#REF!</definedName>
    <definedName name="XRefPaste29" localSheetId="7" hidden="1">#REF!</definedName>
    <definedName name="XRefPaste29" localSheetId="6" hidden="1">#REF!</definedName>
    <definedName name="XRefPaste29" localSheetId="14" hidden="1">#REF!</definedName>
    <definedName name="XRefPaste29" localSheetId="1" hidden="1">#REF!</definedName>
    <definedName name="XRefPaste29" localSheetId="10" hidden="1">#REF!</definedName>
    <definedName name="XRefPaste29" hidden="1">#REF!</definedName>
    <definedName name="XRefPaste29Row" localSheetId="15" hidden="1">#REF!</definedName>
    <definedName name="XRefPaste29Row" localSheetId="2" hidden="1">#REF!</definedName>
    <definedName name="XRefPaste29Row" localSheetId="12" hidden="1">#REF!</definedName>
    <definedName name="XRefPaste29Row" localSheetId="39" hidden="1">#REF!</definedName>
    <definedName name="XRefPaste29Row" localSheetId="34" hidden="1">#REF!</definedName>
    <definedName name="XRefPaste29Row" localSheetId="7" hidden="1">#REF!</definedName>
    <definedName name="XRefPaste29Row" localSheetId="6" hidden="1">#REF!</definedName>
    <definedName name="XRefPaste29Row" localSheetId="14" hidden="1">#REF!</definedName>
    <definedName name="XRefPaste29Row" localSheetId="11" hidden="1">#REF!</definedName>
    <definedName name="XRefPaste29Row" localSheetId="1" hidden="1">#REF!</definedName>
    <definedName name="XRefPaste29Row" localSheetId="10" hidden="1">#REF!</definedName>
    <definedName name="XRefPaste29Row" hidden="1">#REF!</definedName>
    <definedName name="XRefPaste2Row" localSheetId="15" hidden="1">#REF!</definedName>
    <definedName name="XRefPaste2Row" localSheetId="2" hidden="1">#REF!</definedName>
    <definedName name="XRefPaste2Row" localSheetId="12" hidden="1">#REF!</definedName>
    <definedName name="XRefPaste2Row" localSheetId="39" hidden="1">#REF!</definedName>
    <definedName name="XRefPaste2Row" localSheetId="34" hidden="1">#REF!</definedName>
    <definedName name="XRefPaste2Row" localSheetId="7" hidden="1">#REF!</definedName>
    <definedName name="XRefPaste2Row" localSheetId="6" hidden="1">#REF!</definedName>
    <definedName name="XRefPaste2Row" localSheetId="14" hidden="1">#REF!</definedName>
    <definedName name="XRefPaste2Row" localSheetId="1" hidden="1">#REF!</definedName>
    <definedName name="XRefPaste2Row" localSheetId="10" hidden="1">#REF!</definedName>
    <definedName name="XRefPaste2Row" hidden="1">#REF!</definedName>
    <definedName name="XRefPaste3" localSheetId="15" hidden="1">#REF!</definedName>
    <definedName name="XRefPaste3" localSheetId="2" hidden="1">#REF!</definedName>
    <definedName name="XRefPaste3" localSheetId="12" hidden="1">#REF!</definedName>
    <definedName name="XRefPaste3" localSheetId="39" hidden="1">#REF!</definedName>
    <definedName name="XRefPaste3" localSheetId="34" hidden="1">#REF!</definedName>
    <definedName name="XRefPaste3" localSheetId="7" hidden="1">#REF!</definedName>
    <definedName name="XRefPaste3" localSheetId="6" hidden="1">#REF!</definedName>
    <definedName name="XRefPaste3" localSheetId="14" hidden="1">#REF!</definedName>
    <definedName name="XRefPaste3" localSheetId="11" hidden="1">#REF!</definedName>
    <definedName name="XRefPaste3" localSheetId="1" hidden="1">#REF!</definedName>
    <definedName name="XRefPaste3" localSheetId="10" hidden="1">#REF!</definedName>
    <definedName name="XRefPaste3" hidden="1">#REF!</definedName>
    <definedName name="XRefPaste30" localSheetId="15" hidden="1">#REF!</definedName>
    <definedName name="XRefPaste30" localSheetId="2" hidden="1">#REF!</definedName>
    <definedName name="XRefPaste30" localSheetId="12" hidden="1">#REF!</definedName>
    <definedName name="XRefPaste30" localSheetId="39" hidden="1">#REF!</definedName>
    <definedName name="XRefPaste30" localSheetId="34" hidden="1">#REF!</definedName>
    <definedName name="XRefPaste30" localSheetId="7" hidden="1">#REF!</definedName>
    <definedName name="XRefPaste30" localSheetId="6" hidden="1">#REF!</definedName>
    <definedName name="XRefPaste30" localSheetId="14" hidden="1">#REF!</definedName>
    <definedName name="XRefPaste30" localSheetId="1" hidden="1">#REF!</definedName>
    <definedName name="XRefPaste30" localSheetId="10" hidden="1">#REF!</definedName>
    <definedName name="XRefPaste30" hidden="1">#REF!</definedName>
    <definedName name="XRefPaste30Row" localSheetId="15" hidden="1">#REF!</definedName>
    <definedName name="XRefPaste30Row" localSheetId="2" hidden="1">#REF!</definedName>
    <definedName name="XRefPaste30Row" localSheetId="12" hidden="1">#REF!</definedName>
    <definedName name="XRefPaste30Row" localSheetId="39" hidden="1">#REF!</definedName>
    <definedName name="XRefPaste30Row" localSheetId="34" hidden="1">#REF!</definedName>
    <definedName name="XRefPaste30Row" localSheetId="7" hidden="1">#REF!</definedName>
    <definedName name="XRefPaste30Row" localSheetId="6" hidden="1">#REF!</definedName>
    <definedName name="XRefPaste30Row" localSheetId="14" hidden="1">#REF!</definedName>
    <definedName name="XRefPaste30Row" localSheetId="11" hidden="1">#REF!</definedName>
    <definedName name="XRefPaste30Row" localSheetId="1" hidden="1">#REF!</definedName>
    <definedName name="XRefPaste30Row" localSheetId="10" hidden="1">#REF!</definedName>
    <definedName name="XRefPaste30Row" hidden="1">#REF!</definedName>
    <definedName name="XRefPaste31" localSheetId="15" hidden="1">#REF!</definedName>
    <definedName name="XRefPaste31" localSheetId="2" hidden="1">#REF!</definedName>
    <definedName name="XRefPaste31" localSheetId="12" hidden="1">#REF!</definedName>
    <definedName name="XRefPaste31" localSheetId="39" hidden="1">#REF!</definedName>
    <definedName name="XRefPaste31" localSheetId="34" hidden="1">#REF!</definedName>
    <definedName name="XRefPaste31" localSheetId="7" hidden="1">#REF!</definedName>
    <definedName name="XRefPaste31" localSheetId="6" hidden="1">#REF!</definedName>
    <definedName name="XRefPaste31" localSheetId="14" hidden="1">#REF!</definedName>
    <definedName name="XRefPaste31" localSheetId="1" hidden="1">#REF!</definedName>
    <definedName name="XRefPaste31" localSheetId="10" hidden="1">#REF!</definedName>
    <definedName name="XRefPaste31" hidden="1">#REF!</definedName>
    <definedName name="XRefPaste31Row" localSheetId="15" hidden="1">#REF!</definedName>
    <definedName name="XRefPaste31Row" localSheetId="2" hidden="1">#REF!</definedName>
    <definedName name="XRefPaste31Row" localSheetId="12" hidden="1">#REF!</definedName>
    <definedName name="XRefPaste31Row" localSheetId="39" hidden="1">#REF!</definedName>
    <definedName name="XRefPaste31Row" localSheetId="34" hidden="1">#REF!</definedName>
    <definedName name="XRefPaste31Row" localSheetId="7" hidden="1">#REF!</definedName>
    <definedName name="XRefPaste31Row" localSheetId="6" hidden="1">#REF!</definedName>
    <definedName name="XRefPaste31Row" localSheetId="14" hidden="1">#REF!</definedName>
    <definedName name="XRefPaste31Row" localSheetId="11" hidden="1">#REF!</definedName>
    <definedName name="XRefPaste31Row" localSheetId="1" hidden="1">#REF!</definedName>
    <definedName name="XRefPaste31Row" localSheetId="10" hidden="1">#REF!</definedName>
    <definedName name="XRefPaste31Row" hidden="1">#REF!</definedName>
    <definedName name="XRefPaste32" localSheetId="15" hidden="1">#REF!</definedName>
    <definedName name="XRefPaste32" localSheetId="2" hidden="1">#REF!</definedName>
    <definedName name="XRefPaste32" localSheetId="12" hidden="1">#REF!</definedName>
    <definedName name="XRefPaste32" localSheetId="39" hidden="1">#REF!</definedName>
    <definedName name="XRefPaste32" localSheetId="34" hidden="1">#REF!</definedName>
    <definedName name="XRefPaste32" localSheetId="7" hidden="1">#REF!</definedName>
    <definedName name="XRefPaste32" localSheetId="6" hidden="1">#REF!</definedName>
    <definedName name="XRefPaste32" localSheetId="14" hidden="1">#REF!</definedName>
    <definedName name="XRefPaste32" localSheetId="1" hidden="1">#REF!</definedName>
    <definedName name="XRefPaste32" localSheetId="10" hidden="1">#REF!</definedName>
    <definedName name="XRefPaste32" hidden="1">#REF!</definedName>
    <definedName name="XRefPaste32Row" localSheetId="15" hidden="1">#REF!</definedName>
    <definedName name="XRefPaste32Row" localSheetId="2" hidden="1">#REF!</definedName>
    <definedName name="XRefPaste32Row" localSheetId="12" hidden="1">#REF!</definedName>
    <definedName name="XRefPaste32Row" localSheetId="39" hidden="1">#REF!</definedName>
    <definedName name="XRefPaste32Row" localSheetId="34" hidden="1">#REF!</definedName>
    <definedName name="XRefPaste32Row" localSheetId="7" hidden="1">#REF!</definedName>
    <definedName name="XRefPaste32Row" localSheetId="6" hidden="1">#REF!</definedName>
    <definedName name="XRefPaste32Row" localSheetId="14" hidden="1">#REF!</definedName>
    <definedName name="XRefPaste32Row" localSheetId="11" hidden="1">#REF!</definedName>
    <definedName name="XRefPaste32Row" localSheetId="1" hidden="1">#REF!</definedName>
    <definedName name="XRefPaste32Row" localSheetId="10" hidden="1">#REF!</definedName>
    <definedName name="XRefPaste32Row" hidden="1">#REF!</definedName>
    <definedName name="XRefPaste33Row" localSheetId="15" hidden="1">#REF!</definedName>
    <definedName name="XRefPaste33Row" localSheetId="2" hidden="1">#REF!</definedName>
    <definedName name="XRefPaste33Row" localSheetId="12" hidden="1">#REF!</definedName>
    <definedName name="XRefPaste33Row" localSheetId="39" hidden="1">#REF!</definedName>
    <definedName name="XRefPaste33Row" localSheetId="34" hidden="1">#REF!</definedName>
    <definedName name="XRefPaste33Row" localSheetId="7" hidden="1">#REF!</definedName>
    <definedName name="XRefPaste33Row" localSheetId="6" hidden="1">#REF!</definedName>
    <definedName name="XRefPaste33Row" localSheetId="14" hidden="1">#REF!</definedName>
    <definedName name="XRefPaste33Row" localSheetId="11" hidden="1">#REF!</definedName>
    <definedName name="XRefPaste33Row" localSheetId="1" hidden="1">#REF!</definedName>
    <definedName name="XRefPaste33Row" localSheetId="10" hidden="1">#REF!</definedName>
    <definedName name="XRefPaste33Row" hidden="1">#REF!</definedName>
    <definedName name="XRefPaste34" localSheetId="15" hidden="1">#REF!</definedName>
    <definedName name="XRefPaste34" localSheetId="2" hidden="1">#REF!</definedName>
    <definedName name="XRefPaste34" localSheetId="12" hidden="1">#REF!</definedName>
    <definedName name="XRefPaste34" localSheetId="39" hidden="1">#REF!</definedName>
    <definedName name="XRefPaste34" localSheetId="34" hidden="1">#REF!</definedName>
    <definedName name="XRefPaste34" localSheetId="7" hidden="1">#REF!</definedName>
    <definedName name="XRefPaste34" localSheetId="6" hidden="1">#REF!</definedName>
    <definedName name="XRefPaste34" localSheetId="14" hidden="1">#REF!</definedName>
    <definedName name="XRefPaste34" localSheetId="1" hidden="1">#REF!</definedName>
    <definedName name="XRefPaste34" localSheetId="10" hidden="1">#REF!</definedName>
    <definedName name="XRefPaste34" hidden="1">#REF!</definedName>
    <definedName name="XRefPaste34Row" localSheetId="15" hidden="1">#REF!</definedName>
    <definedName name="XRefPaste34Row" localSheetId="2" hidden="1">#REF!</definedName>
    <definedName name="XRefPaste34Row" localSheetId="12" hidden="1">#REF!</definedName>
    <definedName name="XRefPaste34Row" localSheetId="39" hidden="1">#REF!</definedName>
    <definedName name="XRefPaste34Row" localSheetId="34" hidden="1">#REF!</definedName>
    <definedName name="XRefPaste34Row" localSheetId="7" hidden="1">#REF!</definedName>
    <definedName name="XRefPaste34Row" localSheetId="6" hidden="1">#REF!</definedName>
    <definedName name="XRefPaste34Row" localSheetId="14" hidden="1">#REF!</definedName>
    <definedName name="XRefPaste34Row" localSheetId="11" hidden="1">#REF!</definedName>
    <definedName name="XRefPaste34Row" localSheetId="1" hidden="1">#REF!</definedName>
    <definedName name="XRefPaste34Row" localSheetId="10" hidden="1">#REF!</definedName>
    <definedName name="XRefPaste34Row" hidden="1">#REF!</definedName>
    <definedName name="XRefPaste35" localSheetId="15" hidden="1">#REF!</definedName>
    <definedName name="XRefPaste35" localSheetId="2" hidden="1">#REF!</definedName>
    <definedName name="XRefPaste35" localSheetId="12" hidden="1">#REF!</definedName>
    <definedName name="XRefPaste35" localSheetId="39" hidden="1">#REF!</definedName>
    <definedName name="XRefPaste35" localSheetId="34" hidden="1">#REF!</definedName>
    <definedName name="XRefPaste35" localSheetId="7" hidden="1">#REF!</definedName>
    <definedName name="XRefPaste35" localSheetId="6" hidden="1">#REF!</definedName>
    <definedName name="XRefPaste35" localSheetId="14" hidden="1">#REF!</definedName>
    <definedName name="XRefPaste35" localSheetId="1" hidden="1">#REF!</definedName>
    <definedName name="XRefPaste35" localSheetId="10" hidden="1">#REF!</definedName>
    <definedName name="XRefPaste35" hidden="1">#REF!</definedName>
    <definedName name="XRefPaste35Row" localSheetId="15" hidden="1">#REF!</definedName>
    <definedName name="XRefPaste35Row" localSheetId="2" hidden="1">#REF!</definedName>
    <definedName name="XRefPaste35Row" localSheetId="12" hidden="1">#REF!</definedName>
    <definedName name="XRefPaste35Row" localSheetId="39" hidden="1">#REF!</definedName>
    <definedName name="XRefPaste35Row" localSheetId="34" hidden="1">#REF!</definedName>
    <definedName name="XRefPaste35Row" localSheetId="7" hidden="1">#REF!</definedName>
    <definedName name="XRefPaste35Row" localSheetId="6" hidden="1">#REF!</definedName>
    <definedName name="XRefPaste35Row" localSheetId="14" hidden="1">#REF!</definedName>
    <definedName name="XRefPaste35Row" localSheetId="11" hidden="1">#REF!</definedName>
    <definedName name="XRefPaste35Row" localSheetId="1" hidden="1">#REF!</definedName>
    <definedName name="XRefPaste35Row" localSheetId="10" hidden="1">#REF!</definedName>
    <definedName name="XRefPaste35Row" hidden="1">#REF!</definedName>
    <definedName name="XRefPaste36" localSheetId="15" hidden="1">#REF!</definedName>
    <definedName name="XRefPaste36" localSheetId="2" hidden="1">#REF!</definedName>
    <definedName name="XRefPaste36" localSheetId="12" hidden="1">#REF!</definedName>
    <definedName name="XRefPaste36" localSheetId="39" hidden="1">#REF!</definedName>
    <definedName name="XRefPaste36" localSheetId="34" hidden="1">#REF!</definedName>
    <definedName name="XRefPaste36" localSheetId="7" hidden="1">#REF!</definedName>
    <definedName name="XRefPaste36" localSheetId="6" hidden="1">#REF!</definedName>
    <definedName name="XRefPaste36" localSheetId="14" hidden="1">#REF!</definedName>
    <definedName name="XRefPaste36" localSheetId="1" hidden="1">#REF!</definedName>
    <definedName name="XRefPaste36" localSheetId="10" hidden="1">#REF!</definedName>
    <definedName name="XRefPaste36" hidden="1">#REF!</definedName>
    <definedName name="XRefPaste36Row" localSheetId="15" hidden="1">#REF!</definedName>
    <definedName name="XRefPaste36Row" localSheetId="2" hidden="1">#REF!</definedName>
    <definedName name="XRefPaste36Row" localSheetId="12" hidden="1">#REF!</definedName>
    <definedName name="XRefPaste36Row" localSheetId="39" hidden="1">#REF!</definedName>
    <definedName name="XRefPaste36Row" localSheetId="34" hidden="1">#REF!</definedName>
    <definedName name="XRefPaste36Row" localSheetId="7" hidden="1">#REF!</definedName>
    <definedName name="XRefPaste36Row" localSheetId="6" hidden="1">#REF!</definedName>
    <definedName name="XRefPaste36Row" localSheetId="14" hidden="1">#REF!</definedName>
    <definedName name="XRefPaste36Row" localSheetId="1" hidden="1">#REF!</definedName>
    <definedName name="XRefPaste36Row" localSheetId="10" hidden="1">#REF!</definedName>
    <definedName name="XRefPaste36Row" hidden="1">#REF!</definedName>
    <definedName name="XRefPaste37" localSheetId="15" hidden="1">#REF!</definedName>
    <definedName name="XRefPaste37" localSheetId="2" hidden="1">#REF!</definedName>
    <definedName name="XRefPaste37" localSheetId="12" hidden="1">#REF!</definedName>
    <definedName name="XRefPaste37" localSheetId="39" hidden="1">#REF!</definedName>
    <definedName name="XRefPaste37" localSheetId="34" hidden="1">#REF!</definedName>
    <definedName name="XRefPaste37" localSheetId="7" hidden="1">#REF!</definedName>
    <definedName name="XRefPaste37" localSheetId="6" hidden="1">#REF!</definedName>
    <definedName name="XRefPaste37" localSheetId="14" hidden="1">#REF!</definedName>
    <definedName name="XRefPaste37" localSheetId="1" hidden="1">#REF!</definedName>
    <definedName name="XRefPaste37" localSheetId="10" hidden="1">#REF!</definedName>
    <definedName name="XRefPaste37" hidden="1">#REF!</definedName>
    <definedName name="XRefPaste37Row" localSheetId="15" hidden="1">#REF!</definedName>
    <definedName name="XRefPaste37Row" localSheetId="2" hidden="1">#REF!</definedName>
    <definedName name="XRefPaste37Row" localSheetId="12" hidden="1">#REF!</definedName>
    <definedName name="XRefPaste37Row" localSheetId="39" hidden="1">#REF!</definedName>
    <definedName name="XRefPaste37Row" localSheetId="34" hidden="1">#REF!</definedName>
    <definedName name="XRefPaste37Row" localSheetId="7" hidden="1">#REF!</definedName>
    <definedName name="XRefPaste37Row" localSheetId="6" hidden="1">#REF!</definedName>
    <definedName name="XRefPaste37Row" localSheetId="14" hidden="1">#REF!</definedName>
    <definedName name="XRefPaste37Row" localSheetId="1" hidden="1">#REF!</definedName>
    <definedName name="XRefPaste37Row" localSheetId="10" hidden="1">#REF!</definedName>
    <definedName name="XRefPaste37Row" hidden="1">#REF!</definedName>
    <definedName name="XRefPaste38" localSheetId="15" hidden="1">#REF!</definedName>
    <definedName name="XRefPaste38" localSheetId="2" hidden="1">#REF!</definedName>
    <definedName name="XRefPaste38" localSheetId="12" hidden="1">#REF!</definedName>
    <definedName name="XRefPaste38" localSheetId="39" hidden="1">#REF!</definedName>
    <definedName name="XRefPaste38" localSheetId="34" hidden="1">#REF!</definedName>
    <definedName name="XRefPaste38" localSheetId="7" hidden="1">#REF!</definedName>
    <definedName name="XRefPaste38" localSheetId="6" hidden="1">#REF!</definedName>
    <definedName name="XRefPaste38" localSheetId="14" hidden="1">#REF!</definedName>
    <definedName name="XRefPaste38" localSheetId="1" hidden="1">#REF!</definedName>
    <definedName name="XRefPaste38" localSheetId="10" hidden="1">#REF!</definedName>
    <definedName name="XRefPaste38" hidden="1">#REF!</definedName>
    <definedName name="XRefPaste38Row" localSheetId="15" hidden="1">#REF!</definedName>
    <definedName name="XRefPaste38Row" localSheetId="2" hidden="1">#REF!</definedName>
    <definedName name="XRefPaste38Row" localSheetId="12" hidden="1">#REF!</definedName>
    <definedName name="XRefPaste38Row" localSheetId="39" hidden="1">#REF!</definedName>
    <definedName name="XRefPaste38Row" localSheetId="34" hidden="1">#REF!</definedName>
    <definedName name="XRefPaste38Row" localSheetId="7" hidden="1">#REF!</definedName>
    <definedName name="XRefPaste38Row" localSheetId="6" hidden="1">#REF!</definedName>
    <definedName name="XRefPaste38Row" localSheetId="14" hidden="1">#REF!</definedName>
    <definedName name="XRefPaste38Row" localSheetId="1" hidden="1">#REF!</definedName>
    <definedName name="XRefPaste38Row" localSheetId="10" hidden="1">#REF!</definedName>
    <definedName name="XRefPaste38Row" hidden="1">#REF!</definedName>
    <definedName name="XRefPaste39" localSheetId="15" hidden="1">#REF!</definedName>
    <definedName name="XRefPaste39" localSheetId="2" hidden="1">#REF!</definedName>
    <definedName name="XRefPaste39" localSheetId="12" hidden="1">#REF!</definedName>
    <definedName name="XRefPaste39" localSheetId="39" hidden="1">#REF!</definedName>
    <definedName name="XRefPaste39" localSheetId="34" hidden="1">#REF!</definedName>
    <definedName name="XRefPaste39" localSheetId="7" hidden="1">#REF!</definedName>
    <definedName name="XRefPaste39" localSheetId="6" hidden="1">#REF!</definedName>
    <definedName name="XRefPaste39" localSheetId="14" hidden="1">#REF!</definedName>
    <definedName name="XRefPaste39" localSheetId="1" hidden="1">#REF!</definedName>
    <definedName name="XRefPaste39" localSheetId="10" hidden="1">#REF!</definedName>
    <definedName name="XRefPaste39" hidden="1">#REF!</definedName>
    <definedName name="XRefPaste39Row" localSheetId="15" hidden="1">#REF!</definedName>
    <definedName name="XRefPaste39Row" localSheetId="2" hidden="1">#REF!</definedName>
    <definedName name="XRefPaste39Row" localSheetId="12" hidden="1">#REF!</definedName>
    <definedName name="XRefPaste39Row" localSheetId="39" hidden="1">#REF!</definedName>
    <definedName name="XRefPaste39Row" localSheetId="34" hidden="1">#REF!</definedName>
    <definedName name="XRefPaste39Row" localSheetId="7" hidden="1">#REF!</definedName>
    <definedName name="XRefPaste39Row" localSheetId="6" hidden="1">#REF!</definedName>
    <definedName name="XRefPaste39Row" localSheetId="14" hidden="1">#REF!</definedName>
    <definedName name="XRefPaste39Row" localSheetId="1" hidden="1">#REF!</definedName>
    <definedName name="XRefPaste39Row" localSheetId="10" hidden="1">#REF!</definedName>
    <definedName name="XRefPaste39Row" hidden="1">#REF!</definedName>
    <definedName name="XRefPaste3Row" localSheetId="15" hidden="1">#REF!</definedName>
    <definedName name="XRefPaste3Row" localSheetId="2" hidden="1">#REF!</definedName>
    <definedName name="XRefPaste3Row" localSheetId="12" hidden="1">#REF!</definedName>
    <definedName name="XRefPaste3Row" localSheetId="39" hidden="1">#REF!</definedName>
    <definedName name="XRefPaste3Row" localSheetId="34" hidden="1">#REF!</definedName>
    <definedName name="XRefPaste3Row" localSheetId="7" hidden="1">#REF!</definedName>
    <definedName name="XRefPaste3Row" localSheetId="6" hidden="1">#REF!</definedName>
    <definedName name="XRefPaste3Row" localSheetId="14" hidden="1">#REF!</definedName>
    <definedName name="XRefPaste3Row" localSheetId="1" hidden="1">#REF!</definedName>
    <definedName name="XRefPaste3Row" localSheetId="10" hidden="1">#REF!</definedName>
    <definedName name="XRefPaste3Row" hidden="1">#REF!</definedName>
    <definedName name="XRefPaste4" localSheetId="15" hidden="1">#REF!</definedName>
    <definedName name="XRefPaste4" localSheetId="2" hidden="1">#REF!</definedName>
    <definedName name="XRefPaste4" localSheetId="12" hidden="1">#REF!</definedName>
    <definedName name="XRefPaste4" localSheetId="39" hidden="1">#REF!</definedName>
    <definedName name="XRefPaste4" localSheetId="34" hidden="1">#REF!</definedName>
    <definedName name="XRefPaste4" localSheetId="7" hidden="1">#REF!</definedName>
    <definedName name="XRefPaste4" localSheetId="6" hidden="1">#REF!</definedName>
    <definedName name="XRefPaste4" localSheetId="11" hidden="1">#REF!</definedName>
    <definedName name="XRefPaste4" localSheetId="1" hidden="1">#REF!</definedName>
    <definedName name="XRefPaste4" localSheetId="10" hidden="1">#REF!</definedName>
    <definedName name="XRefPaste4" hidden="1">#REF!</definedName>
    <definedName name="XRefPaste40" localSheetId="15" hidden="1">#REF!</definedName>
    <definedName name="XRefPaste40" localSheetId="2" hidden="1">#REF!</definedName>
    <definedName name="XRefPaste40" localSheetId="12" hidden="1">#REF!</definedName>
    <definedName name="XRefPaste40" localSheetId="39" hidden="1">#REF!</definedName>
    <definedName name="XRefPaste40" localSheetId="34" hidden="1">#REF!</definedName>
    <definedName name="XRefPaste40" localSheetId="7" hidden="1">#REF!</definedName>
    <definedName name="XRefPaste40" localSheetId="6" hidden="1">#REF!</definedName>
    <definedName name="XRefPaste40" localSheetId="14" hidden="1">#REF!</definedName>
    <definedName name="XRefPaste40" localSheetId="1" hidden="1">#REF!</definedName>
    <definedName name="XRefPaste40" localSheetId="10" hidden="1">#REF!</definedName>
    <definedName name="XRefPaste40" hidden="1">#REF!</definedName>
    <definedName name="XRefPaste40Row" localSheetId="15" hidden="1">#REF!</definedName>
    <definedName name="XRefPaste40Row" localSheetId="2" hidden="1">#REF!</definedName>
    <definedName name="XRefPaste40Row" localSheetId="12" hidden="1">#REF!</definedName>
    <definedName name="XRefPaste40Row" localSheetId="39" hidden="1">#REF!</definedName>
    <definedName name="XRefPaste40Row" localSheetId="34" hidden="1">#REF!</definedName>
    <definedName name="XRefPaste40Row" localSheetId="7" hidden="1">#REF!</definedName>
    <definedName name="XRefPaste40Row" localSheetId="6" hidden="1">#REF!</definedName>
    <definedName name="XRefPaste40Row" localSheetId="14" hidden="1">#REF!</definedName>
    <definedName name="XRefPaste40Row" localSheetId="1" hidden="1">#REF!</definedName>
    <definedName name="XRefPaste40Row" localSheetId="10" hidden="1">#REF!</definedName>
    <definedName name="XRefPaste40Row" hidden="1">#REF!</definedName>
    <definedName name="XRefPaste41" localSheetId="15" hidden="1">#REF!</definedName>
    <definedName name="XRefPaste41" localSheetId="2" hidden="1">#REF!</definedName>
    <definedName name="XRefPaste41" localSheetId="12" hidden="1">#REF!</definedName>
    <definedName name="XRefPaste41" localSheetId="39" hidden="1">#REF!</definedName>
    <definedName name="XRefPaste41" localSheetId="34" hidden="1">#REF!</definedName>
    <definedName name="XRefPaste41" localSheetId="7" hidden="1">#REF!</definedName>
    <definedName name="XRefPaste41" localSheetId="6" hidden="1">#REF!</definedName>
    <definedName name="XRefPaste41" localSheetId="14" hidden="1">#REF!</definedName>
    <definedName name="XRefPaste41" localSheetId="1" hidden="1">#REF!</definedName>
    <definedName name="XRefPaste41" localSheetId="10" hidden="1">#REF!</definedName>
    <definedName name="XRefPaste41" hidden="1">#REF!</definedName>
    <definedName name="XRefPaste41Row" localSheetId="15" hidden="1">#REF!</definedName>
    <definedName name="XRefPaste41Row" localSheetId="2" hidden="1">#REF!</definedName>
    <definedName name="XRefPaste41Row" localSheetId="12" hidden="1">#REF!</definedName>
    <definedName name="XRefPaste41Row" localSheetId="39" hidden="1">#REF!</definedName>
    <definedName name="XRefPaste41Row" localSheetId="34" hidden="1">#REF!</definedName>
    <definedName name="XRefPaste41Row" localSheetId="7" hidden="1">#REF!</definedName>
    <definedName name="XRefPaste41Row" localSheetId="6" hidden="1">#REF!</definedName>
    <definedName name="XRefPaste41Row" localSheetId="14" hidden="1">#REF!</definedName>
    <definedName name="XRefPaste41Row" localSheetId="1" hidden="1">#REF!</definedName>
    <definedName name="XRefPaste41Row" localSheetId="10" hidden="1">#REF!</definedName>
    <definedName name="XRefPaste41Row" hidden="1">#REF!</definedName>
    <definedName name="XRefPaste42" localSheetId="15" hidden="1">#REF!</definedName>
    <definedName name="XRefPaste42" localSheetId="2" hidden="1">#REF!</definedName>
    <definedName name="XRefPaste42" localSheetId="12" hidden="1">#REF!</definedName>
    <definedName name="XRefPaste42" localSheetId="39" hidden="1">#REF!</definedName>
    <definedName name="XRefPaste42" localSheetId="34" hidden="1">#REF!</definedName>
    <definedName name="XRefPaste42" localSheetId="7" hidden="1">#REF!</definedName>
    <definedName name="XRefPaste42" localSheetId="6" hidden="1">#REF!</definedName>
    <definedName name="XRefPaste42" localSheetId="14" hidden="1">#REF!</definedName>
    <definedName name="XRefPaste42" localSheetId="1" hidden="1">#REF!</definedName>
    <definedName name="XRefPaste42" localSheetId="10" hidden="1">#REF!</definedName>
    <definedName name="XRefPaste42" hidden="1">#REF!</definedName>
    <definedName name="XRefPaste42Row" localSheetId="15" hidden="1">#REF!</definedName>
    <definedName name="XRefPaste42Row" localSheetId="2" hidden="1">#REF!</definedName>
    <definedName name="XRefPaste42Row" localSheetId="12" hidden="1">#REF!</definedName>
    <definedName name="XRefPaste42Row" localSheetId="39" hidden="1">#REF!</definedName>
    <definedName name="XRefPaste42Row" localSheetId="34" hidden="1">#REF!</definedName>
    <definedName name="XRefPaste42Row" localSheetId="7" hidden="1">#REF!</definedName>
    <definedName name="XRefPaste42Row" localSheetId="6" hidden="1">#REF!</definedName>
    <definedName name="XRefPaste42Row" localSheetId="14" hidden="1">#REF!</definedName>
    <definedName name="XRefPaste42Row" localSheetId="1" hidden="1">#REF!</definedName>
    <definedName name="XRefPaste42Row" localSheetId="10" hidden="1">#REF!</definedName>
    <definedName name="XRefPaste42Row" hidden="1">#REF!</definedName>
    <definedName name="XRefPaste43" localSheetId="15" hidden="1">#REF!</definedName>
    <definedName name="XRefPaste43" localSheetId="2" hidden="1">#REF!</definedName>
    <definedName name="XRefPaste43" localSheetId="12" hidden="1">#REF!</definedName>
    <definedName name="XRefPaste43" localSheetId="39" hidden="1">#REF!</definedName>
    <definedName name="XRefPaste43" localSheetId="34" hidden="1">#REF!</definedName>
    <definedName name="XRefPaste43" localSheetId="7" hidden="1">#REF!</definedName>
    <definedName name="XRefPaste43" localSheetId="6" hidden="1">#REF!</definedName>
    <definedName name="XRefPaste43" localSheetId="14" hidden="1">#REF!</definedName>
    <definedName name="XRefPaste43" localSheetId="1" hidden="1">#REF!</definedName>
    <definedName name="XRefPaste43" localSheetId="10" hidden="1">#REF!</definedName>
    <definedName name="XRefPaste43" hidden="1">#REF!</definedName>
    <definedName name="XRefPaste43Row" localSheetId="15" hidden="1">#REF!</definedName>
    <definedName name="XRefPaste43Row" localSheetId="2" hidden="1">#REF!</definedName>
    <definedName name="XRefPaste43Row" localSheetId="12" hidden="1">#REF!</definedName>
    <definedName name="XRefPaste43Row" localSheetId="39" hidden="1">#REF!</definedName>
    <definedName name="XRefPaste43Row" localSheetId="34" hidden="1">#REF!</definedName>
    <definedName name="XRefPaste43Row" localSheetId="7" hidden="1">#REF!</definedName>
    <definedName name="XRefPaste43Row" localSheetId="6" hidden="1">#REF!</definedName>
    <definedName name="XRefPaste43Row" localSheetId="14" hidden="1">#REF!</definedName>
    <definedName name="XRefPaste43Row" localSheetId="1" hidden="1">#REF!</definedName>
    <definedName name="XRefPaste43Row" localSheetId="10" hidden="1">#REF!</definedName>
    <definedName name="XRefPaste43Row" hidden="1">#REF!</definedName>
    <definedName name="XRefPaste44" localSheetId="15" hidden="1">#REF!</definedName>
    <definedName name="XRefPaste44" localSheetId="2" hidden="1">#REF!</definedName>
    <definedName name="XRefPaste44" localSheetId="12" hidden="1">#REF!</definedName>
    <definedName name="XRefPaste44" localSheetId="39" hidden="1">#REF!</definedName>
    <definedName name="XRefPaste44" localSheetId="34" hidden="1">#REF!</definedName>
    <definedName name="XRefPaste44" localSheetId="7" hidden="1">#REF!</definedName>
    <definedName name="XRefPaste44" localSheetId="6" hidden="1">#REF!</definedName>
    <definedName name="XRefPaste44" localSheetId="14" hidden="1">#REF!</definedName>
    <definedName name="XRefPaste44" localSheetId="1" hidden="1">#REF!</definedName>
    <definedName name="XRefPaste44" localSheetId="10" hidden="1">#REF!</definedName>
    <definedName name="XRefPaste44" hidden="1">#REF!</definedName>
    <definedName name="XRefPaste44Row" localSheetId="15" hidden="1">#REF!</definedName>
    <definedName name="XRefPaste44Row" localSheetId="2" hidden="1">#REF!</definedName>
    <definedName name="XRefPaste44Row" localSheetId="12" hidden="1">#REF!</definedName>
    <definedName name="XRefPaste44Row" localSheetId="39" hidden="1">#REF!</definedName>
    <definedName name="XRefPaste44Row" localSheetId="34" hidden="1">#REF!</definedName>
    <definedName name="XRefPaste44Row" localSheetId="7" hidden="1">#REF!</definedName>
    <definedName name="XRefPaste44Row" localSheetId="6" hidden="1">#REF!</definedName>
    <definedName name="XRefPaste44Row" localSheetId="14" hidden="1">#REF!</definedName>
    <definedName name="XRefPaste44Row" localSheetId="1" hidden="1">#REF!</definedName>
    <definedName name="XRefPaste44Row" localSheetId="10" hidden="1">#REF!</definedName>
    <definedName name="XRefPaste44Row" hidden="1">#REF!</definedName>
    <definedName name="XRefPaste45" localSheetId="15" hidden="1">#REF!</definedName>
    <definedName name="XRefPaste45" localSheetId="2" hidden="1">#REF!</definedName>
    <definedName name="XRefPaste45" localSheetId="12" hidden="1">#REF!</definedName>
    <definedName name="XRefPaste45" localSheetId="39" hidden="1">#REF!</definedName>
    <definedName name="XRefPaste45" localSheetId="34" hidden="1">#REF!</definedName>
    <definedName name="XRefPaste45" localSheetId="7" hidden="1">#REF!</definedName>
    <definedName name="XRefPaste45" localSheetId="6" hidden="1">#REF!</definedName>
    <definedName name="XRefPaste45" localSheetId="14" hidden="1">#REF!</definedName>
    <definedName name="XRefPaste45" localSheetId="1" hidden="1">#REF!</definedName>
    <definedName name="XRefPaste45" localSheetId="10" hidden="1">#REF!</definedName>
    <definedName name="XRefPaste45" hidden="1">#REF!</definedName>
    <definedName name="XRefPaste45Row" localSheetId="15" hidden="1">#REF!</definedName>
    <definedName name="XRefPaste45Row" localSheetId="2" hidden="1">#REF!</definedName>
    <definedName name="XRefPaste45Row" localSheetId="12" hidden="1">#REF!</definedName>
    <definedName name="XRefPaste45Row" localSheetId="39" hidden="1">#REF!</definedName>
    <definedName name="XRefPaste45Row" localSheetId="34" hidden="1">#REF!</definedName>
    <definedName name="XRefPaste45Row" localSheetId="7" hidden="1">#REF!</definedName>
    <definedName name="XRefPaste45Row" localSheetId="6" hidden="1">#REF!</definedName>
    <definedName name="XRefPaste45Row" localSheetId="14" hidden="1">#REF!</definedName>
    <definedName name="XRefPaste45Row" localSheetId="1" hidden="1">#REF!</definedName>
    <definedName name="XRefPaste45Row" localSheetId="10" hidden="1">#REF!</definedName>
    <definedName name="XRefPaste45Row" hidden="1">#REF!</definedName>
    <definedName name="XRefPaste46Row" localSheetId="15" hidden="1">#REF!</definedName>
    <definedName name="XRefPaste46Row" localSheetId="2" hidden="1">#REF!</definedName>
    <definedName name="XRefPaste46Row" localSheetId="12" hidden="1">#REF!</definedName>
    <definedName name="XRefPaste46Row" localSheetId="39" hidden="1">#REF!</definedName>
    <definedName name="XRefPaste46Row" localSheetId="34" hidden="1">#REF!</definedName>
    <definedName name="XRefPaste46Row" localSheetId="7" hidden="1">#REF!</definedName>
    <definedName name="XRefPaste46Row" localSheetId="6" hidden="1">#REF!</definedName>
    <definedName name="XRefPaste46Row" localSheetId="14" hidden="1">#REF!</definedName>
    <definedName name="XRefPaste46Row" localSheetId="1" hidden="1">#REF!</definedName>
    <definedName name="XRefPaste46Row" localSheetId="10" hidden="1">#REF!</definedName>
    <definedName name="XRefPaste46Row" hidden="1">#REF!</definedName>
    <definedName name="XRefPaste47Row" localSheetId="15" hidden="1">#REF!</definedName>
    <definedName name="XRefPaste47Row" localSheetId="2" hidden="1">#REF!</definedName>
    <definedName name="XRefPaste47Row" localSheetId="12" hidden="1">#REF!</definedName>
    <definedName name="XRefPaste47Row" localSheetId="39" hidden="1">#REF!</definedName>
    <definedName name="XRefPaste47Row" localSheetId="34" hidden="1">#REF!</definedName>
    <definedName name="XRefPaste47Row" localSheetId="7" hidden="1">#REF!</definedName>
    <definedName name="XRefPaste47Row" localSheetId="6" hidden="1">#REF!</definedName>
    <definedName name="XRefPaste47Row" localSheetId="14" hidden="1">#REF!</definedName>
    <definedName name="XRefPaste47Row" localSheetId="1" hidden="1">#REF!</definedName>
    <definedName name="XRefPaste47Row" localSheetId="10" hidden="1">#REF!</definedName>
    <definedName name="XRefPaste47Row" hidden="1">#REF!</definedName>
    <definedName name="XRefPaste48" localSheetId="15" hidden="1">#REF!</definedName>
    <definedName name="XRefPaste48" localSheetId="2" hidden="1">#REF!</definedName>
    <definedName name="XRefPaste48" localSheetId="12" hidden="1">#REF!</definedName>
    <definedName name="XRefPaste48" localSheetId="39" hidden="1">#REF!</definedName>
    <definedName name="XRefPaste48" localSheetId="34" hidden="1">#REF!</definedName>
    <definedName name="XRefPaste48" localSheetId="7" hidden="1">#REF!</definedName>
    <definedName name="XRefPaste48" localSheetId="6" hidden="1">#REF!</definedName>
    <definedName name="XRefPaste48" localSheetId="14" hidden="1">#REF!</definedName>
    <definedName name="XRefPaste48" localSheetId="1" hidden="1">#REF!</definedName>
    <definedName name="XRefPaste48" localSheetId="10" hidden="1">#REF!</definedName>
    <definedName name="XRefPaste48" hidden="1">#REF!</definedName>
    <definedName name="XRefPaste48Row" localSheetId="15" hidden="1">#REF!</definedName>
    <definedName name="XRefPaste48Row" localSheetId="2" hidden="1">#REF!</definedName>
    <definedName name="XRefPaste48Row" localSheetId="12" hidden="1">#REF!</definedName>
    <definedName name="XRefPaste48Row" localSheetId="39" hidden="1">#REF!</definedName>
    <definedName name="XRefPaste48Row" localSheetId="34" hidden="1">#REF!</definedName>
    <definedName name="XRefPaste48Row" localSheetId="7" hidden="1">#REF!</definedName>
    <definedName name="XRefPaste48Row" localSheetId="6" hidden="1">#REF!</definedName>
    <definedName name="XRefPaste48Row" localSheetId="14" hidden="1">#REF!</definedName>
    <definedName name="XRefPaste48Row" localSheetId="1" hidden="1">#REF!</definedName>
    <definedName name="XRefPaste48Row" localSheetId="10" hidden="1">#REF!</definedName>
    <definedName name="XRefPaste48Row" hidden="1">#REF!</definedName>
    <definedName name="XRefPaste49" localSheetId="15" hidden="1">#REF!</definedName>
    <definedName name="XRefPaste49" localSheetId="2" hidden="1">#REF!</definedName>
    <definedName name="XRefPaste49" localSheetId="12" hidden="1">#REF!</definedName>
    <definedName name="XRefPaste49" localSheetId="39" hidden="1">#REF!</definedName>
    <definedName name="XRefPaste49" localSheetId="34" hidden="1">#REF!</definedName>
    <definedName name="XRefPaste49" localSheetId="7" hidden="1">#REF!</definedName>
    <definedName name="XRefPaste49" localSheetId="6" hidden="1">#REF!</definedName>
    <definedName name="XRefPaste49" localSheetId="14" hidden="1">#REF!</definedName>
    <definedName name="XRefPaste49" localSheetId="1" hidden="1">#REF!</definedName>
    <definedName name="XRefPaste49" localSheetId="10" hidden="1">#REF!</definedName>
    <definedName name="XRefPaste49" hidden="1">#REF!</definedName>
    <definedName name="XRefPaste49Row" localSheetId="15" hidden="1">#REF!</definedName>
    <definedName name="XRefPaste49Row" localSheetId="2" hidden="1">#REF!</definedName>
    <definedName name="XRefPaste49Row" localSheetId="12" hidden="1">#REF!</definedName>
    <definedName name="XRefPaste49Row" localSheetId="39" hidden="1">#REF!</definedName>
    <definedName name="XRefPaste49Row" localSheetId="34" hidden="1">#REF!</definedName>
    <definedName name="XRefPaste49Row" localSheetId="7" hidden="1">#REF!</definedName>
    <definedName name="XRefPaste49Row" localSheetId="6" hidden="1">#REF!</definedName>
    <definedName name="XRefPaste49Row" localSheetId="14" hidden="1">#REF!</definedName>
    <definedName name="XRefPaste49Row" localSheetId="1" hidden="1">#REF!</definedName>
    <definedName name="XRefPaste49Row" localSheetId="10" hidden="1">#REF!</definedName>
    <definedName name="XRefPaste49Row" hidden="1">#REF!</definedName>
    <definedName name="XRefPaste4Row" localSheetId="15" hidden="1">#REF!</definedName>
    <definedName name="XRefPaste4Row" localSheetId="2" hidden="1">#REF!</definedName>
    <definedName name="XRefPaste4Row" localSheetId="12" hidden="1">#REF!</definedName>
    <definedName name="XRefPaste4Row" localSheetId="39" hidden="1">#REF!</definedName>
    <definedName name="XRefPaste4Row" localSheetId="34" hidden="1">#REF!</definedName>
    <definedName name="XRefPaste4Row" localSheetId="7" hidden="1">#REF!</definedName>
    <definedName name="XRefPaste4Row" localSheetId="6" hidden="1">#REF!</definedName>
    <definedName name="XRefPaste4Row" localSheetId="14" hidden="1">#REF!</definedName>
    <definedName name="XRefPaste4Row" localSheetId="1" hidden="1">#REF!</definedName>
    <definedName name="XRefPaste4Row" localSheetId="10" hidden="1">#REF!</definedName>
    <definedName name="XRefPaste4Row" hidden="1">#REF!</definedName>
    <definedName name="XRefPaste5" localSheetId="15" hidden="1">#REF!</definedName>
    <definedName name="XRefPaste5" localSheetId="2" hidden="1">#REF!</definedName>
    <definedName name="XRefPaste5" localSheetId="12" hidden="1">#REF!</definedName>
    <definedName name="XRefPaste5" localSheetId="39" hidden="1">#REF!</definedName>
    <definedName name="XRefPaste5" localSheetId="34" hidden="1">#REF!</definedName>
    <definedName name="XRefPaste5" localSheetId="7" hidden="1">#REF!</definedName>
    <definedName name="XRefPaste5" localSheetId="6" hidden="1">#REF!</definedName>
    <definedName name="XRefPaste5" localSheetId="14" hidden="1">#REF!</definedName>
    <definedName name="XRefPaste5" localSheetId="11" hidden="1">#REF!</definedName>
    <definedName name="XRefPaste5" localSheetId="1" hidden="1">#REF!</definedName>
    <definedName name="XRefPaste5" localSheetId="10" hidden="1">#REF!</definedName>
    <definedName name="XRefPaste5" hidden="1">#REF!</definedName>
    <definedName name="XRefPaste50Row" localSheetId="15" hidden="1">#REF!</definedName>
    <definedName name="XRefPaste50Row" localSheetId="2" hidden="1">#REF!</definedName>
    <definedName name="XRefPaste50Row" localSheetId="12" hidden="1">#REF!</definedName>
    <definedName name="XRefPaste50Row" localSheetId="39" hidden="1">#REF!</definedName>
    <definedName name="XRefPaste50Row" localSheetId="34" hidden="1">#REF!</definedName>
    <definedName name="XRefPaste50Row" localSheetId="7" hidden="1">#REF!</definedName>
    <definedName name="XRefPaste50Row" localSheetId="6" hidden="1">#REF!</definedName>
    <definedName name="XRefPaste50Row" localSheetId="14" hidden="1">#REF!</definedName>
    <definedName name="XRefPaste50Row" localSheetId="1" hidden="1">#REF!</definedName>
    <definedName name="XRefPaste50Row" localSheetId="10" hidden="1">#REF!</definedName>
    <definedName name="XRefPaste50Row" hidden="1">#REF!</definedName>
    <definedName name="XRefPaste51" localSheetId="15" hidden="1">#REF!</definedName>
    <definedName name="XRefPaste51" localSheetId="2" hidden="1">#REF!</definedName>
    <definedName name="XRefPaste51" localSheetId="12" hidden="1">#REF!</definedName>
    <definedName name="XRefPaste51" localSheetId="39" hidden="1">#REF!</definedName>
    <definedName name="XRefPaste51" localSheetId="34" hidden="1">#REF!</definedName>
    <definedName name="XRefPaste51" localSheetId="7" hidden="1">#REF!</definedName>
    <definedName name="XRefPaste51" localSheetId="6" hidden="1">#REF!</definedName>
    <definedName name="XRefPaste51" localSheetId="14" hidden="1">#REF!</definedName>
    <definedName name="XRefPaste51" localSheetId="1" hidden="1">#REF!</definedName>
    <definedName name="XRefPaste51" localSheetId="10" hidden="1">#REF!</definedName>
    <definedName name="XRefPaste51" hidden="1">#REF!</definedName>
    <definedName name="XRefPaste51Row" localSheetId="15" hidden="1">#REF!</definedName>
    <definedName name="XRefPaste51Row" localSheetId="2" hidden="1">#REF!</definedName>
    <definedName name="XRefPaste51Row" localSheetId="12" hidden="1">#REF!</definedName>
    <definedName name="XRefPaste51Row" localSheetId="39" hidden="1">#REF!</definedName>
    <definedName name="XRefPaste51Row" localSheetId="34" hidden="1">#REF!</definedName>
    <definedName name="XRefPaste51Row" localSheetId="7" hidden="1">#REF!</definedName>
    <definedName name="XRefPaste51Row" localSheetId="6" hidden="1">#REF!</definedName>
    <definedName name="XRefPaste51Row" localSheetId="14" hidden="1">#REF!</definedName>
    <definedName name="XRefPaste51Row" localSheetId="1" hidden="1">#REF!</definedName>
    <definedName name="XRefPaste51Row" localSheetId="10" hidden="1">#REF!</definedName>
    <definedName name="XRefPaste51Row" hidden="1">#REF!</definedName>
    <definedName name="XRefPaste52" localSheetId="15" hidden="1">#REF!</definedName>
    <definedName name="XRefPaste52" localSheetId="2" hidden="1">#REF!</definedName>
    <definedName name="XRefPaste52" localSheetId="12" hidden="1">#REF!</definedName>
    <definedName name="XRefPaste52" localSheetId="39" hidden="1">#REF!</definedName>
    <definedName name="XRefPaste52" localSheetId="34" hidden="1">#REF!</definedName>
    <definedName name="XRefPaste52" localSheetId="7" hidden="1">#REF!</definedName>
    <definedName name="XRefPaste52" localSheetId="6" hidden="1">#REF!</definedName>
    <definedName name="XRefPaste52" localSheetId="14" hidden="1">#REF!</definedName>
    <definedName name="XRefPaste52" localSheetId="1" hidden="1">#REF!</definedName>
    <definedName name="XRefPaste52" localSheetId="10" hidden="1">#REF!</definedName>
    <definedName name="XRefPaste52" hidden="1">#REF!</definedName>
    <definedName name="XRefPaste52Row" localSheetId="15" hidden="1">#REF!</definedName>
    <definedName name="XRefPaste52Row" localSheetId="2" hidden="1">#REF!</definedName>
    <definedName name="XRefPaste52Row" localSheetId="12" hidden="1">#REF!</definedName>
    <definedName name="XRefPaste52Row" localSheetId="39" hidden="1">#REF!</definedName>
    <definedName name="XRefPaste52Row" localSheetId="34" hidden="1">#REF!</definedName>
    <definedName name="XRefPaste52Row" localSheetId="7" hidden="1">#REF!</definedName>
    <definedName name="XRefPaste52Row" localSheetId="6" hidden="1">#REF!</definedName>
    <definedName name="XRefPaste52Row" localSheetId="14" hidden="1">#REF!</definedName>
    <definedName name="XRefPaste52Row" localSheetId="1" hidden="1">#REF!</definedName>
    <definedName name="XRefPaste52Row" localSheetId="10" hidden="1">#REF!</definedName>
    <definedName name="XRefPaste52Row" hidden="1">#REF!</definedName>
    <definedName name="XRefPaste53Row" localSheetId="15" hidden="1">#REF!</definedName>
    <definedName name="XRefPaste53Row" localSheetId="2" hidden="1">#REF!</definedName>
    <definedName name="XRefPaste53Row" localSheetId="12" hidden="1">#REF!</definedName>
    <definedName name="XRefPaste53Row" localSheetId="39" hidden="1">#REF!</definedName>
    <definedName name="XRefPaste53Row" localSheetId="34" hidden="1">#REF!</definedName>
    <definedName name="XRefPaste53Row" localSheetId="7" hidden="1">#REF!</definedName>
    <definedName name="XRefPaste53Row" localSheetId="6" hidden="1">#REF!</definedName>
    <definedName name="XRefPaste53Row" localSheetId="14" hidden="1">#REF!</definedName>
    <definedName name="XRefPaste53Row" localSheetId="1" hidden="1">#REF!</definedName>
    <definedName name="XRefPaste53Row" localSheetId="10" hidden="1">#REF!</definedName>
    <definedName name="XRefPaste53Row" hidden="1">#REF!</definedName>
    <definedName name="XRefPaste54Row" localSheetId="15" hidden="1">#REF!</definedName>
    <definedName name="XRefPaste54Row" localSheetId="2" hidden="1">#REF!</definedName>
    <definedName name="XRefPaste54Row" localSheetId="12" hidden="1">#REF!</definedName>
    <definedName name="XRefPaste54Row" localSheetId="39" hidden="1">#REF!</definedName>
    <definedName name="XRefPaste54Row" localSheetId="34" hidden="1">#REF!</definedName>
    <definedName name="XRefPaste54Row" localSheetId="7" hidden="1">#REF!</definedName>
    <definedName name="XRefPaste54Row" localSheetId="6" hidden="1">#REF!</definedName>
    <definedName name="XRefPaste54Row" localSheetId="14" hidden="1">#REF!</definedName>
    <definedName name="XRefPaste54Row" localSheetId="1" hidden="1">#REF!</definedName>
    <definedName name="XRefPaste54Row" localSheetId="10" hidden="1">#REF!</definedName>
    <definedName name="XRefPaste54Row" hidden="1">#REF!</definedName>
    <definedName name="XRefPaste55Row" localSheetId="15" hidden="1">#REF!</definedName>
    <definedName name="XRefPaste55Row" localSheetId="2" hidden="1">#REF!</definedName>
    <definedName name="XRefPaste55Row" localSheetId="12" hidden="1">#REF!</definedName>
    <definedName name="XRefPaste55Row" localSheetId="39" hidden="1">#REF!</definedName>
    <definedName name="XRefPaste55Row" localSheetId="34" hidden="1">#REF!</definedName>
    <definedName name="XRefPaste55Row" localSheetId="7" hidden="1">#REF!</definedName>
    <definedName name="XRefPaste55Row" localSheetId="6" hidden="1">#REF!</definedName>
    <definedName name="XRefPaste55Row" localSheetId="14" hidden="1">#REF!</definedName>
    <definedName name="XRefPaste55Row" localSheetId="1" hidden="1">#REF!</definedName>
    <definedName name="XRefPaste55Row" localSheetId="10" hidden="1">#REF!</definedName>
    <definedName name="XRefPaste55Row" hidden="1">#REF!</definedName>
    <definedName name="XRefPaste56Row" localSheetId="15" hidden="1">#REF!</definedName>
    <definedName name="XRefPaste56Row" localSheetId="2" hidden="1">#REF!</definedName>
    <definedName name="XRefPaste56Row" localSheetId="12" hidden="1">#REF!</definedName>
    <definedName name="XRefPaste56Row" localSheetId="39" hidden="1">#REF!</definedName>
    <definedName name="XRefPaste56Row" localSheetId="34" hidden="1">#REF!</definedName>
    <definedName name="XRefPaste56Row" localSheetId="7" hidden="1">#REF!</definedName>
    <definedName name="XRefPaste56Row" localSheetId="6" hidden="1">#REF!</definedName>
    <definedName name="XRefPaste56Row" localSheetId="14" hidden="1">#REF!</definedName>
    <definedName name="XRefPaste56Row" localSheetId="1" hidden="1">#REF!</definedName>
    <definedName name="XRefPaste56Row" localSheetId="10" hidden="1">#REF!</definedName>
    <definedName name="XRefPaste56Row" hidden="1">#REF!</definedName>
    <definedName name="XRefPaste57Row" localSheetId="15" hidden="1">#REF!</definedName>
    <definedName name="XRefPaste57Row" localSheetId="2" hidden="1">#REF!</definedName>
    <definedName name="XRefPaste57Row" localSheetId="12" hidden="1">#REF!</definedName>
    <definedName name="XRefPaste57Row" localSheetId="39" hidden="1">#REF!</definedName>
    <definedName name="XRefPaste57Row" localSheetId="34" hidden="1">#REF!</definedName>
    <definedName name="XRefPaste57Row" localSheetId="7" hidden="1">#REF!</definedName>
    <definedName name="XRefPaste57Row" localSheetId="6" hidden="1">#REF!</definedName>
    <definedName name="XRefPaste57Row" localSheetId="14" hidden="1">#REF!</definedName>
    <definedName name="XRefPaste57Row" localSheetId="1" hidden="1">#REF!</definedName>
    <definedName name="XRefPaste57Row" localSheetId="10" hidden="1">#REF!</definedName>
    <definedName name="XRefPaste57Row" hidden="1">#REF!</definedName>
    <definedName name="XRefPaste58Row" localSheetId="15" hidden="1">#REF!</definedName>
    <definedName name="XRefPaste58Row" localSheetId="2" hidden="1">#REF!</definedName>
    <definedName name="XRefPaste58Row" localSheetId="12" hidden="1">#REF!</definedName>
    <definedName name="XRefPaste58Row" localSheetId="39" hidden="1">#REF!</definedName>
    <definedName name="XRefPaste58Row" localSheetId="34" hidden="1">#REF!</definedName>
    <definedName name="XRefPaste58Row" localSheetId="7" hidden="1">#REF!</definedName>
    <definedName name="XRefPaste58Row" localSheetId="6" hidden="1">#REF!</definedName>
    <definedName name="XRefPaste58Row" localSheetId="14" hidden="1">#REF!</definedName>
    <definedName name="XRefPaste58Row" localSheetId="1" hidden="1">#REF!</definedName>
    <definedName name="XRefPaste58Row" localSheetId="10" hidden="1">#REF!</definedName>
    <definedName name="XRefPaste58Row" hidden="1">#REF!</definedName>
    <definedName name="XRefPaste59Row" localSheetId="15" hidden="1">#REF!</definedName>
    <definedName name="XRefPaste59Row" localSheetId="2" hidden="1">#REF!</definedName>
    <definedName name="XRefPaste59Row" localSheetId="12" hidden="1">#REF!</definedName>
    <definedName name="XRefPaste59Row" localSheetId="39" hidden="1">#REF!</definedName>
    <definedName name="XRefPaste59Row" localSheetId="34" hidden="1">#REF!</definedName>
    <definedName name="XRefPaste59Row" localSheetId="7" hidden="1">#REF!</definedName>
    <definedName name="XRefPaste59Row" localSheetId="6" hidden="1">#REF!</definedName>
    <definedName name="XRefPaste59Row" localSheetId="14" hidden="1">#REF!</definedName>
    <definedName name="XRefPaste59Row" localSheetId="1" hidden="1">#REF!</definedName>
    <definedName name="XRefPaste59Row" localSheetId="10" hidden="1">#REF!</definedName>
    <definedName name="XRefPaste59Row" hidden="1">#REF!</definedName>
    <definedName name="XRefPaste5Row" localSheetId="15" hidden="1">#REF!</definedName>
    <definedName name="XRefPaste5Row" localSheetId="2" hidden="1">#REF!</definedName>
    <definedName name="XRefPaste5Row" localSheetId="12" hidden="1">#REF!</definedName>
    <definedName name="XRefPaste5Row" localSheetId="39" hidden="1">#REF!</definedName>
    <definedName name="XRefPaste5Row" localSheetId="34" hidden="1">#REF!</definedName>
    <definedName name="XRefPaste5Row" localSheetId="7" hidden="1">#REF!</definedName>
    <definedName name="XRefPaste5Row" localSheetId="6" hidden="1">#REF!</definedName>
    <definedName name="XRefPaste5Row" localSheetId="14" hidden="1">#REF!</definedName>
    <definedName name="XRefPaste5Row" localSheetId="11" hidden="1">#REF!</definedName>
    <definedName name="XRefPaste5Row" localSheetId="1" hidden="1">#REF!</definedName>
    <definedName name="XRefPaste5Row" localSheetId="10" hidden="1">#REF!</definedName>
    <definedName name="XRefPaste5Row" hidden="1">#REF!</definedName>
    <definedName name="XRefPaste6" localSheetId="15" hidden="1">#REF!</definedName>
    <definedName name="XRefPaste6" localSheetId="2" hidden="1">#REF!</definedName>
    <definedName name="XRefPaste6" localSheetId="12" hidden="1">#REF!</definedName>
    <definedName name="XRefPaste6" localSheetId="39" hidden="1">#REF!</definedName>
    <definedName name="XRefPaste6" localSheetId="34" hidden="1">#REF!</definedName>
    <definedName name="XRefPaste6" localSheetId="7" hidden="1">#REF!</definedName>
    <definedName name="XRefPaste6" localSheetId="6" hidden="1">#REF!</definedName>
    <definedName name="XRefPaste6" localSheetId="14" hidden="1">#REF!</definedName>
    <definedName name="XRefPaste6" localSheetId="11" hidden="1">#REF!</definedName>
    <definedName name="XRefPaste6" localSheetId="1" hidden="1">#REF!</definedName>
    <definedName name="XRefPaste6" localSheetId="10" hidden="1">#REF!</definedName>
    <definedName name="XRefPaste6" hidden="1">#REF!</definedName>
    <definedName name="XRefPaste60Row" localSheetId="15" hidden="1">#REF!</definedName>
    <definedName name="XRefPaste60Row" localSheetId="2" hidden="1">#REF!</definedName>
    <definedName name="XRefPaste60Row" localSheetId="12" hidden="1">#REF!</definedName>
    <definedName name="XRefPaste60Row" localSheetId="39" hidden="1">#REF!</definedName>
    <definedName name="XRefPaste60Row" localSheetId="34" hidden="1">#REF!</definedName>
    <definedName name="XRefPaste60Row" localSheetId="7" hidden="1">#REF!</definedName>
    <definedName name="XRefPaste60Row" localSheetId="6" hidden="1">#REF!</definedName>
    <definedName name="XRefPaste60Row" localSheetId="14" hidden="1">#REF!</definedName>
    <definedName name="XRefPaste60Row" localSheetId="1" hidden="1">#REF!</definedName>
    <definedName name="XRefPaste60Row" localSheetId="10" hidden="1">#REF!</definedName>
    <definedName name="XRefPaste60Row" hidden="1">#REF!</definedName>
    <definedName name="XRefPaste61Row" localSheetId="15" hidden="1">#REF!</definedName>
    <definedName name="XRefPaste61Row" localSheetId="2" hidden="1">#REF!</definedName>
    <definedName name="XRefPaste61Row" localSheetId="12" hidden="1">#REF!</definedName>
    <definedName name="XRefPaste61Row" localSheetId="39" hidden="1">#REF!</definedName>
    <definedName name="XRefPaste61Row" localSheetId="34" hidden="1">#REF!</definedName>
    <definedName name="XRefPaste61Row" localSheetId="7" hidden="1">#REF!</definedName>
    <definedName name="XRefPaste61Row" localSheetId="6" hidden="1">#REF!</definedName>
    <definedName name="XRefPaste61Row" localSheetId="14" hidden="1">#REF!</definedName>
    <definedName name="XRefPaste61Row" localSheetId="1" hidden="1">#REF!</definedName>
    <definedName name="XRefPaste61Row" localSheetId="10" hidden="1">#REF!</definedName>
    <definedName name="XRefPaste61Row" hidden="1">#REF!</definedName>
    <definedName name="XRefPaste62Row" localSheetId="15" hidden="1">#REF!</definedName>
    <definedName name="XRefPaste62Row" localSheetId="2" hidden="1">#REF!</definedName>
    <definedName name="XRefPaste62Row" localSheetId="12" hidden="1">#REF!</definedName>
    <definedName name="XRefPaste62Row" localSheetId="39" hidden="1">#REF!</definedName>
    <definedName name="XRefPaste62Row" localSheetId="34" hidden="1">#REF!</definedName>
    <definedName name="XRefPaste62Row" localSheetId="7" hidden="1">#REF!</definedName>
    <definedName name="XRefPaste62Row" localSheetId="6" hidden="1">#REF!</definedName>
    <definedName name="XRefPaste62Row" localSheetId="14" hidden="1">#REF!</definedName>
    <definedName name="XRefPaste62Row" localSheetId="1" hidden="1">#REF!</definedName>
    <definedName name="XRefPaste62Row" localSheetId="10" hidden="1">#REF!</definedName>
    <definedName name="XRefPaste62Row" hidden="1">#REF!</definedName>
    <definedName name="XRefPaste63Row" localSheetId="15" hidden="1">#REF!</definedName>
    <definedName name="XRefPaste63Row" localSheetId="2" hidden="1">#REF!</definedName>
    <definedName name="XRefPaste63Row" localSheetId="12" hidden="1">#REF!</definedName>
    <definedName name="XRefPaste63Row" localSheetId="39" hidden="1">#REF!</definedName>
    <definedName name="XRefPaste63Row" localSheetId="34" hidden="1">#REF!</definedName>
    <definedName name="XRefPaste63Row" localSheetId="7" hidden="1">#REF!</definedName>
    <definedName name="XRefPaste63Row" localSheetId="6" hidden="1">#REF!</definedName>
    <definedName name="XRefPaste63Row" localSheetId="14" hidden="1">#REF!</definedName>
    <definedName name="XRefPaste63Row" localSheetId="1" hidden="1">#REF!</definedName>
    <definedName name="XRefPaste63Row" localSheetId="10" hidden="1">#REF!</definedName>
    <definedName name="XRefPaste63Row" hidden="1">#REF!</definedName>
    <definedName name="XRefPaste64Row" localSheetId="15" hidden="1">#REF!</definedName>
    <definedName name="XRefPaste64Row" localSheetId="2" hidden="1">#REF!</definedName>
    <definedName name="XRefPaste64Row" localSheetId="12" hidden="1">#REF!</definedName>
    <definedName name="XRefPaste64Row" localSheetId="39" hidden="1">#REF!</definedName>
    <definedName name="XRefPaste64Row" localSheetId="34" hidden="1">#REF!</definedName>
    <definedName name="XRefPaste64Row" localSheetId="7" hidden="1">#REF!</definedName>
    <definedName name="XRefPaste64Row" localSheetId="6" hidden="1">#REF!</definedName>
    <definedName name="XRefPaste64Row" localSheetId="14" hidden="1">#REF!</definedName>
    <definedName name="XRefPaste64Row" localSheetId="1" hidden="1">#REF!</definedName>
    <definedName name="XRefPaste64Row" localSheetId="10" hidden="1">#REF!</definedName>
    <definedName name="XRefPaste64Row" hidden="1">#REF!</definedName>
    <definedName name="XRefPaste65Row" localSheetId="15" hidden="1">#REF!</definedName>
    <definedName name="XRefPaste65Row" localSheetId="2" hidden="1">#REF!</definedName>
    <definedName name="XRefPaste65Row" localSheetId="12" hidden="1">#REF!</definedName>
    <definedName name="XRefPaste65Row" localSheetId="39" hidden="1">#REF!</definedName>
    <definedName name="XRefPaste65Row" localSheetId="34" hidden="1">#REF!</definedName>
    <definedName name="XRefPaste65Row" localSheetId="7" hidden="1">#REF!</definedName>
    <definedName name="XRefPaste65Row" localSheetId="6" hidden="1">#REF!</definedName>
    <definedName name="XRefPaste65Row" localSheetId="14" hidden="1">#REF!</definedName>
    <definedName name="XRefPaste65Row" localSheetId="1" hidden="1">#REF!</definedName>
    <definedName name="XRefPaste65Row" localSheetId="10" hidden="1">#REF!</definedName>
    <definedName name="XRefPaste65Row" hidden="1">#REF!</definedName>
    <definedName name="XRefPaste68" localSheetId="15" hidden="1">#REF!</definedName>
    <definedName name="XRefPaste68" localSheetId="2" hidden="1">#REF!</definedName>
    <definedName name="XRefPaste68" localSheetId="12" hidden="1">#REF!</definedName>
    <definedName name="XRefPaste68" localSheetId="39" hidden="1">#REF!</definedName>
    <definedName name="XRefPaste68" localSheetId="34" hidden="1">#REF!</definedName>
    <definedName name="XRefPaste68" localSheetId="7" hidden="1">#REF!</definedName>
    <definedName name="XRefPaste68" localSheetId="6" hidden="1">#REF!</definedName>
    <definedName name="XRefPaste68" localSheetId="1" hidden="1">#REF!</definedName>
    <definedName name="XRefPaste68" localSheetId="10" hidden="1">#REF!</definedName>
    <definedName name="XRefPaste68" hidden="1">#REF!</definedName>
    <definedName name="XRefPaste6Row" localSheetId="15" hidden="1">#REF!</definedName>
    <definedName name="XRefPaste6Row" localSheetId="2" hidden="1">#REF!</definedName>
    <definedName name="XRefPaste6Row" localSheetId="12" hidden="1">#REF!</definedName>
    <definedName name="XRefPaste6Row" localSheetId="39" hidden="1">#REF!</definedName>
    <definedName name="XRefPaste6Row" localSheetId="34" hidden="1">#REF!</definedName>
    <definedName name="XRefPaste6Row" localSheetId="7" hidden="1">#REF!</definedName>
    <definedName name="XRefPaste6Row" localSheetId="6" hidden="1">#REF!</definedName>
    <definedName name="XRefPaste6Row" localSheetId="14" hidden="1">#REF!</definedName>
    <definedName name="XRefPaste6Row" localSheetId="11" hidden="1">#REF!</definedName>
    <definedName name="XRefPaste6Row" localSheetId="1" hidden="1">#REF!</definedName>
    <definedName name="XRefPaste6Row" localSheetId="10" hidden="1">#REF!</definedName>
    <definedName name="XRefPaste6Row" hidden="1">#REF!</definedName>
    <definedName name="XRefPaste70Row" localSheetId="15" hidden="1">#REF!</definedName>
    <definedName name="XRefPaste70Row" localSheetId="2" hidden="1">#REF!</definedName>
    <definedName name="XRefPaste70Row" localSheetId="12" hidden="1">#REF!</definedName>
    <definedName name="XRefPaste70Row" localSheetId="39" hidden="1">#REF!</definedName>
    <definedName name="XRefPaste70Row" localSheetId="34" hidden="1">#REF!</definedName>
    <definedName name="XRefPaste70Row" localSheetId="7" hidden="1">#REF!</definedName>
    <definedName name="XRefPaste70Row" localSheetId="6" hidden="1">#REF!</definedName>
    <definedName name="XRefPaste70Row" localSheetId="1" hidden="1">#REF!</definedName>
    <definedName name="XRefPaste70Row" localSheetId="10" hidden="1">#REF!</definedName>
    <definedName name="XRefPaste70Row" hidden="1">#REF!</definedName>
    <definedName name="XRefPaste7Row" localSheetId="15" hidden="1">#REF!</definedName>
    <definedName name="XRefPaste7Row" localSheetId="2" hidden="1">#REF!</definedName>
    <definedName name="XRefPaste7Row" localSheetId="12" hidden="1">#REF!</definedName>
    <definedName name="XRefPaste7Row" localSheetId="39" hidden="1">#REF!</definedName>
    <definedName name="XRefPaste7Row" localSheetId="34" hidden="1">#REF!</definedName>
    <definedName name="XRefPaste7Row" localSheetId="7" hidden="1">#REF!</definedName>
    <definedName name="XRefPaste7Row" localSheetId="6" hidden="1">#REF!</definedName>
    <definedName name="XRefPaste7Row" localSheetId="14" hidden="1">#REF!</definedName>
    <definedName name="XRefPaste7Row" localSheetId="11" hidden="1">#REF!</definedName>
    <definedName name="XRefPaste7Row" localSheetId="1" hidden="1">#REF!</definedName>
    <definedName name="XRefPaste7Row" localSheetId="10" hidden="1">#REF!</definedName>
    <definedName name="XRefPaste7Row" hidden="1">#REF!</definedName>
    <definedName name="XRefPaste8" localSheetId="15" hidden="1">#REF!</definedName>
    <definedName name="XRefPaste8" localSheetId="2" hidden="1">#REF!</definedName>
    <definedName name="XRefPaste8" localSheetId="12" hidden="1">#REF!</definedName>
    <definedName name="XRefPaste8" localSheetId="39" hidden="1">#REF!</definedName>
    <definedName name="XRefPaste8" localSheetId="34" hidden="1">#REF!</definedName>
    <definedName name="XRefPaste8" localSheetId="7" hidden="1">#REF!</definedName>
    <definedName name="XRefPaste8" localSheetId="6" hidden="1">#REF!</definedName>
    <definedName name="XRefPaste8" localSheetId="14" hidden="1">#REF!</definedName>
    <definedName name="XRefPaste8" localSheetId="1" hidden="1">#REF!</definedName>
    <definedName name="XRefPaste8" localSheetId="10" hidden="1">#REF!</definedName>
    <definedName name="XRefPaste8" hidden="1">#REF!</definedName>
    <definedName name="XRefPaste8Row" localSheetId="15" hidden="1">#REF!</definedName>
    <definedName name="XRefPaste8Row" localSheetId="2" hidden="1">#REF!</definedName>
    <definedName name="XRefPaste8Row" localSheetId="12" hidden="1">#REF!</definedName>
    <definedName name="XRefPaste8Row" localSheetId="39" hidden="1">#REF!</definedName>
    <definedName name="XRefPaste8Row" localSheetId="34" hidden="1">#REF!</definedName>
    <definedName name="XRefPaste8Row" localSheetId="7" hidden="1">#REF!</definedName>
    <definedName name="XRefPaste8Row" localSheetId="6" hidden="1">#REF!</definedName>
    <definedName name="XRefPaste8Row" localSheetId="14" hidden="1">#REF!</definedName>
    <definedName name="XRefPaste8Row" localSheetId="11" hidden="1">#REF!</definedName>
    <definedName name="XRefPaste8Row" localSheetId="1" hidden="1">#REF!</definedName>
    <definedName name="XRefPaste8Row" localSheetId="10" hidden="1">#REF!</definedName>
    <definedName name="XRefPaste8Row" hidden="1">#REF!</definedName>
    <definedName name="XRefPaste9Row" localSheetId="15" hidden="1">#REF!</definedName>
    <definedName name="XRefPaste9Row" localSheetId="2" hidden="1">#REF!</definedName>
    <definedName name="XRefPaste9Row" localSheetId="12" hidden="1">#REF!</definedName>
    <definedName name="XRefPaste9Row" localSheetId="39" hidden="1">#REF!</definedName>
    <definedName name="XRefPaste9Row" localSheetId="34" hidden="1">#REF!</definedName>
    <definedName name="XRefPaste9Row" localSheetId="7" hidden="1">#REF!</definedName>
    <definedName name="XRefPaste9Row" localSheetId="6" hidden="1">#REF!</definedName>
    <definedName name="XRefPaste9Row" localSheetId="14" hidden="1">#REF!</definedName>
    <definedName name="XRefPaste9Row" localSheetId="11" hidden="1">#REF!</definedName>
    <definedName name="XRefPaste9Row" localSheetId="1" hidden="1">#REF!</definedName>
    <definedName name="XRefPaste9Row" localSheetId="10"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2"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39" hidden="1">{#N/A,#N/A,FALSE,"HONORÁRIOS"}</definedName>
    <definedName name="yyyyyyy" localSheetId="34" hidden="1">{#N/A,#N/A,FALSE,"HONORÁRIOS"}</definedName>
    <definedName name="yyyyyyy" localSheetId="14"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2"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39" hidden="1">{#N/A,#N/A,FALSE,"HONORÁRIOS"}</definedName>
    <definedName name="yyyyyyy_1" localSheetId="34" hidden="1">{#N/A,#N/A,FALSE,"HONORÁRIOS"}</definedName>
    <definedName name="yyyyyyy_1" localSheetId="14"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5" hidden="1">#REF!</definedName>
    <definedName name="Z_56785A02_7067_463E_810B_6732D2DF0DB2_.wvu.PrintArea" localSheetId="2" hidden="1">#REF!</definedName>
    <definedName name="Z_56785A02_7067_463E_810B_6732D2DF0DB2_.wvu.PrintArea" localSheetId="12" hidden="1">#REF!</definedName>
    <definedName name="Z_56785A02_7067_463E_810B_6732D2DF0DB2_.wvu.PrintArea" localSheetId="39" hidden="1">#REF!</definedName>
    <definedName name="Z_56785A02_7067_463E_810B_6732D2DF0DB2_.wvu.PrintArea" localSheetId="34" hidden="1">#REF!</definedName>
    <definedName name="Z_56785A02_7067_463E_810B_6732D2DF0DB2_.wvu.PrintArea" localSheetId="7" hidden="1">#REF!</definedName>
    <definedName name="Z_56785A02_7067_463E_810B_6732D2DF0DB2_.wvu.PrintArea" localSheetId="6" hidden="1">#REF!</definedName>
    <definedName name="Z_56785A02_7067_463E_810B_6732D2DF0DB2_.wvu.PrintArea" localSheetId="14" hidden="1">#REF!</definedName>
    <definedName name="Z_56785A02_7067_463E_810B_6732D2DF0DB2_.wvu.PrintArea" localSheetId="1" hidden="1">#REF!</definedName>
    <definedName name="Z_56785A02_7067_463E_810B_6732D2DF0DB2_.wvu.PrintArea" localSheetId="10"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5" hidden="1">#REF!</definedName>
    <definedName name="Z_FAB890B6_A7DF_49B5_8B84_7933F7804438_.wvu.PrintArea" localSheetId="2" hidden="1">#REF!</definedName>
    <definedName name="Z_FAB890B6_A7DF_49B5_8B84_7933F7804438_.wvu.PrintArea" localSheetId="12" hidden="1">#REF!</definedName>
    <definedName name="Z_FAB890B6_A7DF_49B5_8B84_7933F7804438_.wvu.PrintArea" localSheetId="39" hidden="1">#REF!</definedName>
    <definedName name="Z_FAB890B6_A7DF_49B5_8B84_7933F7804438_.wvu.PrintArea" localSheetId="34" hidden="1">#REF!</definedName>
    <definedName name="Z_FAB890B6_A7DF_49B5_8B84_7933F7804438_.wvu.PrintArea" localSheetId="7" hidden="1">#REF!</definedName>
    <definedName name="Z_FAB890B6_A7DF_49B5_8B84_7933F7804438_.wvu.PrintArea" localSheetId="6" hidden="1">#REF!</definedName>
    <definedName name="Z_FAB890B6_A7DF_49B5_8B84_7933F7804438_.wvu.PrintArea" localSheetId="14" hidden="1">#REF!</definedName>
    <definedName name="Z_FAB890B6_A7DF_49B5_8B84_7933F7804438_.wvu.PrintArea" localSheetId="1" hidden="1">#REF!</definedName>
    <definedName name="Z_FAB890B6_A7DF_49B5_8B84_7933F7804438_.wvu.PrintArea" localSheetId="10" hidden="1">#REF!</definedName>
    <definedName name="Z_FAB890B6_A7DF_49B5_8B84_7933F7804438_.wvu.PrintArea" hidden="1">#REF!</definedName>
    <definedName name="ZI" localSheetId="15" hidden="1">#REF!</definedName>
    <definedName name="ZI" localSheetId="2" hidden="1">#REF!</definedName>
    <definedName name="ZI" localSheetId="12" hidden="1">#REF!</definedName>
    <definedName name="ZI" localSheetId="39" hidden="1">#REF!</definedName>
    <definedName name="ZI" localSheetId="34" hidden="1">#REF!</definedName>
    <definedName name="ZI" localSheetId="7" hidden="1">#REF!</definedName>
    <definedName name="ZI" localSheetId="6" hidden="1">#REF!</definedName>
    <definedName name="ZI" localSheetId="14" hidden="1">#REF!</definedName>
    <definedName name="ZI" localSheetId="1" hidden="1">#REF!</definedName>
    <definedName name="ZI" localSheetId="10" hidden="1">#REF!</definedName>
    <definedName name="ZI"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81" i="9" l="1"/>
  <c r="BB80" i="9"/>
  <c r="BA80" i="9"/>
  <c r="AZ80" i="9"/>
  <c r="AY80" i="9"/>
  <c r="AX80" i="9"/>
  <c r="AW80" i="9"/>
  <c r="AV80" i="9"/>
  <c r="AU80" i="9"/>
  <c r="AT80" i="9"/>
  <c r="AS80" i="9"/>
  <c r="AX79" i="9"/>
  <c r="AW79" i="9"/>
  <c r="AV79" i="9"/>
  <c r="AU79" i="9"/>
  <c r="AT79" i="9"/>
  <c r="AS79" i="9"/>
  <c r="AR79" i="9"/>
  <c r="AQ79" i="9"/>
  <c r="AT78" i="9"/>
  <c r="AS78" i="9"/>
  <c r="AR78" i="9"/>
  <c r="AQ78" i="9"/>
  <c r="AP78" i="9"/>
  <c r="AO78" i="9"/>
  <c r="AN78" i="9"/>
  <c r="AM78" i="9"/>
  <c r="AL78" i="9"/>
  <c r="AP77" i="9"/>
  <c r="AO77" i="9"/>
  <c r="AN77" i="9"/>
  <c r="AM77" i="9"/>
  <c r="AL77" i="9"/>
  <c r="AK77" i="9"/>
  <c r="AJ77" i="9"/>
  <c r="AI77" i="9"/>
  <c r="AH77" i="9"/>
  <c r="AG77" i="9"/>
  <c r="AF77" i="9"/>
  <c r="AE77" i="9"/>
  <c r="AL76" i="9"/>
  <c r="AK76" i="9"/>
  <c r="AJ76" i="9"/>
  <c r="AI76" i="9"/>
  <c r="AH76" i="9"/>
  <c r="AG76" i="9"/>
  <c r="AF76" i="9"/>
  <c r="AE76" i="9"/>
  <c r="AD76" i="9"/>
  <c r="AC76" i="9"/>
  <c r="AB76" i="9"/>
  <c r="AH75" i="9"/>
  <c r="AG75" i="9"/>
  <c r="AF75" i="9"/>
  <c r="AE75" i="9"/>
  <c r="AD75" i="9"/>
  <c r="AC75" i="9"/>
  <c r="AB75" i="9"/>
  <c r="AA75" i="9"/>
  <c r="Z75" i="9"/>
  <c r="Y75" i="9"/>
  <c r="X75" i="9"/>
  <c r="W75" i="9"/>
  <c r="AD74" i="9"/>
  <c r="AC74" i="9"/>
  <c r="AB74" i="9"/>
  <c r="AA74" i="9"/>
  <c r="Z74" i="9"/>
  <c r="Y74" i="9"/>
  <c r="X74" i="9"/>
  <c r="W74" i="9"/>
  <c r="BB73" i="9"/>
  <c r="BB72" i="9"/>
  <c r="BA72" i="9"/>
  <c r="AZ72" i="9"/>
  <c r="AY72" i="9"/>
  <c r="AX72" i="9"/>
  <c r="AW72" i="9"/>
  <c r="AV72" i="9"/>
  <c r="AU72" i="9"/>
  <c r="AT72" i="9"/>
  <c r="AS72" i="9"/>
  <c r="AX71" i="9"/>
  <c r="AW71" i="9"/>
  <c r="AV71" i="9"/>
  <c r="AU71" i="9"/>
  <c r="AT71" i="9"/>
  <c r="AS71" i="9"/>
  <c r="AR71" i="9"/>
  <c r="AQ71" i="9"/>
  <c r="AT70" i="9"/>
  <c r="AS70" i="9"/>
  <c r="AR70" i="9"/>
  <c r="AQ70" i="9"/>
  <c r="AP70" i="9"/>
  <c r="AO70" i="9"/>
  <c r="AN70" i="9"/>
  <c r="AM70" i="9"/>
  <c r="AL70" i="9"/>
  <c r="AP69" i="9"/>
  <c r="AO69" i="9"/>
  <c r="AN69" i="9"/>
  <c r="AM69" i="9"/>
  <c r="AL69" i="9"/>
  <c r="AK69" i="9"/>
  <c r="AJ69" i="9"/>
  <c r="AI69" i="9"/>
  <c r="AH69" i="9"/>
  <c r="AG69" i="9"/>
  <c r="AF69" i="9"/>
  <c r="AE69" i="9"/>
  <c r="AL68" i="9"/>
  <c r="AK68" i="9"/>
  <c r="AJ68" i="9"/>
  <c r="AI68" i="9"/>
  <c r="AH68" i="9"/>
  <c r="AG68" i="9"/>
  <c r="AF68" i="9"/>
  <c r="AE68" i="9"/>
  <c r="AD68" i="9"/>
  <c r="AC68" i="9"/>
  <c r="AB68" i="9"/>
  <c r="AH67" i="9"/>
  <c r="AG67" i="9"/>
  <c r="AF67" i="9"/>
  <c r="AE67" i="9"/>
  <c r="AD67" i="9"/>
  <c r="AC67" i="9"/>
  <c r="AB67" i="9"/>
  <c r="AA67" i="9"/>
  <c r="Z67" i="9"/>
  <c r="Y67" i="9"/>
  <c r="X67" i="9"/>
  <c r="W67" i="9"/>
  <c r="AD66" i="9"/>
  <c r="AC66" i="9"/>
  <c r="AB66" i="9"/>
  <c r="AA66" i="9"/>
  <c r="Z66" i="9"/>
  <c r="Y66" i="9"/>
  <c r="X66" i="9"/>
  <c r="W66" i="9"/>
  <c r="AU198" i="77"/>
  <c r="BB198" i="77"/>
  <c r="BA198" i="77"/>
  <c r="AG198" i="77" l="1"/>
  <c r="AH198" i="77"/>
  <c r="AI198" i="77"/>
  <c r="AY198" i="77"/>
  <c r="AF198" i="77"/>
  <c r="AK198" i="77"/>
  <c r="AL198" i="77"/>
  <c r="AE198" i="77"/>
  <c r="AW198" i="77"/>
  <c r="AM198" i="77"/>
  <c r="AV198" i="77"/>
  <c r="AX198" i="77"/>
  <c r="AJ198" i="77"/>
  <c r="DD347" i="73" l="1"/>
  <c r="DD251" i="73"/>
  <c r="DD247" i="73"/>
  <c r="DD77" i="73"/>
  <c r="DD71" i="73"/>
  <c r="DD65" i="73"/>
  <c r="DD59" i="73"/>
  <c r="DD345" i="73" s="1"/>
  <c r="DD53" i="73"/>
  <c r="DD344" i="73" s="1"/>
  <c r="DD47" i="73"/>
  <c r="DD41" i="73"/>
  <c r="DD33" i="73"/>
  <c r="DD25" i="73"/>
  <c r="DD12" i="73"/>
  <c r="DD55" i="73" s="1"/>
  <c r="DD10" i="73"/>
  <c r="DD6" i="73"/>
  <c r="DD35" i="73" l="1"/>
  <c r="DD43" i="73"/>
  <c r="DD67" i="73"/>
  <c r="DD61" i="73"/>
  <c r="DD19" i="73"/>
  <c r="DD49" i="73"/>
  <c r="DD73" i="73"/>
  <c r="DD27" i="73"/>
  <c r="FW18" i="43"/>
  <c r="FW37" i="43" s="1"/>
  <c r="FT11" i="43"/>
  <c r="FW11" i="43"/>
  <c r="L53" i="42" l="1"/>
  <c r="AP89" i="68"/>
  <c r="AP78" i="68"/>
  <c r="AP76" i="68"/>
  <c r="AP67" i="68"/>
  <c r="AP57" i="68"/>
  <c r="AP58" i="68" s="1"/>
  <c r="AP53" i="68"/>
  <c r="AP50" i="68"/>
  <c r="AP45" i="68"/>
  <c r="AP20" i="68"/>
  <c r="AP23" i="68"/>
  <c r="AP31" i="68"/>
  <c r="AP51" i="68" l="1"/>
  <c r="AP59" i="68"/>
  <c r="O345" i="79"/>
  <c r="Q345" i="79" s="1"/>
  <c r="O346" i="79"/>
  <c r="Q346" i="79" s="1"/>
  <c r="M53" i="42"/>
  <c r="AP32" i="68"/>
  <c r="E349" i="79" l="1"/>
  <c r="O347" i="79" l="1"/>
  <c r="Q347" i="79" s="1"/>
  <c r="AD197" i="77" l="1"/>
  <c r="AD198" i="77"/>
  <c r="AD199" i="77"/>
  <c r="AD200" i="77"/>
  <c r="AD201" i="77"/>
  <c r="AD202"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FX35" i="43" l="1"/>
  <c r="FX34" i="43"/>
  <c r="FX32" i="43"/>
  <c r="FQ36" i="43"/>
  <c r="FP36" i="43"/>
  <c r="FO36" i="43"/>
  <c r="FQ18" i="43"/>
  <c r="FP18" i="43"/>
  <c r="FO18" i="43"/>
  <c r="FQ11" i="43"/>
  <c r="FP11" i="43"/>
  <c r="FO11" i="43"/>
  <c r="FR4" i="43"/>
  <c r="FO3" i="43"/>
  <c r="Y52" i="42"/>
  <c r="M52" i="42"/>
  <c r="E20" i="38"/>
  <c r="C20" i="38"/>
  <c r="I20" i="38"/>
  <c r="H20" i="38"/>
  <c r="G20" i="38"/>
  <c r="F20" i="38"/>
  <c r="D20" i="38"/>
  <c r="W369" i="36"/>
  <c r="W368" i="36"/>
  <c r="W367" i="36"/>
  <c r="W366" i="36"/>
  <c r="W365" i="36"/>
  <c r="W364" i="36"/>
  <c r="W363" i="36"/>
  <c r="W361" i="36"/>
  <c r="W360" i="36"/>
  <c r="R369" i="36"/>
  <c r="R368" i="36"/>
  <c r="R367" i="36"/>
  <c r="R366" i="36"/>
  <c r="R365" i="36"/>
  <c r="R364" i="36"/>
  <c r="R363" i="36"/>
  <c r="R362" i="36"/>
  <c r="R361" i="36"/>
  <c r="R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17" i="23"/>
  <c r="F17" i="23"/>
  <c r="E17" i="23"/>
  <c r="D17" i="23"/>
  <c r="C17" i="23"/>
  <c r="BA49" i="9"/>
  <c r="BA51" i="9"/>
  <c r="BB49" i="12"/>
  <c r="BA37" i="10"/>
  <c r="BA37" i="1"/>
  <c r="EB27" i="34" l="1"/>
  <c r="ED21" i="34"/>
  <c r="ED27" i="34" s="1"/>
  <c r="BB37" i="10"/>
  <c r="BB37" i="1"/>
  <c r="DC346" i="73" l="1"/>
  <c r="DD346" i="73" s="1"/>
  <c r="DC347" i="73" l="1"/>
  <c r="DC251" i="73"/>
  <c r="DC247" i="73"/>
  <c r="DC77" i="73"/>
  <c r="DC71" i="73"/>
  <c r="DC65" i="73"/>
  <c r="DC59" i="73"/>
  <c r="DC53" i="73"/>
  <c r="DC47" i="73"/>
  <c r="DC41" i="73"/>
  <c r="DC33" i="73"/>
  <c r="DC25" i="73"/>
  <c r="DC12" i="73"/>
  <c r="DC49" i="73" s="1"/>
  <c r="DC10" i="73"/>
  <c r="DC6" i="73"/>
  <c r="DC345" i="73" l="1"/>
  <c r="DC344" i="73"/>
  <c r="DC19" i="73"/>
  <c r="DC55" i="73"/>
  <c r="DC61" i="73"/>
  <c r="DC27" i="73"/>
  <c r="DC67" i="73"/>
  <c r="DC35" i="73"/>
  <c r="DC73" i="73"/>
  <c r="DC43" i="73"/>
  <c r="AT10" i="26"/>
  <c r="AT12" i="26" s="1"/>
  <c r="BB51" i="9" l="1"/>
  <c r="AT13" i="26"/>
  <c r="Z34" i="81"/>
  <c r="Z31" i="81"/>
  <c r="Z18" i="81"/>
  <c r="Z15" i="81"/>
  <c r="AS10" i="66"/>
  <c r="AS23" i="55"/>
  <c r="AS24" i="55" s="1"/>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22" i="53" s="1"/>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51" i="48"/>
  <c r="AT45" i="48"/>
  <c r="AT26" i="48"/>
  <c r="AT21" i="48"/>
  <c r="AO8" i="72"/>
  <c r="AO21" i="72" s="1"/>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44"/>
  <c r="AT14" i="44"/>
  <c r="AT11" i="44"/>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U40" i="33"/>
  <c r="AU37" i="33"/>
  <c r="AU31" i="33"/>
  <c r="AU28" i="33"/>
  <c r="AU44" i="33"/>
  <c r="AU43" i="33"/>
  <c r="AU14" i="33"/>
  <c r="AU36" i="33"/>
  <c r="AU34" i="33"/>
  <c r="AW59" i="46" l="1"/>
  <c r="AW78" i="46"/>
  <c r="AT18" i="29"/>
  <c r="AS51" i="52"/>
  <c r="AT25" i="30"/>
  <c r="AS24" i="53"/>
  <c r="AU45" i="33"/>
  <c r="AT21" i="44"/>
  <c r="AS90" i="71"/>
  <c r="AS27" i="65"/>
  <c r="AT17" i="44"/>
  <c r="AU38" i="33"/>
  <c r="AU41" i="33"/>
  <c r="AT51" i="61"/>
  <c r="AU35" i="33"/>
  <c r="AS30" i="31"/>
  <c r="AS29" i="31" s="1"/>
  <c r="AW21" i="46"/>
  <c r="AS57" i="49"/>
  <c r="AT27" i="48"/>
  <c r="AT52" i="48"/>
  <c r="AT33" i="45"/>
  <c r="AT48" i="61"/>
  <c r="AS11" i="31"/>
  <c r="AU39" i="33"/>
  <c r="AU17" i="33"/>
  <c r="X24" i="13"/>
  <c r="Y24" i="13"/>
  <c r="X25" i="13"/>
  <c r="Y25" i="13"/>
  <c r="Y22" i="13"/>
  <c r="Y21" i="13"/>
  <c r="Y20" i="13"/>
  <c r="Y19" i="13"/>
  <c r="Y18" i="13"/>
  <c r="AU42" i="33" l="1"/>
  <c r="Y23" i="13"/>
  <c r="X23" i="13"/>
  <c r="BA8" i="12"/>
  <c r="BA36" i="12"/>
  <c r="BA10" i="10"/>
  <c r="BA12" i="10" s="1"/>
  <c r="BA14" i="10" s="1"/>
  <c r="BA16" i="10" s="1"/>
  <c r="BA9" i="1"/>
  <c r="BA11" i="1" s="1"/>
  <c r="BF21" i="2"/>
  <c r="AS25" i="55" s="1"/>
  <c r="BF11" i="2"/>
  <c r="BA52" i="9" s="1"/>
  <c r="BF6" i="2"/>
  <c r="BF10" i="2" s="1"/>
  <c r="BA119" i="9"/>
  <c r="BA35" i="10" l="1"/>
  <c r="BA50" i="9"/>
  <c r="BA53" i="9" s="1"/>
  <c r="AT11" i="30"/>
  <c r="BF16" i="2"/>
  <c r="BF19" i="2" s="1"/>
  <c r="BF24" i="2" s="1"/>
  <c r="BF26" i="2" s="1"/>
  <c r="BF28" i="2" s="1"/>
  <c r="AS11" i="53"/>
  <c r="BA10" i="12"/>
  <c r="BA12" i="12" s="1"/>
  <c r="BA14" i="12" s="1"/>
  <c r="BA13" i="1"/>
  <c r="BA15" i="1" s="1"/>
  <c r="BA40" i="10"/>
  <c r="BA43" i="10" s="1"/>
  <c r="BA45" i="10" s="1"/>
  <c r="BA48" i="10" s="1"/>
  <c r="BF30" i="2" l="1"/>
  <c r="AO18" i="63"/>
  <c r="BA34" i="12"/>
  <c r="BA36" i="10"/>
  <c r="BA39" i="12"/>
  <c r="BA42" i="12" s="1"/>
  <c r="BA44" i="12" s="1"/>
  <c r="BA48" i="12" s="1"/>
  <c r="BA50" i="12" s="1"/>
  <c r="BA35" i="1"/>
  <c r="BA40" i="1"/>
  <c r="BA43" i="1" s="1"/>
  <c r="BA45" i="1" s="1"/>
  <c r="BA48" i="1" s="1"/>
  <c r="BB45" i="9"/>
  <c r="BI40" i="3"/>
  <c r="BA12" i="9" s="1"/>
  <c r="BA13" i="9"/>
  <c r="BA18" i="9"/>
  <c r="O348" i="79"/>
  <c r="Q348" i="79" s="1"/>
  <c r="O344" i="79"/>
  <c r="Q344" i="79" s="1"/>
  <c r="O343" i="79"/>
  <c r="Q343" i="79" s="1"/>
  <c r="AR33" i="67"/>
  <c r="AR29" i="67"/>
  <c r="AR22" i="67"/>
  <c r="AR17" i="67"/>
  <c r="AR20" i="67" s="1"/>
  <c r="AR13" i="67"/>
  <c r="AR9" i="67"/>
  <c r="AO93" i="63"/>
  <c r="BI76" i="3"/>
  <c r="BA17" i="9" s="1"/>
  <c r="BI60" i="3"/>
  <c r="BI42" i="3"/>
  <c r="BI33" i="3"/>
  <c r="BI23" i="3"/>
  <c r="BI6" i="3"/>
  <c r="BI87" i="3" l="1"/>
  <c r="BA36" i="1"/>
  <c r="BA35" i="12"/>
  <c r="AR39" i="67"/>
  <c r="BA6" i="9"/>
  <c r="BA8" i="9"/>
  <c r="BA7" i="9"/>
  <c r="BI39" i="3"/>
  <c r="BA14" i="9"/>
  <c r="AO86" i="63" l="1"/>
  <c r="AO78" i="63"/>
  <c r="AO54" i="63"/>
  <c r="AO45" i="63"/>
  <c r="AO12" i="63"/>
  <c r="AO13" i="63"/>
  <c r="BA196" i="77" l="1"/>
  <c r="BB196" i="77"/>
  <c r="AL196" i="77"/>
  <c r="AW196" i="77"/>
  <c r="AJ196" i="77"/>
  <c r="AM196" i="77"/>
  <c r="AI196" i="77"/>
  <c r="AE196" i="77"/>
  <c r="AY196" i="77"/>
  <c r="AG196" i="77"/>
  <c r="AH196" i="77"/>
  <c r="AX196" i="77"/>
  <c r="AF196" i="77"/>
  <c r="AK196" i="77"/>
  <c r="AU196" i="77"/>
  <c r="AV196" i="77"/>
  <c r="DB347" i="73" l="1"/>
  <c r="DB77" i="73"/>
  <c r="DB71" i="73"/>
  <c r="DB65" i="73"/>
  <c r="DB59" i="73"/>
  <c r="DB345" i="73" s="1"/>
  <c r="DB53" i="73"/>
  <c r="DB344" i="73" s="1"/>
  <c r="DB47" i="73"/>
  <c r="DB41" i="73"/>
  <c r="DB33" i="73"/>
  <c r="DB25" i="73"/>
  <c r="DB12" i="73"/>
  <c r="DB43" i="73" s="1"/>
  <c r="DB10" i="73"/>
  <c r="DB6" i="73"/>
  <c r="DB251" i="73"/>
  <c r="DB247" i="73"/>
  <c r="DB49" i="73" l="1"/>
  <c r="DB55" i="73"/>
  <c r="DB19" i="73"/>
  <c r="DB61" i="73"/>
  <c r="DB27" i="73"/>
  <c r="DB67" i="73"/>
  <c r="DB35" i="73"/>
  <c r="DB73" i="73"/>
  <c r="DA347" i="73"/>
  <c r="DA77" i="73"/>
  <c r="DA71" i="73"/>
  <c r="DA65" i="73"/>
  <c r="DA59" i="73"/>
  <c r="DA345" i="73" s="1"/>
  <c r="DA53" i="73"/>
  <c r="DA344" i="73" s="1"/>
  <c r="DA47" i="73"/>
  <c r="DA41" i="73"/>
  <c r="DA33" i="73"/>
  <c r="DA25" i="73"/>
  <c r="DA12" i="73"/>
  <c r="DA67" i="73" s="1"/>
  <c r="DA10" i="73"/>
  <c r="DA6" i="73"/>
  <c r="DA251" i="73"/>
  <c r="DA247" i="73"/>
  <c r="BB195" i="77" l="1"/>
  <c r="DA27" i="73"/>
  <c r="DA73" i="73"/>
  <c r="DA49" i="73"/>
  <c r="BA195" i="77"/>
  <c r="DA19" i="73"/>
  <c r="DA55" i="73"/>
  <c r="AW195" i="77"/>
  <c r="AX195" i="77"/>
  <c r="AY195" i="77"/>
  <c r="AV195" i="77"/>
  <c r="AU195" i="77"/>
  <c r="BB194" i="77"/>
  <c r="DA35" i="73"/>
  <c r="DA61" i="73"/>
  <c r="DA43" i="73"/>
  <c r="BA194" i="77"/>
  <c r="CZ347" i="73" l="1"/>
  <c r="CZ77" i="73"/>
  <c r="CZ71" i="73"/>
  <c r="CZ65" i="73"/>
  <c r="CZ59" i="73"/>
  <c r="CZ345" i="73" s="1"/>
  <c r="CZ53" i="73"/>
  <c r="CZ344" i="73" s="1"/>
  <c r="CZ47" i="73"/>
  <c r="CZ41" i="73"/>
  <c r="CZ33" i="73"/>
  <c r="CZ25" i="73"/>
  <c r="CZ12" i="73"/>
  <c r="CZ73" i="73" s="1"/>
  <c r="CZ10" i="73"/>
  <c r="CZ6" i="73"/>
  <c r="CZ251" i="73"/>
  <c r="CZ247" i="73"/>
  <c r="CZ67" i="73" l="1"/>
  <c r="CZ27" i="73"/>
  <c r="CZ43" i="73"/>
  <c r="CZ55" i="73"/>
  <c r="CZ35" i="73"/>
  <c r="CZ61" i="73"/>
  <c r="CZ19" i="73"/>
  <c r="CZ49" i="73"/>
  <c r="J10" i="76"/>
  <c r="CY77" i="73" l="1"/>
  <c r="CX77" i="73"/>
  <c r="CW77" i="73"/>
  <c r="CV77" i="73"/>
  <c r="CU77" i="73"/>
  <c r="CT77" i="73"/>
  <c r="CS77" i="73"/>
  <c r="CR77" i="73"/>
  <c r="CQ77" i="73"/>
  <c r="CP77" i="73"/>
  <c r="CO77" i="73"/>
  <c r="CN77" i="73"/>
  <c r="CM77" i="73"/>
  <c r="CL77" i="73"/>
  <c r="CK77" i="73"/>
  <c r="CJ77" i="73"/>
  <c r="CI77" i="73"/>
  <c r="CH77" i="73"/>
  <c r="CG77" i="73"/>
  <c r="CF77" i="73"/>
  <c r="CE77" i="73"/>
  <c r="CD77" i="73"/>
  <c r="CC77" i="73"/>
  <c r="CB77" i="73"/>
  <c r="CA77" i="73"/>
  <c r="BZ77" i="73"/>
  <c r="BY77" i="73"/>
  <c r="BX77" i="73"/>
  <c r="BW77" i="73"/>
  <c r="BV77" i="73"/>
  <c r="BU77" i="73"/>
  <c r="BT77" i="73"/>
  <c r="BS77" i="73"/>
  <c r="BR77" i="73"/>
  <c r="BQ77" i="73"/>
  <c r="BP77" i="73"/>
  <c r="BO77" i="73"/>
  <c r="BN77" i="73"/>
  <c r="BM77" i="73"/>
  <c r="BL77" i="73"/>
  <c r="BK77" i="73"/>
  <c r="BJ77" i="73"/>
  <c r="BI77" i="73"/>
  <c r="BH77" i="73"/>
  <c r="BG77" i="73"/>
  <c r="BF77" i="73"/>
  <c r="BE77" i="73"/>
  <c r="BD77" i="73"/>
  <c r="BC77" i="73"/>
  <c r="BB77" i="73"/>
  <c r="BA77"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CY71" i="73"/>
  <c r="CX71" i="73"/>
  <c r="CW71" i="73"/>
  <c r="CV71" i="73"/>
  <c r="CU71" i="73"/>
  <c r="CT71" i="73"/>
  <c r="CS71" i="73"/>
  <c r="CR71" i="73"/>
  <c r="CQ71" i="73"/>
  <c r="CP71" i="73"/>
  <c r="CO71" i="73"/>
  <c r="CN71" i="73"/>
  <c r="CM71" i="73"/>
  <c r="CL71" i="73"/>
  <c r="CK71" i="73"/>
  <c r="CJ71" i="73"/>
  <c r="CI71" i="73"/>
  <c r="CH71" i="73"/>
  <c r="CG71" i="73"/>
  <c r="CF71" i="73"/>
  <c r="CE71" i="73"/>
  <c r="CD71" i="73"/>
  <c r="CC71" i="73"/>
  <c r="CB71" i="73"/>
  <c r="CA71" i="73"/>
  <c r="BZ71" i="73"/>
  <c r="BY71" i="73"/>
  <c r="BX71" i="73"/>
  <c r="BW71" i="73"/>
  <c r="BV71" i="73"/>
  <c r="BU71" i="73"/>
  <c r="BT71" i="73"/>
  <c r="BS71" i="73"/>
  <c r="BR71" i="73"/>
  <c r="BQ71" i="73"/>
  <c r="BP71" i="73"/>
  <c r="BO71" i="73"/>
  <c r="BN71" i="73"/>
  <c r="BM71" i="73"/>
  <c r="BL71" i="73"/>
  <c r="BK71" i="73"/>
  <c r="BJ71" i="73"/>
  <c r="BI71" i="73"/>
  <c r="BH71" i="73"/>
  <c r="BG71" i="73"/>
  <c r="BF71" i="73"/>
  <c r="BE71" i="73"/>
  <c r="BD71" i="73"/>
  <c r="BC7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D71" i="73"/>
  <c r="AC71" i="73"/>
  <c r="AB71" i="73"/>
  <c r="AA71" i="73"/>
  <c r="Z71" i="73"/>
  <c r="Y71" i="73"/>
  <c r="X71" i="73"/>
  <c r="W71" i="73"/>
  <c r="V71" i="73"/>
  <c r="K71" i="73"/>
  <c r="J71" i="73"/>
  <c r="I71" i="73"/>
  <c r="H71" i="73"/>
  <c r="G71" i="73"/>
  <c r="F71" i="73"/>
  <c r="E71" i="73"/>
  <c r="D71" i="73"/>
  <c r="C71" i="73"/>
  <c r="CY65" i="73"/>
  <c r="CX65" i="73"/>
  <c r="CW65" i="73"/>
  <c r="CV65" i="73"/>
  <c r="CU65" i="73"/>
  <c r="CT65" i="73"/>
  <c r="CS65" i="73"/>
  <c r="CR65" i="73"/>
  <c r="CQ65" i="73"/>
  <c r="CP65" i="73"/>
  <c r="CO65" i="73"/>
  <c r="CN65" i="73"/>
  <c r="CM65" i="73"/>
  <c r="CL65" i="73"/>
  <c r="CK65" i="73"/>
  <c r="CJ65" i="73"/>
  <c r="CI65" i="73"/>
  <c r="CH65" i="73"/>
  <c r="CG65" i="73"/>
  <c r="CF65" i="73"/>
  <c r="CE65" i="73"/>
  <c r="CD65" i="73"/>
  <c r="CC65" i="73"/>
  <c r="CB65" i="73"/>
  <c r="CA65" i="73"/>
  <c r="BZ65" i="73"/>
  <c r="BY65" i="73"/>
  <c r="BX65" i="73"/>
  <c r="BW65" i="73"/>
  <c r="BV65" i="73"/>
  <c r="BU65" i="73"/>
  <c r="BT65" i="73"/>
  <c r="BS65" i="73"/>
  <c r="BR65" i="73"/>
  <c r="BQ65" i="73"/>
  <c r="BP65" i="73"/>
  <c r="BO65" i="73"/>
  <c r="BN65" i="73"/>
  <c r="BM65" i="73"/>
  <c r="BL65" i="73"/>
  <c r="BK65" i="73"/>
  <c r="BJ65" i="73"/>
  <c r="BI65" i="73"/>
  <c r="BH65" i="73"/>
  <c r="BG65" i="73"/>
  <c r="BF65" i="73"/>
  <c r="BE65" i="73"/>
  <c r="BD65" i="73"/>
  <c r="BC65" i="73"/>
  <c r="BB65" i="73"/>
  <c r="BA65" i="73"/>
  <c r="AZ65" i="73"/>
  <c r="AY65" i="73"/>
  <c r="AX65" i="73"/>
  <c r="AW65" i="73"/>
  <c r="AV65" i="73"/>
  <c r="AU65" i="73"/>
  <c r="AT65" i="73"/>
  <c r="AS65" i="73"/>
  <c r="AR65" i="73"/>
  <c r="AQ65" i="73"/>
  <c r="AP65" i="73"/>
  <c r="AO65" i="73"/>
  <c r="AN65" i="73"/>
  <c r="AM65" i="73"/>
  <c r="AL65" i="73"/>
  <c r="AK65" i="73"/>
  <c r="AJ65" i="73"/>
  <c r="AI65" i="73"/>
  <c r="AH65" i="73"/>
  <c r="AG65" i="73"/>
  <c r="AF65" i="73"/>
  <c r="AE65" i="73"/>
  <c r="AD65" i="73"/>
  <c r="AC65" i="73"/>
  <c r="AB65" i="73"/>
  <c r="AA65" i="73"/>
  <c r="Z65" i="73"/>
  <c r="Y65" i="73"/>
  <c r="X65" i="73"/>
  <c r="W65" i="73"/>
  <c r="V65" i="73"/>
  <c r="U65" i="73"/>
  <c r="T65" i="73"/>
  <c r="S65" i="73"/>
  <c r="R65" i="73"/>
  <c r="Q65" i="73"/>
  <c r="P65" i="73"/>
  <c r="O65" i="73"/>
  <c r="N65" i="73"/>
  <c r="M65" i="73"/>
  <c r="L65" i="73"/>
  <c r="K65" i="73"/>
  <c r="J65" i="73"/>
  <c r="I65" i="73"/>
  <c r="H65" i="73"/>
  <c r="G65" i="73"/>
  <c r="F65" i="73"/>
  <c r="E65" i="73"/>
  <c r="D65" i="73"/>
  <c r="C65" i="73"/>
  <c r="AZ58" i="12" l="1"/>
  <c r="AY58" i="12"/>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CX6" i="73"/>
  <c r="CW6" i="73"/>
  <c r="CV6" i="73"/>
  <c r="CU6" i="73"/>
  <c r="CT6" i="73"/>
  <c r="CS6" i="73"/>
  <c r="CR6" i="73"/>
  <c r="CQ6" i="73"/>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59" i="73" l="1"/>
  <c r="CX59" i="73"/>
  <c r="CW59" i="73"/>
  <c r="CV59" i="73"/>
  <c r="CU59" i="73"/>
  <c r="CT59" i="73"/>
  <c r="CS59" i="73"/>
  <c r="CR59" i="73"/>
  <c r="CQ59" i="73"/>
  <c r="CP59" i="73"/>
  <c r="CO59" i="73"/>
  <c r="CN59" i="73"/>
  <c r="CM59" i="73"/>
  <c r="CL59" i="73"/>
  <c r="CK59" i="73"/>
  <c r="CJ59" i="73"/>
  <c r="CI59" i="73"/>
  <c r="CH59" i="73"/>
  <c r="CG59" i="73"/>
  <c r="CF59" i="73"/>
  <c r="CE59" i="73"/>
  <c r="CD59" i="73"/>
  <c r="CC59" i="73"/>
  <c r="CB59" i="73"/>
  <c r="CA59" i="73"/>
  <c r="BZ59" i="73"/>
  <c r="BY59" i="73"/>
  <c r="BX59" i="73"/>
  <c r="BW59" i="73"/>
  <c r="BV59" i="73"/>
  <c r="BU59" i="73"/>
  <c r="BT59" i="73"/>
  <c r="BS59" i="73"/>
  <c r="BR59" i="73"/>
  <c r="BQ59" i="73"/>
  <c r="BP59" i="73"/>
  <c r="BO59" i="73"/>
  <c r="BN59" i="73"/>
  <c r="BM59" i="73"/>
  <c r="BL59" i="73"/>
  <c r="BK59" i="73"/>
  <c r="BJ59" i="73"/>
  <c r="BI59" i="73"/>
  <c r="BH59" i="73"/>
  <c r="BG59" i="73"/>
  <c r="BF59" i="73"/>
  <c r="BE59" i="73"/>
  <c r="BD59" i="73"/>
  <c r="BC59" i="73"/>
  <c r="BB59" i="73"/>
  <c r="BA59" i="73"/>
  <c r="AZ59" i="73"/>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V59" i="73"/>
  <c r="U59" i="73"/>
  <c r="T59" i="73"/>
  <c r="S59" i="73"/>
  <c r="R59" i="73"/>
  <c r="Q59" i="73"/>
  <c r="P59" i="73"/>
  <c r="O59" i="73"/>
  <c r="N59" i="73"/>
  <c r="M59" i="73"/>
  <c r="L59" i="73"/>
  <c r="K59" i="73"/>
  <c r="J59" i="73"/>
  <c r="I59" i="73"/>
  <c r="H59" i="73"/>
  <c r="G59" i="73"/>
  <c r="F59" i="73"/>
  <c r="E59" i="73"/>
  <c r="D59" i="73"/>
  <c r="C59" i="73"/>
  <c r="CY53" i="73"/>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U47" i="73"/>
  <c r="T47" i="73"/>
  <c r="S47" i="73"/>
  <c r="R47" i="73"/>
  <c r="Q47" i="73"/>
  <c r="P47" i="73"/>
  <c r="O47" i="73"/>
  <c r="N47" i="73"/>
  <c r="M47" i="73"/>
  <c r="L47" i="73"/>
  <c r="K47" i="73"/>
  <c r="J47" i="73"/>
  <c r="I47" i="73"/>
  <c r="H47" i="73"/>
  <c r="G47" i="73"/>
  <c r="F47" i="73"/>
  <c r="E47" i="73"/>
  <c r="D47" i="73"/>
  <c r="C47" i="73"/>
  <c r="CY344" i="73" l="1"/>
  <c r="CY345"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W377" i="36" l="1"/>
  <c r="W376" i="36"/>
  <c r="R376" i="36"/>
  <c r="AZ18" i="9" l="1"/>
  <c r="AU30" i="45"/>
  <c r="Y34" i="81" l="1"/>
  <c r="Y31" i="81"/>
  <c r="Y18" i="81"/>
  <c r="Y15" i="81"/>
  <c r="AO89" i="68"/>
  <c r="AO78" i="68"/>
  <c r="AO76" i="68"/>
  <c r="AO67" i="68"/>
  <c r="AO57" i="68"/>
  <c r="AO53" i="68"/>
  <c r="AO50" i="68"/>
  <c r="AO45" i="68"/>
  <c r="AO31" i="68"/>
  <c r="AO28" i="68"/>
  <c r="AO26" i="68"/>
  <c r="AO23" i="68"/>
  <c r="AO20" i="68"/>
  <c r="AR10" i="66"/>
  <c r="AR23" i="55"/>
  <c r="AT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32"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51" i="48"/>
  <c r="AS45" i="48"/>
  <c r="AS26" i="48"/>
  <c r="AS21" i="48"/>
  <c r="AN8" i="72"/>
  <c r="AN21" i="72" s="1"/>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U26" i="45"/>
  <c r="AS27" i="45"/>
  <c r="AU27" i="45"/>
  <c r="AS28" i="45"/>
  <c r="AU28" i="45"/>
  <c r="AS29" i="45"/>
  <c r="AU29" i="45"/>
  <c r="AS30" i="45"/>
  <c r="AS31" i="45"/>
  <c r="AU31" i="45"/>
  <c r="AS32" i="45"/>
  <c r="AU32" i="45"/>
  <c r="AS23" i="45"/>
  <c r="AS13" i="45"/>
  <c r="FM11" i="43"/>
  <c r="FL11" i="43"/>
  <c r="FK11" i="43"/>
  <c r="FN4" i="43"/>
  <c r="FK3" i="43"/>
  <c r="FM36" i="43"/>
  <c r="FL36" i="43"/>
  <c r="FK36" i="43"/>
  <c r="FM18" i="43"/>
  <c r="FL18" i="43"/>
  <c r="FK18" i="43"/>
  <c r="AS18" i="44"/>
  <c r="AS14" i="44"/>
  <c r="AS11" i="44"/>
  <c r="Y51" i="42"/>
  <c r="Y53" i="42"/>
  <c r="M51" i="42"/>
  <c r="AR22" i="53" l="1"/>
  <c r="AR24" i="53" s="1"/>
  <c r="AV78" i="46"/>
  <c r="AR90" i="71"/>
  <c r="AO32" i="68"/>
  <c r="FL37" i="43"/>
  <c r="FM37" i="43"/>
  <c r="AO58" i="68"/>
  <c r="AV21" i="46"/>
  <c r="AR51" i="52"/>
  <c r="AO51" i="68"/>
  <c r="AV59" i="46"/>
  <c r="AR24" i="55"/>
  <c r="AS21" i="44"/>
  <c r="AS33" i="45"/>
  <c r="AU33" i="45"/>
  <c r="AR27" i="65"/>
  <c r="AR57" i="49"/>
  <c r="AS52" i="48"/>
  <c r="AS27" i="48"/>
  <c r="AV40" i="46"/>
  <c r="FK37" i="43"/>
  <c r="AS17" i="44"/>
  <c r="AO59" i="68" l="1"/>
  <c r="AS18" i="39"/>
  <c r="AS9" i="39"/>
  <c r="I28" i="38"/>
  <c r="H28" i="38"/>
  <c r="G28" i="38"/>
  <c r="F28" i="38"/>
  <c r="E28" i="38"/>
  <c r="D28" i="38"/>
  <c r="C28" i="38"/>
  <c r="W357" i="36"/>
  <c r="W356" i="36"/>
  <c r="W355" i="36"/>
  <c r="W354" i="36"/>
  <c r="W353" i="36"/>
  <c r="W352" i="36"/>
  <c r="W351" i="36"/>
  <c r="W350" i="36"/>
  <c r="W349" i="36"/>
  <c r="R357" i="36"/>
  <c r="R356" i="36"/>
  <c r="R355" i="36"/>
  <c r="R354" i="36"/>
  <c r="R353" i="36"/>
  <c r="R352" i="36"/>
  <c r="R351" i="36"/>
  <c r="R350" i="36"/>
  <c r="R349" i="36"/>
  <c r="L358" i="36"/>
  <c r="M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U25" i="32"/>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23" i="23"/>
  <c r="M23" i="23"/>
  <c r="L23" i="23"/>
  <c r="K23" i="23"/>
  <c r="J23" i="23"/>
  <c r="G23" i="23"/>
  <c r="F23" i="23"/>
  <c r="E23" i="23"/>
  <c r="D23" i="23"/>
  <c r="C23" i="23"/>
  <c r="AR13" i="24"/>
  <c r="EA21" i="34" l="1"/>
  <c r="EA27" i="34" s="1"/>
  <c r="DY27" i="34"/>
  <c r="AS45" i="33"/>
  <c r="AS42" i="33"/>
  <c r="AU26" i="32"/>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Q333" i="79" s="1"/>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N78" i="63"/>
  <c r="AN54" i="63"/>
  <c r="AN45" i="63"/>
  <c r="AO92" i="63" l="1"/>
  <c r="Q321" i="79"/>
  <c r="AQ39" i="67"/>
  <c r="AZ14" i="9"/>
  <c r="Q332" i="79"/>
  <c r="BA118" i="9" l="1"/>
  <c r="BA45" i="9" l="1"/>
  <c r="BB193" i="77" l="1"/>
  <c r="BA193" i="77"/>
  <c r="AZ8" i="12" l="1"/>
  <c r="AZ36" i="12"/>
  <c r="AZ37" i="10"/>
  <c r="AZ10" i="10"/>
  <c r="AZ12" i="10" s="1"/>
  <c r="AZ14" i="10" s="1"/>
  <c r="AZ37" i="1"/>
  <c r="AZ9" i="1"/>
  <c r="AZ11" i="1" s="1"/>
  <c r="AZ13" i="1" s="1"/>
  <c r="BE6" i="2"/>
  <c r="BE21" i="2"/>
  <c r="AR25" i="55" s="1"/>
  <c r="BG11" i="2"/>
  <c r="BE11" i="2"/>
  <c r="AZ52" i="9" s="1"/>
  <c r="BD11" i="2"/>
  <c r="BH76" i="3"/>
  <c r="BH60" i="3"/>
  <c r="BH42" i="3"/>
  <c r="AZ7" i="9" s="1"/>
  <c r="BH33" i="3"/>
  <c r="BH23" i="3"/>
  <c r="BH6" i="3"/>
  <c r="C340" i="73"/>
  <c r="D338" i="73"/>
  <c r="D340" i="73" s="1"/>
  <c r="CY347" i="73"/>
  <c r="CY41" i="73"/>
  <c r="CY33" i="73"/>
  <c r="CY25" i="73"/>
  <c r="CY12" i="73"/>
  <c r="CY251" i="73"/>
  <c r="CY247" i="73"/>
  <c r="AD192" i="77"/>
  <c r="AD193" i="77"/>
  <c r="AD194" i="77"/>
  <c r="AD195" i="77"/>
  <c r="AD196" i="77"/>
  <c r="BB52" i="9" l="1"/>
  <c r="AZ17" i="9"/>
  <c r="BE10" i="2"/>
  <c r="AR11" i="53" s="1"/>
  <c r="AS11" i="30"/>
  <c r="AZ50" i="9"/>
  <c r="AZ53" i="9" s="1"/>
  <c r="BH39" i="3"/>
  <c r="AZ8" i="9"/>
  <c r="AZ6" i="9"/>
  <c r="CY67" i="73"/>
  <c r="CY61" i="73"/>
  <c r="CY73" i="73"/>
  <c r="CY19" i="73"/>
  <c r="CY49" i="73"/>
  <c r="CY55" i="73"/>
  <c r="CY43" i="73"/>
  <c r="AZ10" i="12"/>
  <c r="AZ12" i="12" s="1"/>
  <c r="AZ14" i="12" s="1"/>
  <c r="BA192" i="77"/>
  <c r="AZ16" i="10"/>
  <c r="AZ15" i="1"/>
  <c r="BH87" i="3"/>
  <c r="CY27" i="73"/>
  <c r="CY35" i="73"/>
  <c r="BB192" i="77"/>
  <c r="AZ35" i="10" l="1"/>
  <c r="AZ40" i="1"/>
  <c r="AZ43" i="1" s="1"/>
  <c r="AZ45" i="1" s="1"/>
  <c r="AZ48" i="1" s="1"/>
  <c r="AZ34" i="12"/>
  <c r="BE16" i="2"/>
  <c r="BE19" i="2" s="1"/>
  <c r="BE24" i="2" s="1"/>
  <c r="BE26" i="2" s="1"/>
  <c r="BE28" i="2" s="1"/>
  <c r="BE30" i="2" s="1"/>
  <c r="BH88" i="3"/>
  <c r="AZ39" i="12"/>
  <c r="AZ42" i="12" s="1"/>
  <c r="AZ44" i="12" s="1"/>
  <c r="AZ48" i="12" s="1"/>
  <c r="AZ50" i="12" s="1"/>
  <c r="AZ40" i="10"/>
  <c r="AZ43" i="10" s="1"/>
  <c r="AZ45" i="10" s="1"/>
  <c r="AZ48" i="10" s="1"/>
  <c r="AZ35" i="1"/>
  <c r="CX347" i="73"/>
  <c r="CX346" i="73"/>
  <c r="CX41" i="73"/>
  <c r="CX345" i="73" s="1"/>
  <c r="CX33" i="73"/>
  <c r="CX344" i="73" s="1"/>
  <c r="CX25" i="73"/>
  <c r="CX12" i="73"/>
  <c r="CX251" i="73"/>
  <c r="CX247" i="73"/>
  <c r="AD191" i="77"/>
  <c r="AZ35" i="12" l="1"/>
  <c r="AZ36" i="1"/>
  <c r="AZ36" i="10"/>
  <c r="AN18" i="63"/>
  <c r="AN63" i="63" s="1"/>
  <c r="AN6" i="63" s="1"/>
  <c r="AN11" i="63" s="1"/>
  <c r="AN14" i="63" s="1"/>
  <c r="CX73" i="73"/>
  <c r="CX61" i="73"/>
  <c r="CX67" i="73"/>
  <c r="CX27" i="73"/>
  <c r="CX49" i="73"/>
  <c r="CX55" i="73"/>
  <c r="CX43" i="73"/>
  <c r="CX35" i="73"/>
  <c r="BB191" i="77"/>
  <c r="CX19" i="73"/>
  <c r="BA191" i="77"/>
  <c r="AN91" i="63" l="1"/>
  <c r="DW24" i="34" l="1"/>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CW347" i="73" l="1"/>
  <c r="CW346" i="73"/>
  <c r="CW41" i="73"/>
  <c r="CW345" i="73" s="1"/>
  <c r="CW33" i="73"/>
  <c r="CW344" i="73" s="1"/>
  <c r="CW25" i="73"/>
  <c r="CW12" i="73"/>
  <c r="CW251" i="73"/>
  <c r="CW247" i="73"/>
  <c r="CW61" i="73" l="1"/>
  <c r="CW73" i="73"/>
  <c r="CW67" i="73"/>
  <c r="CW19" i="73"/>
  <c r="CW43" i="73"/>
  <c r="CW49" i="73"/>
  <c r="CW55" i="73"/>
  <c r="CW27" i="73"/>
  <c r="CW35" i="73"/>
  <c r="R380" i="36" l="1"/>
  <c r="R378" i="36"/>
  <c r="J347" i="36"/>
  <c r="J358" i="36" s="1"/>
  <c r="J370" i="36" s="1"/>
  <c r="J382" i="36" s="1"/>
  <c r="F29" i="23" l="1"/>
  <c r="M29" i="23"/>
  <c r="G29" i="23"/>
  <c r="L29" i="23"/>
  <c r="N29" i="23"/>
  <c r="E29" i="23"/>
  <c r="C29" i="23"/>
  <c r="K29" i="23"/>
  <c r="D29" i="23"/>
  <c r="J29" i="23"/>
  <c r="K11" i="23" l="1"/>
  <c r="J11" i="23"/>
  <c r="C11" i="23" l="1"/>
  <c r="D11" i="23"/>
  <c r="DK24" i="34" l="1"/>
  <c r="DJ24" i="34"/>
  <c r="CV24" i="34"/>
  <c r="R374" i="36"/>
  <c r="EF24" i="34"/>
  <c r="EE24" i="34"/>
  <c r="AT41" i="33"/>
  <c r="AU29" i="32"/>
  <c r="AU28" i="32"/>
  <c r="AT12" i="31" l="1"/>
  <c r="AT11" i="31" s="1"/>
  <c r="AT45" i="33"/>
  <c r="AU27" i="32"/>
  <c r="R375" i="36"/>
  <c r="R381" i="36"/>
  <c r="R373" i="36"/>
  <c r="R379" i="36"/>
  <c r="R372" i="36"/>
  <c r="R377" i="36"/>
  <c r="AT42" i="33" l="1"/>
  <c r="AM93" i="63"/>
  <c r="AN92" i="63" s="1"/>
  <c r="AN95" i="63" s="1"/>
  <c r="EG14" i="34" l="1"/>
  <c r="F12" i="38" l="1"/>
  <c r="E12" i="38"/>
  <c r="D12" i="38"/>
  <c r="I12" i="38"/>
  <c r="C12"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U7" i="30"/>
  <c r="AY10" i="10"/>
  <c r="EG25" i="34" l="1"/>
  <c r="EG24" i="34" s="1"/>
  <c r="EF27" i="34"/>
  <c r="AQ78" i="68" l="1"/>
  <c r="AQ53" i="68"/>
  <c r="AQ50" i="68"/>
  <c r="AQ28" i="68"/>
  <c r="AQ26" i="68"/>
  <c r="AQ23" i="68"/>
  <c r="AA15" i="81"/>
  <c r="AT88" i="71"/>
  <c r="AT84" i="71"/>
  <c r="AT44" i="52"/>
  <c r="AT50" i="52"/>
  <c r="AT49" i="52"/>
  <c r="AT48" i="52"/>
  <c r="AT47" i="52"/>
  <c r="AT46" i="52"/>
  <c r="AT56" i="49"/>
  <c r="AT55" i="49"/>
  <c r="AT51" i="49"/>
  <c r="AT50" i="49"/>
  <c r="AT48" i="49"/>
  <c r="AT46" i="49"/>
  <c r="AP8" i="72"/>
  <c r="AX109" i="46"/>
  <c r="AX108" i="46"/>
  <c r="FU18" i="43"/>
  <c r="FU36" i="43"/>
  <c r="FS36" i="43"/>
  <c r="FV36" i="43"/>
  <c r="FV26" i="43"/>
  <c r="FU26" i="43"/>
  <c r="FS26" i="43"/>
  <c r="FX4" i="43"/>
  <c r="FS3" i="43"/>
  <c r="AU11" i="44"/>
  <c r="AU18" i="44"/>
  <c r="AU14" i="44" l="1"/>
  <c r="AU21" i="44" s="1"/>
  <c r="AU22" i="44" s="1"/>
  <c r="AA34" i="81"/>
  <c r="AX76" i="46"/>
  <c r="AT42" i="49"/>
  <c r="AX77" i="46"/>
  <c r="AX110" i="46"/>
  <c r="AT43" i="49"/>
  <c r="AT44" i="49"/>
  <c r="AT53" i="49"/>
  <c r="AQ57" i="68"/>
  <c r="AQ58" i="68" s="1"/>
  <c r="AX19" i="46"/>
  <c r="AU9" i="39"/>
  <c r="AX38" i="46"/>
  <c r="AU51" i="48"/>
  <c r="AT54" i="49"/>
  <c r="AX58" i="46"/>
  <c r="AX53" i="46"/>
  <c r="AX37" i="46"/>
  <c r="AA31" i="81"/>
  <c r="N171" i="80"/>
  <c r="AQ76" i="68"/>
  <c r="AX18" i="46"/>
  <c r="AX57" i="46"/>
  <c r="AX47" i="46"/>
  <c r="AX72" i="46"/>
  <c r="AU21" i="48"/>
  <c r="AT52" i="49"/>
  <c r="AT10" i="66"/>
  <c r="AX20" i="46"/>
  <c r="AU26" i="48"/>
  <c r="AT47" i="49"/>
  <c r="AT39" i="49"/>
  <c r="F172" i="80"/>
  <c r="AU23" i="45"/>
  <c r="AT45" i="49"/>
  <c r="AX39" i="46"/>
  <c r="FU11" i="43"/>
  <c r="AX15" i="46"/>
  <c r="AX34" i="46"/>
  <c r="N174" i="80"/>
  <c r="FV18" i="43"/>
  <c r="FV37" i="43" s="1"/>
  <c r="AX66" i="46"/>
  <c r="AT49" i="49"/>
  <c r="AA18" i="81"/>
  <c r="AQ20" i="68"/>
  <c r="AQ31" i="68"/>
  <c r="N172" i="80"/>
  <c r="F174" i="80"/>
  <c r="F171" i="80"/>
  <c r="AT4" i="55"/>
  <c r="AT23" i="65"/>
  <c r="AT24" i="65"/>
  <c r="AT25" i="65"/>
  <c r="AT22" i="65"/>
  <c r="AT11" i="65"/>
  <c r="AT23" i="53"/>
  <c r="AT15" i="53"/>
  <c r="AT17" i="53" s="1"/>
  <c r="AT21" i="53"/>
  <c r="AT20" i="53"/>
  <c r="AT8" i="53"/>
  <c r="AT10" i="53" s="1"/>
  <c r="AT19" i="52"/>
  <c r="AT21" i="49"/>
  <c r="AU45" i="48"/>
  <c r="AX107" i="46"/>
  <c r="AX111" i="46"/>
  <c r="AX112" i="46"/>
  <c r="AX9" i="46"/>
  <c r="AX56" i="46"/>
  <c r="AX28" i="46"/>
  <c r="AX75" i="46"/>
  <c r="AU13" i="45"/>
  <c r="AU14" i="45" s="1"/>
  <c r="FU37" i="43"/>
  <c r="FS18" i="43"/>
  <c r="FS37" i="43" s="1"/>
  <c r="FV11" i="43"/>
  <c r="FS11" i="43"/>
  <c r="AU18" i="39"/>
  <c r="AU52" i="48" l="1"/>
  <c r="AU27" i="48"/>
  <c r="AU17" i="44"/>
  <c r="AX21" i="46"/>
  <c r="AT57" i="49"/>
  <c r="AX40" i="46"/>
  <c r="AX78" i="46"/>
  <c r="AX59" i="46"/>
  <c r="AT22" i="53"/>
  <c r="AT24" i="53" s="1"/>
  <c r="AQ32" i="68"/>
  <c r="G12" i="38" l="1"/>
  <c r="W380" i="36"/>
  <c r="W378" i="36"/>
  <c r="EG23" i="34"/>
  <c r="EF23" i="34"/>
  <c r="EE23" i="34"/>
  <c r="EG20" i="34"/>
  <c r="EG19" i="34"/>
  <c r="EG18" i="34"/>
  <c r="EG17" i="34"/>
  <c r="EG15" i="34"/>
  <c r="EG13" i="34"/>
  <c r="EG12" i="34"/>
  <c r="EG9" i="34"/>
  <c r="AT17" i="33"/>
  <c r="AU47" i="61"/>
  <c r="AU46" i="61"/>
  <c r="AU45" i="61"/>
  <c r="AU43" i="61"/>
  <c r="AU42" i="61"/>
  <c r="AU41" i="61"/>
  <c r="AU15" i="30"/>
  <c r="AU16" i="29"/>
  <c r="J12" i="76"/>
  <c r="J11" i="76"/>
  <c r="BA117" i="9"/>
  <c r="AY52" i="9"/>
  <c r="AY49" i="9"/>
  <c r="AY12" i="9"/>
  <c r="AY18" i="9"/>
  <c r="AY13" i="9"/>
  <c r="AZ45" i="9"/>
  <c r="AT26" i="31" l="1"/>
  <c r="AT27" i="31"/>
  <c r="AU21" i="30"/>
  <c r="AU22" i="30" s="1"/>
  <c r="W373" i="36"/>
  <c r="AU39" i="61"/>
  <c r="AT28" i="33"/>
  <c r="AT21" i="31"/>
  <c r="AT20" i="31" s="1"/>
  <c r="EG10" i="34"/>
  <c r="AU17" i="29"/>
  <c r="AU18" i="29" s="1"/>
  <c r="AU10" i="26"/>
  <c r="AU38" i="61"/>
  <c r="AU40" i="61"/>
  <c r="EG8" i="34"/>
  <c r="AT13" i="24"/>
  <c r="M11" i="23"/>
  <c r="AU44" i="61"/>
  <c r="N11" i="23"/>
  <c r="AT25" i="31"/>
  <c r="AU19" i="61"/>
  <c r="AU8" i="29"/>
  <c r="AU13" i="29"/>
  <c r="L11" i="23"/>
  <c r="AT28" i="31"/>
  <c r="AU50" i="61"/>
  <c r="EG11" i="34"/>
  <c r="AU32" i="61"/>
  <c r="AU24" i="30"/>
  <c r="AU18" i="30"/>
  <c r="EE21" i="34"/>
  <c r="AT24" i="31"/>
  <c r="AU20" i="26"/>
  <c r="AU35" i="61"/>
  <c r="AT14" i="33"/>
  <c r="AT18" i="33" s="1"/>
  <c r="AT31" i="33"/>
  <c r="EF21" i="34"/>
  <c r="EG16" i="34"/>
  <c r="W375" i="36"/>
  <c r="EG7" i="34"/>
  <c r="AU49" i="61"/>
  <c r="AU16" i="61"/>
  <c r="AU10" i="30"/>
  <c r="E11" i="23"/>
  <c r="F11" i="23"/>
  <c r="G11" i="23"/>
  <c r="AY14" i="9"/>
  <c r="AT30" i="31" l="1"/>
  <c r="AT29" i="31" s="1"/>
  <c r="AU48" i="61"/>
  <c r="H12" i="38"/>
  <c r="AU25" i="30"/>
  <c r="EE27" i="34"/>
  <c r="EG21" i="34"/>
  <c r="EG27" i="34" s="1"/>
  <c r="AU51" i="61"/>
  <c r="AP33" i="67" l="1"/>
  <c r="AP29" i="67"/>
  <c r="AP22" i="67"/>
  <c r="AP17" i="67"/>
  <c r="AP20" i="67" s="1"/>
  <c r="AP13" i="67"/>
  <c r="AP9" i="67"/>
  <c r="AP39" i="67" l="1"/>
  <c r="X22" i="13" l="1"/>
  <c r="X21" i="13"/>
  <c r="X20" i="13"/>
  <c r="X19" i="13"/>
  <c r="X18" i="13"/>
  <c r="AY36" i="12"/>
  <c r="AY8" i="12"/>
  <c r="AY12" i="10"/>
  <c r="AY37" i="10"/>
  <c r="AY9" i="1"/>
  <c r="AY11" i="1" s="1"/>
  <c r="AY37" i="1"/>
  <c r="BD21" i="2"/>
  <c r="BD6" i="2"/>
  <c r="AY50" i="9" s="1"/>
  <c r="BG76" i="3"/>
  <c r="AY17" i="9" s="1"/>
  <c r="BG60" i="3"/>
  <c r="BG42" i="3"/>
  <c r="AY7" i="9" s="1"/>
  <c r="BG33" i="3"/>
  <c r="BG23" i="3"/>
  <c r="BG6" i="3"/>
  <c r="AY13" i="1" l="1"/>
  <c r="AY15" i="1" s="1"/>
  <c r="BD10" i="2"/>
  <c r="BD16" i="2" s="1"/>
  <c r="BD19" i="2" s="1"/>
  <c r="AY14" i="10"/>
  <c r="AY16" i="10" s="1"/>
  <c r="BG87" i="3"/>
  <c r="BG39" i="3"/>
  <c r="AY8" i="9"/>
  <c r="AY6" i="9"/>
  <c r="AY10" i="12"/>
  <c r="AY35" i="1" l="1"/>
  <c r="BD24" i="2"/>
  <c r="BD26" i="2" s="1"/>
  <c r="BD28" i="2" s="1"/>
  <c r="BD30" i="2" s="1"/>
  <c r="K11" i="76" s="1"/>
  <c r="BG88" i="3"/>
  <c r="AY35" i="10"/>
  <c r="AY40" i="1"/>
  <c r="AY12" i="12"/>
  <c r="AY14" i="12" s="1"/>
  <c r="AY40" i="10"/>
  <c r="CV347" i="73"/>
  <c r="CV346" i="73"/>
  <c r="CV41" i="73"/>
  <c r="CV345" i="73" s="1"/>
  <c r="CV33" i="73"/>
  <c r="CV344" i="73" s="1"/>
  <c r="CV25" i="73"/>
  <c r="CV12" i="73"/>
  <c r="CV251" i="73"/>
  <c r="CV247" i="73"/>
  <c r="AY36" i="1" l="1"/>
  <c r="AM18" i="63"/>
  <c r="AY36" i="10"/>
  <c r="AY43" i="10"/>
  <c r="AY45" i="10" s="1"/>
  <c r="AY48" i="10" s="1"/>
  <c r="AY43" i="1"/>
  <c r="AY45" i="1" s="1"/>
  <c r="AY48" i="1" s="1"/>
  <c r="CV73" i="73"/>
  <c r="CV67" i="73"/>
  <c r="CV61" i="73"/>
  <c r="CV49" i="73"/>
  <c r="CV43" i="73"/>
  <c r="CV55" i="73"/>
  <c r="AY39" i="12"/>
  <c r="AY34" i="12"/>
  <c r="BB190" i="77"/>
  <c r="BA190" i="77"/>
  <c r="BB189" i="77"/>
  <c r="BA189" i="77"/>
  <c r="CV19" i="73"/>
  <c r="CV35" i="73"/>
  <c r="CV27" i="73"/>
  <c r="CU347" i="73"/>
  <c r="CU346" i="73"/>
  <c r="CU41" i="73"/>
  <c r="CU345" i="73" s="1"/>
  <c r="CU33" i="73"/>
  <c r="CU344" i="73" s="1"/>
  <c r="CU25" i="73"/>
  <c r="CU12" i="73"/>
  <c r="CU251" i="73"/>
  <c r="CU247" i="73"/>
  <c r="AY42" i="12" l="1"/>
  <c r="AY44" i="12" s="1"/>
  <c r="AY48" i="12" s="1"/>
  <c r="CU67" i="73"/>
  <c r="CU73" i="73"/>
  <c r="CU61" i="73"/>
  <c r="CU49" i="73"/>
  <c r="CU55" i="73"/>
  <c r="CU43" i="73"/>
  <c r="AY35" i="12"/>
  <c r="CU27" i="73"/>
  <c r="CU19" i="73"/>
  <c r="CU35" i="73"/>
  <c r="AY50" i="12" l="1"/>
  <c r="BB188" i="77"/>
  <c r="BA188" i="77"/>
  <c r="O311" i="79" l="1"/>
  <c r="Q311" i="79" s="1"/>
  <c r="CT347" i="73" l="1"/>
  <c r="CT346" i="73"/>
  <c r="CT41" i="73"/>
  <c r="CT345" i="73" s="1"/>
  <c r="CT33" i="73"/>
  <c r="CT344" i="73" s="1"/>
  <c r="CT25" i="73"/>
  <c r="CT12" i="73"/>
  <c r="CT251" i="73"/>
  <c r="CT247" i="73"/>
  <c r="CT61" i="73" l="1"/>
  <c r="CT67" i="73"/>
  <c r="CT73" i="73"/>
  <c r="CT27" i="73"/>
  <c r="CT55" i="73"/>
  <c r="CT43" i="73"/>
  <c r="CT49" i="73"/>
  <c r="CT35" i="73"/>
  <c r="CT19" i="73"/>
  <c r="FH18" i="43"/>
  <c r="DB17" i="43"/>
  <c r="DF17" i="43" s="1"/>
  <c r="DJ17" i="43" s="1"/>
  <c r="BQ17" i="43"/>
  <c r="FG18" i="43" l="1"/>
  <c r="DN17" i="43"/>
  <c r="DR17" i="43" s="1"/>
  <c r="BU17" i="43"/>
  <c r="BY17" i="43" s="1"/>
  <c r="FJ8" i="43"/>
  <c r="FN8" i="43" s="1"/>
  <c r="FR8" i="43" s="1"/>
  <c r="FX8" i="43" s="1"/>
  <c r="CC17" i="43" l="1"/>
  <c r="DZ17" i="43"/>
  <c r="ED17" i="43" l="1"/>
  <c r="CG17" i="43"/>
  <c r="CJ17" i="43" s="1"/>
  <c r="CM17" i="43" s="1"/>
  <c r="EH17" i="43" l="1"/>
  <c r="EL17" i="43" s="1"/>
  <c r="EP17" i="43" l="1"/>
  <c r="ET17" i="43" l="1"/>
  <c r="EX17" i="43" s="1"/>
  <c r="FB17" i="43" l="1"/>
  <c r="FF17" i="43" l="1"/>
  <c r="FJ17" i="43" s="1"/>
  <c r="FN17" i="43" s="1"/>
  <c r="FR17" i="43" l="1"/>
  <c r="FX17" i="43" s="1"/>
  <c r="W372" i="36"/>
  <c r="O317" i="79"/>
  <c r="Q317" i="79" s="1"/>
  <c r="O315" i="79"/>
  <c r="Q315" i="79" s="1"/>
  <c r="O312" i="79"/>
  <c r="Q312" i="79" s="1"/>
  <c r="FI18" i="43"/>
  <c r="FI11" i="43"/>
  <c r="AP21" i="72" l="1"/>
  <c r="O314" i="79"/>
  <c r="Q314" i="79" s="1"/>
  <c r="O310" i="79"/>
  <c r="O313" i="79"/>
  <c r="Q313" i="79" s="1"/>
  <c r="O318" i="79"/>
  <c r="Q318" i="79" s="1"/>
  <c r="O316" i="79"/>
  <c r="Q316" i="79" s="1"/>
  <c r="AP24" i="72" l="1"/>
  <c r="Q310" i="79"/>
  <c r="AT13" i="55" l="1"/>
  <c r="AT24" i="55" s="1"/>
  <c r="AY45" i="9"/>
  <c r="BG21" i="2" l="1"/>
  <c r="AN78" i="68"/>
  <c r="AN53" i="68"/>
  <c r="AN31" i="68"/>
  <c r="AN28" i="68"/>
  <c r="AN26" i="68"/>
  <c r="AN23" i="68"/>
  <c r="AT25" i="55" l="1"/>
  <c r="AN50" i="68"/>
  <c r="AN67" i="68"/>
  <c r="AN20" i="68"/>
  <c r="AN32" i="68" s="1"/>
  <c r="AN45" i="68"/>
  <c r="AN57" i="68"/>
  <c r="AN58" i="68" s="1"/>
  <c r="AN89" i="68"/>
  <c r="AN76" i="68"/>
  <c r="AN51" i="68" l="1"/>
  <c r="AN59" i="68" s="1"/>
  <c r="N152" i="80"/>
  <c r="X34" i="81"/>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AU20" i="46"/>
  <c r="AU21" i="46" s="1"/>
  <c r="AQ54" i="49"/>
  <c r="AQ44" i="49"/>
  <c r="X18" i="81"/>
  <c r="AU53" i="46"/>
  <c r="AR51" i="48"/>
  <c r="AQ45" i="49"/>
  <c r="AQ53" i="49"/>
  <c r="AQ49" i="49"/>
  <c r="AQ43" i="52"/>
  <c r="AQ10" i="66"/>
  <c r="X31" i="81"/>
  <c r="F151" i="80"/>
  <c r="AQ39" i="49"/>
  <c r="F152" i="80"/>
  <c r="AU9" i="46"/>
  <c r="AU39" i="46"/>
  <c r="AR26" i="48"/>
  <c r="AU37" i="46"/>
  <c r="AU56" i="46"/>
  <c r="AU77" i="46"/>
  <c r="AR21" i="48"/>
  <c r="AR23" i="45"/>
  <c r="AU75" i="46"/>
  <c r="AQ24" i="65"/>
  <c r="X15" i="81"/>
  <c r="N150" i="80"/>
  <c r="F150" i="80"/>
  <c r="N151" i="80"/>
  <c r="AQ23" i="55"/>
  <c r="AQ25" i="65"/>
  <c r="AQ19" i="65"/>
  <c r="AQ22" i="65"/>
  <c r="AQ11" i="65"/>
  <c r="AQ23" i="65"/>
  <c r="AQ20" i="53"/>
  <c r="AQ38" i="52"/>
  <c r="AQ35" i="52"/>
  <c r="AQ39" i="52"/>
  <c r="AQ41" i="52"/>
  <c r="AQ45" i="52"/>
  <c r="AQ19" i="52"/>
  <c r="AQ40" i="52"/>
  <c r="AQ47" i="49"/>
  <c r="AQ21" i="49"/>
  <c r="AQ22" i="49" s="1"/>
  <c r="AR45" i="48"/>
  <c r="AU112" i="46"/>
  <c r="AU111" i="46"/>
  <c r="AU72" i="46"/>
  <c r="AU78" i="46" s="1"/>
  <c r="AU28" i="46"/>
  <c r="AU15" i="46"/>
  <c r="AU34" i="46"/>
  <c r="AR13" i="45"/>
  <c r="AR14" i="45" s="1"/>
  <c r="FH36" i="43"/>
  <c r="FG36" i="43"/>
  <c r="FI26" i="43"/>
  <c r="FH26" i="43"/>
  <c r="FG26" i="43"/>
  <c r="FH11" i="43"/>
  <c r="FJ4" i="43"/>
  <c r="FG3" i="43"/>
  <c r="AR18" i="44"/>
  <c r="G35" i="38"/>
  <c r="W345" i="36"/>
  <c r="R345" i="36"/>
  <c r="W343" i="36"/>
  <c r="R343" i="36"/>
  <c r="W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AR52" i="48"/>
  <c r="DX7" i="34"/>
  <c r="DX16" i="34"/>
  <c r="AQ57" i="49"/>
  <c r="AR39" i="61"/>
  <c r="AR10" i="26"/>
  <c r="AR12" i="26" s="1"/>
  <c r="AR13" i="26" s="1"/>
  <c r="AR10" i="30"/>
  <c r="AR11" i="30" s="1"/>
  <c r="DW21" i="34"/>
  <c r="DW27" i="34" s="1"/>
  <c r="Y50" i="42"/>
  <c r="W342" i="36"/>
  <c r="AR44" i="33"/>
  <c r="AR20" i="26"/>
  <c r="AR22" i="26" s="1"/>
  <c r="AR23" i="26" s="1"/>
  <c r="AR32" i="61"/>
  <c r="AQ27" i="31"/>
  <c r="AR36" i="33"/>
  <c r="AR18" i="29"/>
  <c r="AR37" i="33"/>
  <c r="AR31" i="33"/>
  <c r="W341" i="36"/>
  <c r="AR18" i="30"/>
  <c r="AQ21" i="31"/>
  <c r="AQ20" i="31" s="1"/>
  <c r="AR40" i="61"/>
  <c r="AR38" i="33"/>
  <c r="DV21" i="34"/>
  <c r="DX11" i="34"/>
  <c r="R342" i="36"/>
  <c r="D37" i="38"/>
  <c r="AR16" i="61"/>
  <c r="AR35" i="61"/>
  <c r="AR43" i="33"/>
  <c r="DX9" i="34"/>
  <c r="DX12" i="34"/>
  <c r="F37" i="38"/>
  <c r="G33" i="38"/>
  <c r="AR11" i="44"/>
  <c r="FI36" i="43"/>
  <c r="FI37" i="43" s="1"/>
  <c r="E37" i="38"/>
  <c r="M50" i="42"/>
  <c r="AQ25" i="31"/>
  <c r="AQ28" i="31"/>
  <c r="AR28" i="33"/>
  <c r="DX10" i="34"/>
  <c r="DX25" i="34"/>
  <c r="DX24" i="34" s="1"/>
  <c r="G34" i="38"/>
  <c r="AR38" i="61"/>
  <c r="AR39" i="33"/>
  <c r="C37" i="38"/>
  <c r="G32" i="38"/>
  <c r="AR14" i="44"/>
  <c r="AR27" i="48"/>
  <c r="AQ27" i="65"/>
  <c r="AQ51" i="52"/>
  <c r="AU40" i="46"/>
  <c r="FG37" i="43"/>
  <c r="FH37" i="43"/>
  <c r="AR14" i="33"/>
  <c r="AR18" i="33" s="1"/>
  <c r="AQ12" i="31"/>
  <c r="AQ11" i="31" s="1"/>
  <c r="AR44" i="61"/>
  <c r="AQ13" i="24"/>
  <c r="AR26" i="32"/>
  <c r="AR51" i="61"/>
  <c r="AR24" i="30"/>
  <c r="AR41" i="33"/>
  <c r="AR21" i="30"/>
  <c r="AR22" i="30" s="1"/>
  <c r="AR9" i="39"/>
  <c r="FG11" i="43"/>
  <c r="AR18" i="39"/>
  <c r="R344" i="36"/>
  <c r="R340" i="36"/>
  <c r="R339" i="36"/>
  <c r="R341" i="36"/>
  <c r="R346" i="36"/>
  <c r="W339" i="36"/>
  <c r="DX8" i="34"/>
  <c r="AR34" i="33"/>
  <c r="AR35" i="33"/>
  <c r="AR17" i="33"/>
  <c r="AR19" i="61"/>
  <c r="AR20" i="61" s="1"/>
  <c r="AR41" i="61"/>
  <c r="AR8" i="29"/>
  <c r="DX21" i="34" l="1"/>
  <c r="DX27" i="34" s="1"/>
  <c r="AQ30" i="31"/>
  <c r="AQ29" i="31" s="1"/>
  <c r="DV27" i="34"/>
  <c r="AR21" i="44"/>
  <c r="AR22" i="44" s="1"/>
  <c r="AR17" i="44"/>
  <c r="AR25" i="30"/>
  <c r="I37" i="38"/>
  <c r="AR45" i="33"/>
  <c r="G37" i="38"/>
  <c r="AR48" i="61"/>
  <c r="H37" i="38"/>
  <c r="AR42" i="33"/>
  <c r="BB24" i="12" l="1"/>
  <c r="BB22" i="12"/>
  <c r="BB20" i="12"/>
  <c r="BB18" i="12"/>
  <c r="BB17" i="12"/>
  <c r="BB16" i="12"/>
  <c r="BB15" i="12"/>
  <c r="BB40" i="12"/>
  <c r="BB13" i="12"/>
  <c r="BB9" i="12"/>
  <c r="BB9" i="1"/>
  <c r="BB124" i="9" l="1"/>
  <c r="BB6" i="12"/>
  <c r="BA187" i="77"/>
  <c r="BB38" i="12"/>
  <c r="BB41" i="12"/>
  <c r="BB11" i="12"/>
  <c r="BB43" i="12"/>
  <c r="BB37" i="12"/>
  <c r="BB187" i="77"/>
  <c r="BB58" i="12"/>
  <c r="BB11" i="1"/>
  <c r="BG7" i="2"/>
  <c r="BB36" i="12" l="1"/>
  <c r="BB13" i="1"/>
  <c r="BB15" i="1" s="1"/>
  <c r="BB40" i="1" l="1"/>
  <c r="BB35" i="1"/>
  <c r="CS347" i="73"/>
  <c r="CS346" i="73"/>
  <c r="CS41" i="73"/>
  <c r="CS345" i="73" s="1"/>
  <c r="CS33" i="73"/>
  <c r="CS344" i="73" s="1"/>
  <c r="CS25" i="73"/>
  <c r="CS12" i="73"/>
  <c r="CS251" i="73"/>
  <c r="CS247" i="73"/>
  <c r="CS61" i="73" l="1"/>
  <c r="CS67" i="73"/>
  <c r="CS73" i="73"/>
  <c r="CS35" i="73"/>
  <c r="CS49" i="73"/>
  <c r="CS55" i="73"/>
  <c r="CS43" i="73"/>
  <c r="BB43" i="1"/>
  <c r="BB45" i="1" s="1"/>
  <c r="BB48" i="1" s="1"/>
  <c r="CS19" i="73"/>
  <c r="BB36" i="1"/>
  <c r="CS27" i="73"/>
  <c r="AN33" i="45"/>
  <c r="AP23" i="45"/>
  <c r="AO23" i="45"/>
  <c r="AN23" i="45"/>
  <c r="AM23" i="45"/>
  <c r="AL23" i="45"/>
  <c r="AK23" i="45"/>
  <c r="AO23" i="55"/>
  <c r="AN23" i="55"/>
  <c r="AM23" i="55"/>
  <c r="AL23" i="55"/>
  <c r="AK23" i="55"/>
  <c r="AJ23" i="55"/>
  <c r="AI23" i="55"/>
  <c r="BA186" i="77" l="1"/>
  <c r="BB186" i="77"/>
  <c r="CR347" i="73" l="1"/>
  <c r="CR346" i="73"/>
  <c r="CR41" i="73"/>
  <c r="CR345" i="73" s="1"/>
  <c r="CR33" i="73"/>
  <c r="CR344" i="73" s="1"/>
  <c r="CR25" i="73"/>
  <c r="CR12" i="73"/>
  <c r="CR251" i="73"/>
  <c r="CR247" i="73"/>
  <c r="CR67" i="73" l="1"/>
  <c r="CR73" i="73"/>
  <c r="CR61" i="73"/>
  <c r="CR19" i="73"/>
  <c r="CR49" i="73"/>
  <c r="CR55" i="73"/>
  <c r="CR43" i="73"/>
  <c r="CR35" i="73"/>
  <c r="CR27" i="73"/>
  <c r="R335" i="36"/>
  <c r="U324" i="36" l="1"/>
  <c r="U319" i="36"/>
  <c r="R325" i="36"/>
  <c r="R323" i="36"/>
  <c r="R322" i="36"/>
  <c r="R320" i="36"/>
  <c r="R326" i="36"/>
  <c r="H319" i="36"/>
  <c r="R319" i="36" s="1"/>
  <c r="G324" i="36"/>
  <c r="H314" i="36" l="1"/>
  <c r="H324" i="36" s="1"/>
  <c r="R324" i="36" s="1"/>
  <c r="D311" i="36"/>
  <c r="D321" i="36" s="1"/>
  <c r="R321" i="36" l="1"/>
  <c r="R304" i="36"/>
  <c r="R301" i="36"/>
  <c r="V309" i="36" l="1"/>
  <c r="V319" i="36" l="1"/>
  <c r="W306" i="36" l="1"/>
  <c r="W305" i="36"/>
  <c r="W304" i="36"/>
  <c r="W303" i="36"/>
  <c r="W302" i="36"/>
  <c r="W301" i="36"/>
  <c r="W300" i="36"/>
  <c r="W299" i="36"/>
  <c r="W316" i="36"/>
  <c r="W315" i="36"/>
  <c r="W314" i="36"/>
  <c r="W313" i="36"/>
  <c r="W312" i="36"/>
  <c r="W311" i="36"/>
  <c r="W310" i="36"/>
  <c r="W309" i="36"/>
  <c r="W326" i="36"/>
  <c r="W325" i="36"/>
  <c r="W324" i="36"/>
  <c r="W323" i="36"/>
  <c r="W322" i="36"/>
  <c r="W321" i="36"/>
  <c r="W320" i="36"/>
  <c r="W319" i="36"/>
  <c r="V307" i="36"/>
  <c r="V317" i="36" s="1"/>
  <c r="V327" i="36" s="1"/>
  <c r="W335" i="36"/>
  <c r="W333" i="36"/>
  <c r="U307" i="36"/>
  <c r="U317" i="36" s="1"/>
  <c r="U327" i="36" s="1"/>
  <c r="W307" i="36" l="1"/>
  <c r="W317" i="36" s="1"/>
  <c r="W327" i="36" s="1"/>
  <c r="W331" i="36"/>
  <c r="W336" i="36"/>
  <c r="W329" i="36"/>
  <c r="W332" i="36"/>
  <c r="W334" i="36"/>
  <c r="W330" i="36"/>
  <c r="V337" i="36"/>
  <c r="V347" i="36" s="1"/>
  <c r="U337" i="36"/>
  <c r="V358" i="36" l="1"/>
  <c r="V370" i="36" s="1"/>
  <c r="V382" i="36" s="1"/>
  <c r="W337" i="36"/>
  <c r="BA185" i="77" l="1"/>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R333" i="36"/>
  <c r="AM21" i="72" l="1"/>
  <c r="AQ23" i="45"/>
  <c r="AP23" i="55"/>
  <c r="R334" i="36"/>
  <c r="R332" i="36"/>
  <c r="R336" i="36"/>
  <c r="R329" i="36"/>
  <c r="R330" i="36"/>
  <c r="R331" i="36"/>
  <c r="AM57" i="68"/>
  <c r="AM24" i="72" l="1"/>
  <c r="AQ13" i="55"/>
  <c r="AQ24" i="55" s="1"/>
  <c r="AQ25" i="55" l="1"/>
  <c r="H13" i="76"/>
  <c r="E13" i="76"/>
  <c r="J15" i="76"/>
  <c r="J14" i="76"/>
  <c r="CQ347" i="73" l="1"/>
  <c r="CQ346" i="73"/>
  <c r="CQ41" i="73"/>
  <c r="CQ345" i="73" s="1"/>
  <c r="CQ33" i="73"/>
  <c r="CQ344" i="73" s="1"/>
  <c r="CQ25" i="73"/>
  <c r="CQ12" i="73"/>
  <c r="CQ251" i="73"/>
  <c r="CQ247" i="73"/>
  <c r="CQ67" i="73" l="1"/>
  <c r="CQ61" i="73"/>
  <c r="CQ73" i="73"/>
  <c r="CQ19" i="73"/>
  <c r="CQ55" i="73"/>
  <c r="CQ49" i="73"/>
  <c r="CQ43" i="73"/>
  <c r="CQ27" i="73"/>
  <c r="CQ35" i="73"/>
  <c r="I80" i="36"/>
  <c r="I86" i="36" s="1"/>
  <c r="I90" i="36" s="1"/>
  <c r="I97" i="36" s="1"/>
  <c r="I103" i="36" s="1"/>
  <c r="I110" i="36" s="1"/>
  <c r="I118" i="36" s="1"/>
  <c r="I127" i="36" s="1"/>
  <c r="I133" i="36" s="1"/>
  <c r="I139" i="36" s="1"/>
  <c r="I147" i="36" s="1"/>
  <c r="I156" i="36" s="1"/>
  <c r="I165" i="36" s="1"/>
  <c r="I174" i="36" s="1"/>
  <c r="I183" i="36" s="1"/>
  <c r="I192" i="36" s="1"/>
  <c r="I201" i="36" s="1"/>
  <c r="I210" i="36" s="1"/>
  <c r="I219" i="36" s="1"/>
  <c r="I227" i="36" s="1"/>
  <c r="I235" i="36" s="1"/>
  <c r="I243" i="36" s="1"/>
  <c r="I251" i="36" s="1"/>
  <c r="I259" i="36" s="1"/>
  <c r="I267" i="36" s="1"/>
  <c r="I277" i="36" s="1"/>
  <c r="I287" i="36" s="1"/>
  <c r="I297" i="36" s="1"/>
  <c r="I307" i="36" s="1"/>
  <c r="I317" i="36" s="1"/>
  <c r="I327" i="36" s="1"/>
  <c r="I337" i="36" l="1"/>
  <c r="I347" i="36" s="1"/>
  <c r="I358" i="36" l="1"/>
  <c r="I370" i="36" s="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I382" i="36" l="1"/>
  <c r="AQ36" i="33"/>
  <c r="AQ13" i="45"/>
  <c r="AX7" i="10" l="1"/>
  <c r="AX10" i="10" s="1"/>
  <c r="AK161" i="83" l="1"/>
  <c r="AK150" i="83"/>
  <c r="AK130" i="83"/>
  <c r="AK116" i="83"/>
  <c r="AK110" i="83"/>
  <c r="AK92" i="83"/>
  <c r="AK85" i="83"/>
  <c r="AK72" i="83"/>
  <c r="AK35" i="83"/>
  <c r="AK23" i="83"/>
  <c r="W34" i="81"/>
  <c r="W31" i="81"/>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39" i="49"/>
  <c r="AP54" i="49"/>
  <c r="AP53" i="49"/>
  <c r="AP52" i="49"/>
  <c r="AP51" i="49"/>
  <c r="AP47" i="49"/>
  <c r="AP46" i="49"/>
  <c r="AP45" i="49"/>
  <c r="AP44" i="49"/>
  <c r="AP43" i="49"/>
  <c r="AP21" i="49"/>
  <c r="AP22" i="49" s="1"/>
  <c r="AO21" i="49"/>
  <c r="AO22" i="49" s="1"/>
  <c r="AO39" i="49"/>
  <c r="AO42" i="49"/>
  <c r="AO43" i="49"/>
  <c r="AO44" i="49"/>
  <c r="AO45" i="49"/>
  <c r="AO46" i="49"/>
  <c r="AO47" i="49"/>
  <c r="AO48" i="49"/>
  <c r="AO49" i="49"/>
  <c r="AO50" i="49"/>
  <c r="AO51" i="49"/>
  <c r="AO52" i="49"/>
  <c r="AO53" i="49"/>
  <c r="AO54" i="49"/>
  <c r="AO55" i="49"/>
  <c r="AO56" i="49"/>
  <c r="AQ51" i="48"/>
  <c r="AQ26" i="48"/>
  <c r="AQ21"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O57" i="49"/>
  <c r="AP57" i="49"/>
  <c r="AQ45" i="48"/>
  <c r="AQ52" i="48" s="1"/>
  <c r="AQ27" i="48"/>
  <c r="AT112" i="46"/>
  <c r="AT110" i="46"/>
  <c r="AT107" i="46"/>
  <c r="AT21" i="46"/>
  <c r="AT59" i="46"/>
  <c r="AT78" i="46"/>
  <c r="AT37" i="46"/>
  <c r="AT58" i="46"/>
  <c r="AT9" i="46"/>
  <c r="FC11" i="43"/>
  <c r="FD11" i="43"/>
  <c r="FE37" i="43"/>
  <c r="FD37" i="43"/>
  <c r="FC37" i="43"/>
  <c r="AQ14" i="44"/>
  <c r="AQ11" i="44"/>
  <c r="Y49" i="42"/>
  <c r="F47" i="38"/>
  <c r="E47" i="38"/>
  <c r="D47" i="38"/>
  <c r="C47" i="38"/>
  <c r="AM59" i="68" l="1"/>
  <c r="AP24" i="55"/>
  <c r="AP27" i="65"/>
  <c r="AP22" i="53"/>
  <c r="AP24" i="53" s="1"/>
  <c r="AP51" i="52"/>
  <c r="G47" i="38"/>
  <c r="AQ9" i="39"/>
  <c r="AQ17" i="44"/>
  <c r="AQ18" i="44"/>
  <c r="AQ21" i="44" s="1"/>
  <c r="M49" i="42"/>
  <c r="AQ18" i="39"/>
  <c r="H47" i="38" l="1"/>
  <c r="I47"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35" i="23"/>
  <c r="E35" i="23"/>
  <c r="V22" i="13"/>
  <c r="V21" i="13"/>
  <c r="V20" i="13"/>
  <c r="V19" i="13"/>
  <c r="V18" i="13"/>
  <c r="AX45" i="9"/>
  <c r="O306" i="79"/>
  <c r="Q306" i="79" s="1"/>
  <c r="O305" i="79"/>
  <c r="Q305" i="79" s="1"/>
  <c r="O304" i="79"/>
  <c r="Q304" i="79" s="1"/>
  <c r="O300" i="79"/>
  <c r="AQ18" i="29" l="1"/>
  <c r="AQ8" i="29"/>
  <c r="L35" i="23"/>
  <c r="AQ44" i="61"/>
  <c r="AQ28" i="33"/>
  <c r="AQ25" i="30"/>
  <c r="AQ20" i="26"/>
  <c r="AQ22" i="26" s="1"/>
  <c r="AQ23" i="26" s="1"/>
  <c r="AQ17" i="33"/>
  <c r="AQ45" i="33"/>
  <c r="AQ51" i="61"/>
  <c r="AP13" i="24"/>
  <c r="AQ19" i="61"/>
  <c r="AQ16" i="61"/>
  <c r="AQ32" i="61"/>
  <c r="AQ35" i="33"/>
  <c r="AQ14" i="33"/>
  <c r="M35" i="23"/>
  <c r="AQ10" i="26"/>
  <c r="AP26" i="31"/>
  <c r="AP12" i="31"/>
  <c r="AP11" i="31" s="1"/>
  <c r="AP20" i="31"/>
  <c r="AQ35" i="61"/>
  <c r="DS27" i="34"/>
  <c r="DT21" i="34"/>
  <c r="DT27" i="34" s="1"/>
  <c r="AQ31" i="33"/>
  <c r="AQ38" i="61"/>
  <c r="AQ26" i="32"/>
  <c r="AQ25" i="32"/>
  <c r="AP24" i="31"/>
  <c r="AQ10" i="30"/>
  <c r="F35" i="23"/>
  <c r="G35"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4" i="9" l="1"/>
  <c r="AP25" i="55"/>
  <c r="AX14" i="10"/>
  <c r="AX16" i="10" s="1"/>
  <c r="AX36" i="12"/>
  <c r="AX8" i="12"/>
  <c r="AX52" i="9"/>
  <c r="AX58" i="12"/>
  <c r="AX11" i="1"/>
  <c r="BC7" i="2"/>
  <c r="BC6" i="2" l="1"/>
  <c r="BC10" i="2" s="1"/>
  <c r="AX35" i="10"/>
  <c r="AX40" i="10"/>
  <c r="AX43" i="10" s="1"/>
  <c r="AX45" i="10" s="1"/>
  <c r="AX48" i="10" s="1"/>
  <c r="AX13" i="1"/>
  <c r="AX15" i="1" s="1"/>
  <c r="AX10" i="12"/>
  <c r="AQ11" i="30" l="1"/>
  <c r="AP11" i="53"/>
  <c r="AX35" i="1"/>
  <c r="AX12" i="12"/>
  <c r="AX14" i="12" s="1"/>
  <c r="AX36" i="10"/>
  <c r="BC16" i="2"/>
  <c r="AX40" i="1"/>
  <c r="AX43" i="1" s="1"/>
  <c r="AX45" i="1" s="1"/>
  <c r="AX48" i="1" s="1"/>
  <c r="CP347" i="73"/>
  <c r="CP346" i="73"/>
  <c r="CP41" i="73"/>
  <c r="CP345" i="73" s="1"/>
  <c r="CP33" i="73"/>
  <c r="CP344" i="73" s="1"/>
  <c r="CP25" i="73"/>
  <c r="CP12" i="73"/>
  <c r="CP251" i="73"/>
  <c r="CP247" i="73"/>
  <c r="CP73" i="73" l="1"/>
  <c r="CP61" i="73"/>
  <c r="CP67" i="73"/>
  <c r="CP27" i="73"/>
  <c r="CP55" i="73"/>
  <c r="CP49" i="73"/>
  <c r="CP43" i="73"/>
  <c r="BC19" i="2"/>
  <c r="BA27" i="9" s="1"/>
  <c r="BA123" i="9" s="1"/>
  <c r="BA125" i="9" s="1"/>
  <c r="AX39" i="12"/>
  <c r="AX34" i="12"/>
  <c r="AX36" i="1"/>
  <c r="BB184" i="77"/>
  <c r="BA184" i="77"/>
  <c r="CP19" i="73"/>
  <c r="CP35" i="73"/>
  <c r="BC24" i="2" l="1"/>
  <c r="BC26" i="2" s="1"/>
  <c r="BC28" i="2" s="1"/>
  <c r="AL18" i="63" s="1"/>
  <c r="AX42" i="12"/>
  <c r="AX44" i="12" s="1"/>
  <c r="AX48" i="12" s="1"/>
  <c r="AX35" i="12"/>
  <c r="BA183" i="77"/>
  <c r="BB183" i="77"/>
  <c r="BC30" i="2" l="1"/>
  <c r="AX50" i="12"/>
  <c r="CO251" i="73"/>
  <c r="CN251" i="73"/>
  <c r="CM251" i="73"/>
  <c r="CL251" i="73"/>
  <c r="CK251" i="73"/>
  <c r="CJ251" i="73"/>
  <c r="CI251" i="73"/>
  <c r="CH251" i="73"/>
  <c r="CG251" i="73"/>
  <c r="CF251" i="73"/>
  <c r="CE251" i="73"/>
  <c r="CD251" i="73"/>
  <c r="CC251" i="73"/>
  <c r="CB251" i="73"/>
  <c r="CA251" i="73"/>
  <c r="BZ251" i="73"/>
  <c r="BY251" i="73"/>
  <c r="BX251" i="73"/>
  <c r="BW251" i="73"/>
  <c r="BV251" i="73"/>
  <c r="BU251" i="73"/>
  <c r="BT251" i="73"/>
  <c r="BS251" i="73"/>
  <c r="BR251" i="73"/>
  <c r="BQ251" i="73"/>
  <c r="BP251" i="73"/>
  <c r="BO251" i="73"/>
  <c r="BN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CO247" i="73"/>
  <c r="CN247" i="73"/>
  <c r="CM247" i="73"/>
  <c r="CL247" i="73"/>
  <c r="CK247" i="73"/>
  <c r="CJ247" i="73"/>
  <c r="CI247" i="73"/>
  <c r="CH247" i="73"/>
  <c r="CG247" i="73"/>
  <c r="CF247" i="73"/>
  <c r="CE247" i="73"/>
  <c r="CD247" i="73"/>
  <c r="CC247" i="73"/>
  <c r="CB247" i="73"/>
  <c r="CA247" i="73"/>
  <c r="BZ247" i="73"/>
  <c r="BY247" i="73"/>
  <c r="BX247" i="73"/>
  <c r="BW247" i="73"/>
  <c r="BV247" i="73"/>
  <c r="BU247" i="73"/>
  <c r="BT247" i="73"/>
  <c r="BS247" i="73"/>
  <c r="BR247" i="73"/>
  <c r="BQ247" i="73"/>
  <c r="BP247" i="73"/>
  <c r="BO247" i="73"/>
  <c r="BN247" i="73"/>
  <c r="BM247" i="73"/>
  <c r="BL247" i="73"/>
  <c r="BK247" i="73"/>
  <c r="BJ247" i="73"/>
  <c r="BI247" i="73"/>
  <c r="BH247" i="73"/>
  <c r="BG247" i="73"/>
  <c r="BF247" i="73"/>
  <c r="BE247" i="73"/>
  <c r="BD247" i="73"/>
  <c r="BC247" i="73"/>
  <c r="BB247" i="73"/>
  <c r="BA247"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G247" i="73"/>
  <c r="F247" i="73"/>
  <c r="E247" i="73"/>
  <c r="D247" i="73"/>
  <c r="C247" i="73"/>
  <c r="CO347" i="73"/>
  <c r="CO346" i="73"/>
  <c r="CO41" i="73"/>
  <c r="CO345" i="73" s="1"/>
  <c r="CO33" i="73"/>
  <c r="CO344" i="73" s="1"/>
  <c r="CO25" i="73"/>
  <c r="CO12" i="73"/>
  <c r="CO61" i="73" l="1"/>
  <c r="CO73" i="73"/>
  <c r="CO67" i="73"/>
  <c r="CO19" i="73"/>
  <c r="CO55" i="73"/>
  <c r="CO49" i="73"/>
  <c r="CO43" i="73"/>
  <c r="CO27" i="73"/>
  <c r="CO35" i="73"/>
  <c r="BB182" i="77" l="1"/>
  <c r="BA182" i="77"/>
  <c r="CN347" i="73"/>
  <c r="CN346" i="73"/>
  <c r="CN41" i="73"/>
  <c r="CN345" i="73" s="1"/>
  <c r="CN33" i="73"/>
  <c r="CN344" i="73" s="1"/>
  <c r="CN25" i="73"/>
  <c r="CN283" i="73"/>
  <c r="CN277" i="73"/>
  <c r="CN275" i="73"/>
  <c r="CN269" i="73"/>
  <c r="CN267" i="73"/>
  <c r="CN261" i="73"/>
  <c r="CN12" i="73"/>
  <c r="CN259" i="73"/>
  <c r="CN253" i="73"/>
  <c r="CN73" i="73" l="1"/>
  <c r="CN61" i="73"/>
  <c r="CN67" i="73"/>
  <c r="CN27" i="73"/>
  <c r="CN55" i="73"/>
  <c r="CN49" i="73"/>
  <c r="CN43" i="73"/>
  <c r="CN3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67" i="38"/>
  <c r="H67" i="38"/>
  <c r="G67" i="38"/>
  <c r="F67"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57" i="38" l="1"/>
  <c r="H57" i="38"/>
  <c r="J17" i="76" l="1"/>
  <c r="J16" i="76"/>
  <c r="AO19" i="65" l="1"/>
  <c r="AO11" i="65"/>
  <c r="AN54" i="49"/>
  <c r="AM54" i="49"/>
  <c r="AL54" i="49"/>
  <c r="AJ54" i="49"/>
  <c r="AF54" i="49"/>
  <c r="AE54" i="49"/>
  <c r="AL76" i="68" l="1"/>
  <c r="AL53" i="68"/>
  <c r="AL50" i="68"/>
  <c r="AL45" i="68"/>
  <c r="AL31" i="68"/>
  <c r="AL28" i="68"/>
  <c r="AL26" i="68"/>
  <c r="AL23" i="68"/>
  <c r="AL20" i="68"/>
  <c r="F136" i="80"/>
  <c r="F138" i="80"/>
  <c r="N137" i="80"/>
  <c r="F137" i="80"/>
  <c r="N136" i="80"/>
  <c r="V34" i="81"/>
  <c r="V31" i="81"/>
  <c r="V18" i="81"/>
  <c r="V15" i="81"/>
  <c r="AO10" i="66"/>
  <c r="AO13" i="55"/>
  <c r="AO23" i="65"/>
  <c r="AO25" i="65"/>
  <c r="AO24" i="65"/>
  <c r="AO86" i="71"/>
  <c r="AO21" i="53"/>
  <c r="AO23" i="53"/>
  <c r="AO41" i="52"/>
  <c r="AO40" i="52"/>
  <c r="AO50" i="52"/>
  <c r="AO49" i="52"/>
  <c r="AO48" i="52"/>
  <c r="AO46" i="52"/>
  <c r="AO44" i="52"/>
  <c r="AO43" i="52"/>
  <c r="AO47" i="52"/>
  <c r="AO45" i="52"/>
  <c r="AO42" i="52"/>
  <c r="AP45" i="48"/>
  <c r="AP51" i="48"/>
  <c r="AP26" i="48"/>
  <c r="AP21"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57" i="38"/>
  <c r="I57" i="38"/>
  <c r="E57"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41" i="23"/>
  <c r="G41" i="23"/>
  <c r="F41" i="23"/>
  <c r="E41" i="23"/>
  <c r="AO13" i="24"/>
  <c r="U22" i="13"/>
  <c r="U21" i="13"/>
  <c r="U20" i="13"/>
  <c r="U19" i="13"/>
  <c r="U18" i="13"/>
  <c r="CM347" i="73"/>
  <c r="CM346" i="73"/>
  <c r="CM41" i="73"/>
  <c r="CM345" i="73" s="1"/>
  <c r="CM33" i="73"/>
  <c r="CM344" i="73" s="1"/>
  <c r="CM25" i="73"/>
  <c r="CM283" i="73"/>
  <c r="CM277" i="73"/>
  <c r="CM275" i="73"/>
  <c r="CM269" i="73"/>
  <c r="CM267" i="73"/>
  <c r="CM261" i="73"/>
  <c r="CM12" i="73"/>
  <c r="CM259" i="73"/>
  <c r="CM253"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4" i="9" l="1"/>
  <c r="CM67" i="73"/>
  <c r="CM73" i="73"/>
  <c r="CM61" i="73"/>
  <c r="CM19" i="73"/>
  <c r="CM43" i="73"/>
  <c r="CM55" i="73"/>
  <c r="CM49" i="73"/>
  <c r="AY124" i="9"/>
  <c r="AW6" i="12"/>
  <c r="BA181" i="77"/>
  <c r="AW58" i="12"/>
  <c r="AP51" i="61"/>
  <c r="BB181" i="77"/>
  <c r="AP25" i="30"/>
  <c r="AW52" i="9"/>
  <c r="AS40" i="46"/>
  <c r="FA37" i="43"/>
  <c r="AL58" i="68"/>
  <c r="DQ27" i="34"/>
  <c r="AP45" i="33"/>
  <c r="DP27" i="34"/>
  <c r="AP27" i="48"/>
  <c r="AP18" i="29"/>
  <c r="EZ37" i="43"/>
  <c r="AW36" i="12"/>
  <c r="AL51" i="68"/>
  <c r="AL32" i="68"/>
  <c r="N138" i="80"/>
  <c r="AO4" i="55"/>
  <c r="AO24" i="55"/>
  <c r="AO22" i="65"/>
  <c r="AO27" i="65" s="1"/>
  <c r="AO15" i="53"/>
  <c r="AO17" i="53" s="1"/>
  <c r="AO20" i="53"/>
  <c r="AO22" i="53" s="1"/>
  <c r="AO24" i="53" s="1"/>
  <c r="AO8" i="53"/>
  <c r="AO10" i="53" s="1"/>
  <c r="AO35" i="52"/>
  <c r="AO39" i="52"/>
  <c r="AO19" i="52"/>
  <c r="AO38" i="52"/>
  <c r="AP52" i="48"/>
  <c r="AK21" i="72"/>
  <c r="AS111" i="46"/>
  <c r="AS110" i="46"/>
  <c r="AS59" i="46"/>
  <c r="AS78" i="46"/>
  <c r="AS18" i="46"/>
  <c r="AS21" i="46" s="1"/>
  <c r="AS58" i="46"/>
  <c r="AP26" i="45"/>
  <c r="AP33" i="45" s="1"/>
  <c r="EY18" i="43"/>
  <c r="AP17" i="44"/>
  <c r="AP21" i="44"/>
  <c r="M48" i="42"/>
  <c r="AP18" i="39"/>
  <c r="C57" i="38"/>
  <c r="D57" i="38"/>
  <c r="DR21" i="34"/>
  <c r="DR27" i="34" s="1"/>
  <c r="AP42" i="33"/>
  <c r="AP41" i="33"/>
  <c r="AP17" i="33"/>
  <c r="AP48" i="61"/>
  <c r="AP16" i="61"/>
  <c r="AP19" i="61"/>
  <c r="AP26" i="32"/>
  <c r="AP29" i="32"/>
  <c r="AP10" i="30"/>
  <c r="AP8" i="29"/>
  <c r="AP22" i="26"/>
  <c r="AP23" i="26" s="1"/>
  <c r="L41" i="23"/>
  <c r="N41" i="23"/>
  <c r="CM27" i="73"/>
  <c r="CM35" i="7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47" i="73" l="1"/>
  <c r="CL346" i="73"/>
  <c r="CL41" i="73"/>
  <c r="CL345" i="73" s="1"/>
  <c r="CL33" i="73"/>
  <c r="CL344" i="73" s="1"/>
  <c r="CL25" i="73"/>
  <c r="CL283" i="73"/>
  <c r="CL277" i="73"/>
  <c r="CL275" i="73"/>
  <c r="CL269" i="73"/>
  <c r="CL267" i="73"/>
  <c r="CL261" i="73"/>
  <c r="CL12" i="73"/>
  <c r="CL259" i="73"/>
  <c r="CL253" i="73"/>
  <c r="CL61" i="73" l="1"/>
  <c r="CL73" i="73"/>
  <c r="CL67" i="73"/>
  <c r="CL19" i="73"/>
  <c r="CL55" i="73"/>
  <c r="CL43" i="73"/>
  <c r="CL49" i="73"/>
  <c r="CL27" i="73"/>
  <c r="CL35" i="73"/>
  <c r="CK347" i="73"/>
  <c r="BB179" i="77" l="1"/>
  <c r="BA179" i="77"/>
  <c r="CK346" i="73" l="1"/>
  <c r="CK41" i="73"/>
  <c r="CK345" i="73" s="1"/>
  <c r="CK33" i="73"/>
  <c r="CK344" i="73" s="1"/>
  <c r="CK25" i="73"/>
  <c r="CK283" i="73"/>
  <c r="CK277" i="73"/>
  <c r="CK275" i="73"/>
  <c r="CK269" i="73"/>
  <c r="CK267" i="73"/>
  <c r="CK261" i="73"/>
  <c r="CK12" i="73"/>
  <c r="CK259" i="73"/>
  <c r="CK253" i="73"/>
  <c r="CK61" i="73" l="1"/>
  <c r="CK67" i="73"/>
  <c r="CK73" i="73"/>
  <c r="CK19" i="73"/>
  <c r="CK49" i="73"/>
  <c r="CK55" i="73"/>
  <c r="CK43" i="73"/>
  <c r="CK27" i="73"/>
  <c r="CK35" i="73"/>
  <c r="AR140" i="83" l="1"/>
  <c r="AS140" i="83"/>
  <c r="CJ277" i="73"/>
  <c r="CI277" i="73"/>
  <c r="CH277" i="73"/>
  <c r="CG277" i="73"/>
  <c r="CF277" i="73"/>
  <c r="CE277" i="73"/>
  <c r="CD277" i="73"/>
  <c r="CC277" i="73"/>
  <c r="CB277" i="73"/>
  <c r="CA277" i="73"/>
  <c r="BZ277" i="73"/>
  <c r="BY277" i="73"/>
  <c r="BX277" i="73"/>
  <c r="BW277" i="73"/>
  <c r="BV277" i="73"/>
  <c r="BU277" i="73"/>
  <c r="BT277" i="73"/>
  <c r="BS277" i="73"/>
  <c r="BR277" i="73"/>
  <c r="BQ277" i="73"/>
  <c r="BP277" i="73"/>
  <c r="BO277" i="73"/>
  <c r="BN277" i="73"/>
  <c r="BM277" i="73"/>
  <c r="BL277" i="73"/>
  <c r="BK277" i="73"/>
  <c r="BJ277" i="73"/>
  <c r="BI277" i="73"/>
  <c r="BH277" i="73"/>
  <c r="BG277" i="73"/>
  <c r="BF277" i="73"/>
  <c r="BE277" i="73"/>
  <c r="BD277" i="73"/>
  <c r="BC277" i="73"/>
  <c r="BB277" i="73"/>
  <c r="BA277" i="73"/>
  <c r="AZ277" i="73"/>
  <c r="AY277" i="73"/>
  <c r="AX277" i="73"/>
  <c r="AW277" i="73"/>
  <c r="AV277" i="73"/>
  <c r="AU277" i="73"/>
  <c r="AT277" i="73"/>
  <c r="AS277" i="73"/>
  <c r="AR277" i="73"/>
  <c r="AQ277" i="73"/>
  <c r="AP277" i="73"/>
  <c r="AO277" i="73"/>
  <c r="AN277" i="73"/>
  <c r="AM277" i="73"/>
  <c r="AL277" i="73"/>
  <c r="AK277" i="73"/>
  <c r="AJ277" i="73"/>
  <c r="AI277" i="73"/>
  <c r="AH277" i="73"/>
  <c r="AG277" i="73"/>
  <c r="AF277" i="73"/>
  <c r="AE277" i="73"/>
  <c r="AD277" i="73"/>
  <c r="AC277" i="73"/>
  <c r="AB277" i="73"/>
  <c r="AA277" i="73"/>
  <c r="Z277" i="73"/>
  <c r="Y277" i="73"/>
  <c r="X277" i="73"/>
  <c r="W277" i="73"/>
  <c r="V277" i="73"/>
  <c r="U277" i="73"/>
  <c r="T277" i="73"/>
  <c r="S277" i="73"/>
  <c r="R277" i="73"/>
  <c r="Q277" i="73"/>
  <c r="P277" i="73"/>
  <c r="O277" i="73"/>
  <c r="N277" i="73"/>
  <c r="M277" i="73"/>
  <c r="L277" i="73"/>
  <c r="K277" i="73"/>
  <c r="J277" i="73"/>
  <c r="I277" i="73"/>
  <c r="H277" i="73"/>
  <c r="G277" i="73"/>
  <c r="F277" i="73"/>
  <c r="E277" i="73"/>
  <c r="D277" i="73"/>
  <c r="C277" i="73"/>
  <c r="CJ269" i="73"/>
  <c r="CI269" i="73"/>
  <c r="CH269" i="73"/>
  <c r="CG269" i="73"/>
  <c r="CF269" i="73"/>
  <c r="CE269" i="73"/>
  <c r="CD269" i="73"/>
  <c r="CC269" i="73"/>
  <c r="CB269" i="73"/>
  <c r="CA269" i="73"/>
  <c r="BZ269" i="73"/>
  <c r="BY269" i="73"/>
  <c r="BX269" i="73"/>
  <c r="BW269" i="73"/>
  <c r="BV269" i="73"/>
  <c r="BU269" i="73"/>
  <c r="BT269" i="73"/>
  <c r="BS269" i="73"/>
  <c r="BR269" i="73"/>
  <c r="BQ269" i="73"/>
  <c r="BP269" i="73"/>
  <c r="BO269" i="73"/>
  <c r="BN269" i="73"/>
  <c r="BM269" i="73"/>
  <c r="BL269" i="73"/>
  <c r="BK269" i="73"/>
  <c r="BJ269" i="73"/>
  <c r="BI269" i="73"/>
  <c r="BH269" i="73"/>
  <c r="BG269" i="73"/>
  <c r="BF269" i="73"/>
  <c r="BE269" i="73"/>
  <c r="BD269" i="73"/>
  <c r="BC269" i="73"/>
  <c r="BB269" i="73"/>
  <c r="BA269" i="73"/>
  <c r="AZ269" i="73"/>
  <c r="AY269" i="73"/>
  <c r="AX269" i="73"/>
  <c r="AW269" i="73"/>
  <c r="AV269" i="73"/>
  <c r="AU269" i="73"/>
  <c r="AT269" i="73"/>
  <c r="AS269" i="73"/>
  <c r="AR269" i="73"/>
  <c r="AQ269" i="73"/>
  <c r="AP269" i="73"/>
  <c r="AO269" i="73"/>
  <c r="AN269" i="73"/>
  <c r="AM269" i="73"/>
  <c r="AL269" i="73"/>
  <c r="AK269" i="73"/>
  <c r="AJ269" i="73"/>
  <c r="AI269" i="73"/>
  <c r="AH269" i="73"/>
  <c r="AG269" i="73"/>
  <c r="AF269" i="73"/>
  <c r="AE269" i="73"/>
  <c r="AD269" i="73"/>
  <c r="AC269" i="73"/>
  <c r="AB269" i="73"/>
  <c r="AA269" i="73"/>
  <c r="Z269" i="73"/>
  <c r="Y269" i="73"/>
  <c r="X269" i="73"/>
  <c r="W269" i="73"/>
  <c r="V269" i="73"/>
  <c r="U269" i="73"/>
  <c r="T269" i="73"/>
  <c r="S269" i="73"/>
  <c r="R269" i="73"/>
  <c r="Q269" i="73"/>
  <c r="P269" i="73"/>
  <c r="O269" i="73"/>
  <c r="N269" i="73"/>
  <c r="M269" i="73"/>
  <c r="L269" i="73"/>
  <c r="K269" i="73"/>
  <c r="J269" i="73"/>
  <c r="I269" i="73"/>
  <c r="H269" i="73"/>
  <c r="G269" i="73"/>
  <c r="F269" i="73"/>
  <c r="E269" i="73"/>
  <c r="D269" i="73"/>
  <c r="C269" i="73"/>
  <c r="CJ261" i="73"/>
  <c r="CI261" i="73"/>
  <c r="CH261" i="73"/>
  <c r="CG261" i="73"/>
  <c r="CF261" i="73"/>
  <c r="CE261" i="73"/>
  <c r="CD261" i="73"/>
  <c r="CC261" i="73"/>
  <c r="CB261" i="73"/>
  <c r="CA261" i="73"/>
  <c r="BZ261" i="73"/>
  <c r="BY261" i="73"/>
  <c r="BX261" i="73"/>
  <c r="BW261" i="73"/>
  <c r="BV261" i="73"/>
  <c r="BU261" i="73"/>
  <c r="BT261" i="73"/>
  <c r="BS261" i="73"/>
  <c r="BR261" i="73"/>
  <c r="BQ261" i="73"/>
  <c r="BP261" i="73"/>
  <c r="BO261" i="73"/>
  <c r="BN261" i="73"/>
  <c r="BM261" i="73"/>
  <c r="BL261" i="73"/>
  <c r="BK261" i="73"/>
  <c r="BJ261" i="73"/>
  <c r="BI261" i="73"/>
  <c r="BH261" i="73"/>
  <c r="BG261" i="73"/>
  <c r="BF261" i="73"/>
  <c r="BE261" i="73"/>
  <c r="BD261" i="73"/>
  <c r="BC261" i="73"/>
  <c r="BB261" i="73"/>
  <c r="BA261" i="73"/>
  <c r="AZ261" i="73"/>
  <c r="AY261" i="73"/>
  <c r="AX261" i="73"/>
  <c r="AW261" i="73"/>
  <c r="AV261" i="73"/>
  <c r="AU261" i="73"/>
  <c r="AT261" i="73"/>
  <c r="AS261" i="73"/>
  <c r="AR261" i="73"/>
  <c r="AQ261" i="73"/>
  <c r="AP261" i="73"/>
  <c r="AO261" i="73"/>
  <c r="AN261" i="73"/>
  <c r="AM261" i="73"/>
  <c r="AL261" i="73"/>
  <c r="AK261" i="73"/>
  <c r="AJ261" i="73"/>
  <c r="AI261" i="73"/>
  <c r="AH261" i="73"/>
  <c r="AG261" i="73"/>
  <c r="AF261" i="73"/>
  <c r="AE261" i="73"/>
  <c r="AD261" i="73"/>
  <c r="AC261" i="73"/>
  <c r="AB261" i="73"/>
  <c r="AA261" i="73"/>
  <c r="Z261" i="73"/>
  <c r="Y261" i="73"/>
  <c r="X261" i="73"/>
  <c r="W261" i="73"/>
  <c r="V261" i="73"/>
  <c r="U261" i="73"/>
  <c r="T261" i="73"/>
  <c r="S261" i="73"/>
  <c r="R261" i="73"/>
  <c r="Q261" i="73"/>
  <c r="P261" i="73"/>
  <c r="O261" i="73"/>
  <c r="N261" i="73"/>
  <c r="M261" i="73"/>
  <c r="L261" i="73"/>
  <c r="K261" i="73"/>
  <c r="J261" i="73"/>
  <c r="I261" i="73"/>
  <c r="H261" i="73"/>
  <c r="G261" i="73"/>
  <c r="F261" i="73"/>
  <c r="E261" i="73"/>
  <c r="D261" i="73"/>
  <c r="C261"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M61" i="73" l="1"/>
  <c r="M73" i="73"/>
  <c r="M67" i="73"/>
  <c r="AC61" i="73"/>
  <c r="AC73" i="73"/>
  <c r="AC67" i="73"/>
  <c r="AS73" i="73"/>
  <c r="AS61" i="73"/>
  <c r="AS67" i="73"/>
  <c r="BI73" i="73"/>
  <c r="BI61" i="73"/>
  <c r="BI67" i="73"/>
  <c r="BY73" i="73"/>
  <c r="BY61" i="73"/>
  <c r="BY67" i="73"/>
  <c r="N73" i="73"/>
  <c r="N61" i="73"/>
  <c r="N67" i="73"/>
  <c r="AL73" i="73"/>
  <c r="AL61" i="73"/>
  <c r="AL67" i="73"/>
  <c r="AT73" i="73"/>
  <c r="AT61" i="73"/>
  <c r="AT67" i="73"/>
  <c r="BZ73" i="73"/>
  <c r="BZ61" i="73"/>
  <c r="BZ67" i="73"/>
  <c r="O67" i="73"/>
  <c r="O61" i="73"/>
  <c r="O73" i="73"/>
  <c r="AU61" i="73"/>
  <c r="AU67" i="73"/>
  <c r="AU73" i="73"/>
  <c r="BS61" i="73"/>
  <c r="BS67" i="73"/>
  <c r="BS73" i="73"/>
  <c r="P61" i="73"/>
  <c r="P67" i="73"/>
  <c r="P73" i="73"/>
  <c r="I61" i="73"/>
  <c r="I67" i="73"/>
  <c r="I73" i="73"/>
  <c r="AG61" i="73"/>
  <c r="AG67" i="73"/>
  <c r="AG73" i="73"/>
  <c r="AW61" i="73"/>
  <c r="AW67" i="73"/>
  <c r="AW73" i="73"/>
  <c r="BU61" i="73"/>
  <c r="BU67" i="73"/>
  <c r="BU73" i="73"/>
  <c r="J61" i="73"/>
  <c r="J73" i="73"/>
  <c r="J67" i="73"/>
  <c r="R61" i="73"/>
  <c r="R67" i="73"/>
  <c r="R73" i="73"/>
  <c r="Z61" i="73"/>
  <c r="Z67" i="73"/>
  <c r="Z73" i="73"/>
  <c r="AH61" i="73"/>
  <c r="AH73" i="73"/>
  <c r="AH67" i="73"/>
  <c r="AP61" i="73"/>
  <c r="AP67" i="73"/>
  <c r="AP73" i="73"/>
  <c r="AX61" i="73"/>
  <c r="AX67" i="73"/>
  <c r="AX73" i="73"/>
  <c r="BF61" i="73"/>
  <c r="BF73" i="73"/>
  <c r="BF67" i="73"/>
  <c r="BN61" i="73"/>
  <c r="BN67" i="73"/>
  <c r="BN73" i="73"/>
  <c r="BV61" i="73"/>
  <c r="BV67" i="73"/>
  <c r="BV73" i="73"/>
  <c r="CD61" i="73"/>
  <c r="CD73" i="73"/>
  <c r="CD67" i="73"/>
  <c r="F73" i="73"/>
  <c r="F67" i="73"/>
  <c r="F61" i="73"/>
  <c r="V73" i="73"/>
  <c r="V61" i="73"/>
  <c r="V67" i="73"/>
  <c r="BB73" i="73"/>
  <c r="BB67" i="73"/>
  <c r="BB61" i="73"/>
  <c r="BR73" i="73"/>
  <c r="BR61" i="73"/>
  <c r="BR67" i="73"/>
  <c r="W61" i="73"/>
  <c r="W67" i="73"/>
  <c r="W73" i="73"/>
  <c r="AM61" i="73"/>
  <c r="AM67" i="73"/>
  <c r="AM73" i="73"/>
  <c r="BC61" i="73"/>
  <c r="BC67" i="73"/>
  <c r="BC73" i="73"/>
  <c r="CA61" i="73"/>
  <c r="CA67" i="73"/>
  <c r="CA73" i="73"/>
  <c r="H67" i="73"/>
  <c r="H61" i="73"/>
  <c r="H73" i="73"/>
  <c r="AF67" i="73"/>
  <c r="AF73" i="73"/>
  <c r="AF61" i="73"/>
  <c r="AV67" i="73"/>
  <c r="AV73" i="73"/>
  <c r="AV61" i="73"/>
  <c r="BL67" i="73"/>
  <c r="BL73" i="73"/>
  <c r="BL61" i="73"/>
  <c r="CB67" i="73"/>
  <c r="CB61" i="73"/>
  <c r="CB73" i="73"/>
  <c r="Y61" i="73"/>
  <c r="Y73" i="73"/>
  <c r="Y67" i="73"/>
  <c r="BE61" i="73"/>
  <c r="BE73" i="73"/>
  <c r="BE67" i="73"/>
  <c r="CC61" i="73"/>
  <c r="CC73" i="73"/>
  <c r="CC67" i="73"/>
  <c r="C67" i="73"/>
  <c r="C73" i="73"/>
  <c r="C61" i="73"/>
  <c r="K67" i="73"/>
  <c r="K73" i="73"/>
  <c r="K61" i="73"/>
  <c r="S67" i="73"/>
  <c r="S73" i="73"/>
  <c r="S61" i="73"/>
  <c r="AA67" i="73"/>
  <c r="AA73" i="73"/>
  <c r="AA61" i="73"/>
  <c r="AI67" i="73"/>
  <c r="AI73" i="73"/>
  <c r="AI61" i="73"/>
  <c r="AQ67" i="73"/>
  <c r="AQ73" i="73"/>
  <c r="AQ61" i="73"/>
  <c r="AY67" i="73"/>
  <c r="AY73" i="73"/>
  <c r="AY61" i="73"/>
  <c r="BG67" i="73"/>
  <c r="BG73" i="73"/>
  <c r="BG61" i="73"/>
  <c r="BO67" i="73"/>
  <c r="BO73" i="73"/>
  <c r="BO61" i="73"/>
  <c r="BW67" i="73"/>
  <c r="BW73" i="73"/>
  <c r="BW61" i="73"/>
  <c r="CE67" i="73"/>
  <c r="CE73" i="73"/>
  <c r="CE61" i="73"/>
  <c r="E73" i="73"/>
  <c r="E61" i="73"/>
  <c r="E67" i="73"/>
  <c r="U73" i="73"/>
  <c r="U61" i="73"/>
  <c r="U67" i="73"/>
  <c r="AK73" i="73"/>
  <c r="AK61" i="73"/>
  <c r="AK67" i="73"/>
  <c r="BA61" i="73"/>
  <c r="BA73" i="73"/>
  <c r="BA67" i="73"/>
  <c r="BQ61" i="73"/>
  <c r="BQ73" i="73"/>
  <c r="BQ67" i="73"/>
  <c r="CG73" i="73"/>
  <c r="CG61" i="73"/>
  <c r="CG67" i="73"/>
  <c r="AD73" i="73"/>
  <c r="AD67" i="73"/>
  <c r="AD61" i="73"/>
  <c r="BJ73" i="73"/>
  <c r="BJ61" i="73"/>
  <c r="BJ67" i="73"/>
  <c r="CH73" i="73"/>
  <c r="CH61" i="73"/>
  <c r="CH67" i="73"/>
  <c r="G61" i="73"/>
  <c r="G67" i="73"/>
  <c r="G73" i="73"/>
  <c r="AE67" i="73"/>
  <c r="AE61" i="73"/>
  <c r="AE73" i="73"/>
  <c r="BK61" i="73"/>
  <c r="BK67" i="73"/>
  <c r="BK73" i="73"/>
  <c r="CI67" i="73"/>
  <c r="CI61" i="73"/>
  <c r="CI73" i="73"/>
  <c r="X67" i="73"/>
  <c r="X61" i="73"/>
  <c r="X73" i="73"/>
  <c r="AN61" i="73"/>
  <c r="AN67" i="73"/>
  <c r="AN73" i="73"/>
  <c r="BD67" i="73"/>
  <c r="BD61" i="73"/>
  <c r="BD73" i="73"/>
  <c r="BT73" i="73"/>
  <c r="BT61" i="73"/>
  <c r="BT67" i="73"/>
  <c r="CJ73" i="73"/>
  <c r="CJ67" i="73"/>
  <c r="CJ61" i="73"/>
  <c r="Q73" i="73"/>
  <c r="Q61" i="73"/>
  <c r="Q67" i="73"/>
  <c r="AO61" i="73"/>
  <c r="AO73" i="73"/>
  <c r="AO67" i="73"/>
  <c r="BM61" i="73"/>
  <c r="BM67" i="73"/>
  <c r="BM73" i="73"/>
  <c r="D73" i="73"/>
  <c r="D67" i="73"/>
  <c r="D61" i="73"/>
  <c r="L73" i="73"/>
  <c r="L67" i="73"/>
  <c r="L61" i="73"/>
  <c r="T73" i="73"/>
  <c r="T61" i="73"/>
  <c r="T67" i="73"/>
  <c r="AB73" i="73"/>
  <c r="AB67" i="73"/>
  <c r="AB61" i="73"/>
  <c r="AJ73" i="73"/>
  <c r="AJ67" i="73"/>
  <c r="AJ61" i="73"/>
  <c r="AR73" i="73"/>
  <c r="AR67" i="73"/>
  <c r="AR61" i="73"/>
  <c r="AZ73" i="73"/>
  <c r="AZ61" i="73"/>
  <c r="AZ67" i="73"/>
  <c r="BH73" i="73"/>
  <c r="BH67" i="73"/>
  <c r="BH61" i="73"/>
  <c r="BP73" i="73"/>
  <c r="BP67" i="73"/>
  <c r="BP61" i="73"/>
  <c r="BX73" i="73"/>
  <c r="BX67" i="73"/>
  <c r="BX61" i="73"/>
  <c r="CF73" i="73"/>
  <c r="CF61" i="73"/>
  <c r="CF67" i="73"/>
  <c r="E43" i="73"/>
  <c r="E55" i="73"/>
  <c r="E49" i="73"/>
  <c r="U49" i="73"/>
  <c r="U55" i="73"/>
  <c r="U43" i="73"/>
  <c r="AK43" i="73"/>
  <c r="AK49" i="73"/>
  <c r="AK55" i="73"/>
  <c r="BA55" i="73"/>
  <c r="BA49" i="73"/>
  <c r="BA43" i="73"/>
  <c r="BI49" i="73"/>
  <c r="BI55" i="73"/>
  <c r="BI43" i="73"/>
  <c r="BY49" i="73"/>
  <c r="BY43" i="73"/>
  <c r="BY55" i="73"/>
  <c r="N49" i="73"/>
  <c r="N43" i="73"/>
  <c r="N55" i="73"/>
  <c r="AD55" i="73"/>
  <c r="AD43" i="73"/>
  <c r="AD49" i="73"/>
  <c r="BB49" i="73"/>
  <c r="BB55" i="73"/>
  <c r="BB43" i="73"/>
  <c r="BJ49" i="73"/>
  <c r="BJ43" i="73"/>
  <c r="BJ55" i="73"/>
  <c r="BZ49" i="73"/>
  <c r="BZ43" i="73"/>
  <c r="BZ55" i="73"/>
  <c r="G43" i="73"/>
  <c r="G49" i="73"/>
  <c r="G55" i="73"/>
  <c r="W49" i="73"/>
  <c r="W43" i="73"/>
  <c r="W55" i="73"/>
  <c r="AM43" i="73"/>
  <c r="AM55" i="73"/>
  <c r="AM49" i="73"/>
  <c r="BC55" i="73"/>
  <c r="BC49" i="73"/>
  <c r="BC43" i="73"/>
  <c r="BS55" i="73"/>
  <c r="BS49" i="73"/>
  <c r="BS43" i="73"/>
  <c r="CI49" i="73"/>
  <c r="CI43" i="73"/>
  <c r="CI55" i="73"/>
  <c r="H49" i="73"/>
  <c r="H55" i="73"/>
  <c r="H43" i="73"/>
  <c r="X49" i="73"/>
  <c r="X55" i="73"/>
  <c r="X43" i="73"/>
  <c r="AN49" i="73"/>
  <c r="AN55" i="73"/>
  <c r="AN43" i="73"/>
  <c r="BD49" i="73"/>
  <c r="BD55" i="73"/>
  <c r="BD43" i="73"/>
  <c r="BT49" i="73"/>
  <c r="BT55" i="73"/>
  <c r="BT43" i="73"/>
  <c r="CJ49" i="73"/>
  <c r="CJ55" i="73"/>
  <c r="CJ43" i="73"/>
  <c r="I49" i="73"/>
  <c r="I55" i="73"/>
  <c r="I43" i="73"/>
  <c r="Q49" i="73"/>
  <c r="Q55" i="73"/>
  <c r="Q43" i="73"/>
  <c r="AG49" i="73"/>
  <c r="AG55" i="73"/>
  <c r="AG43" i="73"/>
  <c r="AW49" i="73"/>
  <c r="AW55" i="73"/>
  <c r="AW43" i="73"/>
  <c r="BM49" i="73"/>
  <c r="BM55" i="73"/>
  <c r="BM43" i="73"/>
  <c r="CC49" i="73"/>
  <c r="CC55" i="73"/>
  <c r="CC43" i="73"/>
  <c r="R55" i="73"/>
  <c r="R43" i="73"/>
  <c r="R49" i="73"/>
  <c r="AH55" i="73"/>
  <c r="AH43" i="73"/>
  <c r="AH49" i="73"/>
  <c r="AP55" i="73"/>
  <c r="AP43" i="73"/>
  <c r="AP49" i="73"/>
  <c r="BN55" i="73"/>
  <c r="BN43" i="73"/>
  <c r="BN49" i="73"/>
  <c r="CD55" i="73"/>
  <c r="CD43" i="73"/>
  <c r="CD49" i="73"/>
  <c r="C49" i="73"/>
  <c r="C43" i="73"/>
  <c r="C55" i="73"/>
  <c r="K43" i="73"/>
  <c r="K49" i="73"/>
  <c r="K55" i="73"/>
  <c r="S55" i="73"/>
  <c r="S49" i="73"/>
  <c r="S43" i="73"/>
  <c r="AA43" i="73"/>
  <c r="AA55" i="73"/>
  <c r="AA49" i="73"/>
  <c r="AI49" i="73"/>
  <c r="AI43" i="73"/>
  <c r="AI55" i="73"/>
  <c r="AQ55" i="73"/>
  <c r="AQ43" i="73"/>
  <c r="AQ49" i="73"/>
  <c r="AY49" i="73"/>
  <c r="AY55" i="73"/>
  <c r="AY43" i="73"/>
  <c r="BG55" i="73"/>
  <c r="BG43" i="73"/>
  <c r="BG49" i="73"/>
  <c r="BO49" i="73"/>
  <c r="BO43" i="73"/>
  <c r="BO55" i="73"/>
  <c r="BW49" i="73"/>
  <c r="BW43" i="73"/>
  <c r="BW55" i="73"/>
  <c r="CE55" i="73"/>
  <c r="CE49" i="73"/>
  <c r="CE43" i="73"/>
  <c r="M49" i="73"/>
  <c r="M55" i="73"/>
  <c r="M43" i="73"/>
  <c r="AC55" i="73"/>
  <c r="AC49" i="73"/>
  <c r="AC43" i="73"/>
  <c r="AS55" i="73"/>
  <c r="AS49" i="73"/>
  <c r="AS43" i="73"/>
  <c r="BQ43" i="73"/>
  <c r="BQ55" i="73"/>
  <c r="BQ49" i="73"/>
  <c r="CG43" i="73"/>
  <c r="CG55" i="73"/>
  <c r="CG49" i="73"/>
  <c r="F55" i="73"/>
  <c r="F49" i="73"/>
  <c r="F43" i="73"/>
  <c r="V49" i="73"/>
  <c r="V43" i="73"/>
  <c r="V55" i="73"/>
  <c r="AL55" i="73"/>
  <c r="AL49" i="73"/>
  <c r="AL43" i="73"/>
  <c r="AT49" i="73"/>
  <c r="AT43" i="73"/>
  <c r="AT55" i="73"/>
  <c r="BR55" i="73"/>
  <c r="BR49" i="73"/>
  <c r="BR43" i="73"/>
  <c r="CH49" i="73"/>
  <c r="CH43" i="73"/>
  <c r="CH55" i="73"/>
  <c r="O43" i="73"/>
  <c r="O55" i="73"/>
  <c r="O49" i="73"/>
  <c r="AE55" i="73"/>
  <c r="AE49" i="73"/>
  <c r="AE43" i="73"/>
  <c r="AU43" i="73"/>
  <c r="AU55" i="73"/>
  <c r="AU49" i="73"/>
  <c r="BK43" i="73"/>
  <c r="BK49" i="73"/>
  <c r="BK55" i="73"/>
  <c r="CA43" i="73"/>
  <c r="CA55" i="73"/>
  <c r="CA49" i="73"/>
  <c r="P49" i="73"/>
  <c r="P55" i="73"/>
  <c r="P43" i="73"/>
  <c r="AF49" i="73"/>
  <c r="AF55" i="73"/>
  <c r="AF43" i="73"/>
  <c r="AV49" i="73"/>
  <c r="AV55" i="73"/>
  <c r="AV43" i="73"/>
  <c r="BL49" i="73"/>
  <c r="BL55" i="73"/>
  <c r="BL43" i="73"/>
  <c r="CB49" i="73"/>
  <c r="CB55" i="73"/>
  <c r="CB43" i="73"/>
  <c r="Y49" i="73"/>
  <c r="Y55" i="73"/>
  <c r="Y43" i="73"/>
  <c r="AO49" i="73"/>
  <c r="AO55" i="73"/>
  <c r="AO43" i="73"/>
  <c r="BE49" i="73"/>
  <c r="BE55" i="73"/>
  <c r="BE43" i="73"/>
  <c r="BU49" i="73"/>
  <c r="BU55" i="73"/>
  <c r="BU43" i="73"/>
  <c r="J55" i="73"/>
  <c r="J43" i="73"/>
  <c r="J49" i="73"/>
  <c r="Z55" i="73"/>
  <c r="Z43" i="73"/>
  <c r="Z49" i="73"/>
  <c r="AX55" i="73"/>
  <c r="AX43" i="73"/>
  <c r="AX49" i="73"/>
  <c r="BF55" i="73"/>
  <c r="BF43" i="73"/>
  <c r="BF49" i="73"/>
  <c r="BV55" i="73"/>
  <c r="BV43" i="73"/>
  <c r="BV49" i="73"/>
  <c r="D49" i="73"/>
  <c r="D43" i="73"/>
  <c r="D55" i="73"/>
  <c r="L43" i="73"/>
  <c r="L49" i="73"/>
  <c r="L55" i="73"/>
  <c r="T55" i="73"/>
  <c r="T49" i="73"/>
  <c r="T43" i="73"/>
  <c r="AB55" i="73"/>
  <c r="AB49" i="73"/>
  <c r="AB43" i="73"/>
  <c r="AJ49" i="73"/>
  <c r="AJ43" i="73"/>
  <c r="AJ55" i="73"/>
  <c r="AR55" i="73"/>
  <c r="AR43" i="73"/>
  <c r="AR49" i="73"/>
  <c r="AZ55" i="73"/>
  <c r="AZ43" i="73"/>
  <c r="AZ49" i="73"/>
  <c r="BH49" i="73"/>
  <c r="BH55" i="73"/>
  <c r="BH43" i="73"/>
  <c r="BP49" i="73"/>
  <c r="BP43" i="73"/>
  <c r="BP55" i="73"/>
  <c r="BX49" i="73"/>
  <c r="BX43" i="73"/>
  <c r="BX55" i="73"/>
  <c r="CF55" i="73"/>
  <c r="CF43" i="73"/>
  <c r="CF49" i="73"/>
  <c r="CD218" i="73"/>
  <c r="CD227" i="73"/>
  <c r="CD236" i="73"/>
  <c r="CD245" i="73"/>
  <c r="AL78" i="68" l="1"/>
  <c r="AL67" i="68"/>
  <c r="AL89" i="68" l="1"/>
  <c r="J19" i="76" l="1"/>
  <c r="J18" i="76"/>
  <c r="J13" i="76" l="1"/>
  <c r="AV7" i="10"/>
  <c r="U34" i="81" l="1"/>
  <c r="U31" i="81"/>
  <c r="U18" i="8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N39" i="49"/>
  <c r="AN21" i="49"/>
  <c r="AO45" i="48"/>
  <c r="AO51" i="48"/>
  <c r="AO26" i="48"/>
  <c r="AO21" i="48"/>
  <c r="AJ8" i="72"/>
  <c r="AJ21" i="72" s="1"/>
  <c r="AN27" i="65" l="1"/>
  <c r="AK51" i="68"/>
  <c r="AN22" i="53"/>
  <c r="AN24" i="53" s="1"/>
  <c r="AJ24" i="72"/>
  <c r="AN24" i="55"/>
  <c r="AK32" i="68"/>
  <c r="N131" i="80"/>
  <c r="F129" i="80"/>
  <c r="AK58" i="68"/>
  <c r="AN19" i="52"/>
  <c r="AN38" i="52"/>
  <c r="AO52" i="48"/>
  <c r="AO27"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V11" i="43"/>
  <c r="EX4" i="43"/>
  <c r="EU3" i="43"/>
  <c r="AO18" i="44"/>
  <c r="AO14" i="44"/>
  <c r="AO11" i="44"/>
  <c r="Y47" i="42"/>
  <c r="M47" i="42"/>
  <c r="AO18" i="39"/>
  <c r="AO9" i="39"/>
  <c r="D67" i="38"/>
  <c r="R314" i="36"/>
  <c r="R313" i="36"/>
  <c r="R316" i="36"/>
  <c r="R312" i="36"/>
  <c r="R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49" i="23"/>
  <c r="F49" i="23"/>
  <c r="E49" i="23"/>
  <c r="M49" i="23"/>
  <c r="L49" i="23"/>
  <c r="AN13" i="24"/>
  <c r="T22" i="13"/>
  <c r="T21" i="13"/>
  <c r="T20" i="13"/>
  <c r="T19" i="13"/>
  <c r="T18" i="13"/>
  <c r="AQ106" i="9"/>
  <c r="AP106" i="9"/>
  <c r="AO106" i="9"/>
  <c r="AN106" i="9"/>
  <c r="AM106" i="9"/>
  <c r="AL106" i="9"/>
  <c r="AQ105" i="9"/>
  <c r="AQ107" i="9" s="1"/>
  <c r="AQ108" i="9" s="1"/>
  <c r="AQ109" i="9" s="1"/>
  <c r="AP105" i="9"/>
  <c r="AP107" i="9" s="1"/>
  <c r="AP108" i="9" s="1"/>
  <c r="AP109" i="9" s="1"/>
  <c r="AO105" i="9"/>
  <c r="AO107" i="9" s="1"/>
  <c r="AO108" i="9" s="1"/>
  <c r="AO109" i="9" s="1"/>
  <c r="AN105" i="9"/>
  <c r="AN107" i="9" s="1"/>
  <c r="AN108" i="9" s="1"/>
  <c r="AN109" i="9" s="1"/>
  <c r="AM105" i="9"/>
  <c r="AM107" i="9" s="1"/>
  <c r="AM108" i="9" s="1"/>
  <c r="AL105" i="9"/>
  <c r="AL107" i="9" s="1"/>
  <c r="BA104" i="9"/>
  <c r="BA103" i="9"/>
  <c r="BA101" i="9"/>
  <c r="BA100" i="9"/>
  <c r="BA99" i="9"/>
  <c r="AK97" i="9"/>
  <c r="AI97" i="9"/>
  <c r="AH97" i="9"/>
  <c r="AI96" i="9"/>
  <c r="AI98" i="9" s="1"/>
  <c r="BA95" i="9"/>
  <c r="AH94" i="9"/>
  <c r="AH96" i="9" s="1"/>
  <c r="AH98" i="9" s="1"/>
  <c r="AE92" i="9"/>
  <c r="AE93" i="9" s="1"/>
  <c r="AD92" i="9"/>
  <c r="AD93" i="9" s="1"/>
  <c r="AD94" i="9" s="1"/>
  <c r="AC92" i="9"/>
  <c r="AK91" i="9"/>
  <c r="AK92" i="9" s="1"/>
  <c r="AK93" i="9" s="1"/>
  <c r="AK94" i="9" s="1"/>
  <c r="AK96" i="9" s="1"/>
  <c r="AK98" i="9" s="1"/>
  <c r="BA90" i="9"/>
  <c r="BA89" i="9"/>
  <c r="AC88" i="9"/>
  <c r="BA88" i="9" s="1"/>
  <c r="AC87" i="9"/>
  <c r="AB87" i="9"/>
  <c r="AB91" i="9" s="1"/>
  <c r="AC86" i="9"/>
  <c r="AB86" i="9"/>
  <c r="AC85" i="9"/>
  <c r="AB85" i="9"/>
  <c r="BB100" i="9"/>
  <c r="AV45" i="9"/>
  <c r="AO33" i="45" l="1"/>
  <c r="DN27" i="34"/>
  <c r="BA98" i="9"/>
  <c r="AO45" i="33"/>
  <c r="AO17" i="44"/>
  <c r="AO25" i="30"/>
  <c r="AO51" i="61"/>
  <c r="AO42" i="33"/>
  <c r="AK59" i="68"/>
  <c r="EU37" i="43"/>
  <c r="EV37" i="43"/>
  <c r="EW37" i="43"/>
  <c r="AR59" i="46"/>
  <c r="AR40" i="46"/>
  <c r="AR78" i="46"/>
  <c r="AR18" i="46"/>
  <c r="AR21" i="46" s="1"/>
  <c r="AR58" i="46"/>
  <c r="EU11" i="43"/>
  <c r="AO21" i="44"/>
  <c r="C67" i="38"/>
  <c r="E67" i="38"/>
  <c r="R311" i="36"/>
  <c r="R310" i="36"/>
  <c r="R309" i="36"/>
  <c r="DM27" i="34"/>
  <c r="DO21" i="34"/>
  <c r="DO27" i="34" s="1"/>
  <c r="AO14" i="33"/>
  <c r="AO31" i="33"/>
  <c r="AO48" i="61"/>
  <c r="AO16" i="61"/>
  <c r="AN20" i="31"/>
  <c r="AN24" i="31"/>
  <c r="AN28" i="31"/>
  <c r="AO16" i="29"/>
  <c r="AO18" i="29" s="1"/>
  <c r="AO12" i="26"/>
  <c r="AO13" i="26" s="1"/>
  <c r="AO22" i="26"/>
  <c r="AO23" i="26" s="1"/>
  <c r="N49" i="23"/>
  <c r="BA97" i="9"/>
  <c r="BA85" i="9"/>
  <c r="BA86" i="9"/>
  <c r="BA91" i="9"/>
  <c r="BA105" i="9"/>
  <c r="BA106" i="9"/>
  <c r="BA92" i="9"/>
  <c r="BA96" i="9"/>
  <c r="AQ110" i="9"/>
  <c r="AQ111" i="9"/>
  <c r="AQ114" i="9" s="1"/>
  <c r="BA107" i="9"/>
  <c r="BA108" i="9"/>
  <c r="BA94" i="9"/>
  <c r="AP110" i="9"/>
  <c r="AP111" i="9"/>
  <c r="AN111" i="9"/>
  <c r="AN110" i="9"/>
  <c r="BA109" i="9"/>
  <c r="AO110" i="9"/>
  <c r="AO111" i="9"/>
  <c r="BA87" i="9"/>
  <c r="BA93" i="9"/>
  <c r="BA111" i="9" l="1"/>
  <c r="AO112" i="9"/>
  <c r="AO113" i="9"/>
  <c r="AQ112" i="9"/>
  <c r="AQ115" i="9" s="1"/>
  <c r="AQ113" i="9"/>
  <c r="AP112" i="9"/>
  <c r="AP113" i="9"/>
  <c r="BA114" i="9"/>
  <c r="AN30" i="31"/>
  <c r="AN29" i="31" s="1"/>
  <c r="BA110" i="9"/>
  <c r="BA115" i="9" l="1"/>
  <c r="AQ116" i="9"/>
  <c r="BA116" i="9" s="1"/>
  <c r="BA113" i="9"/>
  <c r="BA112"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BA10" i="2" s="1"/>
  <c r="AV13" i="1"/>
  <c r="AV15" i="1" s="1"/>
  <c r="AV14" i="10"/>
  <c r="AV16" i="10" s="1"/>
  <c r="BB178" i="77"/>
  <c r="BA178" i="77"/>
  <c r="AO11" i="30" l="1"/>
  <c r="AV40" i="10"/>
  <c r="AV43" i="10" s="1"/>
  <c r="AV45" i="10" s="1"/>
  <c r="AV48" i="10" s="1"/>
  <c r="AV35" i="1"/>
  <c r="AV40" i="1"/>
  <c r="AN11" i="53"/>
  <c r="BA16" i="2"/>
  <c r="AV35" i="10"/>
  <c r="CJ347" i="73"/>
  <c r="CJ346" i="73"/>
  <c r="CJ41" i="73"/>
  <c r="CJ33" i="73"/>
  <c r="CJ25" i="73"/>
  <c r="CJ283" i="73"/>
  <c r="CJ275" i="73"/>
  <c r="CJ267" i="73"/>
  <c r="CJ259" i="73"/>
  <c r="AV36" i="10" l="1"/>
  <c r="BA19" i="2"/>
  <c r="BA24" i="2" s="1"/>
  <c r="BA26" i="2" s="1"/>
  <c r="BA28" i="2" s="1"/>
  <c r="AV36" i="1"/>
  <c r="CJ344" i="73"/>
  <c r="CJ345" i="73"/>
  <c r="AV43" i="1"/>
  <c r="AV45" i="1" s="1"/>
  <c r="AV48" i="1" s="1"/>
  <c r="BA30" i="2" l="1"/>
  <c r="AJ18" i="63"/>
  <c r="CJ27" i="73"/>
  <c r="CJ19" i="73"/>
  <c r="CJ35" i="73"/>
  <c r="BB177" i="77" l="1"/>
  <c r="BA177" i="77"/>
  <c r="CI347" i="73" l="1"/>
  <c r="CI346" i="73"/>
  <c r="CI41" i="73"/>
  <c r="CI33" i="73"/>
  <c r="CI25" i="73"/>
  <c r="CI283" i="73"/>
  <c r="CI345" i="73" s="1"/>
  <c r="CI275" i="73"/>
  <c r="CI344" i="73" s="1"/>
  <c r="CI267" i="73"/>
  <c r="CI259" i="73"/>
  <c r="BB176" i="77" l="1"/>
  <c r="BA176" i="77"/>
  <c r="CI27" i="73"/>
  <c r="CI19" i="73"/>
  <c r="CI35" i="73"/>
  <c r="CH347" i="73" l="1"/>
  <c r="CH346" i="73"/>
  <c r="CH41" i="73"/>
  <c r="CH33" i="73"/>
  <c r="CH25" i="73"/>
  <c r="CH283" i="73"/>
  <c r="CH345" i="73" s="1"/>
  <c r="CH275" i="73"/>
  <c r="CH344" i="73" s="1"/>
  <c r="CH267" i="73"/>
  <c r="CH259"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CH27" i="73" l="1"/>
  <c r="CH19" i="73"/>
  <c r="CH35" i="73"/>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34" i="81"/>
  <c r="T15" i="81"/>
  <c r="AJ26" i="68"/>
  <c r="AJ28" i="68"/>
  <c r="AM22" i="65"/>
  <c r="AM23" i="65"/>
  <c r="AM24" i="65"/>
  <c r="AN18" i="29" l="1"/>
  <c r="T18" i="81"/>
  <c r="T31" i="81"/>
  <c r="F124" i="80"/>
  <c r="F123" i="80"/>
  <c r="F122" i="80"/>
  <c r="AJ89" i="68"/>
  <c r="AJ67" i="68"/>
  <c r="AM10" i="66"/>
  <c r="AM4" i="55"/>
  <c r="AM25" i="65"/>
  <c r="AM27" i="65" s="1"/>
  <c r="AM44" i="52"/>
  <c r="AM50" i="52"/>
  <c r="AM49" i="52"/>
  <c r="AM48" i="52"/>
  <c r="AM46" i="52"/>
  <c r="AN45" i="48"/>
  <c r="AN51" i="48"/>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77" i="38"/>
  <c r="C77" i="38"/>
  <c r="R305" i="36"/>
  <c r="R303" i="36"/>
  <c r="AQ40" i="46" l="1"/>
  <c r="EQ37" i="43"/>
  <c r="AN14" i="44"/>
  <c r="AQ58" i="46"/>
  <c r="AQ72" i="46"/>
  <c r="AN26" i="48"/>
  <c r="AM23" i="53"/>
  <c r="M46" i="42"/>
  <c r="AQ20" i="46"/>
  <c r="AQ53" i="46"/>
  <c r="AQ76" i="46"/>
  <c r="AM19" i="52"/>
  <c r="AM15" i="53"/>
  <c r="AM17" i="53" s="1"/>
  <c r="AM21" i="49"/>
  <c r="D77" i="38"/>
  <c r="AN11" i="44"/>
  <c r="AM39" i="49"/>
  <c r="R306" i="36"/>
  <c r="R300" i="36"/>
  <c r="R302" i="36"/>
  <c r="E77" i="38"/>
  <c r="AN9" i="39"/>
  <c r="AN32" i="45"/>
  <c r="R299" i="36"/>
  <c r="I77" i="38"/>
  <c r="AN21" i="48"/>
  <c r="AM21" i="53"/>
  <c r="AM20" i="53"/>
  <c r="AM8" i="53"/>
  <c r="AM10" i="53" s="1"/>
  <c r="AN52" i="48"/>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57" i="23"/>
  <c r="F57" i="23"/>
  <c r="S22" i="13"/>
  <c r="S21" i="13"/>
  <c r="S20" i="13"/>
  <c r="S19" i="13"/>
  <c r="S18" i="13"/>
  <c r="DL24" i="34" l="1"/>
  <c r="AI24" i="72"/>
  <c r="AQ78" i="46"/>
  <c r="DK27" i="34"/>
  <c r="AQ59" i="46"/>
  <c r="AM22" i="53"/>
  <c r="AM24" i="53" s="1"/>
  <c r="AN27"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57" i="23"/>
  <c r="M57"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4"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47" i="73"/>
  <c r="CG346" i="73"/>
  <c r="CG41" i="73"/>
  <c r="CG33" i="73"/>
  <c r="CG25" i="73"/>
  <c r="CG283" i="73"/>
  <c r="CG345" i="73" s="1"/>
  <c r="CG275" i="73"/>
  <c r="CG344" i="73" s="1"/>
  <c r="CG267" i="73"/>
  <c r="CG259" i="73"/>
  <c r="AZ24" i="2" l="1"/>
  <c r="AZ26" i="2" s="1"/>
  <c r="AZ28" i="2" s="1"/>
  <c r="AZ30"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I18" i="63" l="1"/>
  <c r="K18" i="76"/>
  <c r="CG27" i="73"/>
  <c r="CG19" i="73"/>
  <c r="CG35" i="73"/>
  <c r="BB173" i="77" l="1"/>
  <c r="BA174" i="77"/>
  <c r="BA173" i="77"/>
  <c r="BB174" i="77"/>
  <c r="CF347" i="73" l="1"/>
  <c r="CF346" i="73"/>
  <c r="CF41" i="73"/>
  <c r="CF33" i="73"/>
  <c r="CF25" i="73"/>
  <c r="CF283" i="73"/>
  <c r="CF345" i="73" s="1"/>
  <c r="CF275" i="73"/>
  <c r="CF344" i="73" s="1"/>
  <c r="CF267" i="73"/>
  <c r="CF259" i="73"/>
  <c r="CF27" i="73" l="1"/>
  <c r="CF19" i="73"/>
  <c r="CF35" i="73"/>
  <c r="F129" i="9"/>
  <c r="E129" i="9"/>
  <c r="D129" i="9"/>
  <c r="C129" i="9"/>
  <c r="F128" i="9"/>
  <c r="E128" i="9"/>
  <c r="D128" i="9"/>
  <c r="C128" i="9"/>
  <c r="F127" i="9"/>
  <c r="E127" i="9"/>
  <c r="D127" i="9"/>
  <c r="C127" i="9"/>
  <c r="AJ124" i="9"/>
  <c r="AI124" i="9"/>
  <c r="AH124" i="9"/>
  <c r="F123" i="9"/>
  <c r="E123" i="9"/>
  <c r="D123" i="9"/>
  <c r="C123" i="9"/>
  <c r="C126" i="9" l="1"/>
  <c r="F126" i="9"/>
  <c r="D126" i="9"/>
  <c r="E126"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41" i="73" l="1"/>
  <c r="CE33" i="73"/>
  <c r="CE25" i="73"/>
  <c r="CE283" i="73"/>
  <c r="CE345" i="73" s="1"/>
  <c r="CE275" i="73"/>
  <c r="CE344" i="73" s="1"/>
  <c r="CE267" i="73"/>
  <c r="CE259" i="73"/>
  <c r="CE347" i="73"/>
  <c r="CE346" i="73"/>
  <c r="CE35" i="73" l="1"/>
  <c r="CE19" i="73"/>
  <c r="CE27" i="73"/>
  <c r="AZ41" i="3" l="1"/>
  <c r="AM13" i="55" l="1"/>
  <c r="AM24" i="55" s="1"/>
  <c r="H20" i="76"/>
  <c r="J22" i="76"/>
  <c r="AM25" i="55" l="1"/>
  <c r="AN18" i="39"/>
  <c r="J21" i="76"/>
  <c r="E20" i="76"/>
  <c r="AT7" i="10" l="1"/>
  <c r="Q34" i="81"/>
  <c r="Q31" i="81"/>
  <c r="Q18" i="81"/>
  <c r="Q15" i="81"/>
  <c r="S34"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6" i="48"/>
  <c r="AP53" i="46"/>
  <c r="AP56" i="46"/>
  <c r="AL23" i="53"/>
  <c r="AL21" i="49"/>
  <c r="EN11" i="43"/>
  <c r="AM45" i="48"/>
  <c r="AM28" i="45"/>
  <c r="AP28" i="46"/>
  <c r="AP47" i="46"/>
  <c r="AP19" i="46"/>
  <c r="AM30" i="45"/>
  <c r="AP34" i="46"/>
  <c r="AP39" i="46"/>
  <c r="AP66" i="46"/>
  <c r="AM11" i="44"/>
  <c r="AM17" i="44" s="1"/>
  <c r="AP20" i="46"/>
  <c r="AP72" i="46"/>
  <c r="S31" i="81"/>
  <c r="AM21" i="48"/>
  <c r="AL39" i="49"/>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M51" i="48"/>
  <c r="AH21" i="72"/>
  <c r="AP107" i="46"/>
  <c r="AP110" i="46"/>
  <c r="AP9" i="46"/>
  <c r="AP38" i="46"/>
  <c r="AP58" i="46"/>
  <c r="AM26" i="45"/>
  <c r="EO36" i="43"/>
  <c r="EM37" i="43"/>
  <c r="EN37" i="43"/>
  <c r="EM11" i="43"/>
  <c r="AP59" i="46" l="1"/>
  <c r="AM33" i="45"/>
  <c r="AH24" i="72"/>
  <c r="AL27" i="65"/>
  <c r="AM27" i="48"/>
  <c r="AM21" i="44"/>
  <c r="AP21" i="46"/>
  <c r="AM52" i="48"/>
  <c r="AP78" i="46"/>
  <c r="AL22" i="53"/>
  <c r="AL24" i="53" s="1"/>
  <c r="AP40" i="46"/>
  <c r="BN9" i="84" l="1"/>
  <c r="BN6" i="84"/>
  <c r="R292" i="36"/>
  <c r="DF12" i="34"/>
  <c r="DF11" i="34"/>
  <c r="DF16" i="34"/>
  <c r="DF10" i="34"/>
  <c r="DF9" i="34"/>
  <c r="DF8" i="34"/>
  <c r="DF7" i="34"/>
  <c r="DI23" i="34"/>
  <c r="DH23" i="34"/>
  <c r="DG23" i="34"/>
  <c r="DI20" i="34"/>
  <c r="DI19" i="34"/>
  <c r="DI18" i="34"/>
  <c r="DI17" i="34"/>
  <c r="DI15" i="34"/>
  <c r="AM40" i="33"/>
  <c r="AM37" i="33"/>
  <c r="AM34" i="33"/>
  <c r="BN12" i="84" l="1"/>
  <c r="R290" i="36"/>
  <c r="R293" i="36"/>
  <c r="AM9" i="39"/>
  <c r="AM39" i="33"/>
  <c r="DI25" i="34"/>
  <c r="DI24" i="34" s="1"/>
  <c r="R295" i="36"/>
  <c r="DH21" i="34"/>
  <c r="DH27" i="34" s="1"/>
  <c r="AM43" i="33"/>
  <c r="AM38" i="33"/>
  <c r="AM41" i="33"/>
  <c r="AM17" i="33"/>
  <c r="AM14" i="33"/>
  <c r="AM31" i="33"/>
  <c r="AM28" i="33"/>
  <c r="D87" i="38"/>
  <c r="AM18" i="39"/>
  <c r="I87" i="38"/>
  <c r="F87" i="38"/>
  <c r="E87" i="38"/>
  <c r="C87" i="38"/>
  <c r="R294" i="36"/>
  <c r="R296" i="36"/>
  <c r="R291" i="36"/>
  <c r="DG21" i="34"/>
  <c r="DG27" i="34" s="1"/>
  <c r="AM35" i="33"/>
  <c r="AM44" i="33"/>
  <c r="AM42" i="33" l="1"/>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S21" i="32" s="1"/>
  <c r="AT15" i="32"/>
  <c r="AT21" i="32" s="1"/>
  <c r="AU15" i="32" s="1"/>
  <c r="AL13" i="31"/>
  <c r="AM13" i="32"/>
  <c r="AN6" i="32"/>
  <c r="AM18" i="29"/>
  <c r="AM25" i="30"/>
  <c r="AL30" i="31"/>
  <c r="AL29" i="31" s="1"/>
  <c r="AM30" i="32"/>
  <c r="L65" i="23"/>
  <c r="N65" i="23"/>
  <c r="M65" i="23"/>
  <c r="E65" i="23"/>
  <c r="R22" i="13"/>
  <c r="R21" i="13"/>
  <c r="R20" i="13"/>
  <c r="R19" i="13"/>
  <c r="R18" i="13"/>
  <c r="AU21" i="32" l="1"/>
  <c r="AN12" i="32"/>
  <c r="AN24" i="32"/>
  <c r="AN30" i="32" s="1"/>
  <c r="AL13" i="24"/>
  <c r="G65" i="23"/>
  <c r="F65" i="23"/>
  <c r="AO6" i="32" l="1"/>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4"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46" i="73"/>
  <c r="R346" i="73"/>
  <c r="S346" i="73"/>
  <c r="T346" i="73"/>
  <c r="U346" i="73"/>
  <c r="Q347" i="73"/>
  <c r="R347" i="73"/>
  <c r="S347" i="73"/>
  <c r="T347" i="73"/>
  <c r="U347" i="73"/>
  <c r="AS13" i="32" l="1"/>
  <c r="AT6" i="32"/>
  <c r="AR13" i="31"/>
  <c r="AY19" i="2"/>
  <c r="AT12" i="32" l="1"/>
  <c r="AT24" i="32"/>
  <c r="AT30" i="32" s="1"/>
  <c r="AY24" i="2"/>
  <c r="AY26" i="2" s="1"/>
  <c r="AY28" i="2" s="1"/>
  <c r="AU6" i="32" l="1"/>
  <c r="AS13" i="31"/>
  <c r="AT13" i="32"/>
  <c r="BB172" i="77"/>
  <c r="AY30" i="2"/>
  <c r="AH18" i="63"/>
  <c r="BA172" i="77"/>
  <c r="AU12" i="32" l="1"/>
  <c r="AU24" i="32"/>
  <c r="AU30" i="32" s="1"/>
  <c r="CD259" i="73"/>
  <c r="CD267" i="73"/>
  <c r="CD275" i="73"/>
  <c r="CD344" i="73" s="1"/>
  <c r="CD283" i="73"/>
  <c r="CD345" i="73" s="1"/>
  <c r="CD25" i="73"/>
  <c r="CD33" i="73"/>
  <c r="CD41" i="73"/>
  <c r="CD346" i="73"/>
  <c r="CD347" i="73"/>
  <c r="AU13" i="32" l="1"/>
  <c r="CD211" i="73"/>
  <c r="CD229" i="73"/>
  <c r="CD220" i="73"/>
  <c r="CD27" i="73"/>
  <c r="CD19" i="73"/>
  <c r="CD35" i="73"/>
  <c r="CC259" i="73"/>
  <c r="CB259" i="73"/>
  <c r="CA259" i="73"/>
  <c r="BZ259" i="73"/>
  <c r="BY259" i="73"/>
  <c r="CC245" i="73"/>
  <c r="CB245" i="73"/>
  <c r="CA245" i="73"/>
  <c r="BZ245" i="73"/>
  <c r="BY245" i="73"/>
  <c r="BX245" i="73"/>
  <c r="BW245" i="73"/>
  <c r="BV245" i="73"/>
  <c r="BU245" i="73"/>
  <c r="BT245" i="73"/>
  <c r="BS245" i="73"/>
  <c r="BR245" i="73"/>
  <c r="BP245" i="73"/>
  <c r="BO245" i="73"/>
  <c r="BN245" i="73"/>
  <c r="BQ245" i="73"/>
  <c r="BZ347" i="73" l="1"/>
  <c r="BZ346" i="73"/>
  <c r="BZ41" i="73"/>
  <c r="BZ33" i="73"/>
  <c r="BZ25" i="73"/>
  <c r="BZ283" i="73"/>
  <c r="BZ345" i="73" s="1"/>
  <c r="BZ275" i="73"/>
  <c r="BZ344" i="73" s="1"/>
  <c r="BZ267" i="73"/>
  <c r="BZ236" i="73"/>
  <c r="BZ227" i="73"/>
  <c r="BZ218" i="73"/>
  <c r="BA171" i="77" l="1"/>
  <c r="BB171" i="77"/>
  <c r="CC347" i="73"/>
  <c r="CC346" i="73"/>
  <c r="CC41" i="73"/>
  <c r="CC33" i="73"/>
  <c r="CC25" i="73"/>
  <c r="CC283" i="73"/>
  <c r="CC345" i="73" s="1"/>
  <c r="CC275" i="73"/>
  <c r="CC344" i="73" s="1"/>
  <c r="CC267" i="73"/>
  <c r="CC236" i="73"/>
  <c r="CC227" i="73"/>
  <c r="CC218" i="73"/>
  <c r="AI39" i="49" l="1"/>
  <c r="AH39" i="49"/>
  <c r="AG39" i="49"/>
  <c r="BA170" i="77" l="1"/>
  <c r="BB170" i="77"/>
  <c r="AB47" i="63" l="1"/>
  <c r="AD47" i="63" s="1"/>
  <c r="CB347" i="73" l="1"/>
  <c r="CB346" i="73"/>
  <c r="CB41" i="73"/>
  <c r="CB33" i="73"/>
  <c r="CB25" i="73"/>
  <c r="CB283" i="73"/>
  <c r="CB345" i="73" s="1"/>
  <c r="CB275" i="73"/>
  <c r="CB344" i="73" s="1"/>
  <c r="CB267" i="73"/>
  <c r="CB236" i="73"/>
  <c r="CB227" i="73"/>
  <c r="CB218" i="73"/>
  <c r="AH44" i="52" l="1"/>
  <c r="J24" i="76" l="1"/>
  <c r="J23" i="76"/>
  <c r="R276" i="36" l="1"/>
  <c r="R275" i="36"/>
  <c r="R274" i="36"/>
  <c r="R273" i="36"/>
  <c r="R272" i="36"/>
  <c r="R271" i="36"/>
  <c r="R270" i="36"/>
  <c r="R269" i="36"/>
  <c r="AL13" i="55" l="1"/>
  <c r="AL24" i="55" s="1"/>
  <c r="AK44" i="52"/>
  <c r="EO18" i="43"/>
  <c r="EO37" i="43" s="1"/>
  <c r="AL25" i="55" l="1"/>
  <c r="R289" i="36"/>
  <c r="M45" i="42"/>
  <c r="R15" i="81" l="1"/>
  <c r="F110" i="80"/>
  <c r="F108" i="80"/>
  <c r="AK24" i="65"/>
  <c r="AK50" i="52"/>
  <c r="AK49" i="52"/>
  <c r="AK48" i="52"/>
  <c r="AK46" i="52"/>
  <c r="AL51" i="48"/>
  <c r="AJ51" i="48"/>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R285" i="36"/>
  <c r="R283" i="36"/>
  <c r="R282" i="36"/>
  <c r="R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73"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R31" i="81"/>
  <c r="AL32" i="61"/>
  <c r="EJ11" i="43"/>
  <c r="AL13" i="45"/>
  <c r="AL38" i="33"/>
  <c r="AL42" i="33" s="1"/>
  <c r="AL28" i="33"/>
  <c r="AO40" i="46"/>
  <c r="AL18" i="44"/>
  <c r="AL21" i="44" s="1"/>
  <c r="R18" i="81"/>
  <c r="R34"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K51" i="48"/>
  <c r="AL21" i="48"/>
  <c r="AL26" i="48"/>
  <c r="AL45" i="48"/>
  <c r="AL52" i="48" s="1"/>
  <c r="AG21" i="72"/>
  <c r="AL31" i="45"/>
  <c r="AL33" i="45" s="1"/>
  <c r="EK36" i="43"/>
  <c r="EK37" i="43" s="1"/>
  <c r="EI37" i="43"/>
  <c r="EI11" i="43"/>
  <c r="M44" i="42"/>
  <c r="AL18" i="39"/>
  <c r="D96" i="38"/>
  <c r="E96" i="38"/>
  <c r="F96" i="38"/>
  <c r="C96" i="38"/>
  <c r="I96" i="38"/>
  <c r="AL14" i="33"/>
  <c r="AL48" i="61"/>
  <c r="AL16" i="61"/>
  <c r="AL19" i="61"/>
  <c r="AL12" i="26"/>
  <c r="AL13" i="26" s="1"/>
  <c r="AL22" i="26"/>
  <c r="AL23" i="26" s="1"/>
  <c r="N73" i="23"/>
  <c r="L73" i="23"/>
  <c r="AK27" i="65" l="1"/>
  <c r="AG24" i="72"/>
  <c r="DF21" i="34"/>
  <c r="DF27" i="34" s="1"/>
  <c r="AK24" i="53"/>
  <c r="AK30" i="31"/>
  <c r="AK29" i="31" s="1"/>
  <c r="AL27" i="48"/>
  <c r="AK51" i="52"/>
  <c r="G73" i="23" l="1"/>
  <c r="E73" i="23" l="1"/>
  <c r="F73"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4" i="9"/>
  <c r="AR13" i="1"/>
  <c r="AR15" i="1" s="1"/>
  <c r="AR40" i="1" s="1"/>
  <c r="AR14" i="10"/>
  <c r="AR16" i="10" s="1"/>
  <c r="AR40" i="10" s="1"/>
  <c r="AS36" i="12"/>
  <c r="AS58" i="12"/>
  <c r="AS12" i="10"/>
  <c r="AS9" i="1"/>
  <c r="AS37" i="1"/>
  <c r="AS13" i="12"/>
  <c r="AW6" i="2"/>
  <c r="AX21" i="2"/>
  <c r="AX11" i="2"/>
  <c r="AX8" i="2"/>
  <c r="AR35" i="10" l="1"/>
  <c r="AR36" i="10" s="1"/>
  <c r="AW10" i="2"/>
  <c r="AR35" i="1"/>
  <c r="AR36" i="1" s="1"/>
  <c r="AR43" i="10"/>
  <c r="AR45" i="10" s="1"/>
  <c r="AR48" i="10" s="1"/>
  <c r="AR43" i="1"/>
  <c r="AS14" i="10"/>
  <c r="AS16" i="10" s="1"/>
  <c r="AX7" i="2"/>
  <c r="AS11" i="1"/>
  <c r="AS6" i="12"/>
  <c r="AS8" i="12" s="1"/>
  <c r="AZ6" i="3"/>
  <c r="AZ23" i="3"/>
  <c r="AZ33" i="3"/>
  <c r="AZ42" i="3"/>
  <c r="AZ60" i="3"/>
  <c r="AZ76" i="3"/>
  <c r="AW16" i="2" l="1"/>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47" i="73"/>
  <c r="CA346" i="73"/>
  <c r="CA41" i="73"/>
  <c r="CA33" i="73"/>
  <c r="CA25" i="73"/>
  <c r="CA283" i="73"/>
  <c r="CA345" i="73" s="1"/>
  <c r="CA275" i="73"/>
  <c r="CA344" i="73" s="1"/>
  <c r="CA267" i="73"/>
  <c r="CA236" i="73"/>
  <c r="CA227" i="73"/>
  <c r="CA218"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3" i="9" s="1"/>
  <c r="AV27" i="9"/>
  <c r="AV123" i="9" s="1"/>
  <c r="AV125" i="9" s="1"/>
  <c r="BA168" i="77"/>
  <c r="BB168" i="77"/>
  <c r="BY283" i="73" l="1"/>
  <c r="BY345" i="73" s="1"/>
  <c r="BX283" i="73"/>
  <c r="BW283" i="73"/>
  <c r="BV283" i="73"/>
  <c r="BU283" i="73"/>
  <c r="BT283" i="73"/>
  <c r="BS283" i="73"/>
  <c r="BR283" i="73"/>
  <c r="BQ283" i="73"/>
  <c r="BP283" i="73"/>
  <c r="BO283" i="73"/>
  <c r="BM283" i="73"/>
  <c r="BL283" i="73"/>
  <c r="BK283" i="73"/>
  <c r="BJ283" i="73"/>
  <c r="BI283" i="73"/>
  <c r="BH283" i="73"/>
  <c r="BG283" i="73"/>
  <c r="BF283" i="73"/>
  <c r="BE283" i="73"/>
  <c r="BD283" i="73"/>
  <c r="BC283" i="73"/>
  <c r="BB283" i="73"/>
  <c r="BA283" i="73"/>
  <c r="AZ283" i="73"/>
  <c r="AY283" i="73"/>
  <c r="AX283" i="73"/>
  <c r="AW283" i="73"/>
  <c r="AV283" i="73"/>
  <c r="AU283" i="73"/>
  <c r="AT283" i="73"/>
  <c r="AS283" i="73"/>
  <c r="AR283" i="73"/>
  <c r="AQ283" i="73"/>
  <c r="AP283" i="73"/>
  <c r="AO283" i="73"/>
  <c r="AN283" i="73"/>
  <c r="AM283" i="73"/>
  <c r="AL283" i="73"/>
  <c r="AK283" i="73"/>
  <c r="AJ283" i="73"/>
  <c r="AI283" i="73"/>
  <c r="AH283" i="73"/>
  <c r="AG283" i="73"/>
  <c r="AF283" i="73"/>
  <c r="AE283" i="73"/>
  <c r="AD283" i="73"/>
  <c r="AC283" i="73"/>
  <c r="AB283" i="73"/>
  <c r="AA283" i="73"/>
  <c r="Z283" i="73"/>
  <c r="Y283" i="73"/>
  <c r="X283" i="73"/>
  <c r="W283" i="73"/>
  <c r="V283" i="73"/>
  <c r="U283" i="73"/>
  <c r="T283" i="73"/>
  <c r="S283" i="73"/>
  <c r="R283" i="73"/>
  <c r="Q283" i="73"/>
  <c r="P283" i="73"/>
  <c r="O283" i="73"/>
  <c r="N283" i="73"/>
  <c r="M283" i="73"/>
  <c r="L283" i="73"/>
  <c r="K283" i="73"/>
  <c r="J283" i="73"/>
  <c r="I283" i="73"/>
  <c r="H283" i="73"/>
  <c r="G283" i="73"/>
  <c r="F283" i="73"/>
  <c r="E283" i="73"/>
  <c r="D283" i="73"/>
  <c r="C283" i="73"/>
  <c r="BN283" i="73"/>
  <c r="BY275" i="73"/>
  <c r="BY344" i="73" s="1"/>
  <c r="BX275" i="73"/>
  <c r="BW275" i="73"/>
  <c r="BV275" i="73"/>
  <c r="BU275" i="73"/>
  <c r="BT275" i="73"/>
  <c r="BS275" i="73"/>
  <c r="BR275" i="73"/>
  <c r="BQ275" i="73"/>
  <c r="BP275" i="73"/>
  <c r="BO275" i="73"/>
  <c r="BM275" i="73"/>
  <c r="BL275" i="73"/>
  <c r="BK275" i="73"/>
  <c r="BJ275" i="73"/>
  <c r="BI275" i="73"/>
  <c r="BH275" i="73"/>
  <c r="BG275" i="73"/>
  <c r="BF275" i="73"/>
  <c r="BE275" i="73"/>
  <c r="BD275" i="73"/>
  <c r="BC275" i="73"/>
  <c r="BB275" i="73"/>
  <c r="BA275" i="73"/>
  <c r="AZ275" i="73"/>
  <c r="AY275" i="73"/>
  <c r="AX275" i="73"/>
  <c r="AW275" i="73"/>
  <c r="AV275" i="73"/>
  <c r="AU275" i="73"/>
  <c r="AT275" i="73"/>
  <c r="AS275" i="73"/>
  <c r="AR275" i="73"/>
  <c r="AQ275" i="73"/>
  <c r="AP275" i="73"/>
  <c r="AO275" i="73"/>
  <c r="AN275" i="73"/>
  <c r="AM275" i="73"/>
  <c r="AL275" i="73"/>
  <c r="AK275" i="73"/>
  <c r="AJ275" i="73"/>
  <c r="AI275" i="73"/>
  <c r="AH275" i="73"/>
  <c r="AG275" i="73"/>
  <c r="AF275" i="73"/>
  <c r="AE275" i="73"/>
  <c r="AD275" i="73"/>
  <c r="AC275" i="73"/>
  <c r="AB275" i="73"/>
  <c r="AA275" i="73"/>
  <c r="Z275" i="73"/>
  <c r="Y275" i="73"/>
  <c r="X275" i="73"/>
  <c r="W275" i="73"/>
  <c r="V275" i="73"/>
  <c r="U275" i="73"/>
  <c r="T275" i="73"/>
  <c r="S275" i="73"/>
  <c r="R275" i="73"/>
  <c r="Q275" i="73"/>
  <c r="P275" i="73"/>
  <c r="O275" i="73"/>
  <c r="N275" i="73"/>
  <c r="M275" i="73"/>
  <c r="L275" i="73"/>
  <c r="K275" i="73"/>
  <c r="J275" i="73"/>
  <c r="I275" i="73"/>
  <c r="H275" i="73"/>
  <c r="G275" i="73"/>
  <c r="F275" i="73"/>
  <c r="E275" i="73"/>
  <c r="D275" i="73"/>
  <c r="C275" i="73"/>
  <c r="BN275" i="73"/>
  <c r="BY236" i="73"/>
  <c r="BX236" i="73"/>
  <c r="BX345" i="73" s="1"/>
  <c r="BW236" i="73"/>
  <c r="BW345" i="73" s="1"/>
  <c r="BV236" i="73"/>
  <c r="BV345" i="73" s="1"/>
  <c r="BU236" i="73"/>
  <c r="BU345" i="73" s="1"/>
  <c r="BT236" i="73"/>
  <c r="BT345" i="73" s="1"/>
  <c r="BS236" i="73"/>
  <c r="BS345" i="73" s="1"/>
  <c r="BR236" i="73"/>
  <c r="BR345" i="73" s="1"/>
  <c r="BQ236" i="73"/>
  <c r="BQ345" i="73" s="1"/>
  <c r="BP236" i="73"/>
  <c r="BP345" i="73" s="1"/>
  <c r="BN236" i="73"/>
  <c r="BN345" i="73" s="1"/>
  <c r="BM236" i="73"/>
  <c r="BM345" i="73" s="1"/>
  <c r="BL236" i="73"/>
  <c r="BK236" i="73"/>
  <c r="BJ236" i="73"/>
  <c r="BI236" i="73"/>
  <c r="BH236" i="73"/>
  <c r="BG236" i="73"/>
  <c r="BF236" i="73"/>
  <c r="BE236" i="73"/>
  <c r="BD236" i="73"/>
  <c r="BC236" i="73"/>
  <c r="BB236" i="73"/>
  <c r="BA236" i="73"/>
  <c r="AZ236" i="73"/>
  <c r="AY236" i="73"/>
  <c r="AX236" i="73"/>
  <c r="AW236" i="73"/>
  <c r="AV236" i="73"/>
  <c r="AU236" i="73"/>
  <c r="AT236" i="73"/>
  <c r="AS236" i="73"/>
  <c r="AR236" i="73"/>
  <c r="AQ236" i="73"/>
  <c r="AP236" i="73"/>
  <c r="AO236" i="73"/>
  <c r="AN236" i="73"/>
  <c r="AM236" i="73"/>
  <c r="AL236" i="73"/>
  <c r="AK236" i="73"/>
  <c r="AJ236" i="73"/>
  <c r="AI236" i="73"/>
  <c r="AH236" i="73"/>
  <c r="AG236" i="73"/>
  <c r="AF236" i="73"/>
  <c r="AE236" i="73"/>
  <c r="AD236" i="73"/>
  <c r="AC236" i="73"/>
  <c r="AB236" i="73"/>
  <c r="AA236" i="73"/>
  <c r="Z236" i="73"/>
  <c r="Y236" i="73"/>
  <c r="X236" i="73"/>
  <c r="W236" i="73"/>
  <c r="V236" i="73"/>
  <c r="U236" i="73"/>
  <c r="T236" i="73"/>
  <c r="S236" i="73"/>
  <c r="R236" i="73"/>
  <c r="Q236" i="73"/>
  <c r="P236" i="73"/>
  <c r="O236" i="73"/>
  <c r="N236" i="73"/>
  <c r="M236" i="73"/>
  <c r="L236" i="73"/>
  <c r="K236" i="73"/>
  <c r="J236" i="73"/>
  <c r="I236" i="73"/>
  <c r="H236" i="73"/>
  <c r="G236" i="73"/>
  <c r="F236" i="73"/>
  <c r="E236" i="73"/>
  <c r="D236" i="73"/>
  <c r="C236" i="73"/>
  <c r="BO236" i="73"/>
  <c r="BO345" i="73" s="1"/>
  <c r="BY227" i="73"/>
  <c r="BX227" i="73"/>
  <c r="BX344" i="73" s="1"/>
  <c r="BW227" i="73"/>
  <c r="BW344" i="73" s="1"/>
  <c r="BV227" i="73"/>
  <c r="BV344" i="73" s="1"/>
  <c r="BU227" i="73"/>
  <c r="BU344" i="73" s="1"/>
  <c r="BT227" i="73"/>
  <c r="BT344" i="73" s="1"/>
  <c r="BS227" i="73"/>
  <c r="BS344" i="73" s="1"/>
  <c r="BR227" i="73"/>
  <c r="BR344" i="73" s="1"/>
  <c r="BQ227" i="73"/>
  <c r="BQ344" i="73" s="1"/>
  <c r="BP227" i="73"/>
  <c r="BP344" i="73" s="1"/>
  <c r="BO227" i="73"/>
  <c r="BO344" i="73" s="1"/>
  <c r="BN227" i="73"/>
  <c r="BN344" i="73" s="1"/>
  <c r="BM227" i="73"/>
  <c r="BM344" i="73" s="1"/>
  <c r="BL227" i="73"/>
  <c r="BK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BJ227" i="73"/>
  <c r="BY218" i="73"/>
  <c r="BX218" i="73"/>
  <c r="BW218" i="73"/>
  <c r="BV218" i="73"/>
  <c r="BU218" i="73"/>
  <c r="BT218" i="73"/>
  <c r="BS218" i="73"/>
  <c r="BR218" i="73"/>
  <c r="BQ218" i="73"/>
  <c r="BP218" i="73"/>
  <c r="BO218" i="73"/>
  <c r="BN218" i="73"/>
  <c r="BM218" i="73"/>
  <c r="BK218" i="73"/>
  <c r="BJ218" i="73"/>
  <c r="BI218" i="73"/>
  <c r="BH218" i="73"/>
  <c r="BG218" i="73"/>
  <c r="BF218" i="73"/>
  <c r="BE218" i="73"/>
  <c r="BD218" i="73"/>
  <c r="BC218" i="73"/>
  <c r="BB218" i="73"/>
  <c r="BA218" i="73"/>
  <c r="AZ218" i="73"/>
  <c r="AY218" i="73"/>
  <c r="AX218" i="73"/>
  <c r="AW218" i="73"/>
  <c r="AV218" i="73"/>
  <c r="AU218" i="73"/>
  <c r="AT218" i="73"/>
  <c r="AS218" i="73"/>
  <c r="AR218" i="73"/>
  <c r="AQ218" i="73"/>
  <c r="AP218" i="73"/>
  <c r="AO218" i="73"/>
  <c r="AN218" i="73"/>
  <c r="AM218" i="73"/>
  <c r="AL218" i="73"/>
  <c r="AK218" i="73"/>
  <c r="AJ218" i="73"/>
  <c r="AI218" i="73"/>
  <c r="AH218" i="73"/>
  <c r="AG218" i="73"/>
  <c r="AF218" i="73"/>
  <c r="AE218" i="73"/>
  <c r="AD218" i="73"/>
  <c r="AC218" i="73"/>
  <c r="AB218" i="73"/>
  <c r="AA218" i="73"/>
  <c r="Z218" i="73"/>
  <c r="Y218" i="73"/>
  <c r="X218" i="73"/>
  <c r="W218" i="73"/>
  <c r="V218" i="73"/>
  <c r="U218" i="73"/>
  <c r="T218" i="73"/>
  <c r="S218" i="73"/>
  <c r="R218" i="73"/>
  <c r="Q218" i="73"/>
  <c r="P218" i="73"/>
  <c r="O218" i="73"/>
  <c r="N218" i="73"/>
  <c r="M218" i="73"/>
  <c r="L218" i="73"/>
  <c r="K218" i="73"/>
  <c r="J218" i="73"/>
  <c r="I218" i="73"/>
  <c r="H218" i="73"/>
  <c r="G218" i="73"/>
  <c r="F218" i="73"/>
  <c r="E218" i="73"/>
  <c r="D218" i="73"/>
  <c r="C218" i="73"/>
  <c r="BL218" i="73"/>
  <c r="BY41" i="73" l="1"/>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Y33" i="73"/>
  <c r="BX33" i="73"/>
  <c r="BW33" i="73"/>
  <c r="BV33" i="73"/>
  <c r="BU33" i="73"/>
  <c r="BT33" i="73"/>
  <c r="BS33" i="73"/>
  <c r="BR33" i="73"/>
  <c r="BQ33" i="73"/>
  <c r="BP33" i="73"/>
  <c r="BO33" i="73"/>
  <c r="BN33" i="73"/>
  <c r="BM33" i="73"/>
  <c r="BL33" i="73"/>
  <c r="BK33" i="73"/>
  <c r="BJ33" i="73"/>
  <c r="BI33" i="73"/>
  <c r="BH33" i="73"/>
  <c r="BG33" i="73"/>
  <c r="BF33" i="73"/>
  <c r="BE33" i="73"/>
  <c r="BD33" i="73"/>
  <c r="BC33" i="73"/>
  <c r="BB33" i="73"/>
  <c r="BA33" i="73"/>
  <c r="AZ33" i="73"/>
  <c r="AY33" i="73"/>
  <c r="AX33" i="73"/>
  <c r="AW33" i="73"/>
  <c r="AV33" i="73"/>
  <c r="AU33" i="73"/>
  <c r="AT33" i="73"/>
  <c r="AS33" i="73"/>
  <c r="AR33" i="73"/>
  <c r="AQ33" i="73"/>
  <c r="AP33" i="73"/>
  <c r="AO33" i="73"/>
  <c r="AN33" i="73"/>
  <c r="AM33" i="73"/>
  <c r="AL33" i="73"/>
  <c r="AK33" i="73"/>
  <c r="AJ33" i="73"/>
  <c r="AI33" i="73"/>
  <c r="AH33" i="73"/>
  <c r="AG33" i="73"/>
  <c r="AF33" i="73"/>
  <c r="AE33" i="73"/>
  <c r="AD33" i="73"/>
  <c r="AC33" i="73"/>
  <c r="AB33" i="73"/>
  <c r="AA33" i="73"/>
  <c r="Z33" i="73"/>
  <c r="Y33" i="73"/>
  <c r="X33" i="73"/>
  <c r="W33" i="73"/>
  <c r="V33" i="73"/>
  <c r="K33" i="73"/>
  <c r="J33" i="73"/>
  <c r="I33" i="73"/>
  <c r="H33" i="73"/>
  <c r="G33" i="73"/>
  <c r="F33" i="73"/>
  <c r="E33" i="73"/>
  <c r="D33" i="73"/>
  <c r="C33" i="73"/>
  <c r="BY25" i="73"/>
  <c r="BX25" i="73"/>
  <c r="BW25" i="73"/>
  <c r="BV25" i="73"/>
  <c r="BU25" i="73"/>
  <c r="BT25" i="73"/>
  <c r="BS25" i="73"/>
  <c r="BR25" i="73"/>
  <c r="BQ25" i="73"/>
  <c r="BP25" i="73"/>
  <c r="BO25" i="73"/>
  <c r="BN25" i="73"/>
  <c r="BM25" i="73"/>
  <c r="BL25" i="73"/>
  <c r="BK25" i="73"/>
  <c r="BJ25" i="73"/>
  <c r="BI25" i="73"/>
  <c r="BH25" i="73"/>
  <c r="BG25" i="73"/>
  <c r="BF25" i="73"/>
  <c r="BE25" i="73"/>
  <c r="BD25" i="73"/>
  <c r="BC25" i="73"/>
  <c r="BB25" i="73"/>
  <c r="BA25" i="73"/>
  <c r="AZ25" i="73"/>
  <c r="AY25" i="73"/>
  <c r="AX25" i="73"/>
  <c r="AW25" i="73"/>
  <c r="AV25" i="73"/>
  <c r="AU25" i="73"/>
  <c r="AT25" i="73"/>
  <c r="AS25" i="73"/>
  <c r="AR25" i="73"/>
  <c r="AQ25" i="73"/>
  <c r="AP25" i="73"/>
  <c r="AO25" i="73"/>
  <c r="AN25" i="73"/>
  <c r="AM25" i="73"/>
  <c r="AL25" i="73"/>
  <c r="AK25" i="73"/>
  <c r="AJ25" i="73"/>
  <c r="AI25" i="73"/>
  <c r="AH25" i="73"/>
  <c r="AG25" i="73"/>
  <c r="AF25" i="73"/>
  <c r="AE25" i="73"/>
  <c r="AD25" i="73"/>
  <c r="AC25" i="73"/>
  <c r="AB25" i="73"/>
  <c r="AA25" i="73"/>
  <c r="Z25" i="73"/>
  <c r="Y25" i="73"/>
  <c r="X25" i="73"/>
  <c r="W25" i="73"/>
  <c r="V25" i="73"/>
  <c r="U25" i="73"/>
  <c r="T25" i="73"/>
  <c r="S25" i="73"/>
  <c r="R25" i="73"/>
  <c r="Q25" i="73"/>
  <c r="P25" i="73"/>
  <c r="O25" i="73"/>
  <c r="N25" i="73"/>
  <c r="M25" i="73"/>
  <c r="L25" i="73"/>
  <c r="K25" i="73"/>
  <c r="J25" i="73"/>
  <c r="I25" i="73"/>
  <c r="H25" i="73"/>
  <c r="G25" i="73"/>
  <c r="F25" i="73"/>
  <c r="E25" i="73"/>
  <c r="D25" i="73"/>
  <c r="C25" i="73"/>
  <c r="AY6" i="3" l="1"/>
  <c r="AY23" i="3"/>
  <c r="AY33" i="3"/>
  <c r="AY39" i="3" l="1"/>
  <c r="BY347" i="73"/>
  <c r="BX347" i="73"/>
  <c r="BW347" i="73"/>
  <c r="BV347" i="73"/>
  <c r="BU347" i="73"/>
  <c r="BT347" i="73"/>
  <c r="BS347" i="73"/>
  <c r="BR347" i="73"/>
  <c r="BQ347" i="73"/>
  <c r="BP347" i="73"/>
  <c r="BO347" i="73"/>
  <c r="BN347" i="73"/>
  <c r="BM347" i="73"/>
  <c r="BL347" i="73"/>
  <c r="BK347" i="73"/>
  <c r="BJ347" i="73"/>
  <c r="BI347" i="73"/>
  <c r="BH347" i="73"/>
  <c r="BG347" i="73"/>
  <c r="BF347" i="73"/>
  <c r="BE347" i="73"/>
  <c r="BD347" i="73"/>
  <c r="BC347" i="73"/>
  <c r="BB347" i="73"/>
  <c r="BA347" i="73"/>
  <c r="AZ347" i="73"/>
  <c r="AY347" i="73"/>
  <c r="AX347" i="73"/>
  <c r="AW347" i="73"/>
  <c r="AV347" i="73"/>
  <c r="AU347" i="73"/>
  <c r="AT347" i="73"/>
  <c r="AS347" i="73"/>
  <c r="AR347" i="73"/>
  <c r="AQ347" i="73"/>
  <c r="AP347" i="73"/>
  <c r="AO347" i="73"/>
  <c r="AN347" i="73"/>
  <c r="AM347" i="73"/>
  <c r="AL347" i="73"/>
  <c r="AK347" i="73"/>
  <c r="AJ347" i="73"/>
  <c r="AI347" i="73"/>
  <c r="AH347" i="73"/>
  <c r="AG347" i="73"/>
  <c r="AF347" i="73"/>
  <c r="AE347" i="73"/>
  <c r="AD347" i="73"/>
  <c r="AC347" i="73"/>
  <c r="AB347" i="73"/>
  <c r="AA347" i="73"/>
  <c r="Z347" i="73"/>
  <c r="Y347" i="73"/>
  <c r="X347" i="73"/>
  <c r="W347" i="73"/>
  <c r="V347" i="73"/>
  <c r="BY346" i="73"/>
  <c r="BX346" i="73"/>
  <c r="BW346" i="73"/>
  <c r="BV346" i="73"/>
  <c r="BU346" i="73"/>
  <c r="BT346" i="73"/>
  <c r="BS346" i="73"/>
  <c r="BR346" i="73"/>
  <c r="BQ346" i="73"/>
  <c r="BP346" i="73"/>
  <c r="BO346" i="73"/>
  <c r="BN346" i="73"/>
  <c r="BM346" i="73"/>
  <c r="BL346" i="73"/>
  <c r="BK346" i="73"/>
  <c r="BJ346" i="73"/>
  <c r="BI346" i="73"/>
  <c r="BH346" i="73"/>
  <c r="BG346" i="73"/>
  <c r="BF346" i="73"/>
  <c r="BE346" i="73"/>
  <c r="BD346" i="73"/>
  <c r="BC346" i="73"/>
  <c r="BB346" i="73"/>
  <c r="BA346" i="73"/>
  <c r="AZ346" i="73"/>
  <c r="AY346" i="73"/>
  <c r="AX346" i="73"/>
  <c r="AW346" i="73"/>
  <c r="AV346" i="73"/>
  <c r="AU346" i="73"/>
  <c r="AT346" i="73"/>
  <c r="AS346" i="73"/>
  <c r="AR346" i="73"/>
  <c r="AQ346" i="73"/>
  <c r="AP346" i="73"/>
  <c r="AO346" i="73"/>
  <c r="AN346" i="73"/>
  <c r="AM346" i="73"/>
  <c r="AL346" i="73"/>
  <c r="AK346" i="73"/>
  <c r="AJ346" i="73"/>
  <c r="AI346" i="73"/>
  <c r="AH346" i="73"/>
  <c r="AG346" i="73"/>
  <c r="AF346" i="73"/>
  <c r="AE346" i="73"/>
  <c r="AD346" i="73"/>
  <c r="AC346" i="73"/>
  <c r="AB346" i="73"/>
  <c r="AA346" i="73"/>
  <c r="Z346" i="73"/>
  <c r="Y346" i="73"/>
  <c r="X346" i="73"/>
  <c r="W346" i="73"/>
  <c r="V346" i="73"/>
  <c r="BX259" i="73" l="1"/>
  <c r="BW259" i="73"/>
  <c r="BV259" i="73"/>
  <c r="BU259" i="73"/>
  <c r="BT259" i="73"/>
  <c r="BS259" i="73"/>
  <c r="BR259" i="73"/>
  <c r="BQ259" i="73"/>
  <c r="BP259" i="73"/>
  <c r="BO259" i="73"/>
  <c r="BN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Y267" i="73"/>
  <c r="BA167" i="77" l="1"/>
  <c r="BB167" i="77"/>
  <c r="BX267" i="73"/>
  <c r="J28"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U31" i="44" s="1"/>
  <c r="AU35" i="44" s="1"/>
  <c r="AJ31" i="44"/>
  <c r="AJ35" i="44" s="1"/>
  <c r="AL31" i="44" s="1"/>
  <c r="AL35" i="44" s="1"/>
  <c r="AN31" i="44" s="1"/>
  <c r="AN35" i="44" s="1"/>
  <c r="AP31" i="44" s="1"/>
  <c r="AP35" i="44" s="1"/>
  <c r="AR31" i="44" l="1"/>
  <c r="AR35" i="44" s="1"/>
  <c r="AT31" i="44"/>
  <c r="AT35" i="44" s="1"/>
  <c r="AF89" i="68"/>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R286" i="36" l="1"/>
  <c r="O25" i="13"/>
  <c r="O24" i="13"/>
  <c r="P18" i="13"/>
  <c r="O23" i="13" l="1"/>
  <c r="O245" i="79"/>
  <c r="Q245" i="79" s="1"/>
  <c r="O244" i="79" l="1"/>
  <c r="Q244" i="79" l="1"/>
  <c r="AV30" i="2" l="1"/>
  <c r="AK13" i="55" l="1"/>
  <c r="AK24" i="55" s="1"/>
  <c r="AO111" i="46"/>
  <c r="AO107" i="46"/>
  <c r="R284" i="36"/>
  <c r="R281" i="36"/>
  <c r="AK25" i="55" l="1"/>
  <c r="AO110" i="46"/>
  <c r="R279" i="36"/>
  <c r="AO112" i="46"/>
  <c r="V19" i="2" l="1"/>
  <c r="U19" i="2"/>
  <c r="T19" i="2"/>
  <c r="S19" i="2"/>
  <c r="S24" i="2" s="1"/>
  <c r="R19" i="2"/>
  <c r="R24" i="2" s="1"/>
  <c r="Q19" i="2"/>
  <c r="Q24" i="2" s="1"/>
  <c r="P19" i="2"/>
  <c r="P24" i="2" s="1"/>
  <c r="O19" i="2"/>
  <c r="O24" i="2" s="1"/>
  <c r="N19" i="2"/>
  <c r="N24" i="2" s="1"/>
  <c r="M19" i="2"/>
  <c r="M24" i="2" s="1"/>
  <c r="L19" i="2"/>
  <c r="L24" i="2" s="1"/>
  <c r="K19" i="2"/>
  <c r="K24" i="2" s="1"/>
  <c r="J19" i="2"/>
  <c r="J24" i="2" s="1"/>
  <c r="I19" i="2"/>
  <c r="I24" i="2" s="1"/>
  <c r="H19" i="2"/>
  <c r="H24" i="2" s="1"/>
  <c r="AC22" i="60" l="1"/>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34" i="81"/>
  <c r="O34" i="81"/>
  <c r="N34" i="81"/>
  <c r="M34" i="81"/>
  <c r="L34" i="81"/>
  <c r="K34" i="81"/>
  <c r="J34" i="81"/>
  <c r="I34" i="81"/>
  <c r="H34" i="81"/>
  <c r="G34" i="81"/>
  <c r="F34" i="81"/>
  <c r="E34" i="81"/>
  <c r="D34" i="81"/>
  <c r="P31" i="81"/>
  <c r="O31" i="81"/>
  <c r="N31" i="81"/>
  <c r="M31" i="81"/>
  <c r="L31" i="81"/>
  <c r="K31" i="81"/>
  <c r="J31" i="81"/>
  <c r="I31" i="81"/>
  <c r="H31" i="81"/>
  <c r="G31" i="81"/>
  <c r="F31" i="81"/>
  <c r="E31" i="81"/>
  <c r="D31" i="81"/>
  <c r="D28" i="81"/>
  <c r="E28" i="81" s="1"/>
  <c r="F28" i="81" s="1"/>
  <c r="G28" i="81" s="1"/>
  <c r="H28" i="81" s="1"/>
  <c r="I28" i="81" s="1"/>
  <c r="J28" i="81" s="1"/>
  <c r="K28" i="81" s="1"/>
  <c r="L28" i="81" s="1"/>
  <c r="M28" i="81" s="1"/>
  <c r="N28" i="81" s="1"/>
  <c r="O28" i="81" s="1"/>
  <c r="P28" i="81" s="1"/>
  <c r="Q28" i="81" s="1"/>
  <c r="C28" i="81"/>
  <c r="C31" i="81" s="1"/>
  <c r="C34" i="81"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M153"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L153"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K153"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E153"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I27" i="65" s="1"/>
  <c r="AH22" i="65"/>
  <c r="AG22" i="65"/>
  <c r="AF22" i="65"/>
  <c r="AE22" i="65"/>
  <c r="AD22" i="65"/>
  <c r="AD27" i="65" s="1"/>
  <c r="AC22" i="65"/>
  <c r="AC27" i="65" s="1"/>
  <c r="AB22" i="65"/>
  <c r="AB27" i="65" s="1"/>
  <c r="AA22" i="65"/>
  <c r="AA27" i="65" s="1"/>
  <c r="Z22" i="65"/>
  <c r="Z27" i="65" s="1"/>
  <c r="Y22" i="65"/>
  <c r="Y27" i="65" s="1"/>
  <c r="X22" i="65"/>
  <c r="X27" i="65" s="1"/>
  <c r="W22" i="65"/>
  <c r="V22" i="65"/>
  <c r="V27" i="65" s="1"/>
  <c r="U22" i="65"/>
  <c r="U27" i="65" s="1"/>
  <c r="T22" i="65"/>
  <c r="T27" i="65" s="1"/>
  <c r="R22" i="65"/>
  <c r="R27" i="65" s="1"/>
  <c r="Q22" i="65"/>
  <c r="P22" i="65"/>
  <c r="O22" i="65"/>
  <c r="O27" i="65" s="1"/>
  <c r="N22" i="65"/>
  <c r="M22" i="65"/>
  <c r="M27" i="65" s="1"/>
  <c r="L22" i="65"/>
  <c r="L27" i="65" s="1"/>
  <c r="K22" i="65"/>
  <c r="K27" i="65" s="1"/>
  <c r="J22" i="65"/>
  <c r="J27" i="65" s="1"/>
  <c r="I22" i="65"/>
  <c r="H22" i="65"/>
  <c r="H27" i="65" s="1"/>
  <c r="G22" i="65"/>
  <c r="F22" i="65"/>
  <c r="E22" i="65"/>
  <c r="E27" i="65" s="1"/>
  <c r="D22" i="65"/>
  <c r="D27" i="65" s="1"/>
  <c r="C22" i="65"/>
  <c r="C27" i="65" s="1"/>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F39" i="49"/>
  <c r="AE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F21" i="49"/>
  <c r="AI51" i="48"/>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I51" i="48"/>
  <c r="H51" i="48"/>
  <c r="G51" i="48"/>
  <c r="F51" i="48"/>
  <c r="E51" i="48"/>
  <c r="D51" i="48"/>
  <c r="C51" i="48"/>
  <c r="AJ45" i="48"/>
  <c r="AI45" i="48"/>
  <c r="AH45" i="48"/>
  <c r="AF45" i="48"/>
  <c r="AE45" i="48"/>
  <c r="AD45" i="48"/>
  <c r="AC45" i="48"/>
  <c r="AB45" i="48"/>
  <c r="AA45" i="48"/>
  <c r="Z45" i="48"/>
  <c r="Y45" i="48"/>
  <c r="X45" i="48"/>
  <c r="W45" i="48"/>
  <c r="V45" i="48"/>
  <c r="U45" i="48"/>
  <c r="T45" i="48"/>
  <c r="S45" i="48"/>
  <c r="R45" i="48"/>
  <c r="Q45" i="48"/>
  <c r="P45" i="48"/>
  <c r="O45" i="48"/>
  <c r="N45" i="48"/>
  <c r="M45" i="48"/>
  <c r="L45" i="48"/>
  <c r="K45" i="48"/>
  <c r="J45" i="48"/>
  <c r="I45" i="48"/>
  <c r="H45" i="48"/>
  <c r="G45" i="48"/>
  <c r="F45" i="48"/>
  <c r="E45" i="48"/>
  <c r="D45" i="48"/>
  <c r="C45" i="48"/>
  <c r="AJ26" i="48"/>
  <c r="AI26" i="48"/>
  <c r="AH26" i="48"/>
  <c r="AG26" i="48"/>
  <c r="AF26" i="48"/>
  <c r="AE26" i="48"/>
  <c r="AD26" i="48"/>
  <c r="AC26" i="48"/>
  <c r="AB26" i="48"/>
  <c r="AA26" i="48"/>
  <c r="Z26" i="48"/>
  <c r="Y26" i="48"/>
  <c r="X26" i="48"/>
  <c r="W26" i="48"/>
  <c r="V26" i="48"/>
  <c r="U26" i="48"/>
  <c r="T26" i="48"/>
  <c r="S26" i="48"/>
  <c r="R26" i="48"/>
  <c r="Q26" i="48"/>
  <c r="P26" i="48"/>
  <c r="O26" i="48"/>
  <c r="N26" i="48"/>
  <c r="M26" i="48"/>
  <c r="L26" i="48"/>
  <c r="K26" i="48"/>
  <c r="J26" i="48"/>
  <c r="I26" i="48"/>
  <c r="H26" i="48"/>
  <c r="G26" i="48"/>
  <c r="F26" i="48"/>
  <c r="E26" i="48"/>
  <c r="D26" i="48"/>
  <c r="C26" i="48"/>
  <c r="AJ21" i="48"/>
  <c r="AI21" i="48"/>
  <c r="AH21" i="48"/>
  <c r="AG21" i="48"/>
  <c r="AF21" i="48"/>
  <c r="AE21" i="48"/>
  <c r="AD21" i="48"/>
  <c r="AC21" i="48"/>
  <c r="AB21" i="48"/>
  <c r="AA21" i="48"/>
  <c r="Z21" i="48"/>
  <c r="Y21" i="48"/>
  <c r="X21" i="48"/>
  <c r="W21" i="48"/>
  <c r="V21" i="48"/>
  <c r="U21" i="48"/>
  <c r="T21" i="48"/>
  <c r="S21" i="48"/>
  <c r="R21" i="48"/>
  <c r="Q21" i="48"/>
  <c r="P21" i="48"/>
  <c r="O21" i="48"/>
  <c r="N21" i="48"/>
  <c r="M21" i="48"/>
  <c r="L21" i="48"/>
  <c r="K21" i="48"/>
  <c r="J21" i="48"/>
  <c r="I21" i="48"/>
  <c r="H21" i="48"/>
  <c r="G21" i="48"/>
  <c r="F21" i="48"/>
  <c r="E21" i="48"/>
  <c r="D21" i="48"/>
  <c r="C21"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FR33" i="43" s="1"/>
  <c r="FX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FR28" i="43" s="1"/>
  <c r="FX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EB11" i="43"/>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389" i="38"/>
  <c r="F389" i="38"/>
  <c r="E389" i="38"/>
  <c r="D389" i="38"/>
  <c r="C389" i="38"/>
  <c r="I382" i="38"/>
  <c r="F382" i="38"/>
  <c r="E382" i="38"/>
  <c r="D382" i="38"/>
  <c r="C382" i="38"/>
  <c r="I375" i="38"/>
  <c r="F375" i="38"/>
  <c r="E375" i="38"/>
  <c r="D375" i="38"/>
  <c r="C375" i="38"/>
  <c r="I367" i="38"/>
  <c r="F367" i="38"/>
  <c r="E367" i="38"/>
  <c r="D367" i="38"/>
  <c r="C367" i="38"/>
  <c r="I360" i="38"/>
  <c r="F360" i="38"/>
  <c r="E360" i="38"/>
  <c r="D360" i="38"/>
  <c r="C360" i="38"/>
  <c r="I353" i="38"/>
  <c r="F353" i="38"/>
  <c r="E353" i="38"/>
  <c r="D353" i="38"/>
  <c r="C353" i="38"/>
  <c r="I346" i="38"/>
  <c r="F346" i="38"/>
  <c r="E346" i="38"/>
  <c r="D346" i="38"/>
  <c r="C346" i="38"/>
  <c r="I339" i="38"/>
  <c r="F339" i="38"/>
  <c r="E339" i="38"/>
  <c r="D339" i="38"/>
  <c r="C339" i="38"/>
  <c r="I332" i="38"/>
  <c r="F332" i="38"/>
  <c r="E332" i="38"/>
  <c r="D332" i="38"/>
  <c r="C332" i="38"/>
  <c r="I325" i="38"/>
  <c r="F325" i="38"/>
  <c r="E325" i="38"/>
  <c r="D325" i="38"/>
  <c r="C325" i="38"/>
  <c r="I317" i="38"/>
  <c r="F317" i="38"/>
  <c r="E317" i="38"/>
  <c r="D317" i="38"/>
  <c r="C317" i="38"/>
  <c r="I309" i="38"/>
  <c r="F309" i="38"/>
  <c r="E309" i="38"/>
  <c r="D309" i="38"/>
  <c r="C309" i="38"/>
  <c r="I301" i="38"/>
  <c r="F301" i="38"/>
  <c r="E301" i="38"/>
  <c r="D301" i="38"/>
  <c r="C301" i="38"/>
  <c r="I293" i="38"/>
  <c r="F293" i="38"/>
  <c r="E293" i="38"/>
  <c r="D293" i="38"/>
  <c r="C293" i="38"/>
  <c r="I285" i="38"/>
  <c r="F285" i="38"/>
  <c r="E285" i="38"/>
  <c r="D285" i="38"/>
  <c r="C285" i="38"/>
  <c r="I277" i="38"/>
  <c r="F277" i="38"/>
  <c r="E277" i="38"/>
  <c r="D277" i="38"/>
  <c r="C277" i="38"/>
  <c r="I268" i="38"/>
  <c r="F268" i="38"/>
  <c r="E268" i="38"/>
  <c r="D268" i="38"/>
  <c r="C268" i="38"/>
  <c r="I260" i="38"/>
  <c r="F260" i="38"/>
  <c r="E260" i="38"/>
  <c r="D260" i="38"/>
  <c r="C260" i="38"/>
  <c r="I252" i="38"/>
  <c r="F252" i="38"/>
  <c r="E252" i="38"/>
  <c r="D252" i="38"/>
  <c r="C252" i="38"/>
  <c r="I243" i="38"/>
  <c r="F243" i="38"/>
  <c r="E243" i="38"/>
  <c r="D243" i="38"/>
  <c r="C243" i="38"/>
  <c r="I234" i="38"/>
  <c r="F234" i="38"/>
  <c r="E234" i="38"/>
  <c r="D234" i="38"/>
  <c r="C234" i="38"/>
  <c r="I225" i="38"/>
  <c r="F225" i="38"/>
  <c r="E225" i="38"/>
  <c r="D225" i="38"/>
  <c r="C225" i="38"/>
  <c r="I216" i="38"/>
  <c r="F216" i="38"/>
  <c r="E216" i="38"/>
  <c r="D216" i="38"/>
  <c r="C216" i="38"/>
  <c r="I207" i="38"/>
  <c r="F207" i="38"/>
  <c r="E207" i="38"/>
  <c r="D207" i="38"/>
  <c r="C207" i="38"/>
  <c r="I198" i="38"/>
  <c r="F198" i="38"/>
  <c r="E198" i="38"/>
  <c r="D198" i="38"/>
  <c r="C198" i="38"/>
  <c r="I189" i="38"/>
  <c r="F189" i="38"/>
  <c r="E189" i="38"/>
  <c r="D189" i="38"/>
  <c r="C189" i="38"/>
  <c r="I179" i="38"/>
  <c r="F179" i="38"/>
  <c r="E179" i="38"/>
  <c r="D179" i="38"/>
  <c r="C179" i="38"/>
  <c r="I169" i="38"/>
  <c r="F169" i="38"/>
  <c r="E169" i="38"/>
  <c r="D169" i="38"/>
  <c r="C169" i="38"/>
  <c r="I159" i="38"/>
  <c r="F159" i="38"/>
  <c r="E159" i="38"/>
  <c r="D159" i="38"/>
  <c r="C159" i="38"/>
  <c r="I150" i="38"/>
  <c r="F150" i="38"/>
  <c r="E150" i="38"/>
  <c r="D150" i="38"/>
  <c r="C150" i="38"/>
  <c r="I141" i="38"/>
  <c r="F141" i="38"/>
  <c r="E141" i="38"/>
  <c r="D141" i="38"/>
  <c r="C141" i="38"/>
  <c r="I132" i="38"/>
  <c r="F132" i="38"/>
  <c r="E132" i="38"/>
  <c r="D132" i="38"/>
  <c r="C132" i="38"/>
  <c r="I114" i="38"/>
  <c r="F114" i="38"/>
  <c r="E114" i="38"/>
  <c r="D114" i="38"/>
  <c r="C114" i="38"/>
  <c r="R265" i="36"/>
  <c r="R264" i="36"/>
  <c r="R258" i="36"/>
  <c r="R257" i="36"/>
  <c r="R256" i="36"/>
  <c r="R255" i="36"/>
  <c r="R254" i="36"/>
  <c r="R253" i="36"/>
  <c r="R250" i="36"/>
  <c r="R249" i="36"/>
  <c r="R248" i="36"/>
  <c r="R247" i="36"/>
  <c r="R246" i="36"/>
  <c r="R245" i="36"/>
  <c r="R234" i="36"/>
  <c r="R233" i="36"/>
  <c r="R232" i="36"/>
  <c r="R231" i="36"/>
  <c r="R230" i="36"/>
  <c r="R229" i="36"/>
  <c r="R226" i="36"/>
  <c r="R225" i="36"/>
  <c r="R224" i="36"/>
  <c r="R223" i="36"/>
  <c r="R222" i="36"/>
  <c r="R221" i="36"/>
  <c r="R218" i="36"/>
  <c r="R217" i="36"/>
  <c r="R216" i="36"/>
  <c r="R215" i="36"/>
  <c r="R214" i="36"/>
  <c r="R213" i="36"/>
  <c r="R212" i="36"/>
  <c r="R209" i="36"/>
  <c r="R208" i="36"/>
  <c r="R207" i="36"/>
  <c r="R206" i="36"/>
  <c r="R205" i="36"/>
  <c r="R204" i="36"/>
  <c r="R203" i="36"/>
  <c r="R191" i="36"/>
  <c r="R190" i="36"/>
  <c r="R189" i="36"/>
  <c r="R188" i="36"/>
  <c r="R187" i="36"/>
  <c r="R186" i="36"/>
  <c r="R185" i="36"/>
  <c r="R182" i="36"/>
  <c r="R181" i="36"/>
  <c r="R180" i="36"/>
  <c r="R179" i="36"/>
  <c r="R178" i="36"/>
  <c r="R177" i="36"/>
  <c r="R176" i="36"/>
  <c r="R173" i="36"/>
  <c r="R172" i="36"/>
  <c r="R171" i="36"/>
  <c r="R170" i="36"/>
  <c r="R169" i="36"/>
  <c r="R168" i="36"/>
  <c r="R167" i="36"/>
  <c r="R164" i="36"/>
  <c r="R163" i="36"/>
  <c r="R162" i="36"/>
  <c r="R161" i="36"/>
  <c r="R160" i="36"/>
  <c r="R159" i="36"/>
  <c r="R158" i="36"/>
  <c r="R155" i="36"/>
  <c r="R154" i="36"/>
  <c r="R153" i="36"/>
  <c r="R152" i="36"/>
  <c r="R151" i="36"/>
  <c r="R150" i="36"/>
  <c r="R149" i="36"/>
  <c r="R146" i="36"/>
  <c r="R145" i="36"/>
  <c r="R144" i="36"/>
  <c r="R143" i="36"/>
  <c r="R142" i="36"/>
  <c r="R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F337" i="36" s="1"/>
  <c r="F347" i="36" s="1"/>
  <c r="F358" i="36" s="1"/>
  <c r="F370" i="36" s="1"/>
  <c r="F382" i="36" s="1"/>
  <c r="R138" i="36"/>
  <c r="R137" i="36"/>
  <c r="R136" i="36"/>
  <c r="R135" i="36"/>
  <c r="H133" i="36"/>
  <c r="H139" i="36" s="1"/>
  <c r="H147" i="36" s="1"/>
  <c r="H156" i="36" s="1"/>
  <c r="H165" i="36" s="1"/>
  <c r="H174" i="36" s="1"/>
  <c r="H183" i="36" s="1"/>
  <c r="H192" i="36" s="1"/>
  <c r="H201" i="36" s="1"/>
  <c r="H210" i="36" s="1"/>
  <c r="H219" i="36" s="1"/>
  <c r="H227" i="36" s="1"/>
  <c r="H235" i="36" s="1"/>
  <c r="H243" i="36" s="1"/>
  <c r="H251" i="36" s="1"/>
  <c r="H259" i="36" s="1"/>
  <c r="H267" i="36" s="1"/>
  <c r="H277" i="36" s="1"/>
  <c r="H287" i="36" s="1"/>
  <c r="H297" i="36" s="1"/>
  <c r="H307" i="36" s="1"/>
  <c r="H317" i="36" s="1"/>
  <c r="H327" i="36" s="1"/>
  <c r="H337" i="36" s="1"/>
  <c r="H347" i="36" s="1"/>
  <c r="H358" i="36" s="1"/>
  <c r="H370" i="36" s="1"/>
  <c r="H382" i="36" s="1"/>
  <c r="R132" i="36"/>
  <c r="R131" i="36"/>
  <c r="R130" i="36"/>
  <c r="R129" i="36"/>
  <c r="M127" i="36"/>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D337" i="36" s="1"/>
  <c r="D347" i="36" s="1"/>
  <c r="D358" i="36" s="1"/>
  <c r="D370" i="36" s="1"/>
  <c r="D382" i="36" s="1"/>
  <c r="R126" i="36"/>
  <c r="R125" i="36"/>
  <c r="R124" i="36"/>
  <c r="R123" i="36"/>
  <c r="R122" i="36"/>
  <c r="R121" i="36"/>
  <c r="R120" i="36"/>
  <c r="R112" i="36"/>
  <c r="R109" i="36"/>
  <c r="R108" i="36"/>
  <c r="R107" i="36"/>
  <c r="R106" i="36"/>
  <c r="R105" i="36"/>
  <c r="R102" i="36"/>
  <c r="R101" i="36"/>
  <c r="R100" i="36"/>
  <c r="R99" i="36"/>
  <c r="R96" i="36"/>
  <c r="R95" i="36"/>
  <c r="R94" i="36"/>
  <c r="R93" i="36"/>
  <c r="R92" i="36"/>
  <c r="R89" i="36"/>
  <c r="R88" i="36"/>
  <c r="R85" i="36"/>
  <c r="R84" i="36"/>
  <c r="R83" i="36"/>
  <c r="R82" i="36"/>
  <c r="R79" i="36"/>
  <c r="R78" i="36"/>
  <c r="R77" i="36"/>
  <c r="R76" i="36"/>
  <c r="Q74" i="36"/>
  <c r="Q80" i="36" s="1"/>
  <c r="Q86" i="36" s="1"/>
  <c r="Q90" i="36" s="1"/>
  <c r="Q97" i="36" s="1"/>
  <c r="Q103" i="36" s="1"/>
  <c r="Q110" i="36" s="1"/>
  <c r="Q118" i="36" s="1"/>
  <c r="Q127" i="36" s="1"/>
  <c r="Q133" i="36" s="1"/>
  <c r="Q139" i="36" s="1"/>
  <c r="Q147" i="36" s="1"/>
  <c r="P74" i="36"/>
  <c r="P80" i="36" s="1"/>
  <c r="P86" i="36" s="1"/>
  <c r="P90" i="36" s="1"/>
  <c r="P97" i="36" s="1"/>
  <c r="P103" i="36" s="1"/>
  <c r="P110" i="36" s="1"/>
  <c r="P118" i="36" s="1"/>
  <c r="P127" i="36" s="1"/>
  <c r="P133" i="36" s="1"/>
  <c r="P139" i="36" s="1"/>
  <c r="P147" i="36" s="1"/>
  <c r="O74" i="36"/>
  <c r="O80" i="36" s="1"/>
  <c r="O86" i="36" s="1"/>
  <c r="O90" i="36" s="1"/>
  <c r="O97" i="36" s="1"/>
  <c r="O103" i="36" s="1"/>
  <c r="O110" i="36" s="1"/>
  <c r="O118" i="36" s="1"/>
  <c r="O127" i="36" s="1"/>
  <c r="O133" i="36" s="1"/>
  <c r="O139" i="36" s="1"/>
  <c r="O147" i="36" s="1"/>
  <c r="O156" i="36" s="1"/>
  <c r="O165" i="36" s="1"/>
  <c r="O174" i="36" s="1"/>
  <c r="O183" i="36" s="1"/>
  <c r="O192" i="36" s="1"/>
  <c r="O201" i="36" s="1"/>
  <c r="O210" i="36" s="1"/>
  <c r="O219" i="36" s="1"/>
  <c r="O227" i="36" s="1"/>
  <c r="O235" i="36" s="1"/>
  <c r="O243" i="36" s="1"/>
  <c r="O251"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K74" i="36"/>
  <c r="K80" i="36" s="1"/>
  <c r="K86" i="36" s="1"/>
  <c r="K90" i="36" s="1"/>
  <c r="K97" i="36" s="1"/>
  <c r="K103" i="36" s="1"/>
  <c r="K110" i="36" s="1"/>
  <c r="K118" i="36" s="1"/>
  <c r="K127" i="36" s="1"/>
  <c r="K133" i="36" s="1"/>
  <c r="K139" i="36" s="1"/>
  <c r="K147" i="36" s="1"/>
  <c r="G74" i="36"/>
  <c r="G80" i="36" s="1"/>
  <c r="G86" i="36" s="1"/>
  <c r="G90" i="36" s="1"/>
  <c r="G97" i="36" s="1"/>
  <c r="G103" i="36" s="1"/>
  <c r="G110" i="36" s="1"/>
  <c r="G118" i="36" s="1"/>
  <c r="G127" i="36" s="1"/>
  <c r="G133" i="36" s="1"/>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G337" i="36" s="1"/>
  <c r="G347" i="36" s="1"/>
  <c r="G358" i="36" s="1"/>
  <c r="G370" i="36" s="1"/>
  <c r="G382"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L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E337" i="36" s="1"/>
  <c r="E347" i="36" s="1"/>
  <c r="E358" i="36" s="1"/>
  <c r="E370" i="36" s="1"/>
  <c r="E382"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C337" i="36" s="1"/>
  <c r="C347" i="36" s="1"/>
  <c r="C358" i="36" s="1"/>
  <c r="C370" i="36" s="1"/>
  <c r="C382" i="36" s="1"/>
  <c r="R73" i="36"/>
  <c r="R72" i="36"/>
  <c r="R71" i="36"/>
  <c r="R68" i="36"/>
  <c r="R67" i="36"/>
  <c r="R66" i="36"/>
  <c r="E65" i="36"/>
  <c r="R65" i="36" s="1"/>
  <c r="R64" i="36"/>
  <c r="R61" i="36"/>
  <c r="R60" i="36"/>
  <c r="R59" i="36"/>
  <c r="R58" i="36"/>
  <c r="R55" i="36"/>
  <c r="R54" i="36"/>
  <c r="R53" i="36"/>
  <c r="R52" i="36"/>
  <c r="R51" i="36"/>
  <c r="R48" i="36"/>
  <c r="R47" i="36"/>
  <c r="R46" i="36"/>
  <c r="R45" i="36"/>
  <c r="R44" i="36"/>
  <c r="R43" i="36"/>
  <c r="R42" i="36"/>
  <c r="R39" i="36"/>
  <c r="R38" i="36"/>
  <c r="R37" i="36"/>
  <c r="R36" i="36"/>
  <c r="R35" i="36"/>
  <c r="R34" i="36"/>
  <c r="R33" i="36"/>
  <c r="R30" i="36"/>
  <c r="R29" i="36"/>
  <c r="R28" i="36"/>
  <c r="R27" i="36"/>
  <c r="R26" i="36"/>
  <c r="R25" i="36"/>
  <c r="R22" i="36"/>
  <c r="R21" i="36"/>
  <c r="R20" i="36"/>
  <c r="R19" i="36"/>
  <c r="R18" i="36"/>
  <c r="Q16" i="36"/>
  <c r="Q23" i="36" s="1"/>
  <c r="Q31" i="36" s="1"/>
  <c r="Q40" i="36" s="1"/>
  <c r="Q49" i="36" s="1"/>
  <c r="Q56" i="36" s="1"/>
  <c r="Q62" i="36" s="1"/>
  <c r="P16" i="36"/>
  <c r="P23" i="36" s="1"/>
  <c r="P31" i="36" s="1"/>
  <c r="P40" i="36" s="1"/>
  <c r="P49" i="36" s="1"/>
  <c r="P56" i="36" s="1"/>
  <c r="P62" i="36" s="1"/>
  <c r="O16" i="36"/>
  <c r="O23" i="36" s="1"/>
  <c r="O31" i="36" s="1"/>
  <c r="O40" i="36" s="1"/>
  <c r="O49" i="36" s="1"/>
  <c r="O56" i="36" s="1"/>
  <c r="O62" i="36" s="1"/>
  <c r="N16" i="36"/>
  <c r="N23" i="36" s="1"/>
  <c r="N31" i="36" s="1"/>
  <c r="N40" i="36" s="1"/>
  <c r="N49" i="36" s="1"/>
  <c r="N56" i="36" s="1"/>
  <c r="N62" i="36" s="1"/>
  <c r="K16" i="36"/>
  <c r="K23" i="36" s="1"/>
  <c r="K31" i="36" s="1"/>
  <c r="K40" i="36" s="1"/>
  <c r="K49" i="36" s="1"/>
  <c r="K56" i="36" s="1"/>
  <c r="K62" i="36" s="1"/>
  <c r="G16" i="36"/>
  <c r="G23" i="36" s="1"/>
  <c r="G31" i="36" s="1"/>
  <c r="G40" i="36" s="1"/>
  <c r="G49" i="36" s="1"/>
  <c r="G56" i="36" s="1"/>
  <c r="G62" i="36" s="1"/>
  <c r="L16" i="36"/>
  <c r="L23" i="36" s="1"/>
  <c r="L31" i="36" s="1"/>
  <c r="L40" i="36" s="1"/>
  <c r="L49" i="36" s="1"/>
  <c r="L56" i="36" s="1"/>
  <c r="L62" i="36" s="1"/>
  <c r="E16" i="36"/>
  <c r="E23" i="36" s="1"/>
  <c r="E31" i="36" s="1"/>
  <c r="E40" i="36" s="1"/>
  <c r="E49" i="36" s="1"/>
  <c r="E56" i="36" s="1"/>
  <c r="E62" i="36" s="1"/>
  <c r="C16" i="36"/>
  <c r="C23" i="36" s="1"/>
  <c r="C31" i="36" s="1"/>
  <c r="C40" i="36" s="1"/>
  <c r="C49" i="36" s="1"/>
  <c r="C56" i="36" s="1"/>
  <c r="C62" i="36" s="1"/>
  <c r="R15" i="36"/>
  <c r="R14" i="36"/>
  <c r="R13" i="36"/>
  <c r="R12" i="36"/>
  <c r="R11" i="36"/>
  <c r="R10" i="36"/>
  <c r="R9" i="36"/>
  <c r="R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41" i="23"/>
  <c r="M341" i="23"/>
  <c r="L341" i="23"/>
  <c r="G341" i="23"/>
  <c r="F341" i="23"/>
  <c r="E341" i="23"/>
  <c r="N334" i="23"/>
  <c r="M334" i="23"/>
  <c r="L334" i="23"/>
  <c r="G334" i="23"/>
  <c r="F334" i="23"/>
  <c r="E334" i="23"/>
  <c r="N326" i="23"/>
  <c r="M326" i="23"/>
  <c r="L326" i="23"/>
  <c r="G326" i="23"/>
  <c r="F326" i="23"/>
  <c r="E326" i="23"/>
  <c r="N318" i="23"/>
  <c r="M318" i="23"/>
  <c r="L318" i="23"/>
  <c r="G318" i="23"/>
  <c r="F318" i="23"/>
  <c r="E318" i="23"/>
  <c r="N311" i="23"/>
  <c r="M311" i="23"/>
  <c r="L311" i="23"/>
  <c r="G311" i="23"/>
  <c r="F311" i="23"/>
  <c r="E311" i="23"/>
  <c r="N304" i="23"/>
  <c r="M304" i="23"/>
  <c r="L304" i="23"/>
  <c r="G304" i="23"/>
  <c r="F304" i="23"/>
  <c r="E304" i="23"/>
  <c r="N297" i="23"/>
  <c r="M297" i="23"/>
  <c r="L297" i="23"/>
  <c r="G297" i="23"/>
  <c r="F297" i="23"/>
  <c r="E297" i="23"/>
  <c r="N290" i="23"/>
  <c r="M290" i="23"/>
  <c r="L290" i="23"/>
  <c r="G290" i="23"/>
  <c r="F290" i="23"/>
  <c r="E290" i="23"/>
  <c r="N283" i="23"/>
  <c r="M283" i="23"/>
  <c r="L283" i="23"/>
  <c r="G283" i="23"/>
  <c r="F283" i="23"/>
  <c r="E283" i="23"/>
  <c r="N276" i="23"/>
  <c r="M276" i="23"/>
  <c r="L276" i="23"/>
  <c r="G276" i="23"/>
  <c r="F276" i="23"/>
  <c r="E276" i="23"/>
  <c r="N269" i="23"/>
  <c r="M269" i="23"/>
  <c r="L269" i="23"/>
  <c r="G269" i="23"/>
  <c r="F269" i="23"/>
  <c r="E269" i="23"/>
  <c r="N263" i="23"/>
  <c r="M263" i="23"/>
  <c r="L263" i="23"/>
  <c r="G263" i="23"/>
  <c r="F263" i="23"/>
  <c r="E263" i="23"/>
  <c r="N257" i="23"/>
  <c r="M257" i="23"/>
  <c r="L257" i="23"/>
  <c r="G257" i="23"/>
  <c r="F257" i="23"/>
  <c r="E257" i="23"/>
  <c r="N251" i="23"/>
  <c r="M251" i="23"/>
  <c r="L251" i="23"/>
  <c r="G251" i="23"/>
  <c r="F251" i="23"/>
  <c r="E251" i="23"/>
  <c r="N243" i="23"/>
  <c r="M243" i="23"/>
  <c r="L243" i="23"/>
  <c r="G243" i="23"/>
  <c r="F243" i="23"/>
  <c r="E243" i="23"/>
  <c r="N227" i="23"/>
  <c r="M227" i="23"/>
  <c r="L227" i="23"/>
  <c r="G227" i="23"/>
  <c r="F227" i="23"/>
  <c r="E227" i="23"/>
  <c r="N220" i="23"/>
  <c r="M220" i="23"/>
  <c r="L220" i="23"/>
  <c r="G220" i="23"/>
  <c r="F220" i="23"/>
  <c r="E220" i="23"/>
  <c r="N213" i="23"/>
  <c r="M213" i="23"/>
  <c r="L213" i="23"/>
  <c r="G213" i="23"/>
  <c r="F213" i="23"/>
  <c r="E213" i="23"/>
  <c r="N206" i="23"/>
  <c r="M206" i="23"/>
  <c r="L206" i="23"/>
  <c r="G206" i="23"/>
  <c r="F206" i="23"/>
  <c r="E206" i="23"/>
  <c r="N199" i="23"/>
  <c r="M199" i="23"/>
  <c r="L199" i="23"/>
  <c r="G199" i="23"/>
  <c r="F199" i="23"/>
  <c r="E199" i="23"/>
  <c r="N191" i="23"/>
  <c r="M191" i="23"/>
  <c r="L191" i="23"/>
  <c r="G191" i="23"/>
  <c r="F191" i="23"/>
  <c r="E191" i="23"/>
  <c r="N182" i="23"/>
  <c r="M182" i="23"/>
  <c r="L182" i="23"/>
  <c r="G182" i="23"/>
  <c r="F182" i="23"/>
  <c r="E182" i="23"/>
  <c r="N164" i="23"/>
  <c r="M164" i="23"/>
  <c r="L164" i="23"/>
  <c r="G164" i="23"/>
  <c r="F164" i="23"/>
  <c r="E164" i="23"/>
  <c r="N155" i="23"/>
  <c r="M155" i="23"/>
  <c r="L155" i="23"/>
  <c r="G155" i="23"/>
  <c r="F155" i="23"/>
  <c r="E155" i="23"/>
  <c r="N146" i="23"/>
  <c r="M146" i="23"/>
  <c r="L146" i="23"/>
  <c r="G146" i="23"/>
  <c r="F146" i="23"/>
  <c r="E146" i="23"/>
  <c r="N137" i="23"/>
  <c r="M137" i="23"/>
  <c r="L137" i="23"/>
  <c r="G137" i="23"/>
  <c r="F137" i="23"/>
  <c r="E137" i="23"/>
  <c r="N129" i="23"/>
  <c r="M129" i="23"/>
  <c r="L129" i="23"/>
  <c r="G129" i="23"/>
  <c r="F129" i="23"/>
  <c r="E129" i="23"/>
  <c r="N121" i="23"/>
  <c r="M121" i="23"/>
  <c r="L121" i="23"/>
  <c r="G121" i="23"/>
  <c r="F121" i="23"/>
  <c r="E121" i="23"/>
  <c r="N113" i="23"/>
  <c r="M113" i="23"/>
  <c r="L113" i="23"/>
  <c r="G113" i="23"/>
  <c r="F113" i="23"/>
  <c r="E113" i="23"/>
  <c r="N105" i="23"/>
  <c r="M105" i="23"/>
  <c r="L105" i="23"/>
  <c r="G105" i="23"/>
  <c r="F105" i="23"/>
  <c r="E105" i="23"/>
  <c r="N97" i="23"/>
  <c r="M97" i="23"/>
  <c r="L97" i="23"/>
  <c r="G97" i="23"/>
  <c r="F97" i="23"/>
  <c r="E97" i="23"/>
  <c r="N89" i="23"/>
  <c r="M89" i="23"/>
  <c r="L89" i="23"/>
  <c r="G89" i="23"/>
  <c r="F89" i="23"/>
  <c r="E89"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C151" i="13"/>
  <c r="G114" i="13"/>
  <c r="G113" i="13"/>
  <c r="G112" i="13"/>
  <c r="G111" i="13"/>
  <c r="G110" i="13"/>
  <c r="G109" i="13"/>
  <c r="H103" i="13"/>
  <c r="F103" i="13"/>
  <c r="E103" i="13"/>
  <c r="D103" i="13"/>
  <c r="C103" i="13"/>
  <c r="H101" i="13"/>
  <c r="F101" i="13"/>
  <c r="E101" i="13"/>
  <c r="D101" i="13"/>
  <c r="C101" i="13"/>
  <c r="H100" i="13"/>
  <c r="F100" i="13"/>
  <c r="E100" i="13"/>
  <c r="D100" i="13"/>
  <c r="C100" i="13"/>
  <c r="H99" i="13"/>
  <c r="F99" i="13"/>
  <c r="E99" i="13"/>
  <c r="D99" i="13"/>
  <c r="C99" i="13"/>
  <c r="H94" i="13"/>
  <c r="F94" i="13"/>
  <c r="E94" i="13"/>
  <c r="D94" i="13"/>
  <c r="C94" i="13"/>
  <c r="H92" i="13"/>
  <c r="F92" i="13"/>
  <c r="E92" i="13"/>
  <c r="D92" i="13"/>
  <c r="C92" i="13"/>
  <c r="G87" i="13"/>
  <c r="G86" i="13"/>
  <c r="G85" i="13"/>
  <c r="G84" i="13"/>
  <c r="H82" i="13"/>
  <c r="F82" i="13"/>
  <c r="E82" i="13"/>
  <c r="D82" i="13"/>
  <c r="C82" i="13"/>
  <c r="H76" i="13"/>
  <c r="F76" i="13"/>
  <c r="E76" i="13"/>
  <c r="D76" i="13"/>
  <c r="C76" i="13"/>
  <c r="H75" i="13"/>
  <c r="F75" i="13"/>
  <c r="E75" i="13"/>
  <c r="D75" i="13"/>
  <c r="C75" i="13"/>
  <c r="G70" i="13"/>
  <c r="G69" i="13"/>
  <c r="G68" i="13"/>
  <c r="G66" i="13"/>
  <c r="D63" i="13"/>
  <c r="G63" i="13" s="1"/>
  <c r="G61" i="13"/>
  <c r="G59" i="13"/>
  <c r="G58" i="13"/>
  <c r="H57" i="13"/>
  <c r="H55" i="13" s="1"/>
  <c r="H80" i="13" s="1"/>
  <c r="F57" i="13"/>
  <c r="F55" i="13" s="1"/>
  <c r="F80" i="13" s="1"/>
  <c r="E57" i="13"/>
  <c r="E55" i="13" s="1"/>
  <c r="E80" i="13" s="1"/>
  <c r="D57" i="13"/>
  <c r="D55" i="13" s="1"/>
  <c r="D80" i="13" s="1"/>
  <c r="C57" i="13"/>
  <c r="G56" i="13"/>
  <c r="H54" i="13"/>
  <c r="F54" i="13"/>
  <c r="E54" i="13"/>
  <c r="D54" i="13"/>
  <c r="C54" i="13"/>
  <c r="G53" i="13"/>
  <c r="G52" i="13"/>
  <c r="E48" i="13"/>
  <c r="E46" i="13"/>
  <c r="E45" i="13"/>
  <c r="E44" i="13"/>
  <c r="D43" i="13"/>
  <c r="C43" i="13"/>
  <c r="D41" i="13"/>
  <c r="C41" i="13"/>
  <c r="E40" i="13"/>
  <c r="E38" i="13"/>
  <c r="E37" i="13"/>
  <c r="E36" i="13"/>
  <c r="E35" i="13"/>
  <c r="D34" i="13"/>
  <c r="C34" i="13"/>
  <c r="D32" i="13"/>
  <c r="C32" i="13"/>
  <c r="E31" i="13"/>
  <c r="E30" i="13"/>
  <c r="D29" i="13"/>
  <c r="C29" i="13"/>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99" i="76"/>
  <c r="H98" i="76"/>
  <c r="H97" i="76"/>
  <c r="H96" i="76"/>
  <c r="E95" i="76"/>
  <c r="H94" i="76"/>
  <c r="H93" i="76"/>
  <c r="H92" i="76"/>
  <c r="H91" i="76"/>
  <c r="E90" i="76"/>
  <c r="H89" i="76"/>
  <c r="H88" i="76"/>
  <c r="H87" i="76"/>
  <c r="E86" i="76"/>
  <c r="H85" i="76"/>
  <c r="H84" i="76"/>
  <c r="H83" i="76"/>
  <c r="H82" i="76"/>
  <c r="H81" i="76"/>
  <c r="E80" i="76"/>
  <c r="H79" i="76"/>
  <c r="H78" i="76"/>
  <c r="H77" i="76"/>
  <c r="H76" i="76"/>
  <c r="H75" i="76"/>
  <c r="E74" i="76"/>
  <c r="H73" i="76"/>
  <c r="H72" i="76"/>
  <c r="E68" i="76"/>
  <c r="H62" i="76"/>
  <c r="E62" i="76"/>
  <c r="J60" i="76"/>
  <c r="J59" i="76" s="1"/>
  <c r="H59" i="76"/>
  <c r="E59" i="76"/>
  <c r="E58" i="76"/>
  <c r="E57" i="76" s="1"/>
  <c r="H57" i="76"/>
  <c r="J56" i="76"/>
  <c r="J55" i="76"/>
  <c r="H55" i="76"/>
  <c r="J54" i="76"/>
  <c r="H54" i="76"/>
  <c r="J53" i="76"/>
  <c r="J52" i="76"/>
  <c r="E51" i="76"/>
  <c r="J50" i="76"/>
  <c r="J49" i="76"/>
  <c r="J48" i="76"/>
  <c r="J47" i="76"/>
  <c r="J46" i="76"/>
  <c r="J45" i="76"/>
  <c r="H44" i="76"/>
  <c r="E44" i="76"/>
  <c r="J43" i="76"/>
  <c r="J42" i="76"/>
  <c r="E41" i="76"/>
  <c r="J41" i="76" s="1"/>
  <c r="E40" i="76"/>
  <c r="J40" i="76" s="1"/>
  <c r="J38" i="76"/>
  <c r="J37" i="76"/>
  <c r="J36" i="76"/>
  <c r="J35" i="76"/>
  <c r="H34" i="76"/>
  <c r="E34" i="76"/>
  <c r="J33" i="76"/>
  <c r="J32" i="76"/>
  <c r="J31" i="76"/>
  <c r="J30" i="76"/>
  <c r="J29" i="76"/>
  <c r="H27" i="76"/>
  <c r="E27" i="76"/>
  <c r="J26" i="76"/>
  <c r="J25" i="76"/>
  <c r="J341" i="73"/>
  <c r="K341" i="73" s="1"/>
  <c r="L341" i="73" s="1"/>
  <c r="M341" i="73" s="1"/>
  <c r="N341" i="73" s="1"/>
  <c r="O341" i="73" s="1"/>
  <c r="P341" i="73" s="1"/>
  <c r="Q341" i="73" s="1"/>
  <c r="R341" i="73" s="1"/>
  <c r="S341" i="73" s="1"/>
  <c r="T341" i="73" s="1"/>
  <c r="U341" i="73" s="1"/>
  <c r="V341" i="73" s="1"/>
  <c r="W341" i="73" s="1"/>
  <c r="X341" i="73" s="1"/>
  <c r="Y341" i="73" s="1"/>
  <c r="Z341" i="73" s="1"/>
  <c r="AA341" i="73" s="1"/>
  <c r="AB341" i="73" s="1"/>
  <c r="AC341" i="73" s="1"/>
  <c r="AD341" i="73" s="1"/>
  <c r="AE341" i="73" s="1"/>
  <c r="AF341" i="73" s="1"/>
  <c r="AG341" i="73" s="1"/>
  <c r="AH341" i="73" s="1"/>
  <c r="AI341" i="73" s="1"/>
  <c r="AJ341" i="73" s="1"/>
  <c r="AK341" i="73" s="1"/>
  <c r="AL341" i="73" s="1"/>
  <c r="AM341" i="73" s="1"/>
  <c r="AN341" i="73" s="1"/>
  <c r="AO341" i="73" s="1"/>
  <c r="AP341" i="73" s="1"/>
  <c r="AQ341" i="73" s="1"/>
  <c r="AR341" i="73" s="1"/>
  <c r="AS341" i="73" s="1"/>
  <c r="AT341" i="73" s="1"/>
  <c r="AU341" i="73" s="1"/>
  <c r="AV341" i="73" s="1"/>
  <c r="AW341" i="73" s="1"/>
  <c r="AX341" i="73" s="1"/>
  <c r="AY341" i="73" s="1"/>
  <c r="AZ341" i="73" s="1"/>
  <c r="BA341" i="73" s="1"/>
  <c r="BB341" i="73" s="1"/>
  <c r="BC341" i="73" s="1"/>
  <c r="BD341" i="73" s="1"/>
  <c r="BE341" i="73" s="1"/>
  <c r="BF341" i="73" s="1"/>
  <c r="BG341" i="73" s="1"/>
  <c r="BH341" i="73" s="1"/>
  <c r="BI341" i="73" s="1"/>
  <c r="BJ341" i="73" s="1"/>
  <c r="BK341" i="73" s="1"/>
  <c r="BL341" i="73" s="1"/>
  <c r="BM341" i="73" s="1"/>
  <c r="BN341" i="73" s="1"/>
  <c r="BO341" i="73" s="1"/>
  <c r="BP341" i="73" s="1"/>
  <c r="BQ341" i="73" s="1"/>
  <c r="BQ209" i="73"/>
  <c r="BP209" i="73"/>
  <c r="BO209" i="73"/>
  <c r="BN209" i="73"/>
  <c r="BM209" i="73"/>
  <c r="BL209" i="73"/>
  <c r="BK209" i="73"/>
  <c r="BJ209" i="73"/>
  <c r="BI209" i="73"/>
  <c r="BH209" i="73"/>
  <c r="BG209" i="73"/>
  <c r="BF209" i="73"/>
  <c r="BE209" i="73"/>
  <c r="BD209" i="73"/>
  <c r="BC209" i="73"/>
  <c r="BB209" i="73"/>
  <c r="BA209" i="73"/>
  <c r="AZ209" i="73"/>
  <c r="AY209" i="73"/>
  <c r="AX209" i="73"/>
  <c r="AW209" i="73"/>
  <c r="AV209" i="73"/>
  <c r="AU209" i="73"/>
  <c r="AT209" i="73"/>
  <c r="AS209" i="73"/>
  <c r="AR209" i="73"/>
  <c r="AQ209" i="73"/>
  <c r="AP209" i="73"/>
  <c r="AO209" i="73"/>
  <c r="AN209" i="73"/>
  <c r="AM209" i="73"/>
  <c r="AL209" i="73"/>
  <c r="AK209" i="73"/>
  <c r="AJ209" i="73"/>
  <c r="AI209" i="73"/>
  <c r="AH209" i="73"/>
  <c r="AG209" i="73"/>
  <c r="AF209" i="73"/>
  <c r="AE209" i="73"/>
  <c r="AD209" i="73"/>
  <c r="AC209" i="73"/>
  <c r="AB209" i="73"/>
  <c r="AA209" i="73"/>
  <c r="Z209" i="73"/>
  <c r="Y209" i="73"/>
  <c r="X209" i="73"/>
  <c r="W209" i="73"/>
  <c r="V209" i="73"/>
  <c r="U209" i="73"/>
  <c r="T209" i="73"/>
  <c r="S209" i="73"/>
  <c r="R209" i="73"/>
  <c r="Q209" i="73"/>
  <c r="P209" i="73"/>
  <c r="O209" i="73"/>
  <c r="N209" i="73"/>
  <c r="M209" i="73"/>
  <c r="L209" i="73"/>
  <c r="K209" i="73"/>
  <c r="J209" i="73"/>
  <c r="I209" i="73"/>
  <c r="H209" i="73"/>
  <c r="G209" i="73"/>
  <c r="F209" i="73"/>
  <c r="E209" i="73"/>
  <c r="D209" i="73"/>
  <c r="C209" i="73"/>
  <c r="BQ201" i="73"/>
  <c r="BP201" i="73"/>
  <c r="BO201" i="73"/>
  <c r="BN201" i="73"/>
  <c r="AX201" i="73"/>
  <c r="AX345" i="73" s="1"/>
  <c r="AW201" i="73"/>
  <c r="AW345" i="73" s="1"/>
  <c r="AV201" i="73"/>
  <c r="AV345" i="73" s="1"/>
  <c r="AU201" i="73"/>
  <c r="AU345" i="73" s="1"/>
  <c r="AT201" i="73"/>
  <c r="AT345" i="73" s="1"/>
  <c r="AS201" i="73"/>
  <c r="AR201" i="73"/>
  <c r="AQ201" i="73"/>
  <c r="AP201" i="73"/>
  <c r="AO201" i="73"/>
  <c r="AN201" i="73"/>
  <c r="AM201" i="73"/>
  <c r="AL201" i="73"/>
  <c r="AK201" i="73"/>
  <c r="AJ201" i="73"/>
  <c r="AI201" i="73"/>
  <c r="AH201" i="73"/>
  <c r="AG201" i="73"/>
  <c r="AF201" i="73"/>
  <c r="AE201" i="73"/>
  <c r="AD201" i="73"/>
  <c r="AC201" i="73"/>
  <c r="AB201" i="73"/>
  <c r="AA201" i="73"/>
  <c r="Z201" i="73"/>
  <c r="Y201" i="73"/>
  <c r="X201" i="73"/>
  <c r="W201" i="73"/>
  <c r="V201" i="73"/>
  <c r="U201" i="73"/>
  <c r="T201" i="73"/>
  <c r="S201" i="73"/>
  <c r="R201" i="73"/>
  <c r="Q201" i="73"/>
  <c r="P201" i="73"/>
  <c r="O201" i="73"/>
  <c r="N201" i="73"/>
  <c r="M201" i="73"/>
  <c r="L201" i="73"/>
  <c r="K201" i="73"/>
  <c r="J201" i="73"/>
  <c r="I201" i="73"/>
  <c r="H201" i="73"/>
  <c r="G201" i="73"/>
  <c r="F201" i="73"/>
  <c r="E201" i="73"/>
  <c r="D201" i="73"/>
  <c r="C201" i="73"/>
  <c r="AY197" i="73"/>
  <c r="AZ197" i="73" s="1"/>
  <c r="BQ193" i="73"/>
  <c r="BP193" i="73"/>
  <c r="BO193" i="73"/>
  <c r="BN193" i="73"/>
  <c r="BM193" i="73"/>
  <c r="BL193" i="73"/>
  <c r="BL344" i="73" s="1"/>
  <c r="BK193" i="73"/>
  <c r="BK344" i="73" s="1"/>
  <c r="BJ193" i="73"/>
  <c r="BJ344" i="73" s="1"/>
  <c r="BI193" i="73"/>
  <c r="BI344" i="73" s="1"/>
  <c r="BH193" i="73"/>
  <c r="BH344" i="73" s="1"/>
  <c r="BG193" i="73"/>
  <c r="BG344" i="73" s="1"/>
  <c r="BF193" i="73"/>
  <c r="BF344" i="73" s="1"/>
  <c r="BE193" i="73"/>
  <c r="BE344" i="73" s="1"/>
  <c r="BD193" i="73"/>
  <c r="BD344" i="73" s="1"/>
  <c r="BC193" i="73"/>
  <c r="BC344" i="73" s="1"/>
  <c r="BB193" i="73"/>
  <c r="BB344" i="73" s="1"/>
  <c r="BA193" i="73"/>
  <c r="BA344" i="73" s="1"/>
  <c r="AZ193" i="73"/>
  <c r="AZ344" i="73" s="1"/>
  <c r="AY193" i="73"/>
  <c r="AY344" i="73" s="1"/>
  <c r="AX193" i="73"/>
  <c r="AX344" i="73" s="1"/>
  <c r="AW193" i="73"/>
  <c r="AW344" i="73" s="1"/>
  <c r="AR193" i="73"/>
  <c r="AQ193" i="73"/>
  <c r="AP193" i="73"/>
  <c r="AO193" i="73"/>
  <c r="AN193" i="73"/>
  <c r="AM193" i="73"/>
  <c r="AL193" i="73"/>
  <c r="AK193" i="73"/>
  <c r="AJ193" i="73"/>
  <c r="AI193" i="73"/>
  <c r="AH193" i="73"/>
  <c r="AG193" i="73"/>
  <c r="AF193" i="73"/>
  <c r="AE193" i="73"/>
  <c r="AD193" i="73"/>
  <c r="AC193" i="73"/>
  <c r="AB193" i="73"/>
  <c r="AA193" i="73"/>
  <c r="Z193" i="73"/>
  <c r="Y193" i="73"/>
  <c r="X193" i="73"/>
  <c r="W193" i="73"/>
  <c r="V193" i="73"/>
  <c r="K193" i="73"/>
  <c r="J193" i="73"/>
  <c r="I193" i="73"/>
  <c r="H193" i="73"/>
  <c r="G193" i="73"/>
  <c r="F193" i="73"/>
  <c r="E193" i="73"/>
  <c r="D193" i="73"/>
  <c r="C193" i="73"/>
  <c r="AV188" i="73"/>
  <c r="AV193" i="73" s="1"/>
  <c r="AV344" i="73" s="1"/>
  <c r="AU188" i="73"/>
  <c r="AU193" i="73" s="1"/>
  <c r="AU344" i="73" s="1"/>
  <c r="AT188" i="73"/>
  <c r="AT193" i="73" s="1"/>
  <c r="AT344" i="73" s="1"/>
  <c r="AS188" i="73"/>
  <c r="AS193"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J177" i="73"/>
  <c r="BI177" i="73"/>
  <c r="BH177" i="73"/>
  <c r="BG177" i="73"/>
  <c r="BF177" i="73"/>
  <c r="BE177" i="73"/>
  <c r="BD177" i="73"/>
  <c r="BC177" i="73"/>
  <c r="BB177" i="73"/>
  <c r="BA177" i="73"/>
  <c r="AZ177" i="73"/>
  <c r="AY177" i="73"/>
  <c r="AX177" i="73"/>
  <c r="AW177" i="73"/>
  <c r="AV177" i="73"/>
  <c r="AU177" i="73"/>
  <c r="AT177" i="73"/>
  <c r="AS177" i="73"/>
  <c r="AS345" i="73" s="1"/>
  <c r="AR177" i="73"/>
  <c r="AR345" i="73" s="1"/>
  <c r="AQ177" i="73"/>
  <c r="AQ345" i="73" s="1"/>
  <c r="AP177" i="73"/>
  <c r="AP345" i="73" s="1"/>
  <c r="AO177" i="73"/>
  <c r="AO345" i="73" s="1"/>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BJ169" i="73"/>
  <c r="BI169" i="73"/>
  <c r="BH169" i="73"/>
  <c r="BG169" i="73"/>
  <c r="BF169" i="73"/>
  <c r="BE169" i="73"/>
  <c r="BD169" i="73"/>
  <c r="BC169" i="73"/>
  <c r="BB169" i="73"/>
  <c r="BA169" i="73"/>
  <c r="AZ169" i="73"/>
  <c r="AY169" i="73"/>
  <c r="AX169" i="73"/>
  <c r="AW169" i="73"/>
  <c r="AR169" i="73"/>
  <c r="AR344" i="73" s="1"/>
  <c r="AQ169" i="73"/>
  <c r="AQ344" i="73" s="1"/>
  <c r="AP169" i="73"/>
  <c r="AP344" i="73" s="1"/>
  <c r="AO169" i="73"/>
  <c r="AO344" i="73" s="1"/>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U164" i="73"/>
  <c r="AU169" i="73" s="1"/>
  <c r="AT164" i="73"/>
  <c r="AT169" i="73" s="1"/>
  <c r="AS164" i="73"/>
  <c r="AS169" i="73" s="1"/>
  <c r="AS344" i="73" s="1"/>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D153" i="73"/>
  <c r="BC153" i="73"/>
  <c r="BB153" i="73"/>
  <c r="BA153" i="73"/>
  <c r="AZ153" i="73"/>
  <c r="AY153" i="73"/>
  <c r="AX153" i="73"/>
  <c r="AW153" i="73"/>
  <c r="AV153" i="73"/>
  <c r="AU153" i="73"/>
  <c r="AT153" i="73"/>
  <c r="AS153" i="73"/>
  <c r="AR153" i="73"/>
  <c r="AQ153" i="73"/>
  <c r="AP153" i="73"/>
  <c r="AO153" i="73"/>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AS145" i="73"/>
  <c r="AR145" i="73"/>
  <c r="AQ145" i="73"/>
  <c r="AP145" i="73"/>
  <c r="AO145" i="73"/>
  <c r="AN145" i="73"/>
  <c r="AN345" i="73" s="1"/>
  <c r="AM145" i="73"/>
  <c r="AM345" i="73" s="1"/>
  <c r="AL145" i="73"/>
  <c r="AL345" i="73" s="1"/>
  <c r="AK145" i="73"/>
  <c r="AK345" i="73" s="1"/>
  <c r="AJ145" i="73"/>
  <c r="AJ345" i="73" s="1"/>
  <c r="AI145" i="73"/>
  <c r="AI345" i="73" s="1"/>
  <c r="AH145" i="73"/>
  <c r="AH345" i="73" s="1"/>
  <c r="AG145" i="73"/>
  <c r="AG345" i="73" s="1"/>
  <c r="AF145" i="73"/>
  <c r="AF345" i="73" s="1"/>
  <c r="AE145" i="73"/>
  <c r="AE345" i="73" s="1"/>
  <c r="AD145" i="73"/>
  <c r="AD345" i="73" s="1"/>
  <c r="AC145" i="73"/>
  <c r="AC345" i="73" s="1"/>
  <c r="AB145" i="73"/>
  <c r="AB345" i="73" s="1"/>
  <c r="AA145" i="73"/>
  <c r="AA345" i="73" s="1"/>
  <c r="Z145" i="73"/>
  <c r="Z345" i="73" s="1"/>
  <c r="Y145" i="73"/>
  <c r="Y345" i="73" s="1"/>
  <c r="X145" i="73"/>
  <c r="X345" i="73" s="1"/>
  <c r="W145" i="73"/>
  <c r="W345" i="73" s="1"/>
  <c r="U145" i="73"/>
  <c r="T145" i="73"/>
  <c r="S145" i="73"/>
  <c r="R145" i="73"/>
  <c r="Q145" i="73"/>
  <c r="P145" i="73"/>
  <c r="O145" i="73"/>
  <c r="N145" i="73"/>
  <c r="M145" i="73"/>
  <c r="L145" i="73"/>
  <c r="K145" i="73"/>
  <c r="J145" i="73"/>
  <c r="I145" i="73"/>
  <c r="H145" i="73"/>
  <c r="G145" i="73"/>
  <c r="F145" i="73"/>
  <c r="E145" i="73"/>
  <c r="D145" i="73"/>
  <c r="C145" i="73"/>
  <c r="V141" i="73"/>
  <c r="V145" i="73" s="1"/>
  <c r="V345" i="73" s="1"/>
  <c r="AR137" i="73"/>
  <c r="AQ137" i="73"/>
  <c r="AP137" i="73"/>
  <c r="AO137" i="73"/>
  <c r="AN137" i="73"/>
  <c r="AN344" i="73" s="1"/>
  <c r="AM137" i="73"/>
  <c r="AM344" i="73" s="1"/>
  <c r="AL137" i="73"/>
  <c r="AL344" i="73" s="1"/>
  <c r="AK137" i="73"/>
  <c r="AK344" i="73" s="1"/>
  <c r="AJ137" i="73"/>
  <c r="AJ344" i="73" s="1"/>
  <c r="AI137" i="73"/>
  <c r="AI344" i="73" s="1"/>
  <c r="AH137" i="73"/>
  <c r="AH344" i="73" s="1"/>
  <c r="AG137" i="73"/>
  <c r="AG344" i="73" s="1"/>
  <c r="AF137" i="73"/>
  <c r="AF344" i="73" s="1"/>
  <c r="AE137" i="73"/>
  <c r="AE344" i="73" s="1"/>
  <c r="U137" i="73"/>
  <c r="U344" i="73" s="1"/>
  <c r="T137" i="73"/>
  <c r="T344" i="73" s="1"/>
  <c r="S137" i="73"/>
  <c r="S344" i="73" s="1"/>
  <c r="R137" i="73"/>
  <c r="R344" i="73" s="1"/>
  <c r="Q137" i="73"/>
  <c r="Q344" i="73" s="1"/>
  <c r="P137" i="73"/>
  <c r="O137" i="73"/>
  <c r="N137" i="73"/>
  <c r="M137" i="73"/>
  <c r="L137" i="73"/>
  <c r="K137" i="73"/>
  <c r="J137" i="73"/>
  <c r="I137" i="73"/>
  <c r="H137" i="73"/>
  <c r="G137" i="73"/>
  <c r="F137" i="73"/>
  <c r="E137" i="73"/>
  <c r="D137" i="73"/>
  <c r="C137" i="73"/>
  <c r="AD135" i="73"/>
  <c r="AD137" i="73" s="1"/>
  <c r="AD344" i="73" s="1"/>
  <c r="AC135" i="73"/>
  <c r="AC137" i="73" s="1"/>
  <c r="AC344" i="73" s="1"/>
  <c r="AB135" i="73"/>
  <c r="AB137" i="73" s="1"/>
  <c r="AB344" i="73" s="1"/>
  <c r="AA135" i="73"/>
  <c r="AA137" i="73" s="1"/>
  <c r="AA344" i="73" s="1"/>
  <c r="Z135" i="73"/>
  <c r="Z137" i="73" s="1"/>
  <c r="Z344" i="73" s="1"/>
  <c r="Y135" i="73"/>
  <c r="Y137" i="73" s="1"/>
  <c r="Y344" i="73" s="1"/>
  <c r="X135" i="73"/>
  <c r="X137" i="73" s="1"/>
  <c r="X344" i="73" s="1"/>
  <c r="W135" i="73"/>
  <c r="W137" i="73" s="1"/>
  <c r="W344" i="73" s="1"/>
  <c r="V133" i="73"/>
  <c r="V137" i="73" s="1"/>
  <c r="V344" i="73" s="1"/>
  <c r="AS132" i="73"/>
  <c r="AS137" i="73" s="1"/>
  <c r="AS129" i="73"/>
  <c r="AR129" i="73"/>
  <c r="AQ129" i="73"/>
  <c r="AP129" i="73"/>
  <c r="AO129" i="73"/>
  <c r="AN129" i="73"/>
  <c r="AM129" i="73"/>
  <c r="AL129" i="73"/>
  <c r="AK129" i="73"/>
  <c r="AJ129" i="73"/>
  <c r="AI129" i="73"/>
  <c r="AH129" i="73"/>
  <c r="AG129" i="73"/>
  <c r="AF129" i="73"/>
  <c r="AE129" i="73"/>
  <c r="U129" i="73"/>
  <c r="T129" i="73"/>
  <c r="S129" i="73"/>
  <c r="R129" i="73"/>
  <c r="Q129" i="73"/>
  <c r="P129" i="73"/>
  <c r="O129" i="73"/>
  <c r="N129" i="73"/>
  <c r="M129" i="73"/>
  <c r="L129" i="73"/>
  <c r="K129" i="73"/>
  <c r="J129" i="73"/>
  <c r="I129" i="73"/>
  <c r="H129" i="73"/>
  <c r="G129" i="73"/>
  <c r="F129" i="73"/>
  <c r="E129" i="73"/>
  <c r="D129" i="73"/>
  <c r="C129" i="73"/>
  <c r="AD127" i="73"/>
  <c r="AD129" i="73" s="1"/>
  <c r="AC127" i="73"/>
  <c r="AC129" i="73" s="1"/>
  <c r="AB127" i="73"/>
  <c r="AB129" i="73" s="1"/>
  <c r="AA127" i="73"/>
  <c r="AA129" i="73" s="1"/>
  <c r="Z127" i="73"/>
  <c r="Z129" i="73" s="1"/>
  <c r="Y127" i="73"/>
  <c r="Y129" i="73" s="1"/>
  <c r="X127" i="73"/>
  <c r="X129" i="73" s="1"/>
  <c r="W127" i="73"/>
  <c r="W129" i="73" s="1"/>
  <c r="V125" i="73"/>
  <c r="V129" i="73" s="1"/>
  <c r="AS121" i="73"/>
  <c r="AQ121" i="73"/>
  <c r="AP121" i="73"/>
  <c r="AO121" i="73"/>
  <c r="AN121" i="73"/>
  <c r="AM121" i="73"/>
  <c r="AL121" i="73"/>
  <c r="AK121" i="73"/>
  <c r="AJ121" i="73"/>
  <c r="AI121" i="73"/>
  <c r="AH121" i="73"/>
  <c r="AG121" i="73"/>
  <c r="AF121" i="73"/>
  <c r="AE121" i="73"/>
  <c r="AD121" i="73"/>
  <c r="AC121" i="73"/>
  <c r="AB121" i="73"/>
  <c r="AA121" i="73"/>
  <c r="Z121" i="73"/>
  <c r="Y121" i="73"/>
  <c r="X121" i="73"/>
  <c r="W121" i="73"/>
  <c r="V121" i="73"/>
  <c r="U121" i="73"/>
  <c r="T121" i="73"/>
  <c r="S121" i="73"/>
  <c r="R121" i="73"/>
  <c r="Q121" i="73"/>
  <c r="P121" i="73"/>
  <c r="O121" i="73"/>
  <c r="N121" i="73"/>
  <c r="M121" i="73"/>
  <c r="L121" i="73"/>
  <c r="K121" i="73"/>
  <c r="J121" i="73"/>
  <c r="I121" i="73"/>
  <c r="H121" i="73"/>
  <c r="G121" i="73"/>
  <c r="F121" i="73"/>
  <c r="E121" i="73"/>
  <c r="D121" i="73"/>
  <c r="C121" i="73"/>
  <c r="AR117" i="73"/>
  <c r="AR121" i="73" s="1"/>
  <c r="AS113" i="73"/>
  <c r="AR113" i="73"/>
  <c r="AQ113" i="73"/>
  <c r="AP113" i="73"/>
  <c r="AO113" i="73"/>
  <c r="AN113" i="73"/>
  <c r="AM113" i="73"/>
  <c r="AL113" i="73"/>
  <c r="AK113" i="73"/>
  <c r="AJ113" i="73"/>
  <c r="AI113" i="73"/>
  <c r="AH113" i="73"/>
  <c r="AG113" i="73"/>
  <c r="AF113" i="73"/>
  <c r="AE113" i="73"/>
  <c r="AD113" i="73"/>
  <c r="AC113" i="73"/>
  <c r="AB113" i="73"/>
  <c r="AA113" i="73"/>
  <c r="Z113" i="73"/>
  <c r="Y113" i="73"/>
  <c r="X113" i="73"/>
  <c r="W113" i="73"/>
  <c r="U113" i="73"/>
  <c r="U345" i="73" s="1"/>
  <c r="T113" i="73"/>
  <c r="T345" i="73" s="1"/>
  <c r="S113" i="73"/>
  <c r="S345" i="73" s="1"/>
  <c r="R113" i="73"/>
  <c r="R345" i="73" s="1"/>
  <c r="Q113" i="73"/>
  <c r="Q345" i="73" s="1"/>
  <c r="P113" i="73"/>
  <c r="O113" i="73"/>
  <c r="N113" i="73"/>
  <c r="M113" i="73"/>
  <c r="L113" i="73"/>
  <c r="K113" i="73"/>
  <c r="J113" i="73"/>
  <c r="I113" i="73"/>
  <c r="H113" i="73"/>
  <c r="G113" i="73"/>
  <c r="F113" i="73"/>
  <c r="E113" i="73"/>
  <c r="D113" i="73"/>
  <c r="C113" i="73"/>
  <c r="V109" i="73"/>
  <c r="V113" i="73" s="1"/>
  <c r="AS103" i="73"/>
  <c r="AR103" i="73"/>
  <c r="AQ103" i="73"/>
  <c r="AP103" i="73"/>
  <c r="AO103" i="73"/>
  <c r="AN103" i="73"/>
  <c r="AM103" i="73"/>
  <c r="AL103" i="73"/>
  <c r="AK103" i="73"/>
  <c r="AJ103" i="73"/>
  <c r="AI103" i="73"/>
  <c r="AH103" i="73"/>
  <c r="AG103" i="73"/>
  <c r="AF103" i="73"/>
  <c r="AE103" i="73"/>
  <c r="AD103" i="73"/>
  <c r="AC103" i="73"/>
  <c r="AB103" i="73"/>
  <c r="AA103" i="73"/>
  <c r="Z103" i="73"/>
  <c r="Y103" i="73"/>
  <c r="X103" i="73"/>
  <c r="W103" i="73"/>
  <c r="U103" i="73"/>
  <c r="T103" i="73"/>
  <c r="S103" i="73"/>
  <c r="R103" i="73"/>
  <c r="Q103" i="73"/>
  <c r="P103" i="73"/>
  <c r="O103" i="73"/>
  <c r="N103" i="73"/>
  <c r="M103" i="73"/>
  <c r="L103" i="73"/>
  <c r="K103" i="73"/>
  <c r="J103" i="73"/>
  <c r="I103" i="73"/>
  <c r="H103" i="73"/>
  <c r="G103" i="73"/>
  <c r="F103" i="73"/>
  <c r="E103" i="73"/>
  <c r="D103" i="73"/>
  <c r="C103" i="73"/>
  <c r="V99" i="73"/>
  <c r="V103" i="73" s="1"/>
  <c r="AS93" i="73"/>
  <c r="AR93" i="73"/>
  <c r="AQ93" i="73"/>
  <c r="AP93" i="73"/>
  <c r="AO93" i="73"/>
  <c r="AN93" i="73"/>
  <c r="AM93" i="73"/>
  <c r="AL93" i="73"/>
  <c r="AK93" i="73"/>
  <c r="AJ93" i="73"/>
  <c r="AI93" i="73"/>
  <c r="AH93" i="73"/>
  <c r="AG93" i="73"/>
  <c r="AF93" i="73"/>
  <c r="AE93" i="73"/>
  <c r="AD93" i="73"/>
  <c r="AC93" i="73"/>
  <c r="AB93" i="73"/>
  <c r="AA93" i="73"/>
  <c r="Z93" i="73"/>
  <c r="Y93" i="73"/>
  <c r="X93" i="73"/>
  <c r="W93" i="73"/>
  <c r="U93" i="73"/>
  <c r="T93" i="73"/>
  <c r="S93" i="73"/>
  <c r="R93" i="73"/>
  <c r="Q93" i="73"/>
  <c r="P93" i="73"/>
  <c r="O93" i="73"/>
  <c r="N93" i="73"/>
  <c r="M93" i="73"/>
  <c r="L93" i="73"/>
  <c r="K93" i="73"/>
  <c r="J93" i="73"/>
  <c r="I93" i="73"/>
  <c r="H93" i="73"/>
  <c r="G93" i="73"/>
  <c r="F93" i="73"/>
  <c r="E93" i="73"/>
  <c r="D93" i="73"/>
  <c r="C93" i="73"/>
  <c r="V89" i="73"/>
  <c r="V93" i="73" s="1"/>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C85" i="73"/>
  <c r="BW267" i="73"/>
  <c r="BV267" i="73"/>
  <c r="BU267" i="73"/>
  <c r="BT267" i="73"/>
  <c r="BS267" i="73"/>
  <c r="BR267" i="73"/>
  <c r="BQ267" i="73"/>
  <c r="BP267" i="73"/>
  <c r="BO267" i="73"/>
  <c r="BN267" i="73"/>
  <c r="BM267" i="73"/>
  <c r="BL267" i="73"/>
  <c r="BK267" i="73"/>
  <c r="BJ267" i="73"/>
  <c r="BI267" i="73"/>
  <c r="BH267" i="73"/>
  <c r="BG267" i="73"/>
  <c r="BF267" i="73"/>
  <c r="BE267" i="73"/>
  <c r="BD267" i="73"/>
  <c r="BC267" i="73"/>
  <c r="BB267" i="73"/>
  <c r="BA267" i="73"/>
  <c r="AZ267" i="73"/>
  <c r="AY267" i="73"/>
  <c r="AX267" i="73"/>
  <c r="AW267" i="73"/>
  <c r="AV267" i="73"/>
  <c r="AU267" i="73"/>
  <c r="AT267" i="73"/>
  <c r="AS267" i="73"/>
  <c r="AR267" i="73"/>
  <c r="AQ267" i="73"/>
  <c r="AP267" i="73"/>
  <c r="AO267" i="73"/>
  <c r="AN267" i="73"/>
  <c r="AM267" i="73"/>
  <c r="AL267" i="73"/>
  <c r="AK267" i="73"/>
  <c r="AJ267" i="73"/>
  <c r="AI267" i="73"/>
  <c r="AH267" i="73"/>
  <c r="AG267" i="73"/>
  <c r="AF267" i="73"/>
  <c r="AE267" i="73"/>
  <c r="AD267" i="73"/>
  <c r="AC267" i="73"/>
  <c r="AB267" i="73"/>
  <c r="AA267" i="73"/>
  <c r="Z267" i="73"/>
  <c r="Y267" i="73"/>
  <c r="X267" i="73"/>
  <c r="W267" i="73"/>
  <c r="V267" i="73"/>
  <c r="U267" i="73"/>
  <c r="T267" i="73"/>
  <c r="S267" i="73"/>
  <c r="R267" i="73"/>
  <c r="Q267" i="73"/>
  <c r="P267" i="73"/>
  <c r="O267" i="73"/>
  <c r="N267" i="73"/>
  <c r="M267" i="73"/>
  <c r="L267" i="73"/>
  <c r="K267" i="73"/>
  <c r="J267" i="73"/>
  <c r="I267" i="73"/>
  <c r="H267" i="73"/>
  <c r="G267" i="73"/>
  <c r="F267" i="73"/>
  <c r="E267" i="73"/>
  <c r="D267" i="73"/>
  <c r="C267"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AD143" i="9"/>
  <c r="Z143" i="9" s="1"/>
  <c r="V143" i="9" s="1"/>
  <c r="R143" i="9" s="1"/>
  <c r="AD141" i="9"/>
  <c r="AC141" i="9" s="1"/>
  <c r="AB141" i="9" s="1"/>
  <c r="AA141" i="9" s="1"/>
  <c r="Z140" i="9"/>
  <c r="X140" i="9" s="1"/>
  <c r="W140" i="9" s="1"/>
  <c r="V140" i="9" s="1"/>
  <c r="U140" i="9" s="1"/>
  <c r="T140" i="9" s="1"/>
  <c r="S140" i="9" s="1"/>
  <c r="R140" i="9" s="1"/>
  <c r="Q140" i="9" s="1"/>
  <c r="P140" i="9" s="1"/>
  <c r="O140"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F121" i="13" s="1"/>
  <c r="Y43" i="12"/>
  <c r="E121" i="13" s="1"/>
  <c r="X43" i="12"/>
  <c r="D121" i="13" s="1"/>
  <c r="W43" i="12"/>
  <c r="C121" i="13" s="1"/>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H119" i="13" s="1"/>
  <c r="Z40" i="12"/>
  <c r="F119" i="13" s="1"/>
  <c r="Y40" i="12"/>
  <c r="E119" i="13" s="1"/>
  <c r="X40" i="12"/>
  <c r="D119" i="13" s="1"/>
  <c r="W40" i="12"/>
  <c r="C119" i="13" s="1"/>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H90" i="13" s="1"/>
  <c r="Z37" i="10"/>
  <c r="F90" i="13" s="1"/>
  <c r="Y37" i="10"/>
  <c r="E90" i="13" s="1"/>
  <c r="X37" i="10"/>
  <c r="D90" i="13" s="1"/>
  <c r="W37" i="10"/>
  <c r="C90" i="13" s="1"/>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H121" i="13"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S143" i="83"/>
  <c r="AR143" i="83"/>
  <c r="AS139" i="83"/>
  <c r="AR139" i="83"/>
  <c r="AS138" i="83"/>
  <c r="AR138" i="83"/>
  <c r="AS137" i="83"/>
  <c r="AR137" i="83"/>
  <c r="P134" i="83"/>
  <c r="O134" i="83"/>
  <c r="N134" i="83"/>
  <c r="K134" i="83"/>
  <c r="J134" i="83"/>
  <c r="I134" i="83"/>
  <c r="F134" i="83"/>
  <c r="E134" i="83"/>
  <c r="D134" i="83"/>
  <c r="C134" i="83"/>
  <c r="AA130" i="83"/>
  <c r="V130" i="83"/>
  <c r="Q130" i="83"/>
  <c r="L130" i="83"/>
  <c r="G130" i="83"/>
  <c r="AS128" i="83"/>
  <c r="AR128" i="83"/>
  <c r="AV127" i="83"/>
  <c r="AU127" i="83"/>
  <c r="AT127" i="83"/>
  <c r="AS127" i="83"/>
  <c r="AR127" i="83"/>
  <c r="Q127" i="83"/>
  <c r="L127" i="83"/>
  <c r="G127" i="83"/>
  <c r="AS124" i="83"/>
  <c r="AR124" i="83"/>
  <c r="Q124" i="83"/>
  <c r="L124" i="83"/>
  <c r="G124" i="83"/>
  <c r="AS122" i="83"/>
  <c r="AR122" i="83"/>
  <c r="AS121" i="83"/>
  <c r="AR121" i="83"/>
  <c r="AS118" i="83"/>
  <c r="AR118" i="83"/>
  <c r="Q118" i="83"/>
  <c r="L118" i="83"/>
  <c r="G118" i="83"/>
  <c r="AS117" i="83"/>
  <c r="AR117" i="83"/>
  <c r="Q117" i="83"/>
  <c r="L117" i="83"/>
  <c r="M147" i="83" s="1"/>
  <c r="G117" i="83"/>
  <c r="H147" i="83" s="1"/>
  <c r="L147" i="83" s="1"/>
  <c r="AS116" i="83"/>
  <c r="AR116" i="83"/>
  <c r="AA116" i="83"/>
  <c r="V116" i="83"/>
  <c r="Q116" i="83"/>
  <c r="L116" i="83"/>
  <c r="G116" i="83"/>
  <c r="AS115" i="83"/>
  <c r="AR115" i="83"/>
  <c r="AS113" i="83"/>
  <c r="AR113" i="83"/>
  <c r="AS112" i="83"/>
  <c r="AR112" i="83"/>
  <c r="AS111" i="83"/>
  <c r="AR111" i="83"/>
  <c r="AA110" i="83"/>
  <c r="U110" i="83"/>
  <c r="V110" i="83" s="1"/>
  <c r="O110" i="83"/>
  <c r="Q110" i="83" s="1"/>
  <c r="K110" i="83"/>
  <c r="L110" i="83" s="1"/>
  <c r="F110" i="83"/>
  <c r="G110" i="83" s="1"/>
  <c r="AS107" i="83"/>
  <c r="AR107" i="83"/>
  <c r="AS103" i="83"/>
  <c r="AR103" i="83"/>
  <c r="AS101" i="83"/>
  <c r="AR101" i="83"/>
  <c r="AS98" i="83"/>
  <c r="AR98" i="83"/>
  <c r="AS95" i="83"/>
  <c r="AR95" i="83"/>
  <c r="AS93" i="83"/>
  <c r="AR93" i="83"/>
  <c r="AS92" i="83"/>
  <c r="AR92" i="83"/>
  <c r="AA92" i="83"/>
  <c r="V92" i="83"/>
  <c r="Q92" i="83"/>
  <c r="L92" i="83"/>
  <c r="G92" i="83"/>
  <c r="AS90" i="83"/>
  <c r="AR90" i="83"/>
  <c r="AS89" i="83"/>
  <c r="AR89" i="83"/>
  <c r="AS88" i="83"/>
  <c r="AR88" i="83"/>
  <c r="AS87" i="83"/>
  <c r="AR87" i="83"/>
  <c r="AS86" i="83"/>
  <c r="AR86" i="83"/>
  <c r="AA85" i="83"/>
  <c r="V85" i="83"/>
  <c r="O85" i="83"/>
  <c r="Q85" i="83" s="1"/>
  <c r="K85" i="83"/>
  <c r="L85" i="83" s="1"/>
  <c r="G85" i="83"/>
  <c r="AS82" i="83"/>
  <c r="AR82" i="83"/>
  <c r="L82" i="83"/>
  <c r="G82" i="83"/>
  <c r="AS78" i="83"/>
  <c r="AR78" i="83"/>
  <c r="O74" i="83"/>
  <c r="Q74" i="83" s="1"/>
  <c r="K74" i="83"/>
  <c r="J74" i="83"/>
  <c r="I74" i="83"/>
  <c r="H74" i="83"/>
  <c r="AA72" i="83"/>
  <c r="V72" i="83"/>
  <c r="Q72" i="83"/>
  <c r="L72" i="83"/>
  <c r="F72" i="83"/>
  <c r="G72" i="83" s="1"/>
  <c r="AS71" i="83"/>
  <c r="AR71" i="83"/>
  <c r="P71" i="83"/>
  <c r="N71" i="83"/>
  <c r="M71" i="83"/>
  <c r="L71" i="83"/>
  <c r="AS68" i="83"/>
  <c r="AR68" i="83"/>
  <c r="AS65" i="83"/>
  <c r="AR65" i="83"/>
  <c r="AS35" i="83"/>
  <c r="AR35" i="83"/>
  <c r="AA35" i="83"/>
  <c r="V35" i="83"/>
  <c r="Q35" i="83"/>
  <c r="L35" i="83"/>
  <c r="G35" i="83"/>
  <c r="AS31" i="83"/>
  <c r="AR31" i="83"/>
  <c r="AS29" i="83"/>
  <c r="AR29" i="83"/>
  <c r="AS28" i="83"/>
  <c r="AR28" i="83"/>
  <c r="AA23" i="83"/>
  <c r="U23" i="83"/>
  <c r="V23" i="83" s="1"/>
  <c r="Q23" i="83"/>
  <c r="L23" i="83"/>
  <c r="AS22" i="83"/>
  <c r="AR22" i="83"/>
  <c r="L20" i="83"/>
  <c r="G20" i="83"/>
  <c r="A138" i="8"/>
  <c r="F27" i="65" l="1"/>
  <c r="E160" i="80"/>
  <c r="E167" i="80" s="1"/>
  <c r="E175" i="80" s="1"/>
  <c r="M160" i="80"/>
  <c r="M167" i="80" s="1"/>
  <c r="M175" i="80" s="1"/>
  <c r="K160" i="80"/>
  <c r="K167" i="80" s="1"/>
  <c r="K175" i="80" s="1"/>
  <c r="L160" i="80"/>
  <c r="L167" i="80" s="1"/>
  <c r="L175" i="80" s="1"/>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29" i="9"/>
  <c r="P129" i="9"/>
  <c r="I129" i="9"/>
  <c r="Q129" i="9"/>
  <c r="K129" i="9"/>
  <c r="S129" i="9"/>
  <c r="R129" i="9"/>
  <c r="L129" i="9"/>
  <c r="T129" i="9"/>
  <c r="M129" i="9"/>
  <c r="U129" i="9"/>
  <c r="J129" i="9"/>
  <c r="N129" i="9"/>
  <c r="V129" i="9"/>
  <c r="G129" i="9"/>
  <c r="O129" i="9"/>
  <c r="AN37" i="43"/>
  <c r="D27" i="48"/>
  <c r="L27" i="48"/>
  <c r="T27" i="48"/>
  <c r="AB27" i="48"/>
  <c r="AJ27"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AF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4" i="9"/>
  <c r="I124" i="9"/>
  <c r="Q124" i="9"/>
  <c r="H22" i="53"/>
  <c r="H24" i="53" s="1"/>
  <c r="P22" i="53"/>
  <c r="P24" i="53" s="1"/>
  <c r="Q92" i="63"/>
  <c r="M32" i="68"/>
  <c r="J124" i="9"/>
  <c r="K30" i="31"/>
  <c r="K29" i="31" s="1"/>
  <c r="AB30" i="31"/>
  <c r="AB29" i="31" s="1"/>
  <c r="E51" i="61"/>
  <c r="N51" i="61"/>
  <c r="AF51" i="61"/>
  <c r="J30" i="31"/>
  <c r="J29" i="31" s="1"/>
  <c r="M51" i="61"/>
  <c r="K124" i="9"/>
  <c r="AW39" i="3"/>
  <c r="AF8" i="2"/>
  <c r="L124" i="9"/>
  <c r="E25" i="30"/>
  <c r="AD25" i="30"/>
  <c r="U30" i="31"/>
  <c r="U29" i="31" s="1"/>
  <c r="AC30" i="31"/>
  <c r="AC29" i="31" s="1"/>
  <c r="G51" i="61"/>
  <c r="S51" i="61"/>
  <c r="AG51" i="61"/>
  <c r="AD45" i="33"/>
  <c r="F24" i="55"/>
  <c r="N24" i="55"/>
  <c r="V24" i="55"/>
  <c r="V25" i="55" s="1"/>
  <c r="AD24" i="55"/>
  <c r="AD25" i="55" s="1"/>
  <c r="H21" i="59"/>
  <c r="AH39" i="3"/>
  <c r="AP39" i="3"/>
  <c r="AX39" i="3"/>
  <c r="AL7" i="2"/>
  <c r="AJ8" i="2"/>
  <c r="AJ6" i="2" s="1"/>
  <c r="D105" i="13"/>
  <c r="M124"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27" i="48"/>
  <c r="L90" i="71"/>
  <c r="T90" i="71"/>
  <c r="AB90" i="71"/>
  <c r="I21" i="59"/>
  <c r="Q21" i="59"/>
  <c r="J32" i="68"/>
  <c r="R32" i="68"/>
  <c r="Z32" i="68"/>
  <c r="G51" i="68"/>
  <c r="O51" i="68"/>
  <c r="AE51" i="68"/>
  <c r="S30" i="31"/>
  <c r="S29" i="31" s="1"/>
  <c r="C30" i="31"/>
  <c r="C29" i="31" s="1"/>
  <c r="T30" i="31"/>
  <c r="T29" i="31" s="1"/>
  <c r="AQ7" i="12"/>
  <c r="AV8" i="2"/>
  <c r="F124" i="9"/>
  <c r="F125" i="9" s="1"/>
  <c r="F130" i="9" s="1"/>
  <c r="N124" i="9"/>
  <c r="V124" i="9"/>
  <c r="G25" i="30"/>
  <c r="F30" i="31"/>
  <c r="F29" i="31" s="1"/>
  <c r="N30" i="31"/>
  <c r="N29" i="31" s="1"/>
  <c r="W30" i="31"/>
  <c r="W29" i="31" s="1"/>
  <c r="AE30" i="31"/>
  <c r="AE29" i="31" s="1"/>
  <c r="CV37" i="43"/>
  <c r="W7" i="2"/>
  <c r="AO124" i="9"/>
  <c r="G124" i="9"/>
  <c r="O124" i="9"/>
  <c r="W124" i="9"/>
  <c r="J20" i="76"/>
  <c r="AG25" i="30"/>
  <c r="I13" i="31"/>
  <c r="I11" i="31"/>
  <c r="Y13" i="31"/>
  <c r="Y11" i="31"/>
  <c r="G30" i="31"/>
  <c r="G29" i="31" s="1"/>
  <c r="O30" i="31"/>
  <c r="O29" i="31" s="1"/>
  <c r="X30" i="31"/>
  <c r="X29" i="31" s="1"/>
  <c r="AF30" i="31"/>
  <c r="AF29" i="31" s="1"/>
  <c r="J51" i="61"/>
  <c r="V51" i="61"/>
  <c r="P78" i="46"/>
  <c r="X78" i="46"/>
  <c r="AF78" i="46"/>
  <c r="AA30" i="31"/>
  <c r="AA29" i="31" s="1"/>
  <c r="AR8" i="2"/>
  <c r="H105" i="13"/>
  <c r="H124" i="9"/>
  <c r="P124" i="9"/>
  <c r="X124"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4" i="9"/>
  <c r="AU125" i="9" s="1"/>
  <c r="AT124" i="9"/>
  <c r="S124" i="9"/>
  <c r="T124" i="9"/>
  <c r="AG124" i="9"/>
  <c r="U124" i="9"/>
  <c r="AN124" i="9"/>
  <c r="AM124" i="9"/>
  <c r="AL124" i="9"/>
  <c r="AK124" i="9"/>
  <c r="AQ124" i="9"/>
  <c r="AP124" i="9"/>
  <c r="AS124" i="9"/>
  <c r="R124"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E105" i="13"/>
  <c r="AK6" i="2"/>
  <c r="R8" i="12"/>
  <c r="Z8" i="12"/>
  <c r="AH8" i="12"/>
  <c r="AP8" i="12"/>
  <c r="D14" i="9"/>
  <c r="M134" i="83"/>
  <c r="Q134" i="83" s="1"/>
  <c r="U25" i="30"/>
  <c r="AH25" i="30"/>
  <c r="I145" i="83"/>
  <c r="F105" i="13"/>
  <c r="H134" i="83"/>
  <c r="L134" i="83" s="1"/>
  <c r="E32" i="13"/>
  <c r="E29" i="13"/>
  <c r="X22" i="53"/>
  <c r="X24" i="53" s="1"/>
  <c r="W52" i="9"/>
  <c r="AE52" i="9"/>
  <c r="AM52" i="9"/>
  <c r="H68"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D77" i="13"/>
  <c r="M14" i="67"/>
  <c r="M17" i="67" s="1"/>
  <c r="M20" i="67" s="1"/>
  <c r="H60" i="13"/>
  <c r="H62" i="13" s="1"/>
  <c r="H67" i="13" s="1"/>
  <c r="H71" i="13" s="1"/>
  <c r="H93" i="13"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F52" i="48"/>
  <c r="N52" i="48"/>
  <c r="V52" i="48"/>
  <c r="AD52" i="48"/>
  <c r="AD57" i="49"/>
  <c r="I22" i="53"/>
  <c r="I24" i="53" s="1"/>
  <c r="Q22" i="53"/>
  <c r="Q24" i="53" s="1"/>
  <c r="AA22" i="53"/>
  <c r="AA24" i="53" s="1"/>
  <c r="J27"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27" i="48"/>
  <c r="N27" i="48"/>
  <c r="V27" i="48"/>
  <c r="AD27"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27" i="48"/>
  <c r="S27" i="48"/>
  <c r="AA27" i="48"/>
  <c r="AI27" i="48"/>
  <c r="G52" i="48"/>
  <c r="O52" i="48"/>
  <c r="W52" i="48"/>
  <c r="AE52" i="48"/>
  <c r="I52" i="48"/>
  <c r="Q52" i="48"/>
  <c r="Y52" i="48"/>
  <c r="E60" i="13"/>
  <c r="E62" i="13" s="1"/>
  <c r="E67" i="13" s="1"/>
  <c r="E71" i="13" s="1"/>
  <c r="E93" i="13" s="1"/>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BD27" i="34" s="1"/>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4"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D52" i="48"/>
  <c r="L52" i="48"/>
  <c r="T52" i="48"/>
  <c r="AB52" i="48"/>
  <c r="AJ52" i="48"/>
  <c r="N51" i="52"/>
  <c r="AI24" i="55"/>
  <c r="L21" i="59"/>
  <c r="AU37" i="43"/>
  <c r="CE37" i="43"/>
  <c r="DD37" i="43"/>
  <c r="E37" i="43"/>
  <c r="E38" i="43" s="1"/>
  <c r="M37" i="43"/>
  <c r="U37" i="43"/>
  <c r="AC37" i="43"/>
  <c r="AK37" i="43"/>
  <c r="CA37" i="43"/>
  <c r="CR37" i="43"/>
  <c r="DL37" i="43"/>
  <c r="G27" i="48"/>
  <c r="O27" i="48"/>
  <c r="W27" i="48"/>
  <c r="AE27" i="48"/>
  <c r="E52" i="48"/>
  <c r="M52" i="48"/>
  <c r="U52" i="48"/>
  <c r="AC52"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27" i="48"/>
  <c r="Q27" i="48"/>
  <c r="Y27" i="48"/>
  <c r="AG27"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27" i="48"/>
  <c r="R27" i="48"/>
  <c r="Z27" i="48"/>
  <c r="AH27" i="48"/>
  <c r="H52" i="48"/>
  <c r="P52" i="48"/>
  <c r="X52" i="48"/>
  <c r="AF52"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J52" i="48"/>
  <c r="R52" i="48"/>
  <c r="Z52" i="48"/>
  <c r="AH52" i="48"/>
  <c r="F51" i="52"/>
  <c r="G24" i="55"/>
  <c r="O24" i="55"/>
  <c r="W24" i="55"/>
  <c r="W25" i="55" s="1"/>
  <c r="AE24" i="55"/>
  <c r="AE25" i="55" s="1"/>
  <c r="C37" i="43"/>
  <c r="K37" i="43"/>
  <c r="S37" i="43"/>
  <c r="AA37" i="43"/>
  <c r="AI37" i="43"/>
  <c r="BR37" i="43"/>
  <c r="CB37" i="43"/>
  <c r="BN37" i="43"/>
  <c r="DI37" i="43"/>
  <c r="DT37" i="43"/>
  <c r="C33" i="45"/>
  <c r="M59" i="46"/>
  <c r="U59" i="46"/>
  <c r="AC59" i="46"/>
  <c r="AK59" i="46"/>
  <c r="E27" i="48"/>
  <c r="U27" i="48"/>
  <c r="AC27" i="48"/>
  <c r="AG39" i="67"/>
  <c r="G54" i="13"/>
  <c r="E77" i="13"/>
  <c r="S25" i="30"/>
  <c r="H21" i="34"/>
  <c r="H27" i="34" s="1"/>
  <c r="AH39" i="67"/>
  <c r="T25" i="30"/>
  <c r="K21" i="34"/>
  <c r="K27" i="34" s="1"/>
  <c r="N145" i="83"/>
  <c r="J39" i="67"/>
  <c r="Y21" i="32"/>
  <c r="E145" i="83"/>
  <c r="T12" i="63"/>
  <c r="C14" i="67"/>
  <c r="C17" i="67" s="1"/>
  <c r="C20" i="67" s="1"/>
  <c r="AC39" i="67"/>
  <c r="V25" i="30"/>
  <c r="AI42" i="33"/>
  <c r="P57" i="49"/>
  <c r="J51" i="76"/>
  <c r="E102" i="13"/>
  <c r="E104" i="13" s="1"/>
  <c r="Z27" i="34"/>
  <c r="C90" i="71"/>
  <c r="G22" i="60"/>
  <c r="E41" i="13"/>
  <c r="G103" i="13"/>
  <c r="S18" i="29"/>
  <c r="L24" i="32"/>
  <c r="L30" i="32" s="1"/>
  <c r="W21" i="34"/>
  <c r="W27" i="34" s="1"/>
  <c r="AC21" i="34"/>
  <c r="AC27" i="34" s="1"/>
  <c r="AI21" i="46"/>
  <c r="AA21" i="46"/>
  <c r="R16" i="36"/>
  <c r="R23" i="36" s="1"/>
  <c r="R31" i="36" s="1"/>
  <c r="R40" i="36" s="1"/>
  <c r="R49" i="36" s="1"/>
  <c r="R56" i="36" s="1"/>
  <c r="R62" i="36" s="1"/>
  <c r="R69" i="36" s="1"/>
  <c r="R74" i="36" s="1"/>
  <c r="R80" i="36" s="1"/>
  <c r="R86" i="36" s="1"/>
  <c r="R90" i="36" s="1"/>
  <c r="R97" i="36" s="1"/>
  <c r="R103" i="36" s="1"/>
  <c r="R110" i="36" s="1"/>
  <c r="R118" i="36" s="1"/>
  <c r="R127" i="36" s="1"/>
  <c r="R133" i="36" s="1"/>
  <c r="R139" i="36" s="1"/>
  <c r="R147" i="36" s="1"/>
  <c r="R156" i="36" s="1"/>
  <c r="R165" i="36" s="1"/>
  <c r="R174" i="36" s="1"/>
  <c r="R183" i="36" s="1"/>
  <c r="R192" i="36" s="1"/>
  <c r="R201" i="36" s="1"/>
  <c r="R210" i="36" s="1"/>
  <c r="R219" i="36" s="1"/>
  <c r="R227" i="36" s="1"/>
  <c r="R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G349" i="79" s="1"/>
  <c r="O17" i="79"/>
  <c r="D242" i="79"/>
  <c r="D246" i="79" s="1"/>
  <c r="D252" i="79" s="1"/>
  <c r="D258" i="79" s="1"/>
  <c r="D268" i="79" s="1"/>
  <c r="D278" i="79" s="1"/>
  <c r="D288" i="79" s="1"/>
  <c r="D298" i="79" s="1"/>
  <c r="D308" i="79" s="1"/>
  <c r="D319" i="79" s="1"/>
  <c r="D330" i="79" s="1"/>
  <c r="D341" i="79" s="1"/>
  <c r="D349"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F349" i="79" s="1"/>
  <c r="H24" i="55"/>
  <c r="P24" i="55"/>
  <c r="X24" i="55"/>
  <c r="X25" i="55" s="1"/>
  <c r="I24" i="55"/>
  <c r="Q24" i="55"/>
  <c r="Y24" i="55"/>
  <c r="Y25" i="55" s="1"/>
  <c r="E24" i="55"/>
  <c r="M24" i="55"/>
  <c r="U24" i="55"/>
  <c r="U25" i="55" s="1"/>
  <c r="AD42" i="33"/>
  <c r="AJ82" i="71"/>
  <c r="R240" i="36"/>
  <c r="AK44" i="33"/>
  <c r="AC42" i="33"/>
  <c r="R241" i="36"/>
  <c r="R266" i="36"/>
  <c r="AK18" i="30"/>
  <c r="AK37" i="33"/>
  <c r="AN112" i="46"/>
  <c r="AK10" i="30"/>
  <c r="AN37" i="46"/>
  <c r="AN56" i="46"/>
  <c r="AJ44" i="61"/>
  <c r="AH41" i="33"/>
  <c r="EA11" i="43"/>
  <c r="AJ25" i="65"/>
  <c r="AK41" i="33"/>
  <c r="AI22" i="67"/>
  <c r="AJ15" i="53"/>
  <c r="AJ17" i="53" s="1"/>
  <c r="AJ83" i="71"/>
  <c r="AJ39" i="61"/>
  <c r="AK31" i="33"/>
  <c r="EF11" i="43"/>
  <c r="AJ42" i="61"/>
  <c r="AJ50" i="61"/>
  <c r="AJ65" i="71"/>
  <c r="AK43" i="33"/>
  <c r="R238" i="36"/>
  <c r="DW11" i="43"/>
  <c r="AJ67" i="71"/>
  <c r="F101" i="80"/>
  <c r="AI13" i="67"/>
  <c r="AK8" i="29"/>
  <c r="AJ21" i="31"/>
  <c r="AJ20" i="31" s="1"/>
  <c r="AK28" i="32"/>
  <c r="AJ35" i="61"/>
  <c r="AK14" i="44"/>
  <c r="DX11" i="43"/>
  <c r="AJ75" i="71"/>
  <c r="AJ32" i="61"/>
  <c r="AK35" i="61"/>
  <c r="AJ71" i="71"/>
  <c r="M81" i="23"/>
  <c r="F105" i="38"/>
  <c r="AN15" i="46"/>
  <c r="AN72" i="46"/>
  <c r="AJ73" i="71"/>
  <c r="C104" i="80"/>
  <c r="C111" i="80" s="1"/>
  <c r="C118" i="80" s="1"/>
  <c r="C125" i="80" s="1"/>
  <c r="C132" i="80" s="1"/>
  <c r="C139" i="80" s="1"/>
  <c r="C146" i="80" s="1"/>
  <c r="C153" i="80" s="1"/>
  <c r="CU21" i="34"/>
  <c r="CU27" i="34" s="1"/>
  <c r="DZ10" i="43"/>
  <c r="ED10" i="43" s="1"/>
  <c r="EH10" i="43" s="1"/>
  <c r="EL10" i="43" s="1"/>
  <c r="EP10" i="43" s="1"/>
  <c r="ET10" i="43" s="1"/>
  <c r="EX10" i="43" s="1"/>
  <c r="FB10" i="43" s="1"/>
  <c r="FF10" i="43" s="1"/>
  <c r="FJ10" i="43" s="1"/>
  <c r="FN10" i="43" s="1"/>
  <c r="FR10" i="43" s="1"/>
  <c r="FX10" i="43" s="1"/>
  <c r="D104" i="80"/>
  <c r="D111" i="80" s="1"/>
  <c r="D118" i="80" s="1"/>
  <c r="D125" i="80" s="1"/>
  <c r="D132" i="80" s="1"/>
  <c r="D139" i="80" s="1"/>
  <c r="D146" i="80" s="1"/>
  <c r="D153"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107" i="13"/>
  <c r="E107" i="13"/>
  <c r="D23" i="13"/>
  <c r="L23" i="13"/>
  <c r="AS6" i="2"/>
  <c r="F107" i="13"/>
  <c r="K23" i="13"/>
  <c r="AN58" i="12"/>
  <c r="H107" i="13"/>
  <c r="E23" i="13"/>
  <c r="M23" i="13"/>
  <c r="G23" i="13"/>
  <c r="F23" i="13"/>
  <c r="N23" i="13"/>
  <c r="H23" i="13"/>
  <c r="AC92" i="63"/>
  <c r="C107" i="13"/>
  <c r="AB36" i="12"/>
  <c r="D8" i="12"/>
  <c r="R36" i="12"/>
  <c r="Z36" i="12"/>
  <c r="F117" i="13" s="1"/>
  <c r="AH36" i="12"/>
  <c r="AP36" i="12"/>
  <c r="AJ36" i="12"/>
  <c r="C77" i="13"/>
  <c r="O36" i="12"/>
  <c r="W36" i="12"/>
  <c r="C117" i="13" s="1"/>
  <c r="AE36" i="12"/>
  <c r="AF86" i="63"/>
  <c r="AF12" i="63"/>
  <c r="S13" i="12"/>
  <c r="H80" i="76"/>
  <c r="AR9" i="12"/>
  <c r="E12" i="12"/>
  <c r="E14" i="12" s="1"/>
  <c r="M12" i="12"/>
  <c r="M14" i="12" s="1"/>
  <c r="L74" i="83"/>
  <c r="G134" i="83"/>
  <c r="F145" i="83"/>
  <c r="H145" i="83"/>
  <c r="P84" i="10"/>
  <c r="P32" i="12"/>
  <c r="P58" i="12" s="1"/>
  <c r="O13" i="12"/>
  <c r="L8" i="12"/>
  <c r="O145" i="83"/>
  <c r="AA41" i="12"/>
  <c r="AJ38" i="61"/>
  <c r="AJ79" i="71"/>
  <c r="D63" i="63"/>
  <c r="D6" i="63" s="1"/>
  <c r="D11" i="63" s="1"/>
  <c r="D14" i="63" s="1"/>
  <c r="H95" i="76"/>
  <c r="V36" i="12"/>
  <c r="AD36" i="12"/>
  <c r="AL36" i="12"/>
  <c r="I45" i="63"/>
  <c r="G45" i="63"/>
  <c r="K78" i="63"/>
  <c r="D53" i="9"/>
  <c r="L53" i="9"/>
  <c r="L78" i="63"/>
  <c r="J58" i="76"/>
  <c r="J57" i="76" s="1"/>
  <c r="H74" i="76"/>
  <c r="AK9" i="39"/>
  <c r="N14" i="67"/>
  <c r="N17" i="67" s="1"/>
  <c r="N20" i="67" s="1"/>
  <c r="C14" i="9"/>
  <c r="F53" i="9"/>
  <c r="J34" i="76"/>
  <c r="E39" i="76"/>
  <c r="E81" i="23"/>
  <c r="H90" i="76"/>
  <c r="D102" i="13"/>
  <c r="D104" i="13" s="1"/>
  <c r="G100" i="13"/>
  <c r="AK13" i="29"/>
  <c r="AI24" i="30"/>
  <c r="AI25" i="30" s="1"/>
  <c r="AJ24" i="31"/>
  <c r="AJ28" i="31"/>
  <c r="AK49" i="61"/>
  <c r="AB48" i="61"/>
  <c r="AF21" i="34"/>
  <c r="AF27" i="34" s="1"/>
  <c r="E21" i="34"/>
  <c r="E27" i="34" s="1"/>
  <c r="AD33" i="45"/>
  <c r="V21" i="46"/>
  <c r="AN38" i="46"/>
  <c r="AN57" i="46"/>
  <c r="AN53" i="46"/>
  <c r="AJ66" i="71"/>
  <c r="AJ10" i="66"/>
  <c r="R28" i="81"/>
  <c r="S28" i="81" s="1"/>
  <c r="T28" i="81" s="1"/>
  <c r="U28" i="81" s="1"/>
  <c r="V28" i="81" s="1"/>
  <c r="W28" i="81" s="1"/>
  <c r="X28" i="81" s="1"/>
  <c r="F60" i="13"/>
  <c r="F62" i="13" s="1"/>
  <c r="F67" i="13" s="1"/>
  <c r="F71" i="13" s="1"/>
  <c r="F93" i="13" s="1"/>
  <c r="AN107" i="46"/>
  <c r="G20" i="60"/>
  <c r="C21" i="60"/>
  <c r="T21" i="44"/>
  <c r="T22" i="44" s="1"/>
  <c r="AK26" i="48"/>
  <c r="AJ21" i="49"/>
  <c r="AJ22" i="65"/>
  <c r="D21" i="60"/>
  <c r="H51" i="76"/>
  <c r="G57" i="13"/>
  <c r="G101" i="13"/>
  <c r="F81" i="23"/>
  <c r="AK25" i="32"/>
  <c r="W24" i="32"/>
  <c r="W30" i="32" s="1"/>
  <c r="AK50" i="61"/>
  <c r="N21" i="34"/>
  <c r="N27" i="34" s="1"/>
  <c r="C105" i="38"/>
  <c r="AN9" i="46"/>
  <c r="AN76" i="46"/>
  <c r="M27" i="48"/>
  <c r="M57" i="49"/>
  <c r="N57" i="49"/>
  <c r="AJ78" i="71"/>
  <c r="E43" i="13"/>
  <c r="C55" i="13"/>
  <c r="C80" i="13" s="1"/>
  <c r="G80" i="13" s="1"/>
  <c r="F77" i="13"/>
  <c r="G81" i="23"/>
  <c r="AK20" i="26"/>
  <c r="AK22" i="26" s="1"/>
  <c r="AK23" i="26" s="1"/>
  <c r="AK17" i="29"/>
  <c r="O18" i="29"/>
  <c r="AK29" i="32"/>
  <c r="D105" i="38"/>
  <c r="W21" i="44"/>
  <c r="W22" i="44" s="1"/>
  <c r="AF21" i="72"/>
  <c r="AJ64" i="71"/>
  <c r="AJ69" i="71"/>
  <c r="J39" i="76"/>
  <c r="H86" i="76"/>
  <c r="H77" i="13"/>
  <c r="L81" i="23"/>
  <c r="R18" i="29"/>
  <c r="AJ43" i="61"/>
  <c r="AK38" i="33"/>
  <c r="T21" i="34"/>
  <c r="T27" i="34" s="1"/>
  <c r="E105" i="38"/>
  <c r="AJ21" i="44"/>
  <c r="AK29" i="45"/>
  <c r="AN77" i="46"/>
  <c r="AF57" i="49"/>
  <c r="AJ70" i="71"/>
  <c r="F13" i="80"/>
  <c r="F20" i="80" s="1"/>
  <c r="F27" i="80" s="1"/>
  <c r="F34" i="80" s="1"/>
  <c r="F41" i="80" s="1"/>
  <c r="F48" i="80" s="1"/>
  <c r="F55" i="80" s="1"/>
  <c r="F62" i="80" s="1"/>
  <c r="F69" i="80" s="1"/>
  <c r="F76" i="80" s="1"/>
  <c r="F83" i="80" s="1"/>
  <c r="F90" i="80" s="1"/>
  <c r="F97" i="80" s="1"/>
  <c r="N81" i="23"/>
  <c r="AK16" i="61"/>
  <c r="AJ19" i="61"/>
  <c r="AJ20" i="61" s="1"/>
  <c r="AF41" i="33"/>
  <c r="AJ42" i="33"/>
  <c r="I105" i="38"/>
  <c r="AK18" i="39"/>
  <c r="AK30" i="45"/>
  <c r="AK45" i="48"/>
  <c r="AJ39" i="49"/>
  <c r="AM36" i="12"/>
  <c r="U36" i="12"/>
  <c r="AK36" i="12"/>
  <c r="C23" i="83"/>
  <c r="G12" i="12"/>
  <c r="G14" i="12" s="1"/>
  <c r="D23" i="83"/>
  <c r="E58" i="12"/>
  <c r="M58" i="12"/>
  <c r="U58" i="12"/>
  <c r="D58" i="12"/>
  <c r="I12" i="12"/>
  <c r="I14" i="12" s="1"/>
  <c r="P36" i="12"/>
  <c r="X36" i="12"/>
  <c r="D117" i="13" s="1"/>
  <c r="AF36" i="12"/>
  <c r="AN36" i="12"/>
  <c r="AL58" i="12"/>
  <c r="K12" i="12"/>
  <c r="K14" i="12" s="1"/>
  <c r="AC36" i="12"/>
  <c r="C11" i="10"/>
  <c r="Q12" i="10"/>
  <c r="Q14" i="10" s="1"/>
  <c r="Q16" i="10" s="1"/>
  <c r="Q35" i="10" s="1"/>
  <c r="Q36" i="10" s="1"/>
  <c r="AI12" i="10"/>
  <c r="AI14" i="10" s="1"/>
  <c r="AI16" i="10" s="1"/>
  <c r="AC7" i="12"/>
  <c r="AC8" i="12" s="1"/>
  <c r="F102" i="13"/>
  <c r="F104" i="13" s="1"/>
  <c r="Z8" i="2"/>
  <c r="AH8" i="2"/>
  <c r="AH6" i="2" s="1"/>
  <c r="AP8" i="2"/>
  <c r="G58" i="12"/>
  <c r="O58" i="12"/>
  <c r="W58" i="12"/>
  <c r="H102" i="13"/>
  <c r="H104" i="13" s="1"/>
  <c r="E11" i="10"/>
  <c r="S12" i="10"/>
  <c r="S14" i="10" s="1"/>
  <c r="S16" i="10" s="1"/>
  <c r="C35" i="10"/>
  <c r="C36" i="10" s="1"/>
  <c r="AK7" i="12"/>
  <c r="AK8" i="12" s="1"/>
  <c r="Q36" i="12"/>
  <c r="Y36" i="12"/>
  <c r="E117" i="13" s="1"/>
  <c r="AG36" i="12"/>
  <c r="G82" i="13"/>
  <c r="K11" i="10"/>
  <c r="Y12" i="10"/>
  <c r="AQ12" i="10"/>
  <c r="E35" i="10"/>
  <c r="E36" i="10" s="1"/>
  <c r="AB58" i="12"/>
  <c r="C8" i="12"/>
  <c r="K8" i="12"/>
  <c r="AI8" i="12"/>
  <c r="L11" i="10"/>
  <c r="Z12" i="10"/>
  <c r="F78" i="13" s="1"/>
  <c r="D12" i="12"/>
  <c r="D14" i="12" s="1"/>
  <c r="L12" i="12"/>
  <c r="L14" i="12" s="1"/>
  <c r="S36" i="12"/>
  <c r="AA36" i="12"/>
  <c r="H117" i="13" s="1"/>
  <c r="AI36" i="12"/>
  <c r="G76" i="13"/>
  <c r="G94" i="13"/>
  <c r="G92" i="13"/>
  <c r="C102" i="13"/>
  <c r="C104" i="13" s="1"/>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R242" i="36"/>
  <c r="M43" i="42"/>
  <c r="AK16" i="29"/>
  <c r="AJ25" i="31"/>
  <c r="AG32" i="68"/>
  <c r="AJ13" i="24"/>
  <c r="AK14" i="33"/>
  <c r="AK18" i="33" s="1"/>
  <c r="AG14" i="33"/>
  <c r="AG18" i="33" s="1"/>
  <c r="R239" i="36"/>
  <c r="AK31" i="39"/>
  <c r="AK40" i="39"/>
  <c r="AK11" i="44"/>
  <c r="EE11" i="43"/>
  <c r="AK13" i="45"/>
  <c r="AJ68" i="71"/>
  <c r="N102" i="80"/>
  <c r="R12" i="81"/>
  <c r="S12" i="81" s="1"/>
  <c r="T12" i="81" s="1"/>
  <c r="U12" i="81" s="1"/>
  <c r="AF14" i="33"/>
  <c r="AF18" i="33" s="1"/>
  <c r="AK34" i="33"/>
  <c r="AI17" i="67"/>
  <c r="AI20" i="67" s="1"/>
  <c r="AK28" i="33"/>
  <c r="R262" i="36"/>
  <c r="AK27" i="39"/>
  <c r="EF37" i="43"/>
  <c r="DB21" i="34"/>
  <c r="DB27" i="34" s="1"/>
  <c r="AN39" i="46"/>
  <c r="AH14" i="33"/>
  <c r="AH18" i="33" s="1"/>
  <c r="R237" i="36"/>
  <c r="ED15" i="43"/>
  <c r="EH15" i="43" s="1"/>
  <c r="EL15" i="43" s="1"/>
  <c r="EP15" i="43" s="1"/>
  <c r="ET15" i="43" s="1"/>
  <c r="EX15" i="43" s="1"/>
  <c r="FB15" i="43" s="1"/>
  <c r="FF15" i="43" s="1"/>
  <c r="FJ15" i="43" s="1"/>
  <c r="FN15" i="43" s="1"/>
  <c r="FR15" i="43" s="1"/>
  <c r="FX15" i="43" s="1"/>
  <c r="AK21" i="48"/>
  <c r="F102" i="80"/>
  <c r="AJ12" i="31"/>
  <c r="AJ11" i="31" s="1"/>
  <c r="R263" i="36"/>
  <c r="AG45" i="48"/>
  <c r="AG52" i="48" s="1"/>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H78" i="13"/>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C78" i="13"/>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G119" i="13"/>
  <c r="I11" i="10"/>
  <c r="X28" i="12"/>
  <c r="X58" i="12" s="1"/>
  <c r="J11" i="10"/>
  <c r="J9" i="12" s="1"/>
  <c r="AA92" i="63"/>
  <c r="G90" i="13"/>
  <c r="T7" i="12"/>
  <c r="T8" i="12" s="1"/>
  <c r="AB7" i="12"/>
  <c r="AB8" i="12" s="1"/>
  <c r="AJ7" i="12"/>
  <c r="AJ8" i="12" s="1"/>
  <c r="AR7" i="12"/>
  <c r="G121" i="13"/>
  <c r="Q12" i="63"/>
  <c r="M14" i="9"/>
  <c r="U14" i="9"/>
  <c r="U52" i="9"/>
  <c r="AC52" i="9"/>
  <c r="AK52" i="9"/>
  <c r="F14" i="9"/>
  <c r="N14" i="9"/>
  <c r="V14" i="9"/>
  <c r="V52" i="9"/>
  <c r="AD52" i="9"/>
  <c r="AL52" i="9"/>
  <c r="BA197" i="73"/>
  <c r="AZ201" i="73"/>
  <c r="AZ345"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201" i="73"/>
  <c r="AY345" i="73" s="1"/>
  <c r="AY105" i="77"/>
  <c r="AV105" i="77"/>
  <c r="AW90" i="77"/>
  <c r="D60" i="13"/>
  <c r="D62" i="13" s="1"/>
  <c r="AV94" i="77"/>
  <c r="AX97" i="77"/>
  <c r="AX93" i="77"/>
  <c r="AY107" i="77"/>
  <c r="E34" i="13"/>
  <c r="G75" i="13"/>
  <c r="E22" i="26"/>
  <c r="E23" i="26" s="1"/>
  <c r="M22" i="26"/>
  <c r="M23" i="26" s="1"/>
  <c r="U22" i="26"/>
  <c r="U23" i="26" s="1"/>
  <c r="AC22" i="26"/>
  <c r="AC23" i="26" s="1"/>
  <c r="C33" i="13"/>
  <c r="D33" i="13"/>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99" i="13"/>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Q156" i="36"/>
  <c r="Q165" i="36" s="1"/>
  <c r="Q174" i="36" s="1"/>
  <c r="Q183" i="36" s="1"/>
  <c r="Q192" i="36" s="1"/>
  <c r="Q201" i="36" s="1"/>
  <c r="Q210" i="36" s="1"/>
  <c r="Q219" i="36" s="1"/>
  <c r="Q227" i="36" s="1"/>
  <c r="Q235" i="36" s="1"/>
  <c r="Q243" i="36" s="1"/>
  <c r="Q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N259" i="36"/>
  <c r="N267" i="36" s="1"/>
  <c r="N277" i="36" s="1"/>
  <c r="N287" i="36" s="1"/>
  <c r="N297" i="36" s="1"/>
  <c r="N307" i="36" s="1"/>
  <c r="N317" i="36" s="1"/>
  <c r="N327" i="36" s="1"/>
  <c r="N337" i="36" s="1"/>
  <c r="N347" i="36" s="1"/>
  <c r="AG42" i="33"/>
  <c r="G27" i="34"/>
  <c r="CG27" i="34"/>
  <c r="CO27" i="34"/>
  <c r="O259" i="36"/>
  <c r="O267" i="36" s="1"/>
  <c r="O277" i="36" s="1"/>
  <c r="O287" i="36" s="1"/>
  <c r="O297" i="36" s="1"/>
  <c r="O307" i="36" s="1"/>
  <c r="O317" i="36" s="1"/>
  <c r="O327" i="36" s="1"/>
  <c r="O337" i="36" s="1"/>
  <c r="O347" i="36" s="1"/>
  <c r="AH42" i="33"/>
  <c r="W45" i="33"/>
  <c r="BG21" i="34"/>
  <c r="AK27" i="34"/>
  <c r="AS27" i="34"/>
  <c r="BA27" i="34"/>
  <c r="BR27" i="34"/>
  <c r="BZ27" i="34"/>
  <c r="CP27" i="34"/>
  <c r="P156" i="36"/>
  <c r="P165" i="36" s="1"/>
  <c r="P174" i="36" s="1"/>
  <c r="P183" i="36" s="1"/>
  <c r="P192" i="36" s="1"/>
  <c r="P201" i="36" s="1"/>
  <c r="P210" i="36" s="1"/>
  <c r="P219" i="36" s="1"/>
  <c r="P227" i="36" s="1"/>
  <c r="P235" i="36" s="1"/>
  <c r="P243" i="36" s="1"/>
  <c r="P251" i="36" s="1"/>
  <c r="R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FR9" i="43" s="1"/>
  <c r="FX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FR27" i="43" s="1"/>
  <c r="FX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C52" i="48"/>
  <c r="K52" i="48"/>
  <c r="S52" i="48"/>
  <c r="AA52" i="48"/>
  <c r="AI52" i="48"/>
  <c r="AE21" i="49"/>
  <c r="H27" i="48"/>
  <c r="P27" i="48"/>
  <c r="X27" i="48"/>
  <c r="AF27"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C160" i="80" l="1"/>
  <c r="C167" i="80" s="1"/>
  <c r="C175" i="80" s="1"/>
  <c r="D160" i="80"/>
  <c r="D167" i="80" s="1"/>
  <c r="D175" i="80" s="1"/>
  <c r="Y28" i="81"/>
  <c r="Z28" i="81" s="1"/>
  <c r="AA28" i="81"/>
  <c r="AD59" i="68"/>
  <c r="BG27" i="34"/>
  <c r="BJ27" i="34"/>
  <c r="BM27" i="34"/>
  <c r="N358" i="36"/>
  <c r="O358" i="36"/>
  <c r="E23" i="83"/>
  <c r="P288" i="79"/>
  <c r="V12" i="81"/>
  <c r="AJ10" i="2"/>
  <c r="I288" i="79"/>
  <c r="I298" i="79" s="1"/>
  <c r="L278" i="79"/>
  <c r="K288" i="79"/>
  <c r="K298" i="79" s="1"/>
  <c r="K308" i="79" s="1"/>
  <c r="H288" i="79"/>
  <c r="H298" i="79" s="1"/>
  <c r="J288" i="79"/>
  <c r="AX88" i="3"/>
  <c r="AQ6" i="2"/>
  <c r="AL50" i="9" s="1"/>
  <c r="AL53" i="9" s="1"/>
  <c r="X88" i="3"/>
  <c r="Y84" i="10"/>
  <c r="AO40" i="10"/>
  <c r="AO43" i="10" s="1"/>
  <c r="AO45" i="10" s="1"/>
  <c r="AO48" i="10" s="1"/>
  <c r="E6" i="32"/>
  <c r="E12" i="32" s="1"/>
  <c r="AA6" i="2"/>
  <c r="AK33" i="45"/>
  <c r="AH40" i="10"/>
  <c r="AH43" i="10" s="1"/>
  <c r="AH45" i="10" s="1"/>
  <c r="AH48" i="10" s="1"/>
  <c r="AE59" i="68"/>
  <c r="Y58" i="12"/>
  <c r="P88" i="3"/>
  <c r="AP6" i="2"/>
  <c r="AD11" i="30" s="1"/>
  <c r="Y124" i="9"/>
  <c r="F88" i="3"/>
  <c r="V59" i="68"/>
  <c r="AU6" i="2"/>
  <c r="AP50" i="9" s="1"/>
  <c r="AP53" i="9" s="1"/>
  <c r="BM37" i="43"/>
  <c r="BM38" i="43" s="1"/>
  <c r="G59" i="68"/>
  <c r="AL6" i="2"/>
  <c r="W6" i="2"/>
  <c r="AB128" i="9"/>
  <c r="AQ128" i="9"/>
  <c r="Y128" i="9"/>
  <c r="AO128" i="9"/>
  <c r="AA128" i="9"/>
  <c r="J128" i="9"/>
  <c r="H128" i="9"/>
  <c r="AN128" i="9"/>
  <c r="AM128" i="9"/>
  <c r="L128" i="9"/>
  <c r="S128" i="9"/>
  <c r="AI128" i="9"/>
  <c r="Q128" i="9"/>
  <c r="AG128" i="9"/>
  <c r="G128" i="9"/>
  <c r="AD128" i="9"/>
  <c r="AF128" i="9"/>
  <c r="AE128" i="9"/>
  <c r="AK128" i="9"/>
  <c r="AP128" i="9"/>
  <c r="X128" i="9"/>
  <c r="U128" i="9"/>
  <c r="K128" i="9"/>
  <c r="Z128" i="9"/>
  <c r="I128" i="9"/>
  <c r="W128" i="9"/>
  <c r="V128" i="9"/>
  <c r="AC128" i="9"/>
  <c r="AJ128" i="9"/>
  <c r="R128" i="9"/>
  <c r="AH128" i="9"/>
  <c r="P128" i="9"/>
  <c r="M128" i="9"/>
  <c r="T128" i="9"/>
  <c r="O128" i="9"/>
  <c r="N128" i="9"/>
  <c r="AL128" i="9"/>
  <c r="AL18" i="43"/>
  <c r="AL37" i="43" s="1"/>
  <c r="AL38" i="43" s="1"/>
  <c r="AP18" i="43"/>
  <c r="AP37" i="43" s="1"/>
  <c r="AP38" i="43" s="1"/>
  <c r="Z6" i="2"/>
  <c r="D9" i="12"/>
  <c r="Z23" i="12"/>
  <c r="Q8" i="9"/>
  <c r="AF6" i="2"/>
  <c r="AG6" i="2"/>
  <c r="S88" i="3"/>
  <c r="AH88" i="3"/>
  <c r="AJ27" i="65"/>
  <c r="D88" i="3"/>
  <c r="AG57" i="49"/>
  <c r="AH57" i="49"/>
  <c r="AJ22" i="49"/>
  <c r="AJ57" i="49"/>
  <c r="AE22" i="49"/>
  <c r="AE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E106" i="13"/>
  <c r="E108" i="13" s="1"/>
  <c r="E115" i="13" s="1"/>
  <c r="E116" i="13" s="1"/>
  <c r="AQ8" i="12"/>
  <c r="I88" i="3"/>
  <c r="H64" i="13"/>
  <c r="H65" i="13" s="1"/>
  <c r="BY11" i="43"/>
  <c r="CC7" i="43"/>
  <c r="K9" i="12"/>
  <c r="M59" i="68"/>
  <c r="D106" i="13"/>
  <c r="D108" i="13" s="1"/>
  <c r="D115" i="13" s="1"/>
  <c r="D116" i="13" s="1"/>
  <c r="E64" i="13"/>
  <c r="E65" i="13" s="1"/>
  <c r="AI88" i="3"/>
  <c r="R34" i="10"/>
  <c r="R33" i="12" s="1"/>
  <c r="R58" i="12" s="1"/>
  <c r="AE50" i="9"/>
  <c r="AE53" i="9" s="1"/>
  <c r="X11" i="30"/>
  <c r="AW88" i="3"/>
  <c r="H106" i="13"/>
  <c r="H108" i="13" s="1"/>
  <c r="H115" i="13" s="1"/>
  <c r="AN78" i="46"/>
  <c r="F131" i="9"/>
  <c r="AD88" i="3"/>
  <c r="AQ88" i="3"/>
  <c r="Q59" i="68"/>
  <c r="Z88" i="3"/>
  <c r="O59" i="68"/>
  <c r="C88" i="3"/>
  <c r="AF124" i="9"/>
  <c r="Y6" i="2"/>
  <c r="AD124" i="9"/>
  <c r="AE124" i="9"/>
  <c r="U59" i="68"/>
  <c r="X59" i="68"/>
  <c r="E59" i="68"/>
  <c r="H59" i="68"/>
  <c r="P59" i="68"/>
  <c r="Z59" i="68"/>
  <c r="AE95" i="63"/>
  <c r="C79" i="13"/>
  <c r="C81" i="13" s="1"/>
  <c r="C83" i="13" s="1"/>
  <c r="C88" i="13" s="1"/>
  <c r="C89" i="13" s="1"/>
  <c r="G88" i="3"/>
  <c r="I59" i="68"/>
  <c r="N59" i="68"/>
  <c r="S59" i="68"/>
  <c r="Y59" i="68"/>
  <c r="F59" i="68"/>
  <c r="R59" i="68"/>
  <c r="J59" i="68"/>
  <c r="W11" i="30"/>
  <c r="AR6" i="2"/>
  <c r="AP14" i="10"/>
  <c r="AP16" i="10" s="1"/>
  <c r="AP13" i="1"/>
  <c r="AP15" i="1" s="1"/>
  <c r="AP40" i="1" s="1"/>
  <c r="AP43" i="1" s="1"/>
  <c r="X6" i="2"/>
  <c r="AT6" i="2"/>
  <c r="AN88" i="3"/>
  <c r="C60" i="13"/>
  <c r="C62" i="13" s="1"/>
  <c r="C67" i="13" s="1"/>
  <c r="C71" i="13" s="1"/>
  <c r="AD50" i="9"/>
  <c r="AD53" i="9" s="1"/>
  <c r="G55" i="13"/>
  <c r="G60" i="13" s="1"/>
  <c r="G62" i="13" s="1"/>
  <c r="G67" i="13" s="1"/>
  <c r="G71" i="13" s="1"/>
  <c r="F64" i="13"/>
  <c r="F65" i="13" s="1"/>
  <c r="K88" i="3"/>
  <c r="AA88" i="3"/>
  <c r="E88" i="3"/>
  <c r="AU88" i="3"/>
  <c r="AG88" i="3"/>
  <c r="J88" i="3"/>
  <c r="AV88" i="3"/>
  <c r="AJ88" i="3"/>
  <c r="AM6" i="2"/>
  <c r="AM8" i="12"/>
  <c r="F106" i="13"/>
  <c r="F108" i="13" s="1"/>
  <c r="F115" i="13" s="1"/>
  <c r="F116" i="13" s="1"/>
  <c r="AL36" i="1"/>
  <c r="AV6" i="2"/>
  <c r="AQ13" i="1"/>
  <c r="AQ15" i="1" s="1"/>
  <c r="AQ35" i="1" s="1"/>
  <c r="D39" i="13"/>
  <c r="D42" i="13" s="1"/>
  <c r="D47" i="13" s="1"/>
  <c r="D49" i="13"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27" i="48"/>
  <c r="AK52" i="48"/>
  <c r="F104" i="80"/>
  <c r="F111" i="80" s="1"/>
  <c r="F118" i="80" s="1"/>
  <c r="F125" i="80" s="1"/>
  <c r="F132" i="80" s="1"/>
  <c r="F139" i="80" s="1"/>
  <c r="F146" i="80" s="1"/>
  <c r="F153" i="80" s="1"/>
  <c r="AF78" i="63"/>
  <c r="R243" i="36"/>
  <c r="R251" i="36" s="1"/>
  <c r="R259" i="36" s="1"/>
  <c r="R267" i="36" s="1"/>
  <c r="R277" i="36" s="1"/>
  <c r="R287" i="36" s="1"/>
  <c r="R297" i="36" s="1"/>
  <c r="R307" i="36" s="1"/>
  <c r="R317" i="36" s="1"/>
  <c r="R327" i="36" s="1"/>
  <c r="R337" i="36" s="1"/>
  <c r="R347" i="36" s="1"/>
  <c r="S11" i="30"/>
  <c r="G107" i="13"/>
  <c r="F79" i="13"/>
  <c r="F81" i="13" s="1"/>
  <c r="F83" i="13" s="1"/>
  <c r="F88" i="13" s="1"/>
  <c r="F89" i="13" s="1"/>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G77" i="13"/>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H79" i="13"/>
  <c r="H81" i="13" s="1"/>
  <c r="H83" i="13" s="1"/>
  <c r="H88" i="13" s="1"/>
  <c r="H89" i="13" s="1"/>
  <c r="AN6" i="2"/>
  <c r="AC10" i="2"/>
  <c r="AE10" i="2"/>
  <c r="AE6" i="63"/>
  <c r="AE11" i="63" s="1"/>
  <c r="AE14" i="63" s="1"/>
  <c r="AS10" i="2"/>
  <c r="AO6" i="2"/>
  <c r="E91" i="63"/>
  <c r="E95" i="63" s="1"/>
  <c r="AD6" i="2"/>
  <c r="Q11" i="30"/>
  <c r="G102" i="13"/>
  <c r="G104" i="13" s="1"/>
  <c r="G117" i="13"/>
  <c r="AR17" i="9"/>
  <c r="F8" i="12"/>
  <c r="C105" i="13"/>
  <c r="G105" i="13" s="1"/>
  <c r="E33" i="13"/>
  <c r="V91" i="63"/>
  <c r="AQ10" i="12"/>
  <c r="N29" i="9"/>
  <c r="AK51" i="61"/>
  <c r="X50" i="9"/>
  <c r="X53" i="9" s="1"/>
  <c r="E78" i="13"/>
  <c r="E79" i="13" s="1"/>
  <c r="E81" i="13" s="1"/>
  <c r="E83" i="13" s="1"/>
  <c r="Y14" i="10"/>
  <c r="Y16" i="10" s="1"/>
  <c r="AP10" i="12"/>
  <c r="AJ10" i="12"/>
  <c r="AJ12" i="12" s="1"/>
  <c r="AJ14" i="12" s="1"/>
  <c r="AJ13" i="1"/>
  <c r="AJ15" i="1" s="1"/>
  <c r="P8" i="12"/>
  <c r="AI10" i="12"/>
  <c r="AI12" i="12" s="1"/>
  <c r="AI14" i="12" s="1"/>
  <c r="AI13" i="1"/>
  <c r="AI15" i="1" s="1"/>
  <c r="U91" i="63"/>
  <c r="U95" i="63" s="1"/>
  <c r="AJ24" i="55"/>
  <c r="P259" i="36"/>
  <c r="Q259" i="36"/>
  <c r="Q267" i="36" s="1"/>
  <c r="Q277" i="36" s="1"/>
  <c r="Q287" i="36" s="1"/>
  <c r="Q297" i="36" s="1"/>
  <c r="Q307" i="36" s="1"/>
  <c r="Q317" i="36" s="1"/>
  <c r="Q327" i="36" s="1"/>
  <c r="Q337" i="36" s="1"/>
  <c r="Q34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201" i="73"/>
  <c r="BA345" i="73" s="1"/>
  <c r="BB197" i="73"/>
  <c r="Y29" i="9"/>
  <c r="AC10" i="12"/>
  <c r="AC12" i="12" s="1"/>
  <c r="AC14" i="12" s="1"/>
  <c r="AC13" i="1"/>
  <c r="AC15" i="1" s="1"/>
  <c r="AA10" i="12"/>
  <c r="AA12" i="12" s="1"/>
  <c r="AA14" i="12" s="1"/>
  <c r="AA13" i="1"/>
  <c r="AA15" i="1" s="1"/>
  <c r="AM88" i="3"/>
  <c r="D78" i="13"/>
  <c r="D79" i="13" s="1"/>
  <c r="D81" i="13" s="1"/>
  <c r="D83" i="13" s="1"/>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N153" i="80" s="1"/>
  <c r="DJ27" i="43"/>
  <c r="DF36" i="43"/>
  <c r="CC23" i="43"/>
  <c r="C39" i="13"/>
  <c r="W29" i="9"/>
  <c r="L29" i="9"/>
  <c r="Q29" i="9"/>
  <c r="X29" i="9"/>
  <c r="U10" i="12"/>
  <c r="U12" i="12" s="1"/>
  <c r="U14" i="12" s="1"/>
  <c r="U13" i="1"/>
  <c r="U15" i="1" s="1"/>
  <c r="AM10" i="12"/>
  <c r="AM13" i="1"/>
  <c r="AM15" i="1" s="1"/>
  <c r="Q10" i="12"/>
  <c r="Q12" i="12" s="1"/>
  <c r="Q14" i="12" s="1"/>
  <c r="Q13" i="1"/>
  <c r="Q15" i="1" s="1"/>
  <c r="M88" i="3"/>
  <c r="AN8" i="12"/>
  <c r="H120" i="13"/>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D67" i="13"/>
  <c r="D71" i="13" s="1"/>
  <c r="D64" i="13"/>
  <c r="D65" i="13" s="1"/>
  <c r="Z29" i="9"/>
  <c r="F120" i="13"/>
  <c r="E120" i="13"/>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H308" i="79" l="1"/>
  <c r="I308" i="79"/>
  <c r="I319" i="79" s="1"/>
  <c r="O370" i="36"/>
  <c r="O382" i="36" s="1"/>
  <c r="N370" i="36"/>
  <c r="N382" i="36" s="1"/>
  <c r="F160" i="80"/>
  <c r="F167" i="80" s="1"/>
  <c r="F175" i="80" s="1"/>
  <c r="N160" i="80"/>
  <c r="N167" i="80" s="1"/>
  <c r="N175" i="80" s="1"/>
  <c r="W11" i="53"/>
  <c r="AJ16" i="2"/>
  <c r="AJ19" i="2" s="1"/>
  <c r="J298" i="79"/>
  <c r="P298" i="79"/>
  <c r="Q358" i="36"/>
  <c r="L288" i="79"/>
  <c r="AE11" i="30"/>
  <c r="AQ10" i="2"/>
  <c r="E24" i="32"/>
  <c r="E30" i="32" s="1"/>
  <c r="Z58" i="12"/>
  <c r="W12" i="81"/>
  <c r="AP10" i="2"/>
  <c r="AP16" i="2" s="1"/>
  <c r="AK50" i="9"/>
  <c r="AK53" i="9" s="1"/>
  <c r="AB50" i="9"/>
  <c r="AB53" i="9" s="1"/>
  <c r="AG50" i="9"/>
  <c r="AG53" i="9" s="1"/>
  <c r="AA50" i="9"/>
  <c r="AA53" i="9" s="1"/>
  <c r="AH11" i="30"/>
  <c r="Y10" i="2"/>
  <c r="Y16" i="2" s="1"/>
  <c r="P11" i="30"/>
  <c r="S50" i="9"/>
  <c r="S53" i="9" s="1"/>
  <c r="H319" i="79"/>
  <c r="H330" i="79" s="1"/>
  <c r="H341" i="79" s="1"/>
  <c r="AI11" i="30"/>
  <c r="AR10" i="2"/>
  <c r="AE11" i="53" s="1"/>
  <c r="U50" i="9"/>
  <c r="U53" i="9" s="1"/>
  <c r="R50" i="9"/>
  <c r="R53" i="9" s="1"/>
  <c r="AA10" i="2"/>
  <c r="AA16" i="2" s="1"/>
  <c r="K319" i="79"/>
  <c r="O11" i="30"/>
  <c r="V50" i="9"/>
  <c r="V53" i="9" s="1"/>
  <c r="CC11" i="43"/>
  <c r="CG11" i="43" s="1"/>
  <c r="CJ11" i="43" s="1"/>
  <c r="CM11" i="43" s="1"/>
  <c r="Z10" i="2"/>
  <c r="AU10" i="2"/>
  <c r="AH11" i="53" s="1"/>
  <c r="K11" i="30"/>
  <c r="BQ37" i="43"/>
  <c r="BU37" i="43" s="1"/>
  <c r="N11" i="30"/>
  <c r="AL10" i="2"/>
  <c r="Z11" i="30"/>
  <c r="AC124" i="9"/>
  <c r="AA13" i="31"/>
  <c r="AB13" i="32"/>
  <c r="U11" i="30"/>
  <c r="T11" i="30"/>
  <c r="AF10" i="2"/>
  <c r="AG10" i="2"/>
  <c r="AB124" i="9"/>
  <c r="Z124" i="9"/>
  <c r="F23" i="83"/>
  <c r="G23" i="83" s="1"/>
  <c r="AE17" i="2"/>
  <c r="AA124" i="9"/>
  <c r="W10" i="2"/>
  <c r="FB30" i="43"/>
  <c r="FB31" i="43"/>
  <c r="Z40" i="10"/>
  <c r="Z43" i="10" s="1"/>
  <c r="Z45" i="10" s="1"/>
  <c r="Z48" i="10" s="1"/>
  <c r="FB29" i="43"/>
  <c r="M308" i="79"/>
  <c r="AT10" i="2"/>
  <c r="X127" i="9"/>
  <c r="Z127" i="9"/>
  <c r="Y127" i="9"/>
  <c r="AH127" i="9"/>
  <c r="AR128" i="9"/>
  <c r="Y129" i="9"/>
  <c r="W127" i="9"/>
  <c r="G64" i="13"/>
  <c r="G65" i="13" s="1"/>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27" i="9"/>
  <c r="Q126" i="9" s="1"/>
  <c r="U28" i="9"/>
  <c r="U127" i="9"/>
  <c r="U126" i="9" s="1"/>
  <c r="H28" i="9"/>
  <c r="H127" i="9"/>
  <c r="H126" i="9" s="1"/>
  <c r="O28" i="9"/>
  <c r="O127" i="9"/>
  <c r="O126" i="9" s="1"/>
  <c r="L28" i="9"/>
  <c r="L127" i="9"/>
  <c r="L126" i="9" s="1"/>
  <c r="R28" i="9"/>
  <c r="R127" i="9"/>
  <c r="R126" i="9" s="1"/>
  <c r="G28" i="9"/>
  <c r="G127" i="9"/>
  <c r="G126" i="9" s="1"/>
  <c r="S28" i="9"/>
  <c r="S127" i="9"/>
  <c r="S126" i="9" s="1"/>
  <c r="P28" i="9"/>
  <c r="P127" i="9"/>
  <c r="P126" i="9" s="1"/>
  <c r="I28" i="9"/>
  <c r="I127" i="9"/>
  <c r="I126" i="9" s="1"/>
  <c r="K28" i="9"/>
  <c r="K127" i="9"/>
  <c r="K126" i="9" s="1"/>
  <c r="J28" i="9"/>
  <c r="J127" i="9"/>
  <c r="J126" i="9" s="1"/>
  <c r="T28" i="9"/>
  <c r="T127" i="9"/>
  <c r="T126" i="9" s="1"/>
  <c r="N28" i="9"/>
  <c r="N127" i="9"/>
  <c r="N126" i="9" s="1"/>
  <c r="M28" i="9"/>
  <c r="M127" i="9"/>
  <c r="M126" i="9" s="1"/>
  <c r="V28" i="9"/>
  <c r="V127" i="9"/>
  <c r="V126" i="9" s="1"/>
  <c r="C91" i="13"/>
  <c r="C64" i="13"/>
  <c r="C65" i="13" s="1"/>
  <c r="AM50" i="9"/>
  <c r="AM53" i="9" s="1"/>
  <c r="AP12" i="12"/>
  <c r="AP14" i="12" s="1"/>
  <c r="X10" i="2"/>
  <c r="AQ35" i="10"/>
  <c r="W50" i="9"/>
  <c r="W53" i="9" s="1"/>
  <c r="AA11" i="30"/>
  <c r="AP35" i="10"/>
  <c r="AP40" i="10"/>
  <c r="AP43" i="10" s="1"/>
  <c r="AP45" i="10" s="1"/>
  <c r="AP48" i="10" s="1"/>
  <c r="AM10" i="2"/>
  <c r="AP35" i="1"/>
  <c r="AP36" i="1" s="1"/>
  <c r="U11" i="53"/>
  <c r="AH50" i="9"/>
  <c r="AH53" i="9" s="1"/>
  <c r="AQ40" i="1"/>
  <c r="Z36" i="1"/>
  <c r="V36" i="1"/>
  <c r="AV10" i="2"/>
  <c r="AQ50" i="9"/>
  <c r="AQ53" i="9" s="1"/>
  <c r="AD36" i="1"/>
  <c r="E118" i="13"/>
  <c r="E122" i="13" s="1"/>
  <c r="X11" i="53"/>
  <c r="AI16" i="2"/>
  <c r="AQ36" i="1"/>
  <c r="AB10" i="2"/>
  <c r="Z36" i="10"/>
  <c r="AH16" i="2"/>
  <c r="AK16" i="2"/>
  <c r="V11" i="53"/>
  <c r="AO12" i="12"/>
  <c r="AO14" i="12" s="1"/>
  <c r="AJ25" i="55"/>
  <c r="F91" i="13"/>
  <c r="F95" i="13" s="1"/>
  <c r="AP29" i="9"/>
  <c r="W15" i="1"/>
  <c r="W40" i="1" s="1"/>
  <c r="W43" i="1" s="1"/>
  <c r="W45" i="1" s="1"/>
  <c r="W48" i="1" s="1"/>
  <c r="CC19" i="43"/>
  <c r="CJ21" i="43"/>
  <c r="H91" i="13"/>
  <c r="H95" i="13" s="1"/>
  <c r="H118" i="13"/>
  <c r="F118" i="13"/>
  <c r="F122" i="13" s="1"/>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P45" i="1"/>
  <c r="AP48" i="1" s="1"/>
  <c r="AO10" i="2"/>
  <c r="AC11" i="30"/>
  <c r="AJ50" i="9"/>
  <c r="AJ53" i="9" s="1"/>
  <c r="AF11" i="53"/>
  <c r="AS16" i="2"/>
  <c r="D118" i="13"/>
  <c r="AD10" i="2"/>
  <c r="AN10" i="2"/>
  <c r="AJ29" i="9"/>
  <c r="AK29" i="9"/>
  <c r="Y50" i="9"/>
  <c r="Y53" i="9" s="1"/>
  <c r="AN12" i="12"/>
  <c r="AN14" i="12" s="1"/>
  <c r="P11" i="53"/>
  <c r="AQ12" i="12"/>
  <c r="AQ14" i="12" s="1"/>
  <c r="AI50" i="9"/>
  <c r="AI53" i="9" s="1"/>
  <c r="AB11" i="30"/>
  <c r="AE16" i="2"/>
  <c r="R11" i="53"/>
  <c r="AA29" i="9"/>
  <c r="AC16" i="2"/>
  <c r="R11" i="30"/>
  <c r="AI29" i="9"/>
  <c r="AM12" i="12"/>
  <c r="AM14" i="12" s="1"/>
  <c r="H116" i="13"/>
  <c r="G106" i="13"/>
  <c r="G108" i="13" s="1"/>
  <c r="G115" i="13" s="1"/>
  <c r="G116" i="13" s="1"/>
  <c r="AQ40" i="10"/>
  <c r="C106" i="13"/>
  <c r="C108" i="13" s="1"/>
  <c r="E88" i="13"/>
  <c r="E89" i="13" s="1"/>
  <c r="E91" i="13"/>
  <c r="E95" i="13" s="1"/>
  <c r="G78" i="13"/>
  <c r="G79" i="13" s="1"/>
  <c r="G81" i="13" s="1"/>
  <c r="G83" i="13" s="1"/>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C42" i="13"/>
  <c r="E39" i="13"/>
  <c r="DL40" i="43"/>
  <c r="DO40" i="43"/>
  <c r="DI40" i="43"/>
  <c r="AH31" i="9" s="1"/>
  <c r="BB201" i="73"/>
  <c r="BB345" i="73" s="1"/>
  <c r="BC197" i="73"/>
  <c r="W13" i="31"/>
  <c r="Y6" i="32"/>
  <c r="X13" i="32"/>
  <c r="BY18" i="43"/>
  <c r="CC15" i="43"/>
  <c r="CG7" i="43"/>
  <c r="CJ7" i="43" s="1"/>
  <c r="CM7" i="43" s="1"/>
  <c r="BY22" i="43"/>
  <c r="CC22" i="43" s="1"/>
  <c r="AQ29" i="9"/>
  <c r="AC12" i="32"/>
  <c r="AC24" i="32"/>
  <c r="AC30" i="32" s="1"/>
  <c r="AB40" i="1"/>
  <c r="AB43" i="1" s="1"/>
  <c r="AB35" i="1"/>
  <c r="C93" i="13"/>
  <c r="C120" i="13"/>
  <c r="AM40" i="1"/>
  <c r="AM43" i="1" s="1"/>
  <c r="AM35" i="1"/>
  <c r="DJ36" i="43"/>
  <c r="DN27" i="43"/>
  <c r="AN40" i="1"/>
  <c r="AN43" i="1" s="1"/>
  <c r="AN35" i="1"/>
  <c r="CJ20" i="43"/>
  <c r="AO40" i="1"/>
  <c r="AO35" i="1"/>
  <c r="D93" i="13"/>
  <c r="D120" i="13"/>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D88" i="13"/>
  <c r="D89" i="13" s="1"/>
  <c r="D91" i="13"/>
  <c r="K259" i="36"/>
  <c r="K267" i="36" s="1"/>
  <c r="K277" i="36" s="1"/>
  <c r="K287" i="36" s="1"/>
  <c r="K297" i="36" s="1"/>
  <c r="K307" i="36" s="1"/>
  <c r="K317" i="36" s="1"/>
  <c r="K327" i="36" s="1"/>
  <c r="K337" i="36" s="1"/>
  <c r="K347" i="36" s="1"/>
  <c r="AN29" i="9"/>
  <c r="Q40" i="1"/>
  <c r="Q43" i="1" s="1"/>
  <c r="Q35" i="1"/>
  <c r="Q36" i="1" s="1"/>
  <c r="Y40" i="1"/>
  <c r="Y43" i="1" s="1"/>
  <c r="Y35" i="1"/>
  <c r="P267" i="36"/>
  <c r="P277" i="36" s="1"/>
  <c r="P287" i="36" s="1"/>
  <c r="P297" i="36" s="1"/>
  <c r="P307" i="36" s="1"/>
  <c r="P317" i="36" s="1"/>
  <c r="P327" i="36" s="1"/>
  <c r="P337" i="36" s="1"/>
  <c r="P347" i="36" s="1"/>
  <c r="J308" i="79" l="1"/>
  <c r="H349" i="79"/>
  <c r="P308" i="79"/>
  <c r="P319" i="79" s="1"/>
  <c r="FR36" i="43"/>
  <c r="FX36" i="43" s="1"/>
  <c r="BB31" i="9" s="1"/>
  <c r="Q370" i="36"/>
  <c r="Q382" i="36" s="1"/>
  <c r="H122" i="13"/>
  <c r="BA31" i="9"/>
  <c r="AQ36" i="10"/>
  <c r="AD11" i="53"/>
  <c r="AQ43" i="1"/>
  <c r="AQ45" i="1" s="1"/>
  <c r="AQ48" i="1" s="1"/>
  <c r="AQ16" i="2"/>
  <c r="AQ19" i="2" s="1"/>
  <c r="L298" i="79"/>
  <c r="AZ129" i="9"/>
  <c r="K358" i="36"/>
  <c r="K370" i="36" s="1"/>
  <c r="P358" i="36"/>
  <c r="P370" i="36" s="1"/>
  <c r="K330" i="79"/>
  <c r="K341" i="79" s="1"/>
  <c r="I330" i="79"/>
  <c r="I341" i="79" s="1"/>
  <c r="M319" i="79"/>
  <c r="M330" i="79" s="1"/>
  <c r="M341" i="79" s="1"/>
  <c r="AR16" i="2"/>
  <c r="AR19" i="2" s="1"/>
  <c r="AC11" i="53"/>
  <c r="BQ38" i="43"/>
  <c r="X12" i="81"/>
  <c r="AF16" i="2"/>
  <c r="AF19" i="2" s="1"/>
  <c r="Y11" i="53"/>
  <c r="AM16" i="2"/>
  <c r="AM19" i="2" s="1"/>
  <c r="AT16" i="2"/>
  <c r="AT19" i="2" s="1"/>
  <c r="W16" i="2"/>
  <c r="W19" i="2" s="1"/>
  <c r="T11" i="53"/>
  <c r="AU16" i="2"/>
  <c r="AU19" i="2" s="1"/>
  <c r="Z16" i="2"/>
  <c r="Z19" i="2" s="1"/>
  <c r="AJ24" i="2"/>
  <c r="AY31" i="9"/>
  <c r="AL16" i="2"/>
  <c r="J319" i="79"/>
  <c r="FF29" i="43"/>
  <c r="FF31" i="43"/>
  <c r="FF30" i="43"/>
  <c r="S11" i="53"/>
  <c r="AG16" i="2"/>
  <c r="Y126" i="9"/>
  <c r="AW31" i="9"/>
  <c r="AX31" i="9"/>
  <c r="AF127" i="9"/>
  <c r="AV129" i="9"/>
  <c r="AL127" i="9"/>
  <c r="AQ127" i="9"/>
  <c r="AE127" i="9"/>
  <c r="AD127" i="9"/>
  <c r="AM127" i="9"/>
  <c r="AO127" i="9"/>
  <c r="AG127" i="9"/>
  <c r="AB127" i="9"/>
  <c r="AC127" i="9"/>
  <c r="AG129" i="9"/>
  <c r="AA127" i="9"/>
  <c r="AJ127" i="9"/>
  <c r="AI127" i="9"/>
  <c r="AN127" i="9"/>
  <c r="AR127" i="9"/>
  <c r="AK127" i="9"/>
  <c r="AP127" i="9"/>
  <c r="AU129" i="9"/>
  <c r="C95" i="13"/>
  <c r="Z28" i="9"/>
  <c r="Z129" i="9"/>
  <c r="Z126" i="9" s="1"/>
  <c r="AH28" i="9"/>
  <c r="AH129" i="9"/>
  <c r="AH126" i="9" s="1"/>
  <c r="W28" i="9"/>
  <c r="W129" i="9"/>
  <c r="W126" i="9" s="1"/>
  <c r="X28" i="9"/>
  <c r="X129" i="9"/>
  <c r="X126" i="9" s="1"/>
  <c r="X16" i="2"/>
  <c r="Z11" i="53"/>
  <c r="AH19" i="2"/>
  <c r="AP36" i="10"/>
  <c r="AI19" i="2"/>
  <c r="AK36" i="1"/>
  <c r="AM36" i="1"/>
  <c r="AN36" i="1"/>
  <c r="Y36" i="1"/>
  <c r="AA36" i="1"/>
  <c r="AC36" i="1"/>
  <c r="AF36" i="1"/>
  <c r="AE36" i="1"/>
  <c r="AB36" i="1"/>
  <c r="AI11" i="53"/>
  <c r="AV16" i="2"/>
  <c r="O11" i="53"/>
  <c r="AB16" i="2"/>
  <c r="AK19" i="2"/>
  <c r="Y36" i="10"/>
  <c r="AD16" i="2"/>
  <c r="AC19" i="2"/>
  <c r="AE19" i="2"/>
  <c r="AA19" i="2"/>
  <c r="AS19" i="2"/>
  <c r="Y19" i="2"/>
  <c r="AP19" i="2"/>
  <c r="CM25" i="43"/>
  <c r="CT25" i="43" s="1"/>
  <c r="W35" i="1"/>
  <c r="CM21" i="43"/>
  <c r="CT21" i="43" s="1"/>
  <c r="CG19" i="43"/>
  <c r="AK11" i="30"/>
  <c r="Q11" i="53"/>
  <c r="AQ43" i="10"/>
  <c r="AQ45" i="10" s="1"/>
  <c r="AI43" i="10"/>
  <c r="AI45" i="10" s="1"/>
  <c r="AI48" i="10" s="1"/>
  <c r="D122" i="13"/>
  <c r="Y45" i="10"/>
  <c r="Y48" i="10" s="1"/>
  <c r="D95" i="13"/>
  <c r="X45" i="10"/>
  <c r="X48" i="10" s="1"/>
  <c r="AG43" i="1"/>
  <c r="AG45" i="1" s="1"/>
  <c r="AG48" i="1" s="1"/>
  <c r="G118" i="13"/>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G93" i="13"/>
  <c r="C115" i="13"/>
  <c r="C116" i="13" s="1"/>
  <c r="C118" i="13"/>
  <c r="C122" i="13" s="1"/>
  <c r="G88" i="13"/>
  <c r="G89" i="13" s="1"/>
  <c r="G91" i="13"/>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201" i="73"/>
  <c r="BC345" i="73" s="1"/>
  <c r="BD197" i="73"/>
  <c r="C47" i="13"/>
  <c r="E42" i="13"/>
  <c r="CJ24" i="43"/>
  <c r="CM24" i="43" s="1"/>
  <c r="W94" i="46"/>
  <c r="W103" i="46" s="1"/>
  <c r="V104" i="46"/>
  <c r="Y24" i="32"/>
  <c r="Y30" i="32" s="1"/>
  <c r="Y12" i="32"/>
  <c r="M13" i="32"/>
  <c r="N6" i="32"/>
  <c r="S4" i="12"/>
  <c r="BY26" i="43"/>
  <c r="O43" i="79"/>
  <c r="Q43" i="79" s="1"/>
  <c r="C48" i="79"/>
  <c r="G120" i="13"/>
  <c r="CM20" i="43"/>
  <c r="CT20" i="43" s="1"/>
  <c r="DZ18" i="43"/>
  <c r="T92" i="46"/>
  <c r="T113" i="46"/>
  <c r="U82" i="46"/>
  <c r="DR27" i="43"/>
  <c r="DR36" i="43" s="1"/>
  <c r="DR40" i="43" s="1"/>
  <c r="AT31" i="9" s="1"/>
  <c r="DN36" i="43"/>
  <c r="DQ40" i="43" s="1"/>
  <c r="ED16" i="43"/>
  <c r="M349" i="79" l="1"/>
  <c r="L308" i="79"/>
  <c r="L319" i="79" s="1"/>
  <c r="I349" i="79"/>
  <c r="K349" i="79"/>
  <c r="R370" i="36"/>
  <c r="P382" i="36"/>
  <c r="BA129" i="9"/>
  <c r="BB129" i="9"/>
  <c r="Y12" i="81"/>
  <c r="Z12" i="81" s="1"/>
  <c r="AA12" i="81" s="1"/>
  <c r="R358" i="36"/>
  <c r="K382" i="36"/>
  <c r="P330" i="79"/>
  <c r="J330" i="79"/>
  <c r="AR24" i="2"/>
  <c r="AE24" i="2"/>
  <c r="AG19" i="2"/>
  <c r="AY129" i="9"/>
  <c r="AL19" i="2"/>
  <c r="AS24" i="2"/>
  <c r="AW129" i="9"/>
  <c r="Y24" i="2"/>
  <c r="AI24" i="2"/>
  <c r="AF24" i="2"/>
  <c r="AQ24" i="2"/>
  <c r="AC24" i="2"/>
  <c r="W24" i="2"/>
  <c r="AT24" i="2"/>
  <c r="AK24" i="2"/>
  <c r="AH24" i="2"/>
  <c r="AP24" i="2"/>
  <c r="X19" i="2"/>
  <c r="AA24" i="2"/>
  <c r="Z24" i="2"/>
  <c r="AM24" i="2"/>
  <c r="AX129" i="9"/>
  <c r="FJ30" i="43"/>
  <c r="FJ31" i="43"/>
  <c r="FJ29" i="43"/>
  <c r="AG126" i="9"/>
  <c r="AN129" i="9"/>
  <c r="AN126" i="9" s="1"/>
  <c r="AT129" i="9"/>
  <c r="CG26" i="43"/>
  <c r="AS31" i="9"/>
  <c r="CJ22" i="43"/>
  <c r="CM22" i="43" s="1"/>
  <c r="CT22" i="43" s="1"/>
  <c r="ED18" i="43"/>
  <c r="EH18" i="43" s="1"/>
  <c r="EL18" i="43" s="1"/>
  <c r="EP18" i="43" s="1"/>
  <c r="ET18" i="43" s="1"/>
  <c r="EX18" i="43" s="1"/>
  <c r="FB18" i="43" s="1"/>
  <c r="FF18" i="43" s="1"/>
  <c r="AI28" i="9"/>
  <c r="AI129" i="9"/>
  <c r="AI126" i="9" s="1"/>
  <c r="AA28" i="9"/>
  <c r="AA129" i="9"/>
  <c r="AA126" i="9" s="1"/>
  <c r="AV19" i="2"/>
  <c r="W36" i="1"/>
  <c r="AB19" i="2"/>
  <c r="AO19" i="2"/>
  <c r="AN19" i="2"/>
  <c r="AD19" i="2"/>
  <c r="G122" i="13"/>
  <c r="AU24" i="2"/>
  <c r="CJ19" i="43"/>
  <c r="CM19" i="43" s="1"/>
  <c r="CT19" i="43" s="1"/>
  <c r="AQ31" i="9"/>
  <c r="CX21" i="43"/>
  <c r="DB21" i="43" s="1"/>
  <c r="AK31" i="9"/>
  <c r="AN28" i="9"/>
  <c r="G95" i="13"/>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49" i="13"/>
  <c r="E49" i="13" s="1"/>
  <c r="E47" i="13"/>
  <c r="CX25" i="43"/>
  <c r="DB25" i="43" s="1"/>
  <c r="BD201" i="73"/>
  <c r="BD345" i="73" s="1"/>
  <c r="BE197" i="73"/>
  <c r="AD12" i="32"/>
  <c r="AD24" i="32"/>
  <c r="AD30" i="32" s="1"/>
  <c r="N24" i="32"/>
  <c r="N30" i="32" s="1"/>
  <c r="N12" i="32"/>
  <c r="N13" i="32" s="1"/>
  <c r="AL31" i="9"/>
  <c r="AJ31" i="9"/>
  <c r="CT24" i="43"/>
  <c r="AO31" i="9"/>
  <c r="AM31" i="9"/>
  <c r="CC36" i="43"/>
  <c r="DA40" i="43" s="1"/>
  <c r="CG27" i="43"/>
  <c r="AB31" i="9"/>
  <c r="R382" i="36" l="1"/>
  <c r="FN29" i="43"/>
  <c r="FR29" i="43" s="1"/>
  <c r="FX29" i="43" s="1"/>
  <c r="FN31" i="43"/>
  <c r="FR31" i="43" s="1"/>
  <c r="FX31" i="43" s="1"/>
  <c r="FN30" i="43"/>
  <c r="FR30" i="43" s="1"/>
  <c r="FX30" i="43" s="1"/>
  <c r="J341" i="79"/>
  <c r="P341" i="79"/>
  <c r="L330" i="79"/>
  <c r="AL24" i="2"/>
  <c r="AB24" i="2"/>
  <c r="X24" i="2"/>
  <c r="AD24" i="2"/>
  <c r="AO24" i="2"/>
  <c r="AT27" i="9"/>
  <c r="AG24" i="2"/>
  <c r="AN24" i="2"/>
  <c r="AP129" i="9"/>
  <c r="AP126" i="9" s="1"/>
  <c r="AO129" i="9"/>
  <c r="AO126" i="9" s="1"/>
  <c r="AL129" i="9"/>
  <c r="AL126" i="9" s="1"/>
  <c r="AR129" i="9"/>
  <c r="AR126" i="9" s="1"/>
  <c r="AQ129" i="9"/>
  <c r="AQ126" i="9" s="1"/>
  <c r="AS129" i="9"/>
  <c r="AJ129" i="9"/>
  <c r="AJ126" i="9" s="1"/>
  <c r="AM129" i="9"/>
  <c r="AM126" i="9" s="1"/>
  <c r="AS27" i="9"/>
  <c r="CJ26" i="43"/>
  <c r="CX19" i="43"/>
  <c r="DB19" i="43" s="1"/>
  <c r="EL16" i="43"/>
  <c r="EP16" i="43" s="1"/>
  <c r="AK28" i="9"/>
  <c r="AK129" i="9"/>
  <c r="AK126" i="9" s="1"/>
  <c r="AB28" i="9"/>
  <c r="AB129" i="9"/>
  <c r="AB126"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201" i="73"/>
  <c r="BE345" i="73" s="1"/>
  <c r="BF197" i="73"/>
  <c r="CJ18" i="43"/>
  <c r="CM15" i="43"/>
  <c r="CM18" i="43" s="1"/>
  <c r="O57" i="79"/>
  <c r="Q57" i="79" s="1"/>
  <c r="C61" i="79"/>
  <c r="DF23" i="43"/>
  <c r="DJ23" i="43" s="1"/>
  <c r="CJ27" i="43"/>
  <c r="CG36" i="43"/>
  <c r="DB40" i="43" s="1"/>
  <c r="AD31" i="9" s="1"/>
  <c r="AD13" i="32"/>
  <c r="AC13" i="31"/>
  <c r="AE6" i="32"/>
  <c r="P349" i="79" l="1"/>
  <c r="J349" i="79"/>
  <c r="L341" i="79"/>
  <c r="AT123" i="9"/>
  <c r="AT125" i="9" s="1"/>
  <c r="AS123" i="9"/>
  <c r="AS125" i="9" s="1"/>
  <c r="ET16" i="43"/>
  <c r="CX26" i="43"/>
  <c r="DF19" i="43"/>
  <c r="DJ19" i="43" s="1"/>
  <c r="AD28" i="9"/>
  <c r="AD129" i="9"/>
  <c r="AD126" i="9" s="1"/>
  <c r="AC28" i="9"/>
  <c r="AC129" i="9"/>
  <c r="AC126" i="9" s="1"/>
  <c r="DJ21" i="43"/>
  <c r="DN21" i="43" s="1"/>
  <c r="BF201" i="73"/>
  <c r="BF345" i="73" s="1"/>
  <c r="BG197"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L349" i="79" l="1"/>
  <c r="DN19" i="43"/>
  <c r="DR19" i="43" s="1"/>
  <c r="EX16" i="43"/>
  <c r="EP37" i="43"/>
  <c r="ET37" i="43" s="1"/>
  <c r="EX37" i="43" s="1"/>
  <c r="FB37" i="43" s="1"/>
  <c r="FF37" i="43" s="1"/>
  <c r="FJ37" i="43" s="1"/>
  <c r="FN37" i="43" s="1"/>
  <c r="FR37" i="43" s="1"/>
  <c r="FX37" i="43" s="1"/>
  <c r="DR21" i="43"/>
  <c r="AF31" i="9"/>
  <c r="DF26" i="43"/>
  <c r="DV25" i="43"/>
  <c r="DZ25" i="43" s="1"/>
  <c r="AJ24" i="44"/>
  <c r="AJ30" i="44" s="1"/>
  <c r="AJ36" i="44" s="1"/>
  <c r="O66" i="79"/>
  <c r="Q66" i="79" s="1"/>
  <c r="C75" i="79"/>
  <c r="DR20" i="43"/>
  <c r="V113" i="46"/>
  <c r="W82" i="46"/>
  <c r="V92" i="46"/>
  <c r="BH197" i="73"/>
  <c r="BG201" i="73"/>
  <c r="BG345" i="73" s="1"/>
  <c r="DJ22" i="43"/>
  <c r="DB26" i="43"/>
  <c r="DN24" i="43"/>
  <c r="AE13" i="32"/>
  <c r="AF6" i="32"/>
  <c r="AD13" i="31"/>
  <c r="H12" i="32"/>
  <c r="H24" i="32"/>
  <c r="H30" i="32" s="1"/>
  <c r="DR23" i="43"/>
  <c r="DV23" i="43" s="1"/>
  <c r="Z104" i="46"/>
  <c r="AA94" i="46"/>
  <c r="AA103" i="46" s="1"/>
  <c r="AE31" i="9"/>
  <c r="FB16" i="43" l="1"/>
  <c r="FF16" i="43" s="1"/>
  <c r="FJ16" i="43" s="1"/>
  <c r="FN16" i="43" s="1"/>
  <c r="FR16" i="43" s="1"/>
  <c r="FR18" i="43" s="1"/>
  <c r="ED25" i="43"/>
  <c r="EH25" i="43" s="1"/>
  <c r="AE28" i="9"/>
  <c r="AE129" i="9"/>
  <c r="AE126" i="9" s="1"/>
  <c r="AF28" i="9"/>
  <c r="AF129" i="9"/>
  <c r="AF126" i="9" s="1"/>
  <c r="DV21" i="43"/>
  <c r="AA104" i="46"/>
  <c r="AB94" i="46"/>
  <c r="AB103" i="46" s="1"/>
  <c r="H13" i="32"/>
  <c r="I6" i="32"/>
  <c r="DZ23" i="43"/>
  <c r="ED23" i="43" s="1"/>
  <c r="BI197" i="73"/>
  <c r="BH201" i="73"/>
  <c r="BH345" i="73" s="1"/>
  <c r="W91" i="46"/>
  <c r="W106" i="46"/>
  <c r="DV20" i="43"/>
  <c r="DR24" i="43"/>
  <c r="AF24" i="32"/>
  <c r="AF30" i="32" s="1"/>
  <c r="AF12" i="32"/>
  <c r="DJ26" i="43"/>
  <c r="AK24" i="44"/>
  <c r="AK30" i="44" s="1"/>
  <c r="DN22" i="43"/>
  <c r="C85" i="79"/>
  <c r="O75" i="79"/>
  <c r="Q75" i="79" s="1"/>
  <c r="DV19" i="43"/>
  <c r="FX16" i="43" l="1"/>
  <c r="FX18" i="43" s="1"/>
  <c r="FN18" i="43"/>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201" i="73"/>
  <c r="BI345" i="73" s="1"/>
  <c r="BJ197" i="73"/>
  <c r="DZ19" i="43"/>
  <c r="DV24" i="43"/>
  <c r="ET25" i="43" l="1"/>
  <c r="ED20" i="43"/>
  <c r="EH20" i="43" s="1"/>
  <c r="EL23" i="43"/>
  <c r="ED21" i="43"/>
  <c r="AL36" i="44"/>
  <c r="AM24" i="44"/>
  <c r="AM30" i="44" s="1"/>
  <c r="DV26" i="43"/>
  <c r="BJ201" i="73"/>
  <c r="BJ345" i="73" s="1"/>
  <c r="BK197" i="73"/>
  <c r="X106" i="46"/>
  <c r="X91" i="46"/>
  <c r="DZ22" i="43"/>
  <c r="DR26" i="43"/>
  <c r="I13" i="32"/>
  <c r="J6" i="32"/>
  <c r="DZ24" i="43"/>
  <c r="ED19" i="43"/>
  <c r="O95" i="79"/>
  <c r="Q95" i="79" s="1"/>
  <c r="C105" i="79"/>
  <c r="AG24" i="32"/>
  <c r="AG30" i="32" s="1"/>
  <c r="AG12" i="32"/>
  <c r="AD104" i="46"/>
  <c r="AE94" i="46"/>
  <c r="AE103" i="46" s="1"/>
  <c r="EX25" i="43" l="1"/>
  <c r="EP23" i="43"/>
  <c r="EH21" i="43"/>
  <c r="EL21" i="43" s="1"/>
  <c r="ED24" i="43"/>
  <c r="EL20" i="43"/>
  <c r="EP20" i="43" s="1"/>
  <c r="EH19" i="43"/>
  <c r="AM36" i="44"/>
  <c r="AN24" i="44"/>
  <c r="DZ26" i="43"/>
  <c r="ED22" i="43"/>
  <c r="BK201" i="73"/>
  <c r="BK345" i="73" s="1"/>
  <c r="BL197"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FB25" i="43" l="1"/>
  <c r="ET20" i="43"/>
  <c r="EX20" i="43" s="1"/>
  <c r="ET23" i="43"/>
  <c r="EX23" i="43" s="1"/>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201" i="73"/>
  <c r="BL345" i="73" s="1"/>
  <c r="BM197" i="73"/>
  <c r="BM201" i="73" s="1"/>
  <c r="AH24" i="32"/>
  <c r="AH30" i="32" s="1"/>
  <c r="AH12" i="32"/>
  <c r="AF104" i="46"/>
  <c r="AG94" i="46"/>
  <c r="AG103" i="46" s="1"/>
  <c r="J13" i="32"/>
  <c r="K6" i="32"/>
  <c r="K24" i="32" s="1"/>
  <c r="K30" i="32" s="1"/>
  <c r="FF25" i="43" l="1"/>
  <c r="FB23" i="43"/>
  <c r="FB20"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c r="FF23" i="43"/>
  <c r="FF20" i="43"/>
  <c r="EX21" i="43"/>
  <c r="EP24" i="43"/>
  <c r="EP26" i="43" s="1"/>
  <c r="ET22" i="43"/>
  <c r="EL26" i="43"/>
  <c r="ET19" i="43"/>
  <c r="C246" i="79"/>
  <c r="C252" i="79" s="1"/>
  <c r="Z106" i="46"/>
  <c r="Z91" i="46"/>
  <c r="AI24" i="32"/>
  <c r="AI30" i="32" s="1"/>
  <c r="AI12" i="32"/>
  <c r="AH104" i="46"/>
  <c r="AI94" i="46"/>
  <c r="AI103" i="46" s="1"/>
  <c r="FR25" i="43" l="1"/>
  <c r="FJ20" i="43"/>
  <c r="FJ23" i="43"/>
  <c r="FN23" i="43" s="1"/>
  <c r="FX25" i="43"/>
  <c r="FB21" i="43"/>
  <c r="EX22" i="43"/>
  <c r="ET24" i="43"/>
  <c r="ET26" i="43" s="1"/>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FR23" i="43" l="1"/>
  <c r="FX23" i="43"/>
  <c r="FN20" i="43"/>
  <c r="FR20" i="43" s="1"/>
  <c r="C278" i="79"/>
  <c r="FF21" i="43"/>
  <c r="FB22" i="43"/>
  <c r="EX24" i="43"/>
  <c r="FB19" i="43"/>
  <c r="AN104" i="46"/>
  <c r="AO94" i="46"/>
  <c r="AO103" i="46" s="1"/>
  <c r="AK24" i="32"/>
  <c r="AK30" i="32" s="1"/>
  <c r="AK12" i="32"/>
  <c r="AA106" i="46"/>
  <c r="AA91" i="46"/>
  <c r="FJ21" i="43" l="1"/>
  <c r="FX20" i="43"/>
  <c r="FN21" i="43"/>
  <c r="C288" i="79"/>
  <c r="C298" i="79" s="1"/>
  <c r="FF22" i="43"/>
  <c r="FB24" i="43"/>
  <c r="EX26" i="43"/>
  <c r="FF19" i="43"/>
  <c r="AO104" i="46"/>
  <c r="AP94" i="46"/>
  <c r="AP103" i="46" s="1"/>
  <c r="AB82" i="46"/>
  <c r="AA113" i="46"/>
  <c r="AA92" i="46"/>
  <c r="AK13" i="32"/>
  <c r="AJ13" i="31"/>
  <c r="C308" i="79" l="1"/>
  <c r="FR21" i="43"/>
  <c r="FJ19" i="43"/>
  <c r="FJ22" i="43"/>
  <c r="FN22" i="43" s="1"/>
  <c r="FX21" i="43"/>
  <c r="C319" i="79"/>
  <c r="FB26" i="43"/>
  <c r="FF24" i="43"/>
  <c r="AP104" i="46"/>
  <c r="AQ94" i="46"/>
  <c r="AQ103" i="46" s="1"/>
  <c r="AB106" i="46"/>
  <c r="AB91" i="46"/>
  <c r="FN19" i="43" l="1"/>
  <c r="FR19" i="43" s="1"/>
  <c r="FR22" i="43"/>
  <c r="FX22" i="43" s="1"/>
  <c r="FJ24" i="43"/>
  <c r="FJ26" i="43" s="1"/>
  <c r="C330" i="79"/>
  <c r="C341" i="79" s="1"/>
  <c r="FF26" i="43"/>
  <c r="AQ104" i="46"/>
  <c r="AR94" i="46"/>
  <c r="AR103" i="46" s="1"/>
  <c r="AB92" i="46"/>
  <c r="AB113" i="46"/>
  <c r="AC82" i="46"/>
  <c r="C349" i="79" l="1"/>
  <c r="FN24" i="43"/>
  <c r="FN26" i="43" s="1"/>
  <c r="FX19" i="43"/>
  <c r="AR104" i="46"/>
  <c r="AS94" i="46"/>
  <c r="AC106" i="46"/>
  <c r="AC91" i="46"/>
  <c r="FR24" i="43" l="1"/>
  <c r="FR26" i="43" s="1"/>
  <c r="AS103" i="46"/>
  <c r="AT94" i="46" s="1"/>
  <c r="AC113" i="46"/>
  <c r="AD82" i="46"/>
  <c r="FX24" i="43" l="1"/>
  <c r="FX26" i="43" s="1"/>
  <c r="AT103" i="46"/>
  <c r="AU94" i="46" s="1"/>
  <c r="AU103" i="46" s="1"/>
  <c r="AV94" i="46" s="1"/>
  <c r="AV103" i="46" s="1"/>
  <c r="AW94" i="46" s="1"/>
  <c r="AW103" i="46" s="1"/>
  <c r="AX94" i="46" s="1"/>
  <c r="AS104" i="46"/>
  <c r="AD106" i="46"/>
  <c r="AD91" i="46"/>
  <c r="AV104" i="46" l="1"/>
  <c r="AX103" i="46"/>
  <c r="AU104" i="46"/>
  <c r="AT104" i="46"/>
  <c r="AD92" i="46"/>
  <c r="AE82" i="46"/>
  <c r="AD113" i="46"/>
  <c r="AX104" i="46" l="1"/>
  <c r="AE106" i="46"/>
  <c r="AE91" i="46"/>
  <c r="AE113" i="46" l="1"/>
  <c r="AE92" i="46"/>
  <c r="AF82" i="46"/>
  <c r="AF106" i="46" l="1"/>
  <c r="AF91" i="46"/>
  <c r="AG82" i="46" l="1"/>
  <c r="AF92" i="46"/>
  <c r="AF113" i="46"/>
  <c r="AG106" i="46" l="1"/>
  <c r="AG91" i="46"/>
  <c r="AG92" i="46" l="1"/>
  <c r="AG113" i="46"/>
  <c r="AH82" i="46"/>
  <c r="AH106" i="46" l="1"/>
  <c r="AH91" i="46"/>
  <c r="AH113" i="46" l="1"/>
  <c r="AH92" i="46"/>
  <c r="AI82" i="46"/>
  <c r="AI106" i="46" l="1"/>
  <c r="AI91" i="46"/>
  <c r="AJ82" i="46" l="1"/>
  <c r="AI92" i="46"/>
  <c r="AI113" i="46"/>
  <c r="AJ91" i="46" l="1"/>
  <c r="AJ106" i="46"/>
  <c r="AJ113" i="46" l="1"/>
  <c r="AK82" i="46"/>
  <c r="AK91" i="46" l="1"/>
  <c r="AK106" i="46"/>
  <c r="AK113" i="46" l="1"/>
  <c r="AL82" i="46"/>
  <c r="AL106" i="46" l="1"/>
  <c r="AL91" i="46"/>
  <c r="AL113" i="46" l="1"/>
  <c r="AM82" i="46"/>
  <c r="AM91" i="46" l="1"/>
  <c r="AM106" i="46"/>
  <c r="AN82" i="46" l="1"/>
  <c r="AM113" i="46"/>
  <c r="AN106" i="46" l="1"/>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92" i="46" s="1"/>
  <c r="AW106" i="46"/>
  <c r="AV113" i="46"/>
  <c r="AX82" i="46" l="1"/>
  <c r="AW113" i="46"/>
  <c r="AX106" i="46"/>
  <c r="AX91" i="46"/>
  <c r="AX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1" i="76"/>
  <c r="T50" i="12"/>
  <c r="AA50" i="12"/>
  <c r="AI50" i="12"/>
  <c r="W27" i="9" l="1"/>
  <c r="AI27" i="9"/>
  <c r="E26" i="2"/>
  <c r="E28" i="2" s="1"/>
  <c r="E30" i="2" s="1"/>
  <c r="H27" i="9"/>
  <c r="O27" i="9"/>
  <c r="S27" i="9"/>
  <c r="M27" i="9"/>
  <c r="V26" i="2"/>
  <c r="AC27" i="9"/>
  <c r="AH27" i="9"/>
  <c r="AV26" i="2"/>
  <c r="AM27" i="9"/>
  <c r="AM123" i="9" s="1"/>
  <c r="AM125"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3" i="9" l="1"/>
  <c r="AL125" i="9" s="1"/>
  <c r="AO123" i="9"/>
  <c r="AO125" i="9" s="1"/>
  <c r="AO130" i="9" s="1"/>
  <c r="AQ123" i="9"/>
  <c r="AQ125" i="9" s="1"/>
  <c r="AQ130" i="9" s="1"/>
  <c r="AP123" i="9"/>
  <c r="AP125" i="9" s="1"/>
  <c r="AP131" i="9" s="1"/>
  <c r="AR123" i="9"/>
  <c r="AR125" i="9" s="1"/>
  <c r="AR131" i="9" s="1"/>
  <c r="AN123" i="9"/>
  <c r="AN125" i="9" s="1"/>
  <c r="AN130" i="9" s="1"/>
  <c r="AB26" i="9"/>
  <c r="AB123" i="9"/>
  <c r="AB125" i="9" s="1"/>
  <c r="X26" i="9"/>
  <c r="X123" i="9"/>
  <c r="X125" i="9" s="1"/>
  <c r="AM131" i="9"/>
  <c r="AM130" i="9"/>
  <c r="H26" i="9"/>
  <c r="H123" i="9"/>
  <c r="H125" i="9" s="1"/>
  <c r="O26" i="9"/>
  <c r="O123" i="9"/>
  <c r="O125" i="9" s="1"/>
  <c r="AE26" i="9"/>
  <c r="AE123" i="9"/>
  <c r="AE125" i="9" s="1"/>
  <c r="U26" i="9"/>
  <c r="U123" i="9"/>
  <c r="U125" i="9" s="1"/>
  <c r="I26" i="9"/>
  <c r="I123" i="9"/>
  <c r="I125" i="9" s="1"/>
  <c r="S26" i="9"/>
  <c r="S123" i="9"/>
  <c r="S125" i="9" s="1"/>
  <c r="AL131" i="9"/>
  <c r="AL130" i="9"/>
  <c r="AK26" i="9"/>
  <c r="AK123" i="9"/>
  <c r="AK125" i="9" s="1"/>
  <c r="AH26" i="9"/>
  <c r="AH123" i="9"/>
  <c r="AH125" i="9" s="1"/>
  <c r="AI26" i="9"/>
  <c r="AI123" i="9"/>
  <c r="AI125" i="9" s="1"/>
  <c r="Y26" i="9"/>
  <c r="Y123" i="9"/>
  <c r="Y125" i="9" s="1"/>
  <c r="Q26" i="9"/>
  <c r="Q123" i="9"/>
  <c r="Q125" i="9" s="1"/>
  <c r="P26" i="9"/>
  <c r="P123" i="9"/>
  <c r="P125" i="9" s="1"/>
  <c r="J26" i="9"/>
  <c r="J123" i="9"/>
  <c r="J125" i="9" s="1"/>
  <c r="T26" i="9"/>
  <c r="T123" i="9"/>
  <c r="T125" i="9" s="1"/>
  <c r="L26" i="9"/>
  <c r="L123" i="9"/>
  <c r="L125" i="9" s="1"/>
  <c r="AJ26" i="9"/>
  <c r="AJ123" i="9"/>
  <c r="AJ125" i="9" s="1"/>
  <c r="AC26" i="9"/>
  <c r="AC123" i="9"/>
  <c r="AC125" i="9" s="1"/>
  <c r="W26" i="9"/>
  <c r="W123" i="9"/>
  <c r="W125" i="9" s="1"/>
  <c r="K26" i="9"/>
  <c r="K123" i="9"/>
  <c r="K125" i="9" s="1"/>
  <c r="AG26" i="9"/>
  <c r="AG123" i="9"/>
  <c r="AG125" i="9" s="1"/>
  <c r="AA26" i="9"/>
  <c r="AA123" i="9"/>
  <c r="AA125" i="9" s="1"/>
  <c r="N26" i="9"/>
  <c r="N123" i="9"/>
  <c r="N125" i="9" s="1"/>
  <c r="Z26" i="9"/>
  <c r="Z123" i="9"/>
  <c r="Z125" i="9" s="1"/>
  <c r="G26" i="9"/>
  <c r="G123" i="9"/>
  <c r="G125" i="9" s="1"/>
  <c r="AD26" i="9"/>
  <c r="AD123" i="9"/>
  <c r="AD125" i="9" s="1"/>
  <c r="V26" i="9"/>
  <c r="V123" i="9"/>
  <c r="V125" i="9" s="1"/>
  <c r="AF26" i="9"/>
  <c r="AF123" i="9"/>
  <c r="AF125" i="9" s="1"/>
  <c r="R26" i="9"/>
  <c r="R123" i="9"/>
  <c r="R125" i="9" s="1"/>
  <c r="M26" i="9"/>
  <c r="M123" i="9"/>
  <c r="M125" i="9" s="1"/>
  <c r="Y18" i="63"/>
  <c r="Y63" i="63" s="1"/>
  <c r="Y91" i="63" s="1"/>
  <c r="Y95" i="63" s="1"/>
  <c r="X18" i="63"/>
  <c r="X63" i="63" s="1"/>
  <c r="X91" i="63" s="1"/>
  <c r="X95" i="63" s="1"/>
  <c r="AN26" i="9"/>
  <c r="AM26" i="9"/>
  <c r="AL26" i="9"/>
  <c r="AQ26" i="9"/>
  <c r="AP26" i="9"/>
  <c r="AO26" i="9"/>
  <c r="K27"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Q131" i="9" l="1"/>
  <c r="AN131" i="9"/>
  <c r="AO131" i="9"/>
  <c r="AP130" i="9"/>
  <c r="AR130" i="9"/>
  <c r="T131" i="9"/>
  <c r="T130" i="9"/>
  <c r="N131" i="9"/>
  <c r="N130" i="9"/>
  <c r="J131" i="9"/>
  <c r="J130" i="9"/>
  <c r="AI131" i="9"/>
  <c r="AI130" i="9"/>
  <c r="AE131" i="9"/>
  <c r="AE130" i="9"/>
  <c r="W131" i="9"/>
  <c r="W130" i="9"/>
  <c r="H130" i="9"/>
  <c r="H131" i="9"/>
  <c r="AC131" i="9"/>
  <c r="AC130" i="9"/>
  <c r="Z131" i="9"/>
  <c r="Z130" i="9"/>
  <c r="M131" i="9"/>
  <c r="M130" i="9"/>
  <c r="AA131" i="9"/>
  <c r="AA130" i="9"/>
  <c r="AJ131" i="9"/>
  <c r="AJ130" i="9"/>
  <c r="P130" i="9"/>
  <c r="P131" i="9"/>
  <c r="AH131" i="9"/>
  <c r="AH130" i="9"/>
  <c r="S131" i="9"/>
  <c r="S130" i="9"/>
  <c r="O131" i="9"/>
  <c r="O130" i="9"/>
  <c r="X130" i="9"/>
  <c r="X131" i="9"/>
  <c r="U131" i="9"/>
  <c r="U130" i="9"/>
  <c r="AD131" i="9"/>
  <c r="AD130" i="9"/>
  <c r="K131" i="9"/>
  <c r="K130" i="9"/>
  <c r="R131" i="9"/>
  <c r="R130" i="9"/>
  <c r="G131" i="9"/>
  <c r="G130" i="9"/>
  <c r="AG130" i="9"/>
  <c r="AG131" i="9"/>
  <c r="L131" i="9"/>
  <c r="L130" i="9"/>
  <c r="Q130" i="9"/>
  <c r="Q131" i="9"/>
  <c r="AK131" i="9"/>
  <c r="AK130" i="9"/>
  <c r="I130" i="9"/>
  <c r="I131" i="9"/>
  <c r="AB131" i="9"/>
  <c r="AB130" i="9"/>
  <c r="AF130" i="9"/>
  <c r="AF131" i="9"/>
  <c r="Y130" i="9"/>
  <c r="Y131" i="9"/>
  <c r="V131" i="9"/>
  <c r="V130" i="9"/>
  <c r="AD63" i="63"/>
  <c r="AD6" i="63" s="1"/>
  <c r="AD11" i="63" s="1"/>
  <c r="AD14" i="63" s="1"/>
  <c r="Y6" i="63"/>
  <c r="Y11" i="63" s="1"/>
  <c r="Y14" i="63" s="1"/>
  <c r="X6" i="63"/>
  <c r="X11" i="63" s="1"/>
  <c r="X14" i="63" s="1"/>
  <c r="K34"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39"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4"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FN7" i="43" s="1"/>
  <c r="FR7" i="43" s="1"/>
  <c r="FX7" i="43" s="1"/>
  <c r="Z53" i="42" s="1"/>
  <c r="DY11" i="43"/>
  <c r="DZ11" i="43" s="1"/>
  <c r="ED11" i="43" s="1"/>
  <c r="EH11" i="43" s="1"/>
  <c r="EL11" i="43" s="1"/>
  <c r="EP11" i="43" s="1"/>
  <c r="ET11" i="43" s="1"/>
  <c r="EX11" i="43" s="1"/>
  <c r="FB11" i="43" s="1"/>
  <c r="FF11" i="43" s="1"/>
  <c r="FJ11" i="43" s="1"/>
  <c r="FN11" i="43" s="1"/>
  <c r="FR11" i="43" l="1"/>
  <c r="FX11" i="43" s="1"/>
  <c r="AR41" i="12"/>
  <c r="AR42" i="12" l="1"/>
  <c r="AR44" i="12" s="1"/>
  <c r="AR48" i="12" s="1"/>
  <c r="AF18" i="63"/>
  <c r="AR50" i="12" l="1"/>
  <c r="AR25" i="9"/>
  <c r="AX24" i="2" l="1"/>
  <c r="AX26" i="2" s="1"/>
  <c r="AX28" i="2" s="1"/>
  <c r="AS41" i="12"/>
  <c r="AS43" i="1"/>
  <c r="AS45" i="1" s="1"/>
  <c r="AS48" i="1" s="1"/>
  <c r="AS42" i="12" l="1"/>
  <c r="AS44" i="12" s="1"/>
  <c r="AS48" i="12" s="1"/>
  <c r="AG18" i="63"/>
  <c r="AX30" i="2"/>
  <c r="K20"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L92" i="63" s="1"/>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22" i="49"/>
  <c r="AN57" i="49" s="1"/>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M22" i="49"/>
  <c r="AM57" i="49" s="1"/>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35" i="73"/>
  <c r="BR229" i="73"/>
  <c r="BR27" i="73"/>
  <c r="BR220" i="73"/>
  <c r="BR19" i="73"/>
  <c r="BR211" i="73"/>
  <c r="BO35" i="73"/>
  <c r="BO220" i="73"/>
  <c r="BO27" i="73"/>
  <c r="BO229" i="73"/>
  <c r="BO211" i="73"/>
  <c r="BO19" i="73"/>
  <c r="BN27" i="73"/>
  <c r="BN35" i="73"/>
  <c r="BN211" i="73"/>
  <c r="BN229" i="73"/>
  <c r="BN19" i="73"/>
  <c r="BN220" i="73"/>
  <c r="BW35" i="73"/>
  <c r="BW220" i="73"/>
  <c r="BW19" i="73"/>
  <c r="BW211" i="73"/>
  <c r="BW27" i="73"/>
  <c r="BW229" i="73"/>
  <c r="BV27" i="73"/>
  <c r="BV35" i="73"/>
  <c r="BV19" i="73"/>
  <c r="BV211" i="73"/>
  <c r="BV229" i="73"/>
  <c r="BV220" i="73"/>
  <c r="BP19" i="73"/>
  <c r="BP229" i="73"/>
  <c r="BP220" i="73"/>
  <c r="BP211" i="73"/>
  <c r="BP35" i="73"/>
  <c r="BP27" i="73"/>
  <c r="BL229" i="73"/>
  <c r="BL19" i="73"/>
  <c r="BL35" i="73"/>
  <c r="BL211" i="73"/>
  <c r="BL27" i="73"/>
  <c r="BL220" i="73"/>
  <c r="BX19" i="73"/>
  <c r="BX220" i="73"/>
  <c r="BX229" i="73"/>
  <c r="BX211" i="73"/>
  <c r="BX27" i="73"/>
  <c r="BX35" i="73"/>
  <c r="BT229" i="73"/>
  <c r="BT19" i="73"/>
  <c r="BT27" i="73"/>
  <c r="BT220" i="73"/>
  <c r="BT35" i="73"/>
  <c r="BT211" i="73"/>
  <c r="BQ27" i="73"/>
  <c r="BQ229" i="73"/>
  <c r="BQ211" i="73"/>
  <c r="BQ19" i="73"/>
  <c r="BQ35" i="73"/>
  <c r="BQ220" i="73"/>
  <c r="BK220" i="73"/>
  <c r="BK27" i="73"/>
  <c r="BK211" i="73"/>
  <c r="BK229" i="73"/>
  <c r="BK35" i="73"/>
  <c r="BK19" i="73"/>
  <c r="BM19" i="73"/>
  <c r="BM27" i="73"/>
  <c r="BM211" i="73"/>
  <c r="BM35" i="73"/>
  <c r="BM229" i="73"/>
  <c r="BM220" i="73"/>
  <c r="BS220" i="73"/>
  <c r="BS35" i="73"/>
  <c r="BS229" i="73"/>
  <c r="BS27" i="73"/>
  <c r="BS19" i="73"/>
  <c r="BS211" i="73"/>
  <c r="BU19" i="73"/>
  <c r="BU27" i="73"/>
  <c r="BU220" i="73"/>
  <c r="BU211" i="73"/>
  <c r="BU35" i="73"/>
  <c r="BU229"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BA30" i="9" l="1"/>
  <c r="BA128" i="9" s="1"/>
  <c r="BA25" i="9"/>
  <c r="AZ30" i="9"/>
  <c r="AZ128" i="9" s="1"/>
  <c r="AU50" i="9"/>
  <c r="AU53" i="9" s="1"/>
  <c r="AV50" i="9"/>
  <c r="AV53" i="9" s="1"/>
  <c r="AY30" i="9"/>
  <c r="AT50" i="9"/>
  <c r="AT53" i="9" s="1"/>
  <c r="AX50" i="9"/>
  <c r="AX53" i="9" s="1"/>
  <c r="AS50" i="9"/>
  <c r="AS53" i="9" s="1"/>
  <c r="AS17" i="9"/>
  <c r="AS30" i="9"/>
  <c r="AS128" i="9" s="1"/>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AL22" i="49"/>
  <c r="AL57" i="49" s="1"/>
  <c r="BB6" i="3"/>
  <c r="AM20" i="61"/>
  <c r="R23" i="13"/>
  <c r="AT25" i="9"/>
  <c r="AL22" i="44"/>
  <c r="AT12" i="9"/>
  <c r="AT17" i="9"/>
  <c r="Q23" i="13"/>
  <c r="CA220" i="73"/>
  <c r="CA35" i="73"/>
  <c r="CA229" i="73"/>
  <c r="CA27" i="73"/>
  <c r="CA211" i="73"/>
  <c r="CA19" i="73"/>
  <c r="I19" i="73"/>
  <c r="I27" i="73"/>
  <c r="I35" i="73"/>
  <c r="I220" i="73"/>
  <c r="I211" i="73"/>
  <c r="I229" i="73"/>
  <c r="G35" i="73"/>
  <c r="G229" i="73"/>
  <c r="G220" i="73"/>
  <c r="G27" i="73"/>
  <c r="G19" i="73"/>
  <c r="G211" i="73"/>
  <c r="M27" i="73"/>
  <c r="M229" i="73"/>
  <c r="M211" i="73"/>
  <c r="M220" i="73"/>
  <c r="M35" i="73"/>
  <c r="M19" i="73"/>
  <c r="P229" i="73"/>
  <c r="P19" i="73"/>
  <c r="P35" i="73"/>
  <c r="P27" i="73"/>
  <c r="P211" i="73"/>
  <c r="P220" i="73"/>
  <c r="S35" i="73"/>
  <c r="S229" i="73"/>
  <c r="S220" i="73"/>
  <c r="S27" i="73"/>
  <c r="S211" i="73"/>
  <c r="S19" i="73"/>
  <c r="BY27" i="73"/>
  <c r="BY229" i="73"/>
  <c r="BY211" i="73"/>
  <c r="BY35" i="73"/>
  <c r="BY220" i="73"/>
  <c r="BY19" i="73"/>
  <c r="AE220" i="73"/>
  <c r="AE35" i="73"/>
  <c r="AE229" i="73"/>
  <c r="AE27" i="73"/>
  <c r="AE19" i="73"/>
  <c r="AE211" i="73"/>
  <c r="F35" i="73"/>
  <c r="F229" i="73"/>
  <c r="F220" i="73"/>
  <c r="F27" i="73"/>
  <c r="F19" i="73"/>
  <c r="F211" i="73"/>
  <c r="W19" i="73"/>
  <c r="W220" i="73"/>
  <c r="W35" i="73"/>
  <c r="W229" i="73"/>
  <c r="W211" i="73"/>
  <c r="W27" i="73"/>
  <c r="AC27" i="73"/>
  <c r="AC229" i="73"/>
  <c r="AC211" i="73"/>
  <c r="AC35" i="73"/>
  <c r="AC220" i="73"/>
  <c r="AC19" i="73"/>
  <c r="E27" i="73"/>
  <c r="E229" i="73"/>
  <c r="E211" i="73"/>
  <c r="E35" i="73"/>
  <c r="E220" i="73"/>
  <c r="E19" i="73"/>
  <c r="AD35" i="73"/>
  <c r="AD220" i="73"/>
  <c r="AD19" i="73"/>
  <c r="AD229" i="73"/>
  <c r="AD27" i="73"/>
  <c r="AD211" i="73"/>
  <c r="BI27" i="73"/>
  <c r="BI229" i="73"/>
  <c r="BI211" i="73"/>
  <c r="BI19" i="73"/>
  <c r="BI220" i="73"/>
  <c r="BI35" i="73"/>
  <c r="AK27" i="73"/>
  <c r="AK229" i="73"/>
  <c r="AK19" i="73"/>
  <c r="AK211" i="73"/>
  <c r="AK220" i="73"/>
  <c r="AK35" i="73"/>
  <c r="C35" i="73"/>
  <c r="C229" i="73"/>
  <c r="C211" i="73"/>
  <c r="C27" i="73"/>
  <c r="C220" i="73"/>
  <c r="C19" i="73"/>
  <c r="BZ35" i="73"/>
  <c r="BZ229" i="73"/>
  <c r="BZ19" i="73"/>
  <c r="BZ211" i="73"/>
  <c r="BZ27" i="73"/>
  <c r="BZ220" i="73"/>
  <c r="AQ35" i="73"/>
  <c r="AQ220" i="73"/>
  <c r="AQ229" i="73"/>
  <c r="AQ211" i="73"/>
  <c r="AQ19" i="73"/>
  <c r="AQ27" i="73"/>
  <c r="AA35" i="73"/>
  <c r="AA220" i="73"/>
  <c r="AA211" i="73"/>
  <c r="AA229" i="73"/>
  <c r="AA19" i="73"/>
  <c r="AA27" i="73"/>
  <c r="BH19" i="73"/>
  <c r="BH229" i="73"/>
  <c r="BH27" i="73"/>
  <c r="BH211" i="73"/>
  <c r="BH220" i="73"/>
  <c r="BH35" i="73"/>
  <c r="AY35" i="73"/>
  <c r="AY220" i="73"/>
  <c r="AY211" i="73"/>
  <c r="AY229" i="73"/>
  <c r="AY27" i="73"/>
  <c r="AY19" i="73"/>
  <c r="BF27" i="73"/>
  <c r="BF35" i="73"/>
  <c r="BF229" i="73"/>
  <c r="BF19" i="73"/>
  <c r="BF220" i="73"/>
  <c r="BF211" i="73"/>
  <c r="AV229" i="73"/>
  <c r="AV19" i="73"/>
  <c r="AV220" i="73"/>
  <c r="AV35" i="73"/>
  <c r="AV27" i="73"/>
  <c r="AV211" i="73"/>
  <c r="AI35" i="73"/>
  <c r="AI220" i="73"/>
  <c r="AI27" i="73"/>
  <c r="AI19" i="73"/>
  <c r="AI211" i="73"/>
  <c r="AI229" i="73"/>
  <c r="AM220" i="73"/>
  <c r="AM35" i="73"/>
  <c r="AM229" i="73"/>
  <c r="AM19" i="73"/>
  <c r="AM211" i="73"/>
  <c r="AM27" i="73"/>
  <c r="J27" i="73"/>
  <c r="J35" i="73"/>
  <c r="J19" i="73"/>
  <c r="J211" i="73"/>
  <c r="J229" i="73"/>
  <c r="J220" i="73"/>
  <c r="AL35" i="73"/>
  <c r="AL220" i="73"/>
  <c r="AL27" i="73"/>
  <c r="AL19" i="73"/>
  <c r="AL211" i="73"/>
  <c r="AL229" i="73"/>
  <c r="D19" i="73"/>
  <c r="D229" i="73"/>
  <c r="D211" i="73"/>
  <c r="D35" i="73"/>
  <c r="D27" i="73"/>
  <c r="D220" i="73"/>
  <c r="U27" i="73"/>
  <c r="U229" i="73"/>
  <c r="U211" i="73"/>
  <c r="U19" i="73"/>
  <c r="U220" i="73"/>
  <c r="U35" i="73"/>
  <c r="O220" i="73"/>
  <c r="O27" i="73"/>
  <c r="O35" i="73"/>
  <c r="O229" i="73"/>
  <c r="O211" i="73"/>
  <c r="O19" i="73"/>
  <c r="AX27" i="73"/>
  <c r="AX35" i="73"/>
  <c r="AX19" i="73"/>
  <c r="AX220" i="73"/>
  <c r="AX211" i="73"/>
  <c r="AX229" i="73"/>
  <c r="BG35" i="73"/>
  <c r="BG220" i="73"/>
  <c r="BG27" i="73"/>
  <c r="BG19" i="73"/>
  <c r="BG211" i="73"/>
  <c r="BG229" i="73"/>
  <c r="CC19" i="73"/>
  <c r="CC27" i="73"/>
  <c r="CC35" i="73"/>
  <c r="CC229" i="73"/>
  <c r="CC211" i="73"/>
  <c r="CC220" i="73"/>
  <c r="BJ35" i="73"/>
  <c r="BJ19" i="73"/>
  <c r="BJ220" i="73"/>
  <c r="BJ229" i="73"/>
  <c r="BJ27" i="73"/>
  <c r="BJ211" i="73"/>
  <c r="R27" i="73"/>
  <c r="R35" i="73"/>
  <c r="R19" i="73"/>
  <c r="R229" i="73"/>
  <c r="R211" i="73"/>
  <c r="R220" i="73"/>
  <c r="AT35" i="73"/>
  <c r="AT229" i="73"/>
  <c r="AT27" i="73"/>
  <c r="AT19" i="73"/>
  <c r="AT220" i="73"/>
  <c r="AT211" i="73"/>
  <c r="AU220" i="73"/>
  <c r="AU27" i="73"/>
  <c r="AU19" i="73"/>
  <c r="AU211" i="73"/>
  <c r="AU35" i="73"/>
  <c r="AU229" i="73"/>
  <c r="N35" i="73"/>
  <c r="N220" i="73"/>
  <c r="N229" i="73"/>
  <c r="N19" i="73"/>
  <c r="N211" i="73"/>
  <c r="N27" i="73"/>
  <c r="CB229" i="73"/>
  <c r="CB19" i="73"/>
  <c r="CB35" i="73"/>
  <c r="CB220" i="73"/>
  <c r="CB27" i="73"/>
  <c r="CB211" i="73"/>
  <c r="Z27" i="73"/>
  <c r="Z35" i="73"/>
  <c r="Z229" i="73"/>
  <c r="Z211" i="73"/>
  <c r="Z220" i="73"/>
  <c r="Z19" i="73"/>
  <c r="BB35" i="73"/>
  <c r="BB27" i="73"/>
  <c r="BB229" i="73"/>
  <c r="BB220" i="73"/>
  <c r="BB19" i="73"/>
  <c r="BB211" i="73"/>
  <c r="H229" i="73"/>
  <c r="H19" i="73"/>
  <c r="H27" i="73"/>
  <c r="H35" i="73"/>
  <c r="H220" i="73"/>
  <c r="H211" i="73"/>
  <c r="AO19" i="73"/>
  <c r="AO27" i="73"/>
  <c r="AO220" i="73"/>
  <c r="AO35" i="73"/>
  <c r="AO229" i="73"/>
  <c r="AO211" i="73"/>
  <c r="AS27" i="73"/>
  <c r="AS229" i="73"/>
  <c r="AS35" i="73"/>
  <c r="AS211" i="73"/>
  <c r="AS19" i="73"/>
  <c r="AS220" i="73"/>
  <c r="V35" i="73"/>
  <c r="V27" i="73"/>
  <c r="V19" i="73"/>
  <c r="V220" i="73"/>
  <c r="V211" i="73"/>
  <c r="V229" i="73"/>
  <c r="AZ19" i="73"/>
  <c r="AZ229" i="73"/>
  <c r="AZ220" i="73"/>
  <c r="AZ211" i="73"/>
  <c r="AZ35" i="73"/>
  <c r="AZ27" i="73"/>
  <c r="AP27" i="73"/>
  <c r="AP35" i="73"/>
  <c r="AP211" i="73"/>
  <c r="AP229" i="73"/>
  <c r="AP220" i="73"/>
  <c r="AP19" i="73"/>
  <c r="AN229" i="73"/>
  <c r="AN19" i="73"/>
  <c r="AN220" i="73"/>
  <c r="AN27" i="73"/>
  <c r="AN35" i="73"/>
  <c r="AN211" i="73"/>
  <c r="AH27" i="73"/>
  <c r="AH35" i="73"/>
  <c r="AH211" i="73"/>
  <c r="AH19" i="73"/>
  <c r="AH220" i="73"/>
  <c r="AH229" i="73"/>
  <c r="X229" i="73"/>
  <c r="X19" i="73"/>
  <c r="X27" i="73"/>
  <c r="X211" i="73"/>
  <c r="X35" i="73"/>
  <c r="X220" i="73"/>
  <c r="AB19" i="73"/>
  <c r="AB229" i="73"/>
  <c r="AB211" i="73"/>
  <c r="AB35" i="73"/>
  <c r="AB220" i="73"/>
  <c r="AB27" i="73"/>
  <c r="T19" i="73"/>
  <c r="T229" i="73"/>
  <c r="T35" i="73"/>
  <c r="T27" i="73"/>
  <c r="T211" i="73"/>
  <c r="T220" i="73"/>
  <c r="L19" i="73"/>
  <c r="L229" i="73"/>
  <c r="L211" i="73"/>
  <c r="L220" i="73"/>
  <c r="L27" i="73"/>
  <c r="L35" i="73"/>
  <c r="K35" i="73"/>
  <c r="K19" i="73"/>
  <c r="K211" i="73"/>
  <c r="K220" i="73"/>
  <c r="K27" i="73"/>
  <c r="K229" i="73"/>
  <c r="AW19" i="73"/>
  <c r="AW27" i="73"/>
  <c r="AW220" i="73"/>
  <c r="AW211" i="73"/>
  <c r="AW229" i="73"/>
  <c r="AW35" i="73"/>
  <c r="AG19" i="73"/>
  <c r="AG27" i="73"/>
  <c r="AG229" i="73"/>
  <c r="AG220" i="73"/>
  <c r="AG35" i="73"/>
  <c r="AG211" i="73"/>
  <c r="BD229" i="73"/>
  <c r="BD19" i="73"/>
  <c r="BD35" i="73"/>
  <c r="BD27" i="73"/>
  <c r="BD211" i="73"/>
  <c r="BD220" i="73"/>
  <c r="BE19" i="73"/>
  <c r="BE27" i="73"/>
  <c r="BE35" i="73"/>
  <c r="BE229" i="73"/>
  <c r="BE220" i="73"/>
  <c r="BE211" i="73"/>
  <c r="BC220" i="73"/>
  <c r="BC35" i="73"/>
  <c r="BC229" i="73"/>
  <c r="BC27" i="73"/>
  <c r="BC19" i="73"/>
  <c r="BC211" i="73"/>
  <c r="BA27" i="73"/>
  <c r="BA229" i="73"/>
  <c r="BA211" i="73"/>
  <c r="BA35" i="73"/>
  <c r="BA19" i="73"/>
  <c r="BA220" i="73"/>
  <c r="AJ19" i="73"/>
  <c r="AJ229" i="73"/>
  <c r="AJ211" i="73"/>
  <c r="AJ220" i="73"/>
  <c r="AJ35" i="73"/>
  <c r="AJ27" i="73"/>
  <c r="Q19" i="73"/>
  <c r="Q27" i="73"/>
  <c r="Q35" i="73"/>
  <c r="Q229" i="73"/>
  <c r="Q220" i="73"/>
  <c r="Q211" i="73"/>
  <c r="Y19" i="73"/>
  <c r="Y27" i="73"/>
  <c r="Y35" i="73"/>
  <c r="Y220" i="73"/>
  <c r="Y229" i="73"/>
  <c r="Y211" i="73"/>
  <c r="AR19" i="73"/>
  <c r="AR229" i="73"/>
  <c r="AR35" i="73"/>
  <c r="AR211" i="73"/>
  <c r="AR27" i="73"/>
  <c r="AR220" i="73"/>
  <c r="AF229" i="73"/>
  <c r="AF19" i="73"/>
  <c r="AF35" i="73"/>
  <c r="AF27" i="73"/>
  <c r="AF220" i="73"/>
  <c r="AF211" i="73"/>
  <c r="AS7" i="9"/>
  <c r="BA87" i="3"/>
  <c r="AS12" i="9"/>
  <c r="AK22" i="44"/>
  <c r="AJ39" i="67"/>
  <c r="BA39" i="3"/>
  <c r="AS8" i="9"/>
  <c r="AS6" i="9"/>
  <c r="AX6" i="9" l="1"/>
  <c r="BF87" i="3"/>
  <c r="AX8" i="9"/>
  <c r="BF39" i="3"/>
  <c r="BA24" i="9" s="1"/>
  <c r="AX14" i="9"/>
  <c r="AT128" i="9"/>
  <c r="AW14" i="9"/>
  <c r="BE87" i="3"/>
  <c r="AW7" i="9"/>
  <c r="BE39" i="3"/>
  <c r="AW6" i="9"/>
  <c r="AW8" i="9"/>
  <c r="AV12" i="9"/>
  <c r="BD88" i="3"/>
  <c r="AL90" i="71"/>
  <c r="AT8" i="9"/>
  <c r="BB39" i="3"/>
  <c r="BB87" i="3"/>
  <c r="AT6" i="9"/>
  <c r="AT14" i="9"/>
  <c r="AT16" i="9"/>
  <c r="AS24" i="9"/>
  <c r="AS14" i="9"/>
  <c r="AS16" i="9"/>
  <c r="BA88" i="3"/>
  <c r="BA29" i="9" l="1"/>
  <c r="BA127" i="9" s="1"/>
  <c r="BA126" i="9" s="1"/>
  <c r="AZ29" i="9"/>
  <c r="AZ127" i="9" s="1"/>
  <c r="AZ126" i="9" s="1"/>
  <c r="BF88" i="3"/>
  <c r="AV14" i="9"/>
  <c r="BE88" i="3"/>
  <c r="BB88" i="3"/>
  <c r="AT24" i="9"/>
  <c r="AT29" i="9"/>
  <c r="AS29" i="9"/>
  <c r="BA131" i="9" l="1"/>
  <c r="BA130" i="9"/>
  <c r="BA28" i="9"/>
  <c r="AZ28" i="9"/>
  <c r="AY29" i="9"/>
  <c r="AT127" i="9"/>
  <c r="AT126" i="9" s="1"/>
  <c r="AT130" i="9" s="1"/>
  <c r="AS127" i="9"/>
  <c r="AS126" i="9" s="1"/>
  <c r="AS131" i="9" s="1"/>
  <c r="AT28" i="9"/>
  <c r="AS28" i="9"/>
  <c r="AS26" i="9" s="1"/>
  <c r="AY28" i="9" l="1"/>
  <c r="AT131" i="9"/>
  <c r="AS130" i="9"/>
  <c r="AT26" i="9"/>
  <c r="AH78" i="63" l="1"/>
  <c r="AH54" i="63" l="1"/>
  <c r="AM45" i="52" l="1"/>
  <c r="AJ53" i="68" l="1"/>
  <c r="AJ45" i="68"/>
  <c r="AJ58" i="68" l="1"/>
  <c r="AJ50" i="68"/>
  <c r="AJ51" i="68" s="1"/>
  <c r="AJ31" i="68"/>
  <c r="AJ23" i="68"/>
  <c r="AJ59" i="68" l="1"/>
  <c r="AJ20" i="68"/>
  <c r="AJ32" i="68" s="1"/>
  <c r="AI78" i="63" l="1"/>
  <c r="AN30" i="44"/>
  <c r="AN36" i="44" l="1"/>
  <c r="AO24" i="44"/>
  <c r="AO30" i="44" s="1"/>
  <c r="L57" i="23"/>
  <c r="AO36" i="44" l="1"/>
  <c r="AP24" i="44"/>
  <c r="AP30" i="44" s="1"/>
  <c r="AM43" i="52"/>
  <c r="AP36" i="44" l="1"/>
  <c r="AQ24" i="44"/>
  <c r="AQ30" i="44" s="1"/>
  <c r="AR24" i="44" s="1"/>
  <c r="AM69" i="71"/>
  <c r="AQ36" i="44" l="1"/>
  <c r="AR30" i="44"/>
  <c r="AS24" i="44" s="1"/>
  <c r="AS30" i="44" s="1"/>
  <c r="AT24" i="44" s="1"/>
  <c r="AT30" i="44" s="1"/>
  <c r="S24" i="13"/>
  <c r="S23" i="13" s="1"/>
  <c r="AT36" i="44" l="1"/>
  <c r="AU24" i="44"/>
  <c r="AU30" i="44" s="1"/>
  <c r="AU36" i="44" s="1"/>
  <c r="AS36" i="44"/>
  <c r="AR36" i="44"/>
  <c r="AM42" i="52"/>
  <c r="AM39" i="52" l="1"/>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Q349" i="79" s="1"/>
  <c r="O278" i="79"/>
  <c r="O288" i="79" s="1"/>
  <c r="O298" i="79" l="1"/>
  <c r="O308" i="79" s="1"/>
  <c r="O319" i="79" s="1"/>
  <c r="O330" i="79" s="1"/>
  <c r="N298" i="79"/>
  <c r="BC76" i="3"/>
  <c r="O341" i="79" l="1"/>
  <c r="BC87" i="3"/>
  <c r="AX30" i="9"/>
  <c r="AW30" i="9"/>
  <c r="AW128" i="9" s="1"/>
  <c r="AV30" i="9"/>
  <c r="AV128" i="9" s="1"/>
  <c r="AU30" i="9"/>
  <c r="AU17" i="9"/>
  <c r="N308" i="79"/>
  <c r="O349" i="79" l="1"/>
  <c r="N319" i="79"/>
  <c r="AU128" i="9"/>
  <c r="AX128" i="9"/>
  <c r="N330" i="79" l="1"/>
  <c r="E57" i="23"/>
  <c r="N341" i="79" l="1"/>
  <c r="AN22" i="26"/>
  <c r="AN23" i="26" s="1"/>
  <c r="N349" i="79" l="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s="1"/>
  <c r="AW12" i="12" l="1"/>
  <c r="AW14" i="12" s="1"/>
  <c r="BB10" i="2"/>
  <c r="AO11" i="53" s="1"/>
  <c r="AW40" i="10"/>
  <c r="AW35" i="10"/>
  <c r="AW39" i="12"/>
  <c r="AW34" i="12"/>
  <c r="AP11" i="30"/>
  <c r="AW50" i="9"/>
  <c r="AW53" i="9" s="1"/>
  <c r="AZ16" i="9" l="1"/>
  <c r="AZ15" i="9"/>
  <c r="AY24" i="9"/>
  <c r="AZ24" i="9"/>
  <c r="BB16" i="2"/>
  <c r="AY15" i="9"/>
  <c r="AX15" i="9"/>
  <c r="AW15" i="9"/>
  <c r="AY16" i="9"/>
  <c r="AW43" i="10"/>
  <c r="AW45" i="10" s="1"/>
  <c r="AW48" i="10" s="1"/>
  <c r="AW42" i="12"/>
  <c r="AW44" i="12" s="1"/>
  <c r="AW48" i="12" s="1"/>
  <c r="AW16" i="9"/>
  <c r="AX16" i="9"/>
  <c r="AW35" i="12"/>
  <c r="AW36" i="10"/>
  <c r="AZ25" i="9" l="1"/>
  <c r="BB19" i="2"/>
  <c r="AZ27" i="9" s="1"/>
  <c r="AY25" i="9"/>
  <c r="AW50" i="12"/>
  <c r="AX25" i="9"/>
  <c r="AW25" i="9"/>
  <c r="AZ123" i="9" l="1"/>
  <c r="AZ125" i="9" s="1"/>
  <c r="AZ26" i="9"/>
  <c r="AW27" i="9"/>
  <c r="AW123" i="9" s="1"/>
  <c r="AW125" i="9" s="1"/>
  <c r="BB24" i="2"/>
  <c r="BB26" i="2" s="1"/>
  <c r="BB28" i="2" s="1"/>
  <c r="AX27" i="9"/>
  <c r="AY27" i="9"/>
  <c r="AY26" i="9" s="1"/>
  <c r="AX123" i="9" l="1"/>
  <c r="AX125" i="9" s="1"/>
  <c r="AZ130" i="9"/>
  <c r="AZ131" i="9"/>
  <c r="BB30" i="2"/>
  <c r="AK18" i="63"/>
  <c r="AY123" i="9"/>
  <c r="AY125" i="9" s="1"/>
  <c r="K16" i="76" l="1"/>
  <c r="K13" i="76"/>
  <c r="E339" i="73" l="1"/>
  <c r="AD189" i="77"/>
  <c r="AD117" i="77"/>
  <c r="AD164" i="77"/>
  <c r="AD21" i="77"/>
  <c r="AD172" i="77"/>
  <c r="AD171" i="77"/>
  <c r="F339" i="73" l="1"/>
  <c r="E338" i="73"/>
  <c r="E340" i="73" s="1"/>
  <c r="BB49" i="9" l="1"/>
  <c r="AT13" i="31"/>
  <c r="AU18" i="33"/>
  <c r="Z24" i="13"/>
  <c r="AP13" i="63"/>
  <c r="AT66" i="71"/>
  <c r="BB18" i="9"/>
  <c r="AP92" i="63"/>
  <c r="AP93" i="63"/>
  <c r="BB13" i="9"/>
  <c r="AP54" i="63"/>
  <c r="AP78" i="63"/>
  <c r="G339" i="73"/>
  <c r="F338" i="73"/>
  <c r="F340" i="73" s="1"/>
  <c r="AP12" i="63"/>
  <c r="AU20" i="61"/>
  <c r="AH86" i="63"/>
  <c r="AS13" i="67"/>
  <c r="AS22" i="67"/>
  <c r="AS29" i="67"/>
  <c r="AQ76" i="71"/>
  <c r="AQ72" i="71"/>
  <c r="AQ65" i="71"/>
  <c r="AQ73" i="71"/>
  <c r="AQ81" i="71"/>
  <c r="AQ66" i="71"/>
  <c r="AQ68" i="71"/>
  <c r="AQ80" i="71"/>
  <c r="AS9" i="67"/>
  <c r="AQ74" i="71"/>
  <c r="AQ83" i="71"/>
  <c r="AM78" i="63"/>
  <c r="BJ60" i="3"/>
  <c r="AO17" i="67"/>
  <c r="AO20" i="67" s="1"/>
  <c r="BJ33" i="3"/>
  <c r="AO13" i="67"/>
  <c r="W24" i="13"/>
  <c r="BJ23" i="3"/>
  <c r="AQ87" i="71"/>
  <c r="AQ78" i="71"/>
  <c r="W25" i="13"/>
  <c r="AY53" i="9"/>
  <c r="AQ61" i="71"/>
  <c r="AM54" i="63"/>
  <c r="AQ70" i="71"/>
  <c r="AQ77" i="71"/>
  <c r="AQ67" i="71"/>
  <c r="AO29" i="67"/>
  <c r="AO33" i="67"/>
  <c r="AO9" i="67"/>
  <c r="AQ79" i="71"/>
  <c r="AQ82" i="71"/>
  <c r="AQ69" i="71"/>
  <c r="AQ85" i="71"/>
  <c r="AO22" i="67"/>
  <c r="AQ64" i="71"/>
  <c r="AQ32" i="71"/>
  <c r="AQ71" i="71"/>
  <c r="AQ75" i="71"/>
  <c r="BJ40" i="3" l="1"/>
  <c r="BB12" i="9" s="1"/>
  <c r="AT22" i="49"/>
  <c r="Z25" i="13"/>
  <c r="Z23" i="13" s="1"/>
  <c r="AP86" i="63"/>
  <c r="AP45" i="63"/>
  <c r="H339" i="73"/>
  <c r="G338" i="73"/>
  <c r="G340" i="73" s="1"/>
  <c r="BJ42" i="3"/>
  <c r="BB7" i="9" s="1"/>
  <c r="AM86" i="63"/>
  <c r="AP14" i="45"/>
  <c r="AQ90" i="71"/>
  <c r="AM45" i="63"/>
  <c r="AM63" i="63" s="1"/>
  <c r="BJ6" i="3"/>
  <c r="W23" i="13"/>
  <c r="BB14" i="9" l="1"/>
  <c r="BB6" i="9"/>
  <c r="BB8" i="9"/>
  <c r="I339" i="73"/>
  <c r="H338" i="73"/>
  <c r="H340" i="73" s="1"/>
  <c r="AM6" i="63"/>
  <c r="AM11" i="63" s="1"/>
  <c r="AM14" i="63" s="1"/>
  <c r="AJ45" i="63"/>
  <c r="AJ63" i="63" s="1"/>
  <c r="BC6" i="3"/>
  <c r="BC40" i="3"/>
  <c r="AK86" i="63"/>
  <c r="AI45" i="63"/>
  <c r="AM91" i="63"/>
  <c r="AM95" i="63" s="1"/>
  <c r="AL86" i="63"/>
  <c r="AL45" i="63"/>
  <c r="AL63" i="63" s="1"/>
  <c r="AQ22" i="44"/>
  <c r="AK45" i="63"/>
  <c r="AK63" i="63" s="1"/>
  <c r="AH45" i="63"/>
  <c r="AH63" i="63" s="1"/>
  <c r="AH6" i="63" s="1"/>
  <c r="AH11" i="63" s="1"/>
  <c r="AH14" i="63" s="1"/>
  <c r="AO39" i="67"/>
  <c r="AJ86" i="63"/>
  <c r="AF45" i="63"/>
  <c r="AF63" i="63" s="1"/>
  <c r="AI86" i="63"/>
  <c r="AG45" i="63"/>
  <c r="AG63" i="63" s="1"/>
  <c r="BB29" i="9" l="1"/>
  <c r="AL6" i="63"/>
  <c r="AL11" i="63" s="1"/>
  <c r="AL14" i="63" s="1"/>
  <c r="BB127" i="9"/>
  <c r="AK6" i="63"/>
  <c r="AK11" i="63" s="1"/>
  <c r="AK14" i="63" s="1"/>
  <c r="J339" i="73"/>
  <c r="I338" i="73"/>
  <c r="I340" i="73" s="1"/>
  <c r="AJ6" i="63"/>
  <c r="AJ11" i="63" s="1"/>
  <c r="AJ14" i="63" s="1"/>
  <c r="AH91" i="63"/>
  <c r="AH95" i="63" s="1"/>
  <c r="AY128" i="9"/>
  <c r="AI91" i="63"/>
  <c r="AI95" i="63" s="1"/>
  <c r="AK91" i="63"/>
  <c r="AK95" i="63" s="1"/>
  <c r="AU12" i="9"/>
  <c r="AM22" i="44"/>
  <c r="AU8" i="9"/>
  <c r="BC39" i="3"/>
  <c r="AU6" i="9"/>
  <c r="AF6" i="63"/>
  <c r="AF11" i="63" s="1"/>
  <c r="AF14" i="63" s="1"/>
  <c r="AF91" i="63"/>
  <c r="AF95" i="63" s="1"/>
  <c r="AG6" i="63"/>
  <c r="AG11" i="63" s="1"/>
  <c r="AG14" i="63" s="1"/>
  <c r="AG91" i="63"/>
  <c r="AG95" i="63" s="1"/>
  <c r="BJ39" i="3"/>
  <c r="AL91" i="63"/>
  <c r="AL95" i="63" s="1"/>
  <c r="AJ91" i="63"/>
  <c r="AJ95" i="63" s="1"/>
  <c r="K339" i="73" l="1"/>
  <c r="J338" i="73"/>
  <c r="J340" i="73" s="1"/>
  <c r="AX24" i="9"/>
  <c r="AW24" i="9"/>
  <c r="BC88" i="3"/>
  <c r="AU24" i="9"/>
  <c r="AV24" i="9"/>
  <c r="AU14" i="9"/>
  <c r="AU16" i="9"/>
  <c r="L339" i="73" l="1"/>
  <c r="K338" i="73"/>
  <c r="K340" i="73" s="1"/>
  <c r="AV29" i="9"/>
  <c r="AU29" i="9"/>
  <c r="AW29" i="9"/>
  <c r="AX29" i="9"/>
  <c r="AY127" i="9"/>
  <c r="AY126" i="9" s="1"/>
  <c r="M339" i="73" l="1"/>
  <c r="L338" i="73"/>
  <c r="L340" i="73" s="1"/>
  <c r="AW28" i="9"/>
  <c r="AW26" i="9" s="1"/>
  <c r="AW127" i="9"/>
  <c r="AW126" i="9" s="1"/>
  <c r="AU28" i="9"/>
  <c r="AU26" i="9" s="1"/>
  <c r="AU127" i="9"/>
  <c r="AU126" i="9" s="1"/>
  <c r="AV127" i="9"/>
  <c r="AV126" i="9" s="1"/>
  <c r="AV28" i="9"/>
  <c r="AV26" i="9" s="1"/>
  <c r="AY131" i="9"/>
  <c r="AY130" i="9"/>
  <c r="AX28" i="9"/>
  <c r="AX127" i="9"/>
  <c r="AX126" i="9" s="1"/>
  <c r="AX26" i="9" l="1"/>
  <c r="N339" i="73"/>
  <c r="M338" i="73"/>
  <c r="M340" i="73" s="1"/>
  <c r="AW130" i="9"/>
  <c r="AW131" i="9"/>
  <c r="AU130" i="9"/>
  <c r="AU131" i="9"/>
  <c r="AX130" i="9"/>
  <c r="AX131" i="9"/>
  <c r="AV131" i="9"/>
  <c r="AV130" i="9"/>
  <c r="O339" i="73" l="1"/>
  <c r="N338" i="73"/>
  <c r="N340" i="73" s="1"/>
  <c r="BB10" i="10"/>
  <c r="P339" i="73" l="1"/>
  <c r="O338" i="73"/>
  <c r="O340" i="73" s="1"/>
  <c r="BB7" i="12"/>
  <c r="BB8" i="12" s="1"/>
  <c r="BG8" i="2"/>
  <c r="BB12" i="10"/>
  <c r="Q339" i="73" l="1"/>
  <c r="P338" i="73"/>
  <c r="P340" i="73" s="1"/>
  <c r="BB14" i="10"/>
  <c r="BB16" i="10" s="1"/>
  <c r="BB10" i="12"/>
  <c r="BG6" i="2"/>
  <c r="AU11" i="30" l="1"/>
  <c r="BB50" i="9"/>
  <c r="BB53" i="9" s="1"/>
  <c r="R339" i="73"/>
  <c r="Q338" i="73"/>
  <c r="Q340" i="73" s="1"/>
  <c r="BG10" i="2"/>
  <c r="BB35" i="10"/>
  <c r="BB40" i="10"/>
  <c r="BB12" i="12"/>
  <c r="BB14" i="12" s="1"/>
  <c r="AT11" i="53" l="1"/>
  <c r="S339" i="73"/>
  <c r="R338" i="73"/>
  <c r="R340" i="73" s="1"/>
  <c r="BB34" i="12"/>
  <c r="BB39" i="12"/>
  <c r="BB43" i="10"/>
  <c r="BB45" i="10" s="1"/>
  <c r="BB48" i="10" s="1"/>
  <c r="BG16" i="2"/>
  <c r="BB36" i="10"/>
  <c r="BB24" i="9" l="1"/>
  <c r="BB15" i="9"/>
  <c r="BB16" i="9"/>
  <c r="BA15" i="9"/>
  <c r="BA16" i="9"/>
  <c r="T339" i="73"/>
  <c r="S338" i="73"/>
  <c r="S340" i="73" s="1"/>
  <c r="BB42" i="12"/>
  <c r="BB44" i="12" s="1"/>
  <c r="BB48" i="12" s="1"/>
  <c r="BB35" i="12"/>
  <c r="BG19" i="2"/>
  <c r="BB27" i="9" l="1"/>
  <c r="U339" i="73"/>
  <c r="T338" i="73"/>
  <c r="T340" i="73" s="1"/>
  <c r="BG24" i="2"/>
  <c r="BG26" i="2" s="1"/>
  <c r="BG28" i="2" s="1"/>
  <c r="BB50" i="12"/>
  <c r="AP18" i="63" l="1"/>
  <c r="AP63" i="63" s="1"/>
  <c r="BB123" i="9"/>
  <c r="BB125" i="9" s="1"/>
  <c r="AO63" i="63"/>
  <c r="AO6" i="63" s="1"/>
  <c r="AO11" i="63" s="1"/>
  <c r="AO14" i="63" s="1"/>
  <c r="BA26" i="9"/>
  <c r="V339" i="73"/>
  <c r="U338" i="73"/>
  <c r="U340" i="73" s="1"/>
  <c r="BG30" i="2"/>
  <c r="AP91" i="63" l="1"/>
  <c r="AP95" i="63" s="1"/>
  <c r="AO91" i="63"/>
  <c r="AO95" i="63" s="1"/>
  <c r="K9" i="76"/>
  <c r="W339" i="73"/>
  <c r="V338" i="73"/>
  <c r="V340" i="73" s="1"/>
  <c r="X339" i="73" l="1"/>
  <c r="W338" i="73"/>
  <c r="W340" i="73" s="1"/>
  <c r="Y339" i="73" l="1"/>
  <c r="X338" i="73"/>
  <c r="X340" i="73" s="1"/>
  <c r="Z339" i="73" l="1"/>
  <c r="Y338" i="73"/>
  <c r="Y340" i="73" s="1"/>
  <c r="AA339" i="73" l="1"/>
  <c r="Z338" i="73"/>
  <c r="Z340" i="73" s="1"/>
  <c r="AB339" i="73" l="1"/>
  <c r="AA338" i="73"/>
  <c r="AA340" i="73" s="1"/>
  <c r="AC339" i="73" l="1"/>
  <c r="AB338" i="73"/>
  <c r="AB340" i="73" s="1"/>
  <c r="AD339" i="73" l="1"/>
  <c r="AC338" i="73"/>
  <c r="AC340" i="73" s="1"/>
  <c r="AE339" i="73" l="1"/>
  <c r="AD338" i="73"/>
  <c r="AD340" i="73" s="1"/>
  <c r="AF339" i="73" l="1"/>
  <c r="AE338" i="73"/>
  <c r="AE340" i="73" s="1"/>
  <c r="AG339" i="73" l="1"/>
  <c r="AF338" i="73"/>
  <c r="AF340" i="73" s="1"/>
  <c r="AH339" i="73" l="1"/>
  <c r="AG338" i="73"/>
  <c r="AG340" i="73" s="1"/>
  <c r="AI339" i="73" l="1"/>
  <c r="AH338" i="73"/>
  <c r="AH340" i="73" s="1"/>
  <c r="AJ339" i="73" l="1"/>
  <c r="AI338" i="73"/>
  <c r="AI340" i="73" s="1"/>
  <c r="AK339" i="73" l="1"/>
  <c r="AJ338" i="73"/>
  <c r="AJ340" i="73" s="1"/>
  <c r="AL339" i="73" l="1"/>
  <c r="AK338" i="73"/>
  <c r="AK340" i="73" s="1"/>
  <c r="AM339" i="73" l="1"/>
  <c r="AL338" i="73"/>
  <c r="AL340" i="73" s="1"/>
  <c r="AN339" i="73" l="1"/>
  <c r="AM338" i="73"/>
  <c r="AM340" i="73" s="1"/>
  <c r="AO339" i="73" l="1"/>
  <c r="AN338" i="73"/>
  <c r="AN340" i="73" s="1"/>
  <c r="AP339" i="73" l="1"/>
  <c r="AO338" i="73"/>
  <c r="AO340" i="73" s="1"/>
  <c r="AQ339" i="73" l="1"/>
  <c r="AP338" i="73"/>
  <c r="AP340" i="73" s="1"/>
  <c r="AR339" i="73" l="1"/>
  <c r="AQ338" i="73"/>
  <c r="AQ340" i="73" s="1"/>
  <c r="AS339" i="73" l="1"/>
  <c r="AR338" i="73"/>
  <c r="AR340" i="73" s="1"/>
  <c r="AT339" i="73" l="1"/>
  <c r="AS338" i="73"/>
  <c r="AS340" i="73" s="1"/>
  <c r="AU339" i="73" l="1"/>
  <c r="AT338" i="73"/>
  <c r="AT340" i="73" s="1"/>
  <c r="AV339" i="73" l="1"/>
  <c r="AU338" i="73"/>
  <c r="AU340" i="73" s="1"/>
  <c r="AW339" i="73" l="1"/>
  <c r="AV338" i="73"/>
  <c r="AV340" i="73" s="1"/>
  <c r="AX339" i="73" l="1"/>
  <c r="AW338" i="73"/>
  <c r="AW340" i="73" s="1"/>
  <c r="AY339" i="73" l="1"/>
  <c r="AX338" i="73"/>
  <c r="AX340" i="73" s="1"/>
  <c r="AZ339" i="73" l="1"/>
  <c r="AY338" i="73"/>
  <c r="AY340" i="73" s="1"/>
  <c r="BA339" i="73" l="1"/>
  <c r="AZ338" i="73"/>
  <c r="AZ340" i="73" s="1"/>
  <c r="BB339" i="73" l="1"/>
  <c r="BA338" i="73"/>
  <c r="BA340" i="73" s="1"/>
  <c r="BC339" i="73" l="1"/>
  <c r="BB338" i="73"/>
  <c r="BB340" i="73" s="1"/>
  <c r="BD339" i="73" l="1"/>
  <c r="BC338" i="73"/>
  <c r="BC340" i="73" s="1"/>
  <c r="BE339" i="73" l="1"/>
  <c r="BD338" i="73"/>
  <c r="BD340" i="73" s="1"/>
  <c r="BF339" i="73" l="1"/>
  <c r="BE338" i="73"/>
  <c r="BE340" i="73" s="1"/>
  <c r="BG339" i="73" l="1"/>
  <c r="BF338" i="73"/>
  <c r="BF340" i="73" s="1"/>
  <c r="BH339" i="73" l="1"/>
  <c r="BG338" i="73"/>
  <c r="BG340" i="73" s="1"/>
  <c r="BI339" i="73" l="1"/>
  <c r="BH338" i="73"/>
  <c r="BH340" i="73" s="1"/>
  <c r="BJ339" i="73" l="1"/>
  <c r="BI338" i="73"/>
  <c r="BI340" i="73" s="1"/>
  <c r="BK339" i="73" l="1"/>
  <c r="BJ338" i="73"/>
  <c r="BJ340" i="73" s="1"/>
  <c r="BL339" i="73" l="1"/>
  <c r="BK338" i="73"/>
  <c r="BK340" i="73" s="1"/>
  <c r="AQ67" i="68"/>
  <c r="BM339" i="73" l="1"/>
  <c r="BL338" i="73"/>
  <c r="BL340" i="73" s="1"/>
  <c r="AQ89" i="68"/>
  <c r="BN339" i="73" l="1"/>
  <c r="BM338" i="73"/>
  <c r="BM340" i="73" s="1"/>
  <c r="W379" i="36"/>
  <c r="W381" i="36"/>
  <c r="W346" i="36"/>
  <c r="BO339" i="73" l="1"/>
  <c r="BN338" i="73"/>
  <c r="BN340" i="73" s="1"/>
  <c r="W344" i="36"/>
  <c r="W347" i="36" s="1"/>
  <c r="U347" i="36"/>
  <c r="U358" i="36" s="1"/>
  <c r="U370" i="36" s="1"/>
  <c r="U382" i="36" s="1"/>
  <c r="BP339" i="73" l="1"/>
  <c r="BO338" i="73"/>
  <c r="BO340" i="73" s="1"/>
  <c r="W358" i="36"/>
  <c r="W370" i="36" s="1"/>
  <c r="W382" i="36" s="1"/>
  <c r="AQ45" i="68"/>
  <c r="AQ51" i="68" s="1"/>
  <c r="AQ59" i="68" s="1"/>
  <c r="AG45" i="68"/>
  <c r="AG51" i="68" s="1"/>
  <c r="AG59" i="68" s="1"/>
  <c r="BQ339" i="73" l="1"/>
  <c r="BP338" i="73"/>
  <c r="BP340" i="73" s="1"/>
  <c r="AT43" i="52"/>
  <c r="BR339" i="73" l="1"/>
  <c r="BQ338" i="73"/>
  <c r="BQ340" i="73" s="1"/>
  <c r="AT69" i="71"/>
  <c r="BS339" i="73" l="1"/>
  <c r="BR338" i="73"/>
  <c r="BR340" i="73" s="1"/>
  <c r="AT42" i="52"/>
  <c r="BT339" i="73" l="1"/>
  <c r="BS338" i="73"/>
  <c r="BS340" i="73" s="1"/>
  <c r="AT45" i="52"/>
  <c r="AT40" i="52"/>
  <c r="AT41" i="52"/>
  <c r="AT39" i="52"/>
  <c r="BU339" i="73" l="1"/>
  <c r="BT338" i="73"/>
  <c r="BT340" i="73" s="1"/>
  <c r="AT35" i="52"/>
  <c r="AT51" i="52" s="1"/>
  <c r="AT38" i="52"/>
  <c r="BV339" i="73" l="1"/>
  <c r="BU338" i="73"/>
  <c r="BU340" i="73" s="1"/>
  <c r="AS17" i="67"/>
  <c r="AS20" i="67" s="1"/>
  <c r="AL35" i="52"/>
  <c r="AL51" i="52" s="1"/>
  <c r="AL47" i="52"/>
  <c r="AT87" i="71"/>
  <c r="AT70" i="71"/>
  <c r="AT80" i="71"/>
  <c r="AT79" i="71"/>
  <c r="AT78" i="71"/>
  <c r="AT77" i="71"/>
  <c r="AT73" i="71"/>
  <c r="AT76" i="71"/>
  <c r="AT81" i="71"/>
  <c r="AT86" i="71"/>
  <c r="AT71" i="71"/>
  <c r="AT67" i="71"/>
  <c r="AT82" i="71"/>
  <c r="AT75" i="71"/>
  <c r="AT83" i="71"/>
  <c r="AT74" i="71"/>
  <c r="AT72" i="71"/>
  <c r="AT65" i="71"/>
  <c r="AT68" i="71"/>
  <c r="BW339" i="73" l="1"/>
  <c r="BV338" i="73"/>
  <c r="BV340" i="73" s="1"/>
  <c r="AM47" i="52"/>
  <c r="AM35" i="52"/>
  <c r="AM51" i="52" s="1"/>
  <c r="BX339" i="73" l="1"/>
  <c r="BW338" i="73"/>
  <c r="BW340" i="73" s="1"/>
  <c r="AN47" i="52"/>
  <c r="AN35" i="52"/>
  <c r="AN51" i="52" s="1"/>
  <c r="AT32" i="71"/>
  <c r="AT64" i="71"/>
  <c r="AT26" i="65"/>
  <c r="AT27" i="65" s="1"/>
  <c r="AT19" i="65"/>
  <c r="BY339" i="73" l="1"/>
  <c r="BX338" i="73"/>
  <c r="BX340" i="73" s="1"/>
  <c r="AT61" i="71"/>
  <c r="AT90" i="71" s="1"/>
  <c r="AT85" i="71"/>
  <c r="BZ339" i="73" l="1"/>
  <c r="BY338" i="73"/>
  <c r="BY340" i="73" s="1"/>
  <c r="AS33" i="67"/>
  <c r="AS39" i="67" s="1"/>
  <c r="CA339" i="73" l="1"/>
  <c r="BZ338" i="73"/>
  <c r="BZ340" i="73" s="1"/>
  <c r="AX113" i="46"/>
  <c r="CB339" i="73" l="1"/>
  <c r="CA338" i="73"/>
  <c r="CA340" i="73" s="1"/>
  <c r="AP6" i="63" l="1"/>
  <c r="AP11" i="63" s="1"/>
  <c r="AP14" i="63" s="1"/>
  <c r="CC339" i="73"/>
  <c r="CB338" i="73"/>
  <c r="CB340" i="73" s="1"/>
  <c r="BJ76" i="3"/>
  <c r="BB30" i="9" l="1"/>
  <c r="BB17" i="9"/>
  <c r="BB25" i="9"/>
  <c r="CD339" i="73"/>
  <c r="CC338" i="73"/>
  <c r="CC340" i="73" s="1"/>
  <c r="BJ87" i="3"/>
  <c r="BJ88" i="3" s="1"/>
  <c r="BB128" i="9" l="1"/>
  <c r="BB126" i="9" s="1"/>
  <c r="BB130" i="9" s="1"/>
  <c r="BB28" i="9"/>
  <c r="CE339" i="73"/>
  <c r="CD338" i="73"/>
  <c r="CD340" i="73" s="1"/>
  <c r="BB131" i="9" l="1"/>
  <c r="BB26" i="9"/>
  <c r="CF339" i="73"/>
  <c r="CE338" i="73"/>
  <c r="CE340" i="73" s="1"/>
  <c r="AU22" i="26"/>
  <c r="AU23" i="26" s="1"/>
  <c r="CG339" i="73" l="1"/>
  <c r="CF338" i="73"/>
  <c r="CF340" i="73" s="1"/>
  <c r="AU12" i="26"/>
  <c r="AU13" i="26" s="1"/>
  <c r="CH339" i="73" l="1"/>
  <c r="CG338" i="73"/>
  <c r="CG340" i="73" s="1"/>
  <c r="CI339" i="73" l="1"/>
  <c r="CH338" i="73"/>
  <c r="CH340" i="73" s="1"/>
  <c r="CJ339" i="73" l="1"/>
  <c r="CI338" i="73"/>
  <c r="CI340" i="73" s="1"/>
  <c r="CK339" i="73" l="1"/>
  <c r="CJ338" i="73"/>
  <c r="CJ340" i="73" s="1"/>
  <c r="CL339" i="73" l="1"/>
  <c r="CK338" i="73"/>
  <c r="CK340" i="73" s="1"/>
  <c r="CM339" i="73" l="1"/>
  <c r="CL338" i="73"/>
  <c r="CL340" i="73" s="1"/>
  <c r="CN339" i="73" l="1"/>
  <c r="CM338" i="73"/>
  <c r="CM340" i="73" s="1"/>
  <c r="CO339" i="73" l="1"/>
  <c r="CN338" i="73"/>
  <c r="CN340" i="73" s="1"/>
  <c r="CP339" i="73" l="1"/>
  <c r="CO338" i="73"/>
  <c r="CO340" i="73" s="1"/>
  <c r="CQ339" i="73" l="1"/>
  <c r="CP338" i="73"/>
  <c r="CP340" i="73" s="1"/>
  <c r="CR339" i="73" l="1"/>
  <c r="CQ338" i="73"/>
  <c r="CQ340" i="73" s="1"/>
  <c r="CS339" i="73" l="1"/>
  <c r="CR338" i="73"/>
  <c r="CR340" i="73" s="1"/>
  <c r="CT339" i="73" l="1"/>
  <c r="CS338" i="73"/>
  <c r="CS340" i="73" s="1"/>
  <c r="CU339" i="73" l="1"/>
  <c r="CT338" i="73"/>
  <c r="CT340" i="73" s="1"/>
  <c r="CV339" i="73" l="1"/>
  <c r="CU338" i="73"/>
  <c r="CU340" i="73" s="1"/>
  <c r="CV338" i="73" l="1"/>
  <c r="CV340" i="73" s="1"/>
  <c r="CW339" i="73"/>
  <c r="CX339" i="73" l="1"/>
  <c r="CW338" i="73"/>
  <c r="CW340" i="73" s="1"/>
  <c r="CX338" i="73" l="1"/>
  <c r="CX340" i="73" s="1"/>
  <c r="CY339" i="73"/>
  <c r="CZ339" i="73" s="1"/>
  <c r="CZ338" i="73" l="1"/>
  <c r="CZ340" i="73" s="1"/>
  <c r="DA339" i="73"/>
  <c r="CY338" i="73"/>
  <c r="CY340" i="73" s="1"/>
  <c r="DA338" i="73" l="1"/>
  <c r="DA340" i="73" s="1"/>
  <c r="DB339" i="73"/>
  <c r="J9" i="76"/>
  <c r="DC339" i="73" l="1"/>
  <c r="DD339" i="73" s="1"/>
  <c r="DD338" i="73" s="1"/>
  <c r="DD340" i="73" s="1"/>
  <c r="DB338" i="73"/>
  <c r="DB340" i="73" s="1"/>
  <c r="DC338" i="73" l="1"/>
  <c r="DC340" i="73" s="1"/>
  <c r="AM195" i="77"/>
  <c r="AI195" i="77"/>
  <c r="AH195" i="77"/>
  <c r="AK195" i="77"/>
  <c r="AL195" i="77"/>
  <c r="AF195" i="77"/>
  <c r="AG195" i="77"/>
  <c r="AJ195" i="77"/>
  <c r="AE195" i="77"/>
  <c r="AU194" i="77" l="1"/>
  <c r="AW194" i="77"/>
  <c r="AX194" i="77"/>
  <c r="AV194" i="77"/>
  <c r="AY194" i="77"/>
  <c r="AG194" i="77" l="1"/>
  <c r="AJ194" i="77"/>
  <c r="AH194" i="77"/>
  <c r="AL194" i="77"/>
  <c r="AM194" i="77"/>
  <c r="AI194" i="77"/>
  <c r="AF194" i="77"/>
  <c r="AE194" i="77"/>
  <c r="AK194" i="77"/>
  <c r="BM9" i="84" l="1"/>
  <c r="AU193" i="77" l="1"/>
  <c r="AX193" i="77"/>
  <c r="AV193" i="77"/>
  <c r="AW193" i="77"/>
  <c r="AY193" i="77"/>
  <c r="BM6" i="84"/>
  <c r="AM193" i="77" l="1"/>
  <c r="AL193" i="77"/>
  <c r="AF193" i="77"/>
  <c r="AI193" i="77"/>
  <c r="AG193" i="77"/>
  <c r="AH193" i="77"/>
  <c r="AE193" i="77"/>
  <c r="AK193" i="77"/>
  <c r="AJ193" i="77"/>
  <c r="BM12" i="84"/>
  <c r="AY192" i="77" l="1"/>
  <c r="AV191" i="77"/>
  <c r="AW191" i="77"/>
  <c r="AU191" i="77"/>
  <c r="AY191" i="77"/>
  <c r="AU192" i="77"/>
  <c r="AV192" i="77"/>
  <c r="AX191" i="77"/>
  <c r="AW192" i="77"/>
  <c r="AX192" i="77"/>
  <c r="AJ192" i="77" l="1"/>
  <c r="AG192" i="77"/>
  <c r="AL192" i="77"/>
  <c r="AI192" i="77"/>
  <c r="AF192" i="77"/>
  <c r="AH192" i="77"/>
  <c r="AE192" i="77"/>
  <c r="AM192" i="77"/>
  <c r="AK192" i="77"/>
  <c r="AE191" i="77" l="1"/>
  <c r="AG191" i="77"/>
  <c r="AM191" i="77"/>
  <c r="AL191" i="77"/>
  <c r="AK191" i="77"/>
  <c r="AF191" i="77"/>
  <c r="AI191" i="77"/>
  <c r="AH191" i="77"/>
  <c r="AJ191" i="77"/>
  <c r="AY190" i="77" l="1"/>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I158" i="77"/>
  <c r="AH158" i="77"/>
  <c r="AJ167" i="77"/>
  <c r="AF167" i="77"/>
  <c r="AG167" i="77"/>
  <c r="AK167" i="77"/>
  <c r="AE167" i="77"/>
  <c r="AM167" i="77"/>
  <c r="AH167" i="77"/>
  <c r="AI167" i="77"/>
  <c r="AX190" i="77"/>
  <c r="AK98" i="77"/>
  <c r="AM98" i="77"/>
  <c r="AG98" i="77"/>
  <c r="AJ98" i="77"/>
  <c r="AE98" i="77"/>
  <c r="AF98" i="77"/>
  <c r="AH98" i="77"/>
  <c r="AI98" i="77"/>
  <c r="AM100" i="77"/>
  <c r="AI100" i="77"/>
  <c r="AH100" i="77"/>
  <c r="AE100" i="77"/>
  <c r="AG100" i="77"/>
  <c r="AF100" i="77"/>
  <c r="AK100" i="77"/>
  <c r="AJ100" i="77"/>
  <c r="AM170" i="77"/>
  <c r="AJ170" i="77"/>
  <c r="AF170" i="77"/>
  <c r="AH170" i="77"/>
  <c r="AI170" i="77"/>
  <c r="AE170" i="77"/>
  <c r="AK170" i="77"/>
  <c r="AG170"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I101" i="77"/>
  <c r="AK101" i="77"/>
  <c r="AG101" i="77"/>
  <c r="AE101" i="77"/>
  <c r="AM101" i="77"/>
  <c r="AI102" i="77"/>
  <c r="AG102" i="77"/>
  <c r="AK102" i="77"/>
  <c r="AH102" i="77"/>
  <c r="AM102" i="77"/>
  <c r="AF102" i="77"/>
  <c r="AJ102" i="77"/>
  <c r="AE102" i="77"/>
  <c r="AE161" i="77"/>
  <c r="AF161" i="77"/>
  <c r="AG161" i="77"/>
  <c r="AI161" i="77"/>
  <c r="AH161" i="77"/>
  <c r="AJ161" i="77"/>
  <c r="AK161" i="77"/>
  <c r="AM161" i="77"/>
  <c r="AU190"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H92" i="77"/>
  <c r="AH159" i="77"/>
  <c r="AJ159" i="77"/>
  <c r="AE159" i="77"/>
  <c r="AG159" i="77"/>
  <c r="AM159" i="77"/>
  <c r="AI159" i="77"/>
  <c r="AK159" i="77"/>
  <c r="AF159" i="77"/>
  <c r="AI96" i="77"/>
  <c r="AH96" i="77"/>
  <c r="AE96" i="77"/>
  <c r="AJ96" i="77"/>
  <c r="AF96" i="77"/>
  <c r="AG96" i="77"/>
  <c r="AK96" i="77"/>
  <c r="AM96" i="77"/>
  <c r="AE104" i="77"/>
  <c r="AM104" i="77"/>
  <c r="AJ104" i="77"/>
  <c r="AG104" i="77"/>
  <c r="AF104" i="77"/>
  <c r="AH104" i="77"/>
  <c r="AI104" i="77"/>
  <c r="AK104" i="77"/>
  <c r="AG155" i="77"/>
  <c r="AH155" i="77"/>
  <c r="AF155" i="77"/>
  <c r="AK155" i="77"/>
  <c r="AE155" i="77"/>
  <c r="AM155" i="77"/>
  <c r="AJ155" i="77"/>
  <c r="AI155" i="77"/>
  <c r="AG163" i="77"/>
  <c r="AE163" i="77"/>
  <c r="AI163" i="77"/>
  <c r="AJ163" i="77"/>
  <c r="AH163" i="77"/>
  <c r="AM163" i="77"/>
  <c r="AK163" i="77"/>
  <c r="AF163" i="77"/>
  <c r="AG89" i="77"/>
  <c r="AF89" i="77"/>
  <c r="AM89" i="77"/>
  <c r="AI89"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L189" i="77"/>
  <c r="AM189" i="77"/>
  <c r="AH189" i="77"/>
  <c r="AG189" i="77"/>
  <c r="AJ189" i="77"/>
  <c r="AK189" i="77"/>
  <c r="AE189" i="77"/>
  <c r="AF189" i="77"/>
  <c r="AI189" i="77"/>
  <c r="AM177" i="77"/>
  <c r="AL177" i="77"/>
  <c r="AF177" i="77"/>
  <c r="AE177" i="77"/>
  <c r="AG177" i="77"/>
  <c r="AH177" i="77"/>
  <c r="AI177" i="77"/>
  <c r="AK177" i="77"/>
  <c r="AJ177" i="77"/>
  <c r="AE181" i="77"/>
  <c r="AL181" i="77"/>
  <c r="AI181" i="77"/>
  <c r="AG181" i="77"/>
  <c r="AJ181" i="77"/>
  <c r="AK181" i="77"/>
  <c r="AH181" i="77"/>
  <c r="AM181" i="77"/>
  <c r="AF181" i="77"/>
  <c r="AE176" i="77"/>
  <c r="AL176" i="77"/>
  <c r="AG176" i="77"/>
  <c r="AK176" i="77"/>
  <c r="AJ176" i="77"/>
  <c r="AM176" i="77"/>
  <c r="AF176" i="77"/>
  <c r="AH176" i="77"/>
  <c r="AI176"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G179" i="77"/>
  <c r="AJ179" i="77"/>
  <c r="AE179" i="77"/>
  <c r="AH179" i="77"/>
  <c r="AF179" i="77"/>
  <c r="AM179" i="77"/>
  <c r="AI179" i="77"/>
  <c r="AL179" i="77"/>
  <c r="AK179" i="77"/>
  <c r="AM186" i="77"/>
  <c r="AH186" i="77"/>
  <c r="AG186" i="77"/>
  <c r="AL186" i="77"/>
  <c r="AK186" i="77"/>
  <c r="AE186" i="77"/>
  <c r="AF186" i="77"/>
  <c r="AI186" i="77"/>
  <c r="AJ186" i="77"/>
  <c r="AI178" i="77"/>
  <c r="AL178" i="77"/>
  <c r="AM178" i="77"/>
  <c r="AJ178" i="77"/>
  <c r="AK178" i="77"/>
  <c r="AF178" i="77"/>
  <c r="AG178" i="77"/>
  <c r="AH178" i="77"/>
  <c r="AE178" i="77"/>
  <c r="AE185" i="77" l="1"/>
  <c r="AF185" i="77"/>
  <c r="AL185" i="77"/>
  <c r="AK185" i="77"/>
  <c r="AJ185" i="77"/>
  <c r="AG185" i="77"/>
  <c r="AM185" i="77"/>
  <c r="AH185" i="77"/>
  <c r="AI185" i="77"/>
  <c r="AI190" i="77" l="1"/>
  <c r="AJ190" i="77"/>
  <c r="AH190" i="77"/>
  <c r="AM190" i="77"/>
  <c r="AE190" i="77"/>
  <c r="AL190" i="77"/>
  <c r="AK190" i="77"/>
  <c r="AG190" i="77"/>
  <c r="AF190" i="77"/>
  <c r="BL9" i="84"/>
  <c r="BL6" i="84" l="1"/>
  <c r="BL12" i="84" l="1"/>
  <c r="AU189" i="77" l="1"/>
  <c r="AY189" i="77"/>
  <c r="AX189" i="77"/>
  <c r="AW189" i="77"/>
  <c r="AV189" i="77"/>
  <c r="AU188" i="77" l="1"/>
  <c r="AW188" i="77"/>
  <c r="AV188" i="77"/>
  <c r="AX188" i="77"/>
  <c r="AY188" i="77"/>
  <c r="AK187" i="77" l="1"/>
  <c r="AF187" i="77"/>
  <c r="AH187" i="77"/>
  <c r="AE187" i="77"/>
  <c r="AG187" i="77"/>
  <c r="AL187" i="77"/>
  <c r="AM187" i="77"/>
  <c r="AJ187" i="77"/>
  <c r="AI187" i="77"/>
  <c r="AP164" i="83" l="1"/>
  <c r="BK9" i="84" l="1"/>
  <c r="BK6" i="84" l="1"/>
  <c r="AX187" i="77" l="1"/>
  <c r="AW187" i="77"/>
  <c r="AY187" i="77"/>
  <c r="AU187" i="77"/>
  <c r="AV187" i="77"/>
  <c r="BK12" i="84"/>
  <c r="AU186" i="77" l="1"/>
  <c r="AV186" i="77"/>
  <c r="AW186" i="77"/>
  <c r="AX186" i="77"/>
  <c r="AY186" i="77"/>
  <c r="AV185" i="77" l="1"/>
  <c r="AW185" i="77"/>
  <c r="AU185" i="77"/>
  <c r="AX185" i="77"/>
  <c r="AY185" i="77"/>
  <c r="AU184" i="77" l="1"/>
  <c r="AW184" i="77"/>
  <c r="AY184" i="77"/>
  <c r="AV184" i="77"/>
  <c r="AX184" i="77"/>
  <c r="AU183" i="77" l="1"/>
  <c r="AW183" i="77"/>
  <c r="AY183" i="77"/>
  <c r="AV183" i="77"/>
  <c r="AX183" i="77"/>
  <c r="AO165" i="83"/>
  <c r="BJ9" i="84" l="1"/>
  <c r="BJ6" i="84" l="1"/>
  <c r="BJ12" i="84" l="1"/>
  <c r="AJ183" i="77" l="1"/>
  <c r="AL183" i="77"/>
  <c r="AK183" i="77"/>
  <c r="AI183" i="77"/>
  <c r="AG183" i="77"/>
  <c r="AM183" i="77"/>
  <c r="AH183" i="77"/>
  <c r="AF183" i="77"/>
  <c r="AE183" i="77"/>
  <c r="AX182" i="77" l="1"/>
  <c r="AY182" i="77"/>
  <c r="AU182" i="77"/>
  <c r="AV182" i="77"/>
  <c r="AW182" i="77"/>
  <c r="AU181" i="77" l="1"/>
  <c r="AW181" i="77"/>
  <c r="AV181" i="77"/>
  <c r="AX181" i="77"/>
  <c r="AY181" i="77"/>
  <c r="AN165" i="83" l="1"/>
  <c r="BI9" i="84"/>
  <c r="BI6" i="84" l="1"/>
  <c r="BI12" i="84" l="1"/>
  <c r="AW180" i="77" l="1"/>
  <c r="AV180" i="77"/>
  <c r="AX180" i="77"/>
  <c r="AY180" i="77"/>
  <c r="AU180" i="77"/>
  <c r="AY179" i="77" l="1"/>
  <c r="AX179" i="77"/>
  <c r="AW179" i="77"/>
  <c r="AU179" i="77"/>
  <c r="AV179" i="77"/>
  <c r="AU178" i="77" l="1"/>
  <c r="AV178" i="77"/>
  <c r="AW178" i="77"/>
  <c r="AX178" i="77"/>
  <c r="AY178" i="77"/>
  <c r="AM165" i="83" l="1"/>
  <c r="BH9" i="84"/>
  <c r="AW177" i="77" l="1"/>
  <c r="AX177" i="77"/>
  <c r="AU177" i="77"/>
  <c r="AV177" i="77"/>
  <c r="AY177" i="77"/>
  <c r="BH6" i="84"/>
  <c r="BH12" i="84" l="1"/>
  <c r="AU176" i="77" l="1"/>
  <c r="AX176" i="77"/>
  <c r="AV176" i="77"/>
  <c r="AW176" i="77"/>
  <c r="AY176"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W173" i="77" l="1"/>
  <c r="AY173" i="77"/>
  <c r="AV173" i="77"/>
  <c r="AX173" i="77"/>
  <c r="AU173" i="77"/>
  <c r="AK164" i="83" l="1"/>
  <c r="AP165" i="83" s="1"/>
  <c r="AL165" i="83"/>
  <c r="BG9" i="84"/>
  <c r="BG6" i="84" l="1"/>
  <c r="BG12" i="84" l="1"/>
  <c r="AV172" i="77" l="1"/>
  <c r="AX172" i="77"/>
  <c r="AW172" i="77"/>
  <c r="AY172" i="77"/>
  <c r="AU172" i="77"/>
  <c r="AJ165" i="83" l="1"/>
  <c r="BF9" i="84"/>
  <c r="BF6" i="84" l="1"/>
  <c r="BF12" i="84" l="1"/>
  <c r="AV171" i="77" l="1"/>
  <c r="AX171" i="77"/>
  <c r="AY171" i="77"/>
  <c r="AW171" i="77"/>
  <c r="AU171" i="77"/>
  <c r="AX170" i="77" l="1"/>
  <c r="AY170" i="77"/>
  <c r="AU170" i="77"/>
  <c r="AV170" i="77"/>
  <c r="AW170" i="77"/>
  <c r="AM169" i="77" l="1"/>
  <c r="AG169" i="77"/>
  <c r="AF169" i="77"/>
  <c r="AH169" i="77"/>
  <c r="AI169" i="77"/>
  <c r="AK169" i="77"/>
  <c r="AE169" i="77"/>
  <c r="AJ169" i="77"/>
  <c r="AU169" i="77" l="1"/>
  <c r="AV169" i="77"/>
  <c r="AX169" i="77"/>
  <c r="AY169" i="77"/>
  <c r="AW169" i="77"/>
  <c r="AI165" i="83" l="1"/>
  <c r="BE9" i="84"/>
  <c r="BE6" i="84" l="1"/>
  <c r="BE12" i="84" l="1"/>
  <c r="AW168" i="77" l="1"/>
  <c r="AE168" i="77"/>
  <c r="AJ168" i="77"/>
  <c r="AI168" i="77"/>
  <c r="AF168" i="77"/>
  <c r="AK168" i="77"/>
  <c r="AH168" i="77"/>
  <c r="AM168" i="77"/>
  <c r="AG168" i="77"/>
  <c r="AX168" i="77"/>
  <c r="AY168" i="77"/>
  <c r="AU168" i="77"/>
  <c r="AV168" i="77"/>
  <c r="AY167" i="77" l="1"/>
  <c r="AV167" i="77"/>
  <c r="AX167" i="77"/>
  <c r="AW167" i="77"/>
  <c r="AU167" i="77"/>
  <c r="AY166" i="77" l="1"/>
  <c r="AU166" i="77"/>
  <c r="AV166" i="77"/>
  <c r="AW166" i="77"/>
  <c r="AX166" i="77"/>
  <c r="AF166" i="77" l="1"/>
  <c r="AE166" i="77"/>
  <c r="AG166" i="77"/>
  <c r="AK166" i="77"/>
  <c r="AJ166" i="77"/>
  <c r="AH166" i="77"/>
  <c r="AM166" i="77"/>
  <c r="AI166" i="77"/>
  <c r="AH165" i="83" l="1"/>
  <c r="BD6" i="84" l="1"/>
  <c r="AW120" i="77" l="1"/>
  <c r="AX136" i="77"/>
  <c r="AY154" i="77"/>
  <c r="AW117" i="77"/>
  <c r="AX159" i="77"/>
  <c r="AU151" i="77"/>
  <c r="AX156" i="77"/>
  <c r="AY123" i="77"/>
  <c r="AY118" i="77"/>
  <c r="AV121" i="77"/>
  <c r="AX139" i="77"/>
  <c r="AU150" i="77"/>
  <c r="AW141" i="77"/>
  <c r="AV132" i="77"/>
  <c r="AY135" i="77"/>
  <c r="AW142" i="77"/>
  <c r="AY126" i="77"/>
  <c r="AY114" i="77"/>
  <c r="AX115" i="77"/>
  <c r="AW124" i="77"/>
  <c r="AY133" i="77"/>
  <c r="AW144" i="77"/>
  <c r="AV145" i="77"/>
  <c r="AU157" i="77"/>
  <c r="AV160" i="77"/>
  <c r="AW109" i="77"/>
  <c r="AU112" i="77"/>
  <c r="AU127" i="77"/>
  <c r="AW129" i="77"/>
  <c r="AX130" i="77"/>
  <c r="AW138" i="77"/>
  <c r="AV147" i="77"/>
  <c r="AU148" i="77"/>
  <c r="AX153" i="77"/>
  <c r="AX162" i="77"/>
  <c r="AY163" i="77"/>
  <c r="AV165" i="77"/>
  <c r="AU111" i="77"/>
  <c r="J165" i="83"/>
  <c r="U165" i="83"/>
  <c r="AV108" i="77"/>
  <c r="AW110" i="77"/>
  <c r="AX116" i="77"/>
  <c r="AV118" i="77"/>
  <c r="AU119" i="77"/>
  <c r="AX125" i="77"/>
  <c r="AY115" i="77"/>
  <c r="AY116" i="77"/>
  <c r="AV119" i="77"/>
  <c r="AX124" i="77"/>
  <c r="AY125" i="77"/>
  <c r="AU130" i="77"/>
  <c r="AU131" i="77"/>
  <c r="AY134" i="77"/>
  <c r="AW137" i="77"/>
  <c r="AU139" i="77"/>
  <c r="AW108" i="77"/>
  <c r="AX109" i="77"/>
  <c r="AX110" i="77"/>
  <c r="AX117" i="77"/>
  <c r="AW118" i="77"/>
  <c r="AU120" i="77"/>
  <c r="AV128" i="77"/>
  <c r="AX131" i="77"/>
  <c r="AX119" i="77"/>
  <c r="AU126" i="77"/>
  <c r="AX129" i="77"/>
  <c r="AY130" i="77"/>
  <c r="AU133" i="77"/>
  <c r="AU134" i="77"/>
  <c r="AU135" i="77"/>
  <c r="AY139" i="77"/>
  <c r="AX140" i="77"/>
  <c r="AX141" i="77"/>
  <c r="AX142" i="77"/>
  <c r="AX143" i="77"/>
  <c r="AY108" i="77"/>
  <c r="AU113" i="77"/>
  <c r="AU122" i="77"/>
  <c r="AW140" i="77"/>
  <c r="AW143" i="77"/>
  <c r="AV146" i="77"/>
  <c r="AY119" i="77"/>
  <c r="AX120" i="77"/>
  <c r="AW121" i="77"/>
  <c r="AV122" i="77"/>
  <c r="AU123" i="77"/>
  <c r="AV127" i="77"/>
  <c r="AW128" i="77"/>
  <c r="AY131" i="77"/>
  <c r="AW132" i="77"/>
  <c r="AV111" i="77"/>
  <c r="AV112" i="77"/>
  <c r="AV113" i="77"/>
  <c r="AU114" i="77"/>
  <c r="AU108" i="77"/>
  <c r="AV109" i="77"/>
  <c r="AV110" i="77"/>
  <c r="AY111" i="77"/>
  <c r="AY112" i="77"/>
  <c r="AY113" i="77"/>
  <c r="AX114" i="77"/>
  <c r="AW115" i="77"/>
  <c r="AW116" i="77"/>
  <c r="AV117" i="77"/>
  <c r="AU118" i="77"/>
  <c r="AY122" i="77"/>
  <c r="AX123" i="77"/>
  <c r="AV124" i="77"/>
  <c r="AW125" i="77"/>
  <c r="AX126" i="77"/>
  <c r="AY127" i="77"/>
  <c r="AU129" i="77"/>
  <c r="AV130" i="77"/>
  <c r="AV131" i="77"/>
  <c r="AY152" i="77"/>
  <c r="AV154" i="77"/>
  <c r="AW155" i="77"/>
  <c r="AY157" i="77"/>
  <c r="AY158" i="77"/>
  <c r="AW164" i="77"/>
  <c r="AY136" i="77"/>
  <c r="AX137" i="77"/>
  <c r="AX138" i="77"/>
  <c r="AV139" i="77"/>
  <c r="AU140" i="77"/>
  <c r="AU141" i="77"/>
  <c r="AU142" i="77"/>
  <c r="AU143" i="77"/>
  <c r="AU144" i="77"/>
  <c r="AX108" i="77"/>
  <c r="AY109" i="77"/>
  <c r="AY110" i="77"/>
  <c r="AY117" i="77"/>
  <c r="AX118" i="77"/>
  <c r="AW119" i="77"/>
  <c r="AV120" i="77"/>
  <c r="AU121" i="77"/>
  <c r="AY124" i="77"/>
  <c r="AU128" i="77"/>
  <c r="AV129" i="77"/>
  <c r="AW130" i="77"/>
  <c r="AW131" i="77"/>
  <c r="AU132" i="77"/>
  <c r="AY137" i="77"/>
  <c r="AY138" i="77"/>
  <c r="AW139" i="77"/>
  <c r="AV140" i="77"/>
  <c r="AV141" i="77"/>
  <c r="AV142" i="77"/>
  <c r="AV143" i="77"/>
  <c r="AV144" i="77"/>
  <c r="AU145" i="77"/>
  <c r="AU146" i="77"/>
  <c r="AU147" i="77"/>
  <c r="AY153" i="77"/>
  <c r="AW154" i="77"/>
  <c r="AX155" i="77"/>
  <c r="O165" i="83"/>
  <c r="V164" i="83"/>
  <c r="R165" i="83"/>
  <c r="AY156" i="77"/>
  <c r="AY161" i="77"/>
  <c r="AY162" i="77"/>
  <c r="AX164" i="77"/>
  <c r="AW165" i="77"/>
  <c r="AX154" i="77"/>
  <c r="AY155" i="77"/>
  <c r="Z165" i="83"/>
  <c r="AE165" i="83"/>
  <c r="AX161" i="77"/>
  <c r="AY164" i="77"/>
  <c r="AX165" i="77"/>
  <c r="I165" i="83"/>
  <c r="Q164" i="83"/>
  <c r="M165" i="83"/>
  <c r="AA164" i="83"/>
  <c r="W165" i="83"/>
  <c r="AY159" i="77"/>
  <c r="AU160" i="77"/>
  <c r="AW161" i="77"/>
  <c r="AY165" i="77"/>
  <c r="X165" i="83"/>
  <c r="AC165" i="83"/>
  <c r="AU158" i="77"/>
  <c r="AV161" i="77"/>
  <c r="AF164" i="83"/>
  <c r="AB165" i="83"/>
  <c r="AG165" i="83"/>
  <c r="AU163" i="77"/>
  <c r="AX144" i="77"/>
  <c r="AW145" i="77"/>
  <c r="AW146" i="77"/>
  <c r="AW147" i="77"/>
  <c r="AU149" i="77"/>
  <c r="AW111" i="77"/>
  <c r="AW112" i="77"/>
  <c r="AW113" i="77"/>
  <c r="AV114" i="77"/>
  <c r="AU115" i="77"/>
  <c r="AU116" i="77"/>
  <c r="AY120" i="77"/>
  <c r="AX121" i="77"/>
  <c r="AW122" i="77"/>
  <c r="AV123" i="77"/>
  <c r="AU125" i="77"/>
  <c r="AV126" i="77"/>
  <c r="AW127" i="77"/>
  <c r="AX128" i="77"/>
  <c r="AY129" i="77"/>
  <c r="AX132" i="77"/>
  <c r="AV133" i="77"/>
  <c r="AV134" i="77"/>
  <c r="AV135" i="77"/>
  <c r="AU136" i="77"/>
  <c r="AY140" i="77"/>
  <c r="AY141" i="77"/>
  <c r="AY142" i="77"/>
  <c r="AY143" i="77"/>
  <c r="AY144" i="77"/>
  <c r="AX145" i="77"/>
  <c r="AX146" i="77"/>
  <c r="AX147" i="77"/>
  <c r="AV148" i="77"/>
  <c r="AV149" i="77"/>
  <c r="AV150" i="77"/>
  <c r="AV151" i="77"/>
  <c r="AU152" i="77"/>
  <c r="AU109" i="77"/>
  <c r="AU110" i="77"/>
  <c r="AX111" i="77"/>
  <c r="AX112" i="77"/>
  <c r="AX113" i="77"/>
  <c r="AW114" i="77"/>
  <c r="AV115" i="77"/>
  <c r="AV116" i="77"/>
  <c r="AU117" i="77"/>
  <c r="AY121" i="77"/>
  <c r="AX122" i="77"/>
  <c r="AW123" i="77"/>
  <c r="AU124" i="77"/>
  <c r="AV125" i="77"/>
  <c r="AW126" i="77"/>
  <c r="AX127" i="77"/>
  <c r="AY128" i="77"/>
  <c r="AY132" i="77"/>
  <c r="AW133" i="77"/>
  <c r="AW134" i="77"/>
  <c r="AW135" i="77"/>
  <c r="AV136" i="77"/>
  <c r="AU137" i="77"/>
  <c r="AU138" i="77"/>
  <c r="AY145" i="77"/>
  <c r="AY146" i="77"/>
  <c r="AY147" i="77"/>
  <c r="AW148" i="77"/>
  <c r="AW149" i="77"/>
  <c r="AW150" i="77"/>
  <c r="AW151" i="77"/>
  <c r="AV152" i="77"/>
  <c r="AU153" i="77"/>
  <c r="P165" i="83"/>
  <c r="AU156" i="77"/>
  <c r="AV157" i="77"/>
  <c r="AV158" i="77"/>
  <c r="AW159" i="77"/>
  <c r="AW160" i="77"/>
  <c r="AU161" i="77"/>
  <c r="AU162" i="77"/>
  <c r="AV163" i="77"/>
  <c r="AX133" i="77"/>
  <c r="AX134" i="77"/>
  <c r="AX135" i="77"/>
  <c r="AW136" i="77"/>
  <c r="AV137" i="77"/>
  <c r="AV138" i="77"/>
  <c r="AX148" i="77"/>
  <c r="AX149" i="77"/>
  <c r="AX150" i="77"/>
  <c r="AX151" i="77"/>
  <c r="AW152" i="77"/>
  <c r="AV153" i="77"/>
  <c r="AU155" i="77"/>
  <c r="G164" i="83"/>
  <c r="H165" i="83"/>
  <c r="L164" i="83"/>
  <c r="N165" i="83"/>
  <c r="S165" i="83"/>
  <c r="AV156" i="77"/>
  <c r="AW157" i="77"/>
  <c r="AW158" i="77"/>
  <c r="AV159" i="77"/>
  <c r="AX160" i="77"/>
  <c r="AV162" i="77"/>
  <c r="AW163" i="77"/>
  <c r="AU164" i="77"/>
  <c r="AY148" i="77"/>
  <c r="AY149" i="77"/>
  <c r="AY150" i="77"/>
  <c r="AY151" i="77"/>
  <c r="AX152" i="77"/>
  <c r="AW153" i="77"/>
  <c r="AU154" i="77"/>
  <c r="AV155" i="77"/>
  <c r="K165" i="83"/>
  <c r="T165" i="83"/>
  <c r="AW156" i="77"/>
  <c r="AX157" i="77"/>
  <c r="Y165" i="83"/>
  <c r="AD165" i="83"/>
  <c r="AX158" i="77"/>
  <c r="AU159" i="77"/>
  <c r="AY160" i="77"/>
  <c r="AW162" i="77"/>
  <c r="AX163" i="77"/>
  <c r="AV164" i="77"/>
  <c r="AU165" i="77"/>
  <c r="AF9" i="84"/>
  <c r="AG9" i="84"/>
  <c r="O6" i="84"/>
  <c r="Q9" i="84"/>
  <c r="W6" i="84"/>
  <c r="Y9" i="84"/>
  <c r="AA9" i="84"/>
  <c r="AD6" i="84"/>
  <c r="AE9" i="84"/>
  <c r="G9" i="84"/>
  <c r="H6" i="84"/>
  <c r="AH9" i="84"/>
  <c r="I9" i="84"/>
  <c r="J6" i="84"/>
  <c r="M6" i="84"/>
  <c r="O9" i="84"/>
  <c r="U6" i="84"/>
  <c r="W9" i="84"/>
  <c r="AC6" i="84"/>
  <c r="AD9" i="84"/>
  <c r="L6" i="84"/>
  <c r="N9" i="84"/>
  <c r="T6" i="84"/>
  <c r="V9" i="84"/>
  <c r="C9" i="84"/>
  <c r="D9" i="84"/>
  <c r="F6" i="84"/>
  <c r="J9" i="84"/>
  <c r="K6" i="84"/>
  <c r="M9" i="84"/>
  <c r="S6" i="84"/>
  <c r="U9" i="84"/>
  <c r="AB6" i="84"/>
  <c r="AC9" i="84"/>
  <c r="C6" i="84"/>
  <c r="D6" i="84"/>
  <c r="L9" i="84"/>
  <c r="R6" i="84"/>
  <c r="T9" i="84"/>
  <c r="Z6" i="84"/>
  <c r="E6" i="84"/>
  <c r="P6" i="84"/>
  <c r="R9" i="84"/>
  <c r="X6" i="84"/>
  <c r="Z9" i="84"/>
  <c r="AY9" i="84"/>
  <c r="AJ9" i="84"/>
  <c r="AZ9" i="84"/>
  <c r="E9" i="84"/>
  <c r="G6" i="84"/>
  <c r="N6" i="84"/>
  <c r="P9" i="84"/>
  <c r="V6" i="84"/>
  <c r="X9" i="84"/>
  <c r="AT9" i="84"/>
  <c r="BC9" i="84"/>
  <c r="F9" i="84"/>
  <c r="K9" i="84"/>
  <c r="Q6" i="84"/>
  <c r="S9" i="84"/>
  <c r="Y6" i="84"/>
  <c r="AA6" i="84"/>
  <c r="AB9" i="84"/>
  <c r="AE6" i="84"/>
  <c r="AF6" i="84"/>
  <c r="AG6" i="84"/>
  <c r="AH6" i="84"/>
  <c r="AI9" i="84"/>
  <c r="AM9" i="84"/>
  <c r="AV9" i="84"/>
  <c r="AL9" i="84"/>
  <c r="AP9" i="84"/>
  <c r="AW9" i="84"/>
  <c r="BA9" i="84"/>
  <c r="AX9" i="84"/>
  <c r="H9" i="84"/>
  <c r="I6" i="84"/>
  <c r="AO9" i="84"/>
  <c r="AU9" i="84"/>
  <c r="BD9" i="84"/>
  <c r="AK9" i="84"/>
  <c r="BB9" i="84"/>
  <c r="AK134" i="77"/>
  <c r="AM133" i="77"/>
  <c r="AM136" i="77"/>
  <c r="AG125" i="77"/>
  <c r="AM126" i="77"/>
  <c r="AM127" i="77"/>
  <c r="AH128" i="77"/>
  <c r="AM129" i="77"/>
  <c r="AM130" i="77"/>
  <c r="AJ131" i="77"/>
  <c r="AM135" i="77"/>
  <c r="AM132" i="77"/>
  <c r="AH137" i="77"/>
  <c r="J12" i="84" l="1"/>
  <c r="AF12" i="84"/>
  <c r="AD12" i="84"/>
  <c r="K12" i="84"/>
  <c r="AH12" i="84"/>
  <c r="AG12" i="84"/>
  <c r="H12" i="84"/>
  <c r="AG135" i="77"/>
  <c r="AA165" i="83"/>
  <c r="AI132" i="77"/>
  <c r="AF132" i="77"/>
  <c r="L12" i="84"/>
  <c r="AH132" i="77"/>
  <c r="AH130" i="77"/>
  <c r="E12" i="84"/>
  <c r="M12" i="84"/>
  <c r="AH135" i="77"/>
  <c r="AI134" i="77"/>
  <c r="AC12" i="84"/>
  <c r="L165" i="83"/>
  <c r="AM138" i="77"/>
  <c r="AJ138" i="77"/>
  <c r="AI138" i="77"/>
  <c r="AE138" i="77"/>
  <c r="AG138" i="77"/>
  <c r="AF138" i="77"/>
  <c r="AH138" i="77"/>
  <c r="AK138" i="77"/>
  <c r="AM137" i="77"/>
  <c r="AM131" i="77"/>
  <c r="AI121" i="77"/>
  <c r="AK121" i="77"/>
  <c r="AG121" i="77"/>
  <c r="AM121" i="77"/>
  <c r="AE121" i="77"/>
  <c r="AH121" i="77"/>
  <c r="AJ121" i="77"/>
  <c r="AF121" i="77"/>
  <c r="AH129" i="77"/>
  <c r="AI126" i="77"/>
  <c r="AG131" i="77"/>
  <c r="AJ130" i="77"/>
  <c r="AF125" i="77"/>
  <c r="AK125" i="77"/>
  <c r="AE135" i="77"/>
  <c r="AE133"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H149" i="77"/>
  <c r="AE149" i="77"/>
  <c r="AJ149" i="77"/>
  <c r="AG149" i="77"/>
  <c r="AK149" i="77"/>
  <c r="AM149" i="77"/>
  <c r="AI149" i="77"/>
  <c r="AF149" i="77"/>
  <c r="O12" i="84"/>
  <c r="AE126" i="77"/>
  <c r="AJ127" i="77"/>
  <c r="AK129" i="77"/>
  <c r="AI135" i="77"/>
  <c r="AI133" i="77"/>
  <c r="AG130" i="77"/>
  <c r="AK127" i="77"/>
  <c r="AJ113" i="77"/>
  <c r="AF113" i="77"/>
  <c r="AM113" i="77"/>
  <c r="AE113" i="77"/>
  <c r="AH113"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M134" i="77"/>
  <c r="AG136" i="77"/>
  <c r="AH133" i="77"/>
  <c r="AF136" i="77"/>
  <c r="AG133" i="77"/>
  <c r="AE125" i="77"/>
  <c r="AE136" i="77"/>
  <c r="AF133" i="77"/>
  <c r="AJ133" i="77"/>
  <c r="AK126" i="77"/>
  <c r="AK133" i="77"/>
  <c r="AF131" i="77"/>
  <c r="AG132" i="77"/>
  <c r="AF129" i="77"/>
  <c r="AH125" i="77"/>
  <c r="AG137" i="77"/>
  <c r="AE131" i="77"/>
  <c r="AH126" i="77"/>
  <c r="AM111" i="77"/>
  <c r="AE111" i="77"/>
  <c r="AG111" i="77"/>
  <c r="AH111" i="77"/>
  <c r="AK111" i="77"/>
  <c r="AI111" i="77"/>
  <c r="AJ111" i="77"/>
  <c r="AF111" i="77"/>
  <c r="AF110" i="77"/>
  <c r="AM110" i="77"/>
  <c r="AK110" i="77"/>
  <c r="AE110" i="77"/>
  <c r="AG110" i="77"/>
  <c r="AI110" i="77"/>
  <c r="AH110" i="77"/>
  <c r="AJ110" i="77"/>
  <c r="AJ128" i="77"/>
  <c r="AM128" i="77"/>
  <c r="AM114" i="77"/>
  <c r="AG114" i="77"/>
  <c r="AF114" i="77"/>
  <c r="AJ114" i="77"/>
  <c r="AH114" i="77"/>
  <c r="AK114" i="77"/>
  <c r="AE114" i="77"/>
  <c r="AI114" i="77"/>
  <c r="W12" i="84"/>
  <c r="AK132" i="77"/>
  <c r="AI125" i="77"/>
  <c r="AI136" i="77"/>
  <c r="AG128" i="77"/>
  <c r="AF165" i="83"/>
  <c r="AK165" i="83"/>
  <c r="Q165" i="83"/>
  <c r="AF130" i="77"/>
  <c r="AH127" i="77"/>
  <c r="AI127" i="77"/>
  <c r="AK137" i="77"/>
  <c r="AI131"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E127" i="77"/>
  <c r="AH136"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M150" i="77"/>
  <c r="AK150" i="77"/>
  <c r="AI150" i="77"/>
  <c r="AG150" i="77"/>
  <c r="AF150" i="77"/>
  <c r="AE150" i="77"/>
  <c r="AJ150" i="77"/>
  <c r="AH150" i="77"/>
  <c r="AM147" i="77"/>
  <c r="AF147" i="77"/>
  <c r="AK147" i="77"/>
  <c r="AE147" i="77"/>
  <c r="AJ147" i="77"/>
  <c r="AH147" i="77"/>
  <c r="AG147" i="77"/>
  <c r="AI147" i="77"/>
  <c r="AJ137" i="77"/>
  <c r="AG127" i="77"/>
  <c r="AF135" i="77"/>
  <c r="AK131" i="77"/>
  <c r="AK136" i="77"/>
  <c r="AE132" i="77"/>
  <c r="AI129" i="77"/>
  <c r="AI130" i="77"/>
  <c r="AG126" i="77"/>
  <c r="AJ136" i="77"/>
  <c r="AE134" i="77"/>
  <c r="AE128" i="77"/>
  <c r="AK141" i="77"/>
  <c r="AG141" i="77"/>
  <c r="AM141" i="77"/>
  <c r="AF141" i="77"/>
  <c r="AE141" i="77"/>
  <c r="AI141" i="77"/>
  <c r="AJ141" i="77"/>
  <c r="AH141" i="77"/>
  <c r="AE152" i="77"/>
  <c r="AI152" i="77"/>
  <c r="AH152" i="77"/>
  <c r="AK152" i="77"/>
  <c r="AF152" i="77"/>
  <c r="AM152" i="77"/>
  <c r="AJ152" i="77"/>
  <c r="AG152" i="77"/>
  <c r="AJ125" i="77"/>
  <c r="AM125" i="77"/>
  <c r="AM124" i="77"/>
  <c r="AE124" i="77"/>
  <c r="AI124" i="77"/>
  <c r="AK124" i="77"/>
  <c r="AG124" i="77"/>
  <c r="AJ124" i="77"/>
  <c r="AF124" i="77"/>
  <c r="AH124" i="77"/>
  <c r="AI137" i="77"/>
  <c r="AF127" i="77"/>
  <c r="AJ135" i="77"/>
  <c r="AE129" i="77"/>
  <c r="AE130" i="77"/>
  <c r="AJ126" i="77"/>
  <c r="AG129" i="77"/>
  <c r="AI128" i="77"/>
  <c r="AG116" i="77"/>
  <c r="AH116" i="77"/>
  <c r="AE116" i="77"/>
  <c r="AF116" i="77"/>
  <c r="AJ116" i="77"/>
  <c r="AM116" i="77"/>
  <c r="AK116" i="77"/>
  <c r="AI116" i="77"/>
  <c r="AJ122" i="77"/>
  <c r="AH122" i="77"/>
  <c r="AG122" i="77"/>
  <c r="AK122" i="77"/>
  <c r="AI122" i="77"/>
  <c r="AE122" i="77"/>
  <c r="AM122" i="77"/>
  <c r="AF122" i="77"/>
  <c r="AM115" i="77"/>
  <c r="AG115" i="77"/>
  <c r="AK115" i="77"/>
  <c r="AJ115" i="77"/>
  <c r="AE115" i="77"/>
  <c r="AH115" i="77"/>
  <c r="AI115" i="77"/>
  <c r="AF115" i="77"/>
  <c r="AJ118" i="77"/>
  <c r="AE118" i="77"/>
  <c r="AH118" i="77"/>
  <c r="AM118" i="77"/>
  <c r="AI118" i="77"/>
  <c r="AG118" i="77"/>
  <c r="AK118" i="77"/>
  <c r="AF118" i="77"/>
  <c r="AM146" i="77"/>
  <c r="AH146" i="77"/>
  <c r="AG146" i="77"/>
  <c r="AF146" i="77"/>
  <c r="AJ146" i="77"/>
  <c r="AI146" i="77"/>
  <c r="AE146" i="77"/>
  <c r="AK146" i="77"/>
  <c r="AM148" i="77"/>
  <c r="AG148" i="77"/>
  <c r="AK148" i="77"/>
  <c r="AE148" i="77"/>
  <c r="AH148" i="77"/>
  <c r="AF148" i="77"/>
  <c r="AJ148" i="77"/>
  <c r="AI148" i="77"/>
  <c r="AF137" i="77"/>
  <c r="AH134" i="77"/>
  <c r="AE137" i="77"/>
  <c r="AG134" i="77"/>
  <c r="AK130" i="77"/>
  <c r="AF126" i="77"/>
  <c r="V165" i="83"/>
  <c r="AJ134" i="77"/>
  <c r="AK135" i="77"/>
  <c r="AF128" i="77"/>
  <c r="AH131" i="77"/>
  <c r="AJ132" i="77"/>
  <c r="AJ129" i="77"/>
  <c r="D12" i="84"/>
  <c r="C12" i="84"/>
  <c r="Y12" i="84"/>
  <c r="AA12" i="84"/>
  <c r="U12" i="84"/>
  <c r="Q12" i="84"/>
  <c r="V12" i="84"/>
  <c r="T12" i="84"/>
  <c r="N12" i="84"/>
  <c r="AE12" i="84"/>
  <c r="F12" i="84"/>
  <c r="I12" i="84"/>
  <c r="G12" i="84"/>
  <c r="AX6" i="84"/>
  <c r="S12" i="84"/>
  <c r="P12" i="84"/>
  <c r="AI6" i="84"/>
  <c r="AV6" i="84"/>
  <c r="AS6" i="84"/>
  <c r="AP6" i="84"/>
  <c r="BC6" i="84"/>
  <c r="AY6" i="84"/>
  <c r="BD12" i="84"/>
  <c r="AW6" i="84"/>
  <c r="AN6" i="84"/>
  <c r="Z12" i="84"/>
  <c r="AR9" i="84"/>
  <c r="AZ6" i="84"/>
  <c r="AL6" i="84"/>
  <c r="AU6" i="84"/>
  <c r="AB12" i="84"/>
  <c r="AO6" i="84"/>
  <c r="AJ6" i="84"/>
  <c r="R12" i="84"/>
  <c r="AN9" i="84"/>
  <c r="AT6" i="84"/>
  <c r="BA6" i="84"/>
  <c r="X12" i="84"/>
  <c r="BB6" i="84"/>
  <c r="AS9" i="84"/>
  <c r="AQ9" i="84"/>
  <c r="AM6" i="84"/>
  <c r="AK6" i="84"/>
  <c r="AP12" i="84" l="1"/>
  <c r="AL12" i="84"/>
  <c r="BB12" i="84"/>
  <c r="AV12" i="84"/>
  <c r="AX12" i="84"/>
  <c r="BC12" i="84"/>
  <c r="BA12" i="84"/>
  <c r="AO12" i="84"/>
  <c r="AY12" i="84"/>
  <c r="AZ12" i="84"/>
  <c r="AS12" i="84"/>
  <c r="AM12" i="84"/>
  <c r="AU12" i="84"/>
  <c r="AK12" i="84"/>
  <c r="AJ12" i="84"/>
  <c r="AQ6" i="84"/>
  <c r="AW12" i="84"/>
  <c r="AT12" i="84"/>
  <c r="AN12" i="84"/>
  <c r="AR6" i="84"/>
  <c r="AI12" i="84"/>
  <c r="AR12" i="84" l="1"/>
  <c r="AQ12" i="84"/>
  <c r="AP162" i="83" l="1"/>
  <c r="AO163" i="83" l="1"/>
  <c r="AN163" i="83" l="1"/>
  <c r="AM163" i="83" l="1"/>
  <c r="AK162" i="83" l="1"/>
  <c r="AP163" i="83" s="1"/>
  <c r="AL163" i="83"/>
  <c r="AJ163" i="83" l="1"/>
  <c r="AI163" i="83" l="1"/>
  <c r="AH163" i="83" l="1"/>
  <c r="J163" i="83" l="1"/>
  <c r="G162" i="83"/>
  <c r="N163" i="83"/>
  <c r="S163" i="83"/>
  <c r="I163" i="83"/>
  <c r="K163" i="83"/>
  <c r="T163" i="83"/>
  <c r="Y163" i="83"/>
  <c r="AD163" i="83"/>
  <c r="O163" i="83"/>
  <c r="V162" i="83"/>
  <c r="R163" i="83"/>
  <c r="Z163" i="83"/>
  <c r="AE163" i="83"/>
  <c r="M163" i="83"/>
  <c r="Q162" i="83"/>
  <c r="W163" i="83"/>
  <c r="AA162" i="83"/>
  <c r="L162" i="83"/>
  <c r="L163" i="83" s="1"/>
  <c r="H163" i="83"/>
  <c r="U163" i="83"/>
  <c r="X163" i="83"/>
  <c r="AC163" i="83"/>
  <c r="AF162" i="83"/>
  <c r="AB163" i="83"/>
  <c r="AG163" i="83"/>
  <c r="P163" i="83"/>
  <c r="V163" i="83" l="1"/>
  <c r="AA163" i="83"/>
  <c r="AF163" i="83"/>
  <c r="AK163" i="83"/>
  <c r="Q163" i="83"/>
  <c r="J8" i="76" l="1"/>
  <c r="J7" i="76" l="1"/>
  <c r="J6" i="76" s="1"/>
  <c r="E6" i="76"/>
  <c r="H6" i="76" l="1"/>
  <c r="K6" i="76" s="1"/>
  <c r="FW14" i="43" l="1"/>
  <c r="FT14" i="43"/>
  <c r="I16" i="23"/>
  <c r="I12" i="23"/>
  <c r="I15" i="23"/>
  <c r="I17" i="23"/>
  <c r="I14" i="23"/>
  <c r="I13" i="23"/>
  <c r="FK13" i="43"/>
  <c r="FN14" i="43"/>
  <c r="FM14" i="43"/>
  <c r="FL14" i="43"/>
  <c r="FK14" i="43"/>
  <c r="I21" i="23"/>
  <c r="I23" i="23"/>
  <c r="I18" i="23"/>
  <c r="I22" i="23"/>
  <c r="I20" i="23"/>
  <c r="I19" i="23"/>
  <c r="FX14" i="43"/>
  <c r="FV14" i="43"/>
  <c r="FU14" i="43"/>
  <c r="FS13" i="43"/>
  <c r="FS14" i="43"/>
  <c r="I7" i="23"/>
  <c r="I9" i="23"/>
  <c r="I8" i="23"/>
  <c r="I6" i="23"/>
  <c r="I10" i="23"/>
  <c r="I11" i="23"/>
  <c r="BH41" i="3"/>
  <c r="BG41" i="3"/>
  <c r="AT21" i="61"/>
  <c r="AT37" i="61" s="1"/>
  <c r="AS21" i="61"/>
  <c r="AS37" i="61" s="1"/>
  <c r="AS19" i="33"/>
  <c r="AS33" i="33" s="1"/>
  <c r="BI41" i="3"/>
  <c r="AS23" i="44"/>
  <c r="BJ41" i="3"/>
  <c r="AS29" i="48"/>
  <c r="AT29" i="48"/>
  <c r="AT23" i="44"/>
  <c r="AT19" i="33"/>
  <c r="AT33" i="33" s="1"/>
  <c r="AU29" i="48"/>
  <c r="AU23" i="44"/>
  <c r="AU19" i="33"/>
  <c r="AU33" i="33" s="1"/>
  <c r="Y20" i="81"/>
  <c r="Z20" i="81"/>
  <c r="AA20" i="81"/>
  <c r="AN17" i="63"/>
  <c r="AO17" i="63"/>
  <c r="AP17" i="63"/>
  <c r="AT11" i="39"/>
  <c r="AS11" i="39"/>
  <c r="AU11" i="39"/>
  <c r="AS15" i="26"/>
  <c r="AT15" i="26"/>
  <c r="AU15" i="26"/>
  <c r="DY5" i="34"/>
  <c r="EB5" i="34"/>
  <c r="EE5" i="34"/>
  <c r="AR21" i="61"/>
  <c r="AR37" i="61" s="1"/>
  <c r="I51" i="23"/>
  <c r="AM21" i="61"/>
  <c r="AM37" i="61" s="1"/>
  <c r="AQ21" i="61"/>
  <c r="AQ37" i="61" s="1"/>
  <c r="AO21" i="61"/>
  <c r="AO37" i="61" s="1"/>
  <c r="I62" i="23"/>
  <c r="R20" i="81"/>
  <c r="AM17" i="63"/>
  <c r="W20" i="81"/>
  <c r="AK17" i="63"/>
  <c r="EM14" i="43"/>
  <c r="FC14" i="43"/>
  <c r="AN23" i="44"/>
  <c r="BE41" i="3"/>
  <c r="AL17" i="63"/>
  <c r="I52" i="23"/>
  <c r="I26" i="23"/>
  <c r="I28" i="23"/>
  <c r="I53" i="23"/>
  <c r="AM29" i="48"/>
  <c r="EW14" i="43"/>
  <c r="FH14" i="43"/>
  <c r="DJ5" i="34"/>
  <c r="AB14" i="43"/>
  <c r="AD190" i="77"/>
  <c r="FA14" i="43"/>
  <c r="FE14" i="43"/>
  <c r="FG13" i="43"/>
  <c r="EU14" i="43"/>
  <c r="I32" i="23"/>
  <c r="I38" i="23"/>
  <c r="DG5" i="34"/>
  <c r="AL21" i="61"/>
  <c r="AL37" i="61" s="1"/>
  <c r="I34" i="23"/>
  <c r="I43" i="23"/>
  <c r="I35" i="23"/>
  <c r="I56" i="23"/>
  <c r="T20" i="81"/>
  <c r="AD177" i="77"/>
  <c r="FC13" i="43"/>
  <c r="AD175" i="77"/>
  <c r="BX14" i="43"/>
  <c r="EP14" i="43"/>
  <c r="I44" i="23"/>
  <c r="AL29" i="48"/>
  <c r="DJ14" i="43"/>
  <c r="I73" i="23"/>
  <c r="AP19" i="33"/>
  <c r="AP33" i="33" s="1"/>
  <c r="I40" i="23"/>
  <c r="O14" i="43"/>
  <c r="AO15" i="26"/>
  <c r="AM19" i="33"/>
  <c r="AM33" i="33" s="1"/>
  <c r="I37" i="23"/>
  <c r="I39" i="23"/>
  <c r="I55" i="23"/>
  <c r="ET14" i="43"/>
  <c r="EY14" i="43"/>
  <c r="I29" i="23"/>
  <c r="I49" i="23"/>
  <c r="EX14" i="43"/>
  <c r="I42" i="23"/>
  <c r="I33" i="23"/>
  <c r="I70" i="23"/>
  <c r="AD186" i="77"/>
  <c r="AM15" i="26"/>
  <c r="I65" i="23"/>
  <c r="DP5" i="34"/>
  <c r="AO23" i="44"/>
  <c r="I68" i="23"/>
  <c r="EM13" i="43"/>
  <c r="L14" i="43"/>
  <c r="AO29" i="48"/>
  <c r="FI14" i="43"/>
  <c r="FJ14" i="43"/>
  <c r="BD14" i="43"/>
  <c r="I25" i="23"/>
  <c r="I36" i="23"/>
  <c r="AD184" i="77"/>
  <c r="AD178" i="77"/>
  <c r="AD183" i="77"/>
  <c r="AM11" i="39"/>
  <c r="FF14" i="43"/>
  <c r="I64" i="23"/>
  <c r="AD187" i="77"/>
  <c r="AD173" i="77"/>
  <c r="S20" i="81"/>
  <c r="I61" i="23"/>
  <c r="AE13" i="43"/>
  <c r="ER14" i="43"/>
  <c r="AD180" i="77"/>
  <c r="DD5" i="34"/>
  <c r="AD188" i="77"/>
  <c r="AD174" i="77"/>
  <c r="I71" i="23"/>
  <c r="AN15" i="26"/>
  <c r="ES14" i="43"/>
  <c r="AR29" i="48"/>
  <c r="I60" i="23"/>
  <c r="I59" i="23"/>
  <c r="U20" i="81"/>
  <c r="U14" i="43"/>
  <c r="F14" i="43"/>
  <c r="BD41" i="3"/>
  <c r="EK14" i="43"/>
  <c r="CD13" i="43"/>
  <c r="I72" i="23"/>
  <c r="EQ14" i="43"/>
  <c r="FG14" i="43"/>
  <c r="I24" i="23"/>
  <c r="I30" i="23"/>
  <c r="EY13" i="43"/>
  <c r="BC41" i="3"/>
  <c r="AQ19" i="33"/>
  <c r="AQ33" i="33" s="1"/>
  <c r="BF41" i="3"/>
  <c r="AM23" i="44"/>
  <c r="AP29" i="48"/>
  <c r="AP15" i="26"/>
  <c r="I47" i="23"/>
  <c r="EQ13" i="43"/>
  <c r="FB14" i="43"/>
  <c r="I27" i="23"/>
  <c r="AQ15" i="26"/>
  <c r="AQ11" i="39"/>
  <c r="AH17" i="63"/>
  <c r="I45" i="23"/>
  <c r="AD176" i="77"/>
  <c r="AP21" i="61"/>
  <c r="AP37" i="61" s="1"/>
  <c r="I57" i="23"/>
  <c r="DF14" i="43"/>
  <c r="DK14" i="43"/>
  <c r="DC13" i="43"/>
  <c r="AY14" i="43"/>
  <c r="BS14" i="43"/>
  <c r="I66" i="23"/>
  <c r="EV14" i="43"/>
  <c r="AQ23" i="44"/>
  <c r="DI14" i="43"/>
  <c r="EZ14" i="43"/>
  <c r="CU14" i="43"/>
  <c r="EI13" i="43"/>
  <c r="DR14" i="43"/>
  <c r="AL15" i="26"/>
  <c r="AR19" i="33"/>
  <c r="AR33" i="33" s="1"/>
  <c r="I48" i="23"/>
  <c r="K13" i="43"/>
  <c r="I58" i="23"/>
  <c r="I63" i="23"/>
  <c r="BF13" i="43"/>
  <c r="DS5" i="34"/>
  <c r="CP14" i="43"/>
  <c r="AD182" i="77"/>
  <c r="X20" i="81"/>
  <c r="AQ13" i="43"/>
  <c r="BZ14" i="43"/>
  <c r="DM5" i="34"/>
  <c r="CQ13" i="43"/>
  <c r="CR14" i="43"/>
  <c r="DV14" i="43"/>
  <c r="I118" i="23"/>
  <c r="CT14" i="43"/>
  <c r="ED14" i="43"/>
  <c r="R14" i="43"/>
  <c r="EF14" i="43"/>
  <c r="AK14" i="43"/>
  <c r="EU13" i="43"/>
  <c r="AR11" i="39"/>
  <c r="DN14" i="43"/>
  <c r="C29" i="48"/>
  <c r="H14" i="43"/>
  <c r="DO13" i="43"/>
  <c r="EH14" i="43"/>
  <c r="AL19" i="33"/>
  <c r="AL33" i="33" s="1"/>
  <c r="CU5" i="34"/>
  <c r="I46" i="23"/>
  <c r="AN21" i="61"/>
  <c r="AN37" i="61" s="1"/>
  <c r="AR15" i="26"/>
  <c r="AL11" i="39"/>
  <c r="DO14" i="43"/>
  <c r="AX14" i="43"/>
  <c r="CA14" i="43"/>
  <c r="I69" i="23"/>
  <c r="S14" i="43"/>
  <c r="I31" i="23"/>
  <c r="AA13" i="43"/>
  <c r="EE14" i="43"/>
  <c r="BN13" i="43"/>
  <c r="BB41" i="3"/>
  <c r="AU14" i="43"/>
  <c r="I50" i="23"/>
  <c r="AP23" i="44"/>
  <c r="AE14" i="43"/>
  <c r="BC13" i="43"/>
  <c r="X14" i="43"/>
  <c r="DL14" i="43"/>
  <c r="CE14" i="43"/>
  <c r="I88" i="23"/>
  <c r="CX5" i="34"/>
  <c r="AD185" i="77"/>
  <c r="I41" i="23"/>
  <c r="EO14" i="43"/>
  <c r="AN29" i="48"/>
  <c r="BZ13" i="43"/>
  <c r="BA41" i="3"/>
  <c r="CQ14" i="43"/>
  <c r="AQ29" i="48"/>
  <c r="AN11" i="39"/>
  <c r="AO11" i="39"/>
  <c r="AN14" i="43"/>
  <c r="CG14" i="43"/>
  <c r="AP11" i="39"/>
  <c r="EA13" i="43"/>
  <c r="AA14" i="43"/>
  <c r="AD179" i="77"/>
  <c r="EN14" i="43"/>
  <c r="CZ14" i="43"/>
  <c r="BH14" i="43"/>
  <c r="U5" i="42"/>
  <c r="I67" i="23"/>
  <c r="CN13" i="43"/>
  <c r="DA14" i="43"/>
  <c r="EJ14" i="43"/>
  <c r="AI13" i="43"/>
  <c r="I123" i="23"/>
  <c r="C23" i="44"/>
  <c r="AO88" i="71"/>
  <c r="DV5" i="34"/>
  <c r="AD181" i="77"/>
  <c r="I135" i="23"/>
  <c r="AD121" i="77"/>
  <c r="I339" i="23"/>
  <c r="CK14" i="43"/>
  <c r="I294" i="23"/>
  <c r="BV14" i="43"/>
  <c r="I54" i="23"/>
  <c r="CM14" i="43"/>
  <c r="AZ14" i="43"/>
  <c r="I274" i="23"/>
  <c r="DC14" i="43"/>
  <c r="E14" i="43"/>
  <c r="BJ13" i="43"/>
  <c r="BA14" i="43"/>
  <c r="I319" i="23"/>
  <c r="I295" i="23"/>
  <c r="BC14" i="43"/>
  <c r="BW14" i="43"/>
  <c r="I216" i="23"/>
  <c r="CO14" i="43"/>
  <c r="V20" i="81"/>
  <c r="W5" i="42"/>
  <c r="W14" i="43"/>
  <c r="I286" i="23"/>
  <c r="I96" i="23"/>
  <c r="AV14" i="43"/>
  <c r="DD14" i="43"/>
  <c r="AA23" i="44"/>
  <c r="Q5" i="42"/>
  <c r="AL23" i="44"/>
  <c r="T14" i="43"/>
  <c r="D21" i="61"/>
  <c r="D37" i="61" s="1"/>
  <c r="BY14" i="43"/>
  <c r="C14" i="43"/>
  <c r="I329" i="23"/>
  <c r="AM14" i="43"/>
  <c r="CU13" i="43"/>
  <c r="EL14" i="43"/>
  <c r="I306" i="23"/>
  <c r="C13" i="43"/>
  <c r="AD94" i="77"/>
  <c r="I262" i="23"/>
  <c r="AH14" i="43"/>
  <c r="CX14" i="43"/>
  <c r="AD14" i="43"/>
  <c r="I326" i="23"/>
  <c r="AD122" i="77"/>
  <c r="I308" i="23"/>
  <c r="I204" i="23"/>
  <c r="AD142" i="77"/>
  <c r="CK13" i="43"/>
  <c r="AD13" i="77"/>
  <c r="I238" i="23"/>
  <c r="I210" i="23"/>
  <c r="M14" i="43"/>
  <c r="CF14" i="43"/>
  <c r="I203" i="23"/>
  <c r="I335" i="23"/>
  <c r="AD163" i="77"/>
  <c r="I133" i="23"/>
  <c r="DA5" i="34"/>
  <c r="DM14" i="43"/>
  <c r="I341" i="23"/>
  <c r="Z14" i="43"/>
  <c r="I323" i="23"/>
  <c r="CY13" i="43"/>
  <c r="I282" i="23"/>
  <c r="BQ14" i="43"/>
  <c r="I325" i="23"/>
  <c r="D29" i="48"/>
  <c r="I271" i="23"/>
  <c r="N14" i="43"/>
  <c r="I143" i="23"/>
  <c r="AQ14" i="43"/>
  <c r="I191" i="23"/>
  <c r="I324" i="23"/>
  <c r="AD128" i="77"/>
  <c r="EA14" i="43"/>
  <c r="AD147" i="77"/>
  <c r="I318" i="23"/>
  <c r="I299" i="23"/>
  <c r="BB14" i="43"/>
  <c r="I252" i="23"/>
  <c r="AD125" i="77"/>
  <c r="I240" i="23"/>
  <c r="AR23" i="44"/>
  <c r="C15" i="26"/>
  <c r="F13" i="43"/>
  <c r="I200" i="23"/>
  <c r="BJ14" i="43"/>
  <c r="V5" i="42"/>
  <c r="I218" i="23"/>
  <c r="I153" i="23"/>
  <c r="AO19" i="33"/>
  <c r="AO33" i="33" s="1"/>
  <c r="S5" i="42"/>
  <c r="W13" i="43"/>
  <c r="I158" i="23"/>
  <c r="AI14" i="43"/>
  <c r="AN19" i="33"/>
  <c r="AN33" i="33" s="1"/>
  <c r="Z5" i="42"/>
  <c r="G14" i="43"/>
  <c r="Y14" i="43"/>
  <c r="DG14" i="43"/>
  <c r="DS14" i="43"/>
  <c r="DW14" i="43"/>
  <c r="AO14" i="43"/>
  <c r="AA21" i="61"/>
  <c r="AA37" i="61" s="1"/>
  <c r="I92" i="23"/>
  <c r="CL14" i="43"/>
  <c r="I261" i="23"/>
  <c r="V14" i="43"/>
  <c r="EC14" i="43"/>
  <c r="CV14" i="43"/>
  <c r="BV13" i="43"/>
  <c r="I14" i="43"/>
  <c r="I114" i="23"/>
  <c r="I222" i="23"/>
  <c r="I76" i="23"/>
  <c r="I303" i="23"/>
  <c r="AD140" i="77"/>
  <c r="I192" i="23"/>
  <c r="AD158" i="77"/>
  <c r="I291" i="23"/>
  <c r="C5" i="34"/>
  <c r="BP14" i="43"/>
  <c r="I267" i="23"/>
  <c r="I201" i="23"/>
  <c r="I130" i="23"/>
  <c r="AD79" i="77"/>
  <c r="AD81" i="77"/>
  <c r="I284" i="23"/>
  <c r="I86" i="23"/>
  <c r="I125" i="23"/>
  <c r="CS14" i="43"/>
  <c r="DE14" i="43"/>
  <c r="R5" i="42"/>
  <c r="I338" i="23"/>
  <c r="T5" i="42"/>
  <c r="J14" i="43"/>
  <c r="I159" i="23"/>
  <c r="FD14" i="43"/>
  <c r="AS14" i="43"/>
  <c r="Q13" i="43"/>
  <c r="Q14" i="43"/>
  <c r="CD14" i="43"/>
  <c r="I195" i="23"/>
  <c r="P5" i="42"/>
  <c r="AD146" i="77"/>
  <c r="I249" i="23"/>
  <c r="DT14" i="43"/>
  <c r="AD129" i="77"/>
  <c r="DP14" i="43"/>
  <c r="I188" i="23"/>
  <c r="I139" i="23"/>
  <c r="AM13" i="43"/>
  <c r="I279" i="23"/>
  <c r="I138" i="23"/>
  <c r="AC14" i="43"/>
  <c r="AA29" i="48"/>
  <c r="DG13" i="43"/>
  <c r="AO84" i="71"/>
  <c r="CN14" i="43"/>
  <c r="AL14" i="43"/>
  <c r="AD170" i="77"/>
  <c r="AY13" i="43"/>
  <c r="C19" i="33"/>
  <c r="C33" i="33" s="1"/>
  <c r="P14" i="43"/>
  <c r="AI17" i="63"/>
  <c r="BK14" i="43"/>
  <c r="I194" i="23"/>
  <c r="AJ17" i="63"/>
  <c r="I327" i="23"/>
  <c r="DB14" i="43"/>
  <c r="BN14" i="43"/>
  <c r="I312" i="23"/>
  <c r="AR14" i="43"/>
  <c r="I145" i="23"/>
  <c r="EI14" i="43"/>
  <c r="I198" i="23"/>
  <c r="BT14" i="43"/>
  <c r="I160" i="23"/>
  <c r="AD167" i="77"/>
  <c r="AW14" i="43"/>
  <c r="I215" i="23"/>
  <c r="I256" i="23"/>
  <c r="BR13" i="43"/>
  <c r="DZ14" i="43"/>
  <c r="AD138" i="77"/>
  <c r="EG14" i="43"/>
  <c r="I148" i="23"/>
  <c r="I183" i="23"/>
  <c r="I243" i="23"/>
  <c r="CY14" i="43"/>
  <c r="I244" i="23"/>
  <c r="I144" i="23"/>
  <c r="I177" i="23"/>
  <c r="I193" i="23"/>
  <c r="I180" i="23"/>
  <c r="CC14" i="43"/>
  <c r="AD46" i="77"/>
  <c r="I293" i="23"/>
  <c r="I334" i="23"/>
  <c r="EB14" i="43"/>
  <c r="CB14" i="43"/>
  <c r="BI14" i="43"/>
  <c r="DQ14" i="43"/>
  <c r="I296" i="23"/>
  <c r="C21" i="61"/>
  <c r="C37" i="61" s="1"/>
  <c r="AD160" i="77"/>
  <c r="AD66" i="77"/>
  <c r="D14" i="43"/>
  <c r="BG14" i="43"/>
  <c r="X5" i="42"/>
  <c r="BE14" i="43"/>
  <c r="I305" i="23"/>
  <c r="AJ14" i="43"/>
  <c r="AD15" i="77"/>
  <c r="I270" i="23"/>
  <c r="AT14" i="43"/>
  <c r="AD45" i="77"/>
  <c r="I149" i="23"/>
  <c r="AD104" i="77"/>
  <c r="AF14" i="43"/>
  <c r="BM14" i="43"/>
  <c r="BU14" i="43"/>
  <c r="DS13" i="43"/>
  <c r="DW13" i="43"/>
  <c r="I280" i="23"/>
  <c r="BO14" i="43"/>
  <c r="DK13" i="43"/>
  <c r="EE13" i="43"/>
  <c r="BR14" i="43"/>
  <c r="I239" i="23"/>
  <c r="AD141" i="77"/>
  <c r="AP14" i="43"/>
  <c r="I269" i="23"/>
  <c r="AD139" i="77"/>
  <c r="BF14" i="43"/>
  <c r="D23" i="44"/>
  <c r="I164" i="23"/>
  <c r="I251" i="23"/>
  <c r="I268" i="23"/>
  <c r="I301" i="23"/>
  <c r="AD153" i="77"/>
  <c r="I121" i="23"/>
  <c r="I242" i="23"/>
  <c r="I113" i="23"/>
  <c r="AD97" i="77"/>
  <c r="AD145" i="77"/>
  <c r="AD12" i="53"/>
  <c r="AD88" i="77"/>
  <c r="I205" i="23"/>
  <c r="AD98" i="77"/>
  <c r="I290" i="23"/>
  <c r="AD51" i="77"/>
  <c r="I78" i="23"/>
  <c r="AD103" i="77"/>
  <c r="I170" i="23"/>
  <c r="I169" i="23"/>
  <c r="I315" i="23"/>
  <c r="I178" i="23"/>
  <c r="AD136" i="77"/>
  <c r="I255" i="23"/>
  <c r="E41" i="3"/>
  <c r="AD30" i="77"/>
  <c r="B138" i="8"/>
  <c r="I97" i="23"/>
  <c r="AD135" i="77"/>
  <c r="AG14" i="43"/>
  <c r="I85" i="23"/>
  <c r="I211" i="23"/>
  <c r="I317" i="23"/>
  <c r="AD111" i="77"/>
  <c r="AD100" i="77"/>
  <c r="AD168" i="77"/>
  <c r="DY14" i="43"/>
  <c r="AD67" i="77"/>
  <c r="AD108" i="77"/>
  <c r="AD143" i="77"/>
  <c r="I140" i="23"/>
  <c r="AD76" i="77"/>
  <c r="I167" i="23"/>
  <c r="I179" i="23"/>
  <c r="I314" i="23"/>
  <c r="I260" i="23"/>
  <c r="AE41" i="3"/>
  <c r="F5" i="34"/>
  <c r="I219" i="23"/>
  <c r="I127" i="23"/>
  <c r="I331" i="23"/>
  <c r="AD71" i="77"/>
  <c r="I322" i="23"/>
  <c r="AD63" i="77"/>
  <c r="I87" i="23"/>
  <c r="I283" i="23"/>
  <c r="AD8" i="77"/>
  <c r="AD37" i="77"/>
  <c r="I206" i="23"/>
  <c r="I328" i="23"/>
  <c r="I332" i="23"/>
  <c r="AD123" i="77"/>
  <c r="I154" i="23"/>
  <c r="I247" i="23"/>
  <c r="AD56" i="77"/>
  <c r="AD64" i="77"/>
  <c r="AD28" i="77"/>
  <c r="AD53" i="77"/>
  <c r="AS5" i="34"/>
  <c r="AD48" i="77"/>
  <c r="Y23" i="44"/>
  <c r="I264" i="23"/>
  <c r="I304" i="23"/>
  <c r="I185" i="23"/>
  <c r="AD93" i="77"/>
  <c r="I175" i="23"/>
  <c r="AD61" i="77"/>
  <c r="DX14" i="43"/>
  <c r="I245" i="23"/>
  <c r="I258" i="23"/>
  <c r="I320" i="23"/>
  <c r="I141" i="23"/>
  <c r="AD151" i="77"/>
  <c r="I288" i="23"/>
  <c r="I131" i="23"/>
  <c r="I184" i="23"/>
  <c r="I74" i="23"/>
  <c r="AD157" i="77"/>
  <c r="I263" i="23"/>
  <c r="AD74" i="77"/>
  <c r="I80" i="23"/>
  <c r="AB17" i="63"/>
  <c r="AD148" i="77"/>
  <c r="I278" i="23"/>
  <c r="I128" i="23"/>
  <c r="I254" i="23"/>
  <c r="AD39" i="77"/>
  <c r="I220" i="23"/>
  <c r="I79" i="23"/>
  <c r="I199" i="23"/>
  <c r="I91" i="23"/>
  <c r="I120" i="23"/>
  <c r="I330" i="23"/>
  <c r="AD156" i="77"/>
  <c r="AD127" i="77"/>
  <c r="D15" i="26"/>
  <c r="I217" i="23"/>
  <c r="I116" i="23"/>
  <c r="I157" i="23"/>
  <c r="AD70" i="77"/>
  <c r="I236" i="23"/>
  <c r="I142" i="23"/>
  <c r="I207" i="23"/>
  <c r="I273" i="23"/>
  <c r="I226" i="23"/>
  <c r="I250" i="23"/>
  <c r="I253" i="23"/>
  <c r="I310" i="23"/>
  <c r="AV41" i="3"/>
  <c r="I166" i="23"/>
  <c r="I155" i="23"/>
  <c r="I75" i="23"/>
  <c r="I105" i="23"/>
  <c r="E23" i="44"/>
  <c r="AD73" i="77"/>
  <c r="I202" i="23"/>
  <c r="I209" i="23"/>
  <c r="I224" i="23"/>
  <c r="AD9" i="77"/>
  <c r="AD19" i="77"/>
  <c r="I172" i="23"/>
  <c r="L22" i="9"/>
  <c r="L55" i="9" s="1"/>
  <c r="AD134" i="77"/>
  <c r="D20" i="81"/>
  <c r="AD114" i="77"/>
  <c r="I181" i="23"/>
  <c r="H21" i="61"/>
  <c r="H37" i="61" s="1"/>
  <c r="AD60" i="77"/>
  <c r="AJ29" i="48"/>
  <c r="I221" i="23"/>
  <c r="AD72" i="77"/>
  <c r="AG21" i="61"/>
  <c r="AG37" i="61" s="1"/>
  <c r="I156" i="23"/>
  <c r="M20" i="81"/>
  <c r="AH23" i="44"/>
  <c r="I190" i="23"/>
  <c r="I89" i="23"/>
  <c r="E17" i="63"/>
  <c r="Y19" i="33"/>
  <c r="Y33" i="33" s="1"/>
  <c r="AD17" i="63"/>
  <c r="I223" i="23"/>
  <c r="AI29" i="48"/>
  <c r="I189" i="23"/>
  <c r="I150" i="23"/>
  <c r="AD43" i="77"/>
  <c r="AD38" i="77"/>
  <c r="K14" i="43"/>
  <c r="I83" i="23"/>
  <c r="I151" i="23"/>
  <c r="I93" i="23"/>
  <c r="H29" i="48"/>
  <c r="AD162" i="77"/>
  <c r="AD126" i="77"/>
  <c r="I197" i="23"/>
  <c r="AD118" i="77"/>
  <c r="I321" i="23"/>
  <c r="I276" i="23"/>
  <c r="I333" i="23"/>
  <c r="AD110" i="77"/>
  <c r="I275" i="23"/>
  <c r="AD154" i="77"/>
  <c r="AD35" i="77"/>
  <c r="AD86" i="77"/>
  <c r="AD12" i="77"/>
  <c r="I289" i="23"/>
  <c r="AD6" i="77"/>
  <c r="AY41" i="3"/>
  <c r="I309" i="23"/>
  <c r="I259" i="23"/>
  <c r="I277" i="23"/>
  <c r="AD159" i="77"/>
  <c r="I182" i="23"/>
  <c r="I227" i="23"/>
  <c r="I147" i="23"/>
  <c r="AD149" i="77"/>
  <c r="I129" i="23"/>
  <c r="AD137" i="77"/>
  <c r="I162" i="23"/>
  <c r="I137" i="23"/>
  <c r="W19" i="33"/>
  <c r="W33" i="33" s="1"/>
  <c r="AD41" i="77"/>
  <c r="AD85" i="77"/>
  <c r="I313" i="23"/>
  <c r="AR41" i="3"/>
  <c r="AD169" i="77"/>
  <c r="I212" i="23"/>
  <c r="I122" i="23"/>
  <c r="AD62" i="77"/>
  <c r="AD18" i="77"/>
  <c r="I336" i="23"/>
  <c r="AB41" i="3"/>
  <c r="I176" i="23"/>
  <c r="AD59" i="77"/>
  <c r="AA19" i="33"/>
  <c r="AA33" i="33" s="1"/>
  <c r="AD150" i="77"/>
  <c r="I265" i="23"/>
  <c r="I241" i="23"/>
  <c r="AD29" i="77"/>
  <c r="AP41" i="3"/>
  <c r="O29" i="48"/>
  <c r="I152" i="23"/>
  <c r="I81" i="23"/>
  <c r="I115" i="23"/>
  <c r="S21" i="61"/>
  <c r="S37" i="61" s="1"/>
  <c r="AD32" i="77"/>
  <c r="AD124" i="77"/>
  <c r="I246" i="23"/>
  <c r="R5" i="34"/>
  <c r="AD155" i="77"/>
  <c r="AD65" i="77"/>
  <c r="AD84" i="77"/>
  <c r="CW14" i="43"/>
  <c r="DU14" i="43"/>
  <c r="I337" i="23"/>
  <c r="I186" i="23"/>
  <c r="AD14" i="77"/>
  <c r="AD102" i="77"/>
  <c r="I292" i="23"/>
  <c r="AU13" i="43"/>
  <c r="AD58" i="77"/>
  <c r="BL14" i="43"/>
  <c r="AD95" i="77"/>
  <c r="I126" i="23"/>
  <c r="C41" i="3"/>
  <c r="AD11" i="77"/>
  <c r="I168" i="23"/>
  <c r="AY5" i="34"/>
  <c r="I307" i="23"/>
  <c r="D41" i="3"/>
  <c r="I77" i="23"/>
  <c r="AD24" i="77"/>
  <c r="AD21" i="61"/>
  <c r="AD37" i="61" s="1"/>
  <c r="I257" i="23"/>
  <c r="AD130" i="77"/>
  <c r="AD16" i="77"/>
  <c r="I208" i="23"/>
  <c r="M21" i="61"/>
  <c r="M37" i="61" s="1"/>
  <c r="AD77" i="77"/>
  <c r="AD22" i="77"/>
  <c r="AD7" i="77"/>
  <c r="AG19" i="33"/>
  <c r="AG33" i="33" s="1"/>
  <c r="AD20" i="77"/>
  <c r="I187" i="23"/>
  <c r="AD33" i="77"/>
  <c r="X15" i="26"/>
  <c r="AH21" i="61"/>
  <c r="AH37" i="61" s="1"/>
  <c r="X41" i="3"/>
  <c r="AB23" i="44"/>
  <c r="I94" i="23"/>
  <c r="AD50" i="77"/>
  <c r="AD10" i="77"/>
  <c r="AD119" i="77"/>
  <c r="AD47" i="77"/>
  <c r="AD49" i="77"/>
  <c r="AK15" i="26"/>
  <c r="I134" i="23"/>
  <c r="AF29" i="48"/>
  <c r="I298" i="23"/>
  <c r="AG29" i="48"/>
  <c r="BK5" i="34"/>
  <c r="L23" i="44"/>
  <c r="N15" i="26"/>
  <c r="G41" i="3"/>
  <c r="AD82" i="77"/>
  <c r="G15" i="26"/>
  <c r="F21" i="61"/>
  <c r="F37" i="61" s="1"/>
  <c r="J23" i="44"/>
  <c r="AE21" i="61"/>
  <c r="AE37" i="61" s="1"/>
  <c r="AE19" i="33"/>
  <c r="AE33" i="33" s="1"/>
  <c r="T41" i="3"/>
  <c r="AI19" i="33"/>
  <c r="AI33" i="33" s="1"/>
  <c r="O23" i="44"/>
  <c r="AC29" i="48"/>
  <c r="BN5" i="34"/>
  <c r="CL5" i="34"/>
  <c r="X29" i="48"/>
  <c r="I20" i="81"/>
  <c r="Q15" i="26"/>
  <c r="I95" i="23"/>
  <c r="H15" i="26"/>
  <c r="AF19" i="33"/>
  <c r="AF33" i="33" s="1"/>
  <c r="I266" i="23"/>
  <c r="AD166" i="77"/>
  <c r="AD5" i="77"/>
  <c r="AD52" i="77"/>
  <c r="AD101" i="77"/>
  <c r="AD131" i="77"/>
  <c r="I117" i="23"/>
  <c r="X19" i="33"/>
  <c r="X33" i="33" s="1"/>
  <c r="I82" i="23"/>
  <c r="CI5" i="34"/>
  <c r="E19" i="33"/>
  <c r="E33" i="33" s="1"/>
  <c r="X17" i="63"/>
  <c r="AE29" i="48"/>
  <c r="L5" i="34"/>
  <c r="AA41" i="3"/>
  <c r="U23" i="44"/>
  <c r="I213" i="23"/>
  <c r="C20" i="81"/>
  <c r="E21" i="61"/>
  <c r="E37" i="61" s="1"/>
  <c r="D19" i="33"/>
  <c r="D33" i="33" s="1"/>
  <c r="AD106" i="77"/>
  <c r="I340" i="23"/>
  <c r="AD107" i="77"/>
  <c r="J21" i="61"/>
  <c r="J37" i="61" s="1"/>
  <c r="AD91" i="77"/>
  <c r="AD27" i="77"/>
  <c r="AD80" i="77"/>
  <c r="I146" i="23"/>
  <c r="Q20" i="81"/>
  <c r="O20" i="81"/>
  <c r="L17" i="63"/>
  <c r="AD133" i="77"/>
  <c r="AD90" i="77"/>
  <c r="K21" i="61"/>
  <c r="K37" i="61" s="1"/>
  <c r="AJ23" i="44"/>
  <c r="I287" i="23"/>
  <c r="G21" i="61"/>
  <c r="G37" i="61" s="1"/>
  <c r="AD115" i="77"/>
  <c r="W29" i="48"/>
  <c r="AD83" i="77"/>
  <c r="AD5" i="34"/>
  <c r="AD34" i="77"/>
  <c r="AP5" i="34"/>
  <c r="R23" i="44"/>
  <c r="AI23" i="44"/>
  <c r="AD40" i="77"/>
  <c r="I214" i="23"/>
  <c r="I302" i="23"/>
  <c r="AD109" i="77"/>
  <c r="I165" i="23"/>
  <c r="AH15" i="26"/>
  <c r="AG5" i="34"/>
  <c r="N21" i="61"/>
  <c r="N37" i="61" s="1"/>
  <c r="K29" i="48"/>
  <c r="K41" i="3"/>
  <c r="J20" i="81"/>
  <c r="AD132" i="77"/>
  <c r="AC23" i="44"/>
  <c r="I136" i="23"/>
  <c r="AD23" i="44"/>
  <c r="AD26" i="77"/>
  <c r="AD68" i="77"/>
  <c r="I196" i="23"/>
  <c r="AD78" i="77"/>
  <c r="N23" i="44"/>
  <c r="AI21" i="61"/>
  <c r="AI37" i="61" s="1"/>
  <c r="CF5" i="34"/>
  <c r="AK21" i="61"/>
  <c r="AK37" i="61" s="1"/>
  <c r="AL41" i="3"/>
  <c r="K17" i="63"/>
  <c r="AN41" i="3"/>
  <c r="U15" i="26"/>
  <c r="L15" i="26"/>
  <c r="AD120" i="77"/>
  <c r="I272" i="23"/>
  <c r="I225" i="23"/>
  <c r="AA5" i="34"/>
  <c r="AK23" i="44"/>
  <c r="AD17" i="77"/>
  <c r="AH41" i="3"/>
  <c r="G20" i="81"/>
  <c r="L20" i="81"/>
  <c r="R15" i="26"/>
  <c r="E29" i="48"/>
  <c r="AD54" i="77"/>
  <c r="I84" i="23"/>
  <c r="AD69" i="77"/>
  <c r="AD105" i="77"/>
  <c r="I119" i="23"/>
  <c r="I17" i="63"/>
  <c r="AJ19" i="33"/>
  <c r="I237" i="23"/>
  <c r="U17" i="63"/>
  <c r="H41" i="3"/>
  <c r="N17" i="63"/>
  <c r="AD152" i="77"/>
  <c r="S19" i="33"/>
  <c r="S33" i="33" s="1"/>
  <c r="T19" i="33"/>
  <c r="T33" i="33" s="1"/>
  <c r="G29" i="48"/>
  <c r="M41" i="3"/>
  <c r="Q23" i="44"/>
  <c r="I21" i="61"/>
  <c r="I37" i="61" s="1"/>
  <c r="O19" i="33"/>
  <c r="O33" i="33" s="1"/>
  <c r="V29" i="48"/>
  <c r="H23" i="44"/>
  <c r="I23" i="44"/>
  <c r="Z41" i="3"/>
  <c r="AK19" i="33"/>
  <c r="AK33" i="33" s="1"/>
  <c r="AD29" i="48"/>
  <c r="AB15" i="26"/>
  <c r="F29" i="48"/>
  <c r="F20" i="81"/>
  <c r="AX41" i="3"/>
  <c r="Y41" i="3"/>
  <c r="R21" i="61"/>
  <c r="R37" i="61" s="1"/>
  <c r="AF23" i="44"/>
  <c r="J22" i="9"/>
  <c r="J55" i="9" s="1"/>
  <c r="W41" i="3"/>
  <c r="W17" i="63"/>
  <c r="AE17" i="63"/>
  <c r="AD75" i="77"/>
  <c r="Z21" i="61"/>
  <c r="Z37" i="61" s="1"/>
  <c r="I300" i="23"/>
  <c r="I311" i="23"/>
  <c r="AD31" i="77"/>
  <c r="R29" i="48"/>
  <c r="AV5" i="34"/>
  <c r="T29" i="48"/>
  <c r="J19" i="33"/>
  <c r="J33" i="33" s="1"/>
  <c r="AD25" i="77"/>
  <c r="R41" i="3"/>
  <c r="R19" i="33"/>
  <c r="R33" i="33" s="1"/>
  <c r="AJ5" i="34"/>
  <c r="S41" i="3"/>
  <c r="S17" i="63"/>
  <c r="U41" i="3"/>
  <c r="AK41" i="3"/>
  <c r="BW5" i="34"/>
  <c r="AU41" i="3"/>
  <c r="Z15" i="26"/>
  <c r="AD15" i="26"/>
  <c r="F23" i="44"/>
  <c r="M15" i="26"/>
  <c r="DH14" i="43"/>
  <c r="AW41" i="3"/>
  <c r="Y29" i="48"/>
  <c r="AD161" i="77"/>
  <c r="J29" i="48"/>
  <c r="K23" i="44"/>
  <c r="BB5" i="34"/>
  <c r="M19" i="33"/>
  <c r="M33" i="33" s="1"/>
  <c r="U19" i="33"/>
  <c r="U33" i="33" s="1"/>
  <c r="AC15" i="26"/>
  <c r="AD116" i="77"/>
  <c r="U29" i="48"/>
  <c r="AJ15" i="26"/>
  <c r="S15" i="26"/>
  <c r="AK29" i="48"/>
  <c r="AH19" i="33"/>
  <c r="AH33" i="33" s="1"/>
  <c r="BH5" i="34"/>
  <c r="AA15" i="26"/>
  <c r="U21" i="61"/>
  <c r="U37" i="61" s="1"/>
  <c r="E15" i="26"/>
  <c r="Q19" i="33"/>
  <c r="Q33" i="33" s="1"/>
  <c r="AD55" i="77"/>
  <c r="R17" i="63"/>
  <c r="AD89" i="77"/>
  <c r="CC5" i="34"/>
  <c r="AB21" i="61"/>
  <c r="AB37" i="61" s="1"/>
  <c r="I248" i="23"/>
  <c r="I124" i="23"/>
  <c r="P20" i="81"/>
  <c r="I132" i="23"/>
  <c r="V41" i="3"/>
  <c r="AE15" i="26"/>
  <c r="C17" i="63"/>
  <c r="U5" i="34"/>
  <c r="X21" i="61"/>
  <c r="X37" i="61" s="1"/>
  <c r="I90" i="23"/>
  <c r="BZ5" i="34"/>
  <c r="F19" i="33"/>
  <c r="F33" i="33" s="1"/>
  <c r="S23" i="44"/>
  <c r="BQ5" i="34"/>
  <c r="AD41" i="3"/>
  <c r="W23" i="44"/>
  <c r="I285" i="23"/>
  <c r="I5" i="34"/>
  <c r="N19" i="33"/>
  <c r="N33" i="33" s="1"/>
  <c r="AF15" i="26"/>
  <c r="W21" i="61"/>
  <c r="W37" i="61" s="1"/>
  <c r="AD144" i="77"/>
  <c r="E20" i="81"/>
  <c r="Z23" i="44"/>
  <c r="I297" i="23"/>
  <c r="I161" i="23"/>
  <c r="CO5" i="34"/>
  <c r="AD113" i="77"/>
  <c r="AD165" i="77"/>
  <c r="V19" i="33"/>
  <c r="V33" i="33" s="1"/>
  <c r="W15" i="26"/>
  <c r="AG23" i="44"/>
  <c r="P41" i="3"/>
  <c r="N20" i="81"/>
  <c r="AD36" i="77"/>
  <c r="L29" i="48"/>
  <c r="AD96" i="77"/>
  <c r="AD23" i="77"/>
  <c r="K15" i="26"/>
  <c r="N29" i="48"/>
  <c r="H17" i="63"/>
  <c r="AO41" i="3"/>
  <c r="AD112" i="77"/>
  <c r="O17" i="63"/>
  <c r="D17" i="63"/>
  <c r="T15" i="26"/>
  <c r="AF17" i="63"/>
  <c r="Y17" i="63"/>
  <c r="Y15" i="26"/>
  <c r="N41" i="3"/>
  <c r="I174" i="23"/>
  <c r="BE5" i="34"/>
  <c r="S29" i="48"/>
  <c r="Z29" i="48"/>
  <c r="O21" i="61"/>
  <c r="O37" i="61" s="1"/>
  <c r="AG41" i="3"/>
  <c r="M29" i="48"/>
  <c r="P17" i="63"/>
  <c r="AG17" i="63"/>
  <c r="AD99" i="77"/>
  <c r="AC21" i="61"/>
  <c r="AC37" i="61" s="1"/>
  <c r="T23" i="44"/>
  <c r="J15" i="26"/>
  <c r="M17" i="63"/>
  <c r="AJ21" i="61"/>
  <c r="AJ37" i="61" s="1"/>
  <c r="AC41" i="3"/>
  <c r="AD44" i="77"/>
  <c r="G17" i="63"/>
  <c r="Z19" i="33"/>
  <c r="Z33" i="33" s="1"/>
  <c r="AF21" i="61"/>
  <c r="AF37" i="61" s="1"/>
  <c r="AM5" i="34"/>
  <c r="AC17" i="63"/>
  <c r="AB19" i="33"/>
  <c r="AB33" i="33" s="1"/>
  <c r="AH29" i="48"/>
  <c r="G19" i="33"/>
  <c r="G33" i="33" s="1"/>
  <c r="AI41" i="3"/>
  <c r="AQ41" i="3"/>
  <c r="Q17" i="63"/>
  <c r="I15" i="26"/>
  <c r="AM41" i="3"/>
  <c r="V15" i="26"/>
  <c r="P29" i="48"/>
  <c r="BT5" i="34"/>
  <c r="F15" i="26"/>
  <c r="Q21" i="61"/>
  <c r="Q37" i="61" s="1"/>
  <c r="L21" i="61"/>
  <c r="L37" i="61" s="1"/>
  <c r="AD42" i="77"/>
  <c r="AG15" i="26"/>
  <c r="AJ41" i="3"/>
  <c r="M23" i="44"/>
  <c r="V17" i="63"/>
  <c r="X5" i="34"/>
  <c r="J41" i="3"/>
  <c r="AC19" i="33"/>
  <c r="AC33" i="33" s="1"/>
  <c r="H19" i="33"/>
  <c r="H33" i="33" s="1"/>
  <c r="P21" i="61"/>
  <c r="P37" i="61" s="1"/>
  <c r="X23" i="44"/>
  <c r="AD57" i="77"/>
  <c r="Y21" i="61"/>
  <c r="Y37" i="61" s="1"/>
  <c r="V23" i="44"/>
  <c r="J17" i="63"/>
  <c r="I41" i="3"/>
  <c r="T21" i="61"/>
  <c r="T37" i="61" s="1"/>
  <c r="V21" i="61"/>
  <c r="V37" i="61" s="1"/>
  <c r="AB29" i="48"/>
  <c r="T17" i="63"/>
  <c r="I29" i="48"/>
  <c r="K19" i="33"/>
  <c r="K33" i="33" s="1"/>
  <c r="V13" i="30"/>
  <c r="H20" i="81"/>
  <c r="I173" i="23"/>
  <c r="L19" i="33"/>
  <c r="L33" i="33" s="1"/>
  <c r="L41" i="3"/>
  <c r="Z17" i="63"/>
  <c r="P19" i="33"/>
  <c r="P33" i="33" s="1"/>
  <c r="I19" i="33"/>
  <c r="I33" i="33" s="1"/>
  <c r="AS41" i="3"/>
  <c r="Q41" i="3"/>
  <c r="O5" i="34"/>
  <c r="G23" i="44"/>
  <c r="AE23" i="44"/>
  <c r="I316" i="23"/>
  <c r="AT41" i="3"/>
  <c r="K20" i="81"/>
  <c r="BF337" i="73"/>
  <c r="O41" i="3"/>
  <c r="I281" i="23"/>
  <c r="F41" i="3"/>
  <c r="Q29" i="48"/>
  <c r="AD92" i="77"/>
  <c r="P15" i="26"/>
  <c r="AI15" i="26"/>
  <c r="O15" i="26"/>
  <c r="I171" i="23"/>
  <c r="I163" i="23"/>
  <c r="F17" i="63"/>
  <c r="AD19" i="33"/>
  <c r="AD33" i="33" s="1"/>
  <c r="AA17" i="63"/>
  <c r="P23" i="44"/>
  <c r="AD87" i="77"/>
  <c r="AU21" i="61"/>
  <c r="AU37" i="61" s="1"/>
  <c r="K34" i="71" l="1"/>
  <c r="K63" i="71"/>
  <c r="N19" i="53"/>
  <c r="N12" i="53"/>
  <c r="K11" i="59"/>
  <c r="K17" i="59"/>
  <c r="AC163" i="73"/>
  <c r="AC155" i="73"/>
  <c r="AC171" i="73"/>
  <c r="K24" i="46"/>
  <c r="K30" i="46" s="1"/>
  <c r="K36" i="46" s="1"/>
  <c r="K17" i="46"/>
  <c r="K43" i="46"/>
  <c r="K62" i="46"/>
  <c r="K68" i="46"/>
  <c r="K74" i="46"/>
  <c r="K49" i="46"/>
  <c r="K11" i="46"/>
  <c r="K55" i="46"/>
  <c r="AE41" i="49"/>
  <c r="AE23" i="49"/>
  <c r="AX195" i="73"/>
  <c r="AX187" i="73"/>
  <c r="AX179" i="73"/>
  <c r="W23" i="49"/>
  <c r="W41" i="49"/>
  <c r="AA21" i="52"/>
  <c r="AA37" i="52"/>
  <c r="K10" i="29"/>
  <c r="K15" i="29"/>
  <c r="S139" i="73"/>
  <c r="S105" i="73"/>
  <c r="S95" i="73"/>
  <c r="S131" i="73"/>
  <c r="S123" i="73"/>
  <c r="S115" i="73"/>
  <c r="S87" i="73"/>
  <c r="S79" i="73"/>
  <c r="Y10" i="29"/>
  <c r="Y15" i="29"/>
  <c r="AC21" i="65"/>
  <c r="AC13" i="65"/>
  <c r="AG123" i="73"/>
  <c r="AG79" i="73"/>
  <c r="AG115" i="73"/>
  <c r="AG87" i="73"/>
  <c r="AG139" i="73"/>
  <c r="AG105" i="73"/>
  <c r="AG131" i="73"/>
  <c r="AG95" i="73"/>
  <c r="Q248" i="77"/>
  <c r="R248" i="77" s="1"/>
  <c r="K248" i="77"/>
  <c r="L248" i="77"/>
  <c r="BB248" i="77" s="1"/>
  <c r="E248" i="77"/>
  <c r="BA248" i="77" s="1"/>
  <c r="D248" i="77"/>
  <c r="AA248" i="77"/>
  <c r="V248" i="77"/>
  <c r="X248" i="77"/>
  <c r="Y248" i="77"/>
  <c r="T248" i="77"/>
  <c r="W248" i="77"/>
  <c r="U248" i="77"/>
  <c r="Z248" i="77"/>
  <c r="AQ248" i="77"/>
  <c r="AO248" i="77"/>
  <c r="N248" i="77"/>
  <c r="C248" i="77"/>
  <c r="AP248" i="77"/>
  <c r="AS248" i="77"/>
  <c r="AR248" i="77"/>
  <c r="AB248" i="77"/>
  <c r="O248" i="77"/>
  <c r="D210" i="77"/>
  <c r="E210" i="77"/>
  <c r="K210" i="77"/>
  <c r="L210" i="77"/>
  <c r="C210" i="77"/>
  <c r="AQ23" i="31"/>
  <c r="AQ14" i="31"/>
  <c r="AW38" i="9"/>
  <c r="AW5" i="9"/>
  <c r="AW23" i="9"/>
  <c r="AW11" i="9"/>
  <c r="AW122" i="9"/>
  <c r="AW48" i="9"/>
  <c r="AW56" i="9"/>
  <c r="AW34" i="9"/>
  <c r="AW35" i="9" s="1"/>
  <c r="AW63" i="9"/>
  <c r="AP63" i="71"/>
  <c r="AP34" i="71"/>
  <c r="AH17" i="46"/>
  <c r="AH30" i="46"/>
  <c r="AH55" i="46"/>
  <c r="AH105" i="46"/>
  <c r="AH81" i="46"/>
  <c r="AH62" i="46"/>
  <c r="AH74" i="46"/>
  <c r="AH93" i="46"/>
  <c r="AH68" i="46"/>
  <c r="AH49" i="46"/>
  <c r="AH24" i="46"/>
  <c r="AH11" i="46"/>
  <c r="AH36" i="46"/>
  <c r="AH43" i="46"/>
  <c r="J37" i="52"/>
  <c r="J21" i="52"/>
  <c r="AB23" i="31"/>
  <c r="AB14" i="31"/>
  <c r="N161" i="83"/>
  <c r="N150" i="83"/>
  <c r="N92" i="83"/>
  <c r="N116" i="83"/>
  <c r="N130" i="83"/>
  <c r="N35" i="83"/>
  <c r="B41" i="13"/>
  <c r="B18" i="2"/>
  <c r="B40" i="12"/>
  <c r="B21" i="2"/>
  <c r="B43" i="13"/>
  <c r="Q5" i="9"/>
  <c r="Q48" i="9"/>
  <c r="Q122" i="9"/>
  <c r="Q56" i="9"/>
  <c r="Q138" i="8" s="1"/>
  <c r="Q11" i="9"/>
  <c r="Q23" i="9"/>
  <c r="Q63" i="9"/>
  <c r="Q34" i="9"/>
  <c r="Q35" i="9" s="1"/>
  <c r="Q38" i="9"/>
  <c r="E187" i="73"/>
  <c r="E179" i="73"/>
  <c r="E195" i="73"/>
  <c r="F10" i="29"/>
  <c r="F15" i="29"/>
  <c r="T20" i="30"/>
  <c r="T13" i="30"/>
  <c r="O37" i="52"/>
  <c r="O21" i="52"/>
  <c r="I41" i="49"/>
  <c r="I23" i="49"/>
  <c r="I37" i="52"/>
  <c r="I21" i="52"/>
  <c r="AL34" i="9"/>
  <c r="AL35" i="9" s="1"/>
  <c r="AL5" i="9"/>
  <c r="AL23" i="9"/>
  <c r="AL38" i="9"/>
  <c r="AL63" i="9"/>
  <c r="AL122" i="9"/>
  <c r="AL11" i="9"/>
  <c r="AL48" i="9"/>
  <c r="AL56" i="9"/>
  <c r="Z20" i="30"/>
  <c r="Z13" i="30"/>
  <c r="BF155" i="73"/>
  <c r="BF163" i="73"/>
  <c r="BF171" i="73"/>
  <c r="Q20" i="30"/>
  <c r="Q13" i="30"/>
  <c r="S23" i="32"/>
  <c r="S14" i="32"/>
  <c r="AI10" i="29"/>
  <c r="AI15" i="29"/>
  <c r="Q14" i="32"/>
  <c r="Q23" i="32"/>
  <c r="Q11" i="59"/>
  <c r="Q17" i="59"/>
  <c r="G21" i="39"/>
  <c r="G11" i="39"/>
  <c r="AL11" i="46"/>
  <c r="AL43" i="46"/>
  <c r="AL105" i="46"/>
  <c r="AL36" i="46"/>
  <c r="AL55" i="46"/>
  <c r="AL49" i="46"/>
  <c r="AL62" i="46"/>
  <c r="AL17" i="46"/>
  <c r="AL68" i="46"/>
  <c r="AL24" i="46"/>
  <c r="AL30" i="46"/>
  <c r="AL93" i="46"/>
  <c r="AL81" i="46"/>
  <c r="AL74" i="46"/>
  <c r="AI163" i="73"/>
  <c r="AI155" i="73"/>
  <c r="AI171" i="73"/>
  <c r="S34" i="71"/>
  <c r="S63" i="71"/>
  <c r="G17" i="46"/>
  <c r="G11" i="46"/>
  <c r="V25" i="45"/>
  <c r="V15" i="45"/>
  <c r="AC11" i="46"/>
  <c r="AC74" i="46"/>
  <c r="AC68" i="46"/>
  <c r="AC62" i="46"/>
  <c r="AC55" i="46"/>
  <c r="AC43" i="46"/>
  <c r="AC17" i="46"/>
  <c r="AC105" i="46"/>
  <c r="AC49" i="46"/>
  <c r="AC81" i="46"/>
  <c r="AC24" i="46"/>
  <c r="AC30" i="46" s="1"/>
  <c r="AC36" i="46" s="1"/>
  <c r="AC93" i="46"/>
  <c r="AG23" i="32"/>
  <c r="AG14" i="32"/>
  <c r="W14" i="31"/>
  <c r="W23" i="31"/>
  <c r="D34" i="71"/>
  <c r="D63" i="71"/>
  <c r="U92" i="83"/>
  <c r="U150" i="83"/>
  <c r="U130" i="83"/>
  <c r="U35" i="83"/>
  <c r="U116" i="83"/>
  <c r="U161" i="83"/>
  <c r="I14" i="31"/>
  <c r="I23" i="31"/>
  <c r="N23" i="31"/>
  <c r="N14" i="31"/>
  <c r="G34" i="71"/>
  <c r="G63" i="71"/>
  <c r="W23" i="32"/>
  <c r="W14" i="32"/>
  <c r="O11" i="39"/>
  <c r="O21" i="39"/>
  <c r="AY163" i="73"/>
  <c r="AY155" i="73"/>
  <c r="AY171" i="73"/>
  <c r="D12" i="53"/>
  <c r="D19" i="53"/>
  <c r="AA11" i="46"/>
  <c r="AA55" i="46"/>
  <c r="AA74" i="46"/>
  <c r="AA62" i="46"/>
  <c r="AA81" i="46"/>
  <c r="AA68" i="46"/>
  <c r="AA49" i="46"/>
  <c r="AA43" i="46"/>
  <c r="AA24" i="46"/>
  <c r="AA30" i="46" s="1"/>
  <c r="AA36" i="46" s="1"/>
  <c r="AA17" i="46"/>
  <c r="AA93" i="46"/>
  <c r="AA105" i="46"/>
  <c r="S5" i="9"/>
  <c r="S34" i="9"/>
  <c r="S35" i="9" s="1"/>
  <c r="S56" i="9"/>
  <c r="S38" i="9"/>
  <c r="S11" i="9"/>
  <c r="S48" i="9"/>
  <c r="S63" i="9"/>
  <c r="S122" i="9"/>
  <c r="S23" i="9"/>
  <c r="N23" i="49"/>
  <c r="N41" i="49"/>
  <c r="V11" i="59"/>
  <c r="V17" i="59"/>
  <c r="I48" i="9"/>
  <c r="I38" i="9"/>
  <c r="I56" i="9"/>
  <c r="I138" i="8" s="1"/>
  <c r="I11" i="9"/>
  <c r="I122" i="9"/>
  <c r="I5" i="9"/>
  <c r="I34" i="9"/>
  <c r="I35" i="9" s="1"/>
  <c r="I63" i="9"/>
  <c r="I23" i="9"/>
  <c r="I155" i="73"/>
  <c r="I163" i="73"/>
  <c r="I171" i="73"/>
  <c r="AE105" i="46"/>
  <c r="AE68" i="46"/>
  <c r="AE81" i="46"/>
  <c r="AE11" i="46"/>
  <c r="AE93" i="46"/>
  <c r="AE55" i="46"/>
  <c r="AE24" i="46"/>
  <c r="AE30" i="46" s="1"/>
  <c r="AE36" i="46" s="1"/>
  <c r="AE62" i="46"/>
  <c r="AE43" i="46"/>
  <c r="AE74" i="46"/>
  <c r="AE17" i="46"/>
  <c r="AE49" i="46"/>
  <c r="V21" i="65"/>
  <c r="V13" i="65"/>
  <c r="AF63" i="71"/>
  <c r="AF34" i="71"/>
  <c r="S93" i="46"/>
  <c r="S11" i="46"/>
  <c r="S74" i="46"/>
  <c r="S43" i="46"/>
  <c r="S49" i="46"/>
  <c r="S68" i="46"/>
  <c r="S55" i="46"/>
  <c r="S17" i="46"/>
  <c r="S24" i="46"/>
  <c r="S30" i="46" s="1"/>
  <c r="S36" i="46" s="1"/>
  <c r="S81" i="46"/>
  <c r="S105" i="46"/>
  <c r="S62" i="46"/>
  <c r="AH14" i="31"/>
  <c r="AH23" i="31"/>
  <c r="L20" i="30"/>
  <c r="L13" i="30"/>
  <c r="T19" i="53"/>
  <c r="T12" i="53"/>
  <c r="H179" i="73"/>
  <c r="H195" i="73"/>
  <c r="H187" i="73"/>
  <c r="AH163" i="73"/>
  <c r="AH155" i="73"/>
  <c r="AH171" i="73"/>
  <c r="P14" i="32"/>
  <c r="P23" i="32"/>
  <c r="AI23" i="49"/>
  <c r="AI41" i="49"/>
  <c r="R11" i="59"/>
  <c r="R17" i="59"/>
  <c r="G11" i="59"/>
  <c r="G17" i="59"/>
  <c r="P41" i="49"/>
  <c r="P23" i="49"/>
  <c r="AD95" i="73"/>
  <c r="AD87" i="73"/>
  <c r="AD79" i="73"/>
  <c r="AD115" i="73"/>
  <c r="AD123" i="73"/>
  <c r="AD105" i="73"/>
  <c r="AD139" i="73"/>
  <c r="AD131" i="73"/>
  <c r="V74" i="46"/>
  <c r="V17" i="46"/>
  <c r="V55" i="46"/>
  <c r="V43" i="46"/>
  <c r="V93" i="46"/>
  <c r="V49" i="46"/>
  <c r="V24" i="46"/>
  <c r="V30" i="46" s="1"/>
  <c r="V36" i="46" s="1"/>
  <c r="V81" i="46"/>
  <c r="V105" i="46"/>
  <c r="V11" i="46"/>
  <c r="V62" i="46"/>
  <c r="V68" i="46"/>
  <c r="N14" i="32"/>
  <c r="N23" i="32"/>
  <c r="X14" i="31"/>
  <c r="X23" i="31"/>
  <c r="E116" i="83"/>
  <c r="E130" i="83"/>
  <c r="E161" i="83"/>
  <c r="E92" i="83"/>
  <c r="E150" i="83"/>
  <c r="E35" i="83"/>
  <c r="AA253" i="77"/>
  <c r="L253" i="77"/>
  <c r="K253" i="77"/>
  <c r="Q253" i="77"/>
  <c r="E253" i="77"/>
  <c r="D253" i="77"/>
  <c r="X253" i="77"/>
  <c r="Y253" i="77"/>
  <c r="AP253" i="77"/>
  <c r="AR253" i="77"/>
  <c r="W253" i="77"/>
  <c r="Z253" i="77"/>
  <c r="N253" i="77"/>
  <c r="T253" i="77"/>
  <c r="V253" i="77"/>
  <c r="C253" i="77"/>
  <c r="AS253" i="77"/>
  <c r="AO253" i="77"/>
  <c r="U253" i="77"/>
  <c r="AQ253" i="77"/>
  <c r="O253" i="77"/>
  <c r="AB253" i="77"/>
  <c r="AO5" i="9"/>
  <c r="AO48" i="9"/>
  <c r="AO56" i="9"/>
  <c r="AO23" i="9"/>
  <c r="AO11" i="9"/>
  <c r="AO63" i="9"/>
  <c r="AO38" i="9"/>
  <c r="AO34" i="9"/>
  <c r="AO35" i="9" s="1"/>
  <c r="AO122" i="9"/>
  <c r="AB13" i="30"/>
  <c r="AB20" i="30"/>
  <c r="AC23" i="32"/>
  <c r="AC14" i="32"/>
  <c r="AM187" i="73"/>
  <c r="AM195" i="73"/>
  <c r="AM179" i="73"/>
  <c r="AH63" i="71"/>
  <c r="AH34" i="71"/>
  <c r="R13" i="30"/>
  <c r="R20" i="30"/>
  <c r="L41" i="49"/>
  <c r="L23" i="49"/>
  <c r="T139" i="73"/>
  <c r="T79" i="73"/>
  <c r="T95" i="73"/>
  <c r="T105" i="73"/>
  <c r="T123" i="73"/>
  <c r="T131" i="73"/>
  <c r="T115" i="73"/>
  <c r="T87" i="73"/>
  <c r="E15" i="29"/>
  <c r="E10" i="29"/>
  <c r="D23" i="9"/>
  <c r="D38" i="9"/>
  <c r="D34" i="9"/>
  <c r="D35" i="9" s="1"/>
  <c r="D122" i="9"/>
  <c r="D48" i="9"/>
  <c r="D63" i="9"/>
  <c r="D5" i="9"/>
  <c r="D56" i="9"/>
  <c r="D138" i="8" s="1"/>
  <c r="D11" i="9"/>
  <c r="N179" i="73"/>
  <c r="N187" i="73"/>
  <c r="N195" i="73"/>
  <c r="AH195" i="73"/>
  <c r="AH187" i="73"/>
  <c r="AH179" i="73"/>
  <c r="K221" i="77"/>
  <c r="D221" i="77"/>
  <c r="L221" i="77"/>
  <c r="E221" i="77"/>
  <c r="C221" i="77"/>
  <c r="Y260" i="77"/>
  <c r="AA260" i="77"/>
  <c r="V260" i="77"/>
  <c r="T260" i="77"/>
  <c r="E260" i="77"/>
  <c r="L260" i="77"/>
  <c r="U260" i="77"/>
  <c r="D260" i="77"/>
  <c r="W260" i="77"/>
  <c r="Z260" i="77"/>
  <c r="X260" i="77"/>
  <c r="K260" i="77"/>
  <c r="Q260" i="77"/>
  <c r="R260" i="77" s="1"/>
  <c r="AB260" i="77"/>
  <c r="C260" i="77"/>
  <c r="AO260" i="77"/>
  <c r="AS260" i="77"/>
  <c r="N260" i="77"/>
  <c r="AQ260" i="77"/>
  <c r="AR260" i="77"/>
  <c r="AP260" i="77"/>
  <c r="O260" i="77"/>
  <c r="AT179" i="73"/>
  <c r="AT187" i="73"/>
  <c r="AT195" i="73"/>
  <c r="F131" i="73"/>
  <c r="F123" i="73"/>
  <c r="F95" i="73"/>
  <c r="F105" i="73"/>
  <c r="F139" i="73"/>
  <c r="F87" i="73"/>
  <c r="F79" i="73"/>
  <c r="F115" i="73"/>
  <c r="AY179" i="73"/>
  <c r="AY195" i="73"/>
  <c r="AY187" i="73"/>
  <c r="AT171" i="73"/>
  <c r="AT155" i="73"/>
  <c r="AT163" i="73"/>
  <c r="K233" i="77"/>
  <c r="N233" i="77"/>
  <c r="O233" i="77"/>
  <c r="L233" i="77"/>
  <c r="D233" i="77"/>
  <c r="C233" i="77"/>
  <c r="Z15" i="84" s="1"/>
  <c r="E233" i="77"/>
  <c r="F23" i="49"/>
  <c r="F41" i="49"/>
  <c r="R87" i="73"/>
  <c r="R115" i="73"/>
  <c r="R123" i="73"/>
  <c r="R139" i="73"/>
  <c r="R105" i="73"/>
  <c r="R131" i="73"/>
  <c r="R95" i="73"/>
  <c r="R79" i="73"/>
  <c r="AK63" i="71"/>
  <c r="AK34" i="71"/>
  <c r="P171" i="73"/>
  <c r="P163" i="73"/>
  <c r="P155" i="73"/>
  <c r="V238" i="77"/>
  <c r="AS238" i="77"/>
  <c r="E238" i="77"/>
  <c r="AP238" i="77"/>
  <c r="T238" i="77"/>
  <c r="U238" i="77"/>
  <c r="AA238" i="77"/>
  <c r="AR238" i="77"/>
  <c r="Q238" i="77"/>
  <c r="AQ238" i="77"/>
  <c r="W238" i="77"/>
  <c r="K238" i="77"/>
  <c r="N238" i="77"/>
  <c r="C238" i="77"/>
  <c r="Z238" i="77"/>
  <c r="L238" i="77"/>
  <c r="X238" i="77"/>
  <c r="D238" i="77"/>
  <c r="Y238" i="77"/>
  <c r="AO238" i="77"/>
  <c r="O238" i="77"/>
  <c r="AB238" i="77"/>
  <c r="AL13" i="65"/>
  <c r="AL21" i="65"/>
  <c r="E237" i="77"/>
  <c r="BA237" i="77" s="1"/>
  <c r="D237" i="77"/>
  <c r="L237" i="77"/>
  <c r="BB237" i="77" s="1"/>
  <c r="K237" i="77"/>
  <c r="Q237" i="77"/>
  <c r="R237" i="77" s="1"/>
  <c r="C237" i="77"/>
  <c r="N237" i="77"/>
  <c r="O237" i="77"/>
  <c r="AN20" i="30"/>
  <c r="AN13" i="30"/>
  <c r="AO23" i="32"/>
  <c r="AO14" i="32"/>
  <c r="D21" i="39"/>
  <c r="D11" i="39"/>
  <c r="BA15" i="84"/>
  <c r="AL21" i="52"/>
  <c r="AL37" i="52"/>
  <c r="AQ15" i="45"/>
  <c r="AQ25" i="45"/>
  <c r="J6" i="34"/>
  <c r="P6" i="34" s="1"/>
  <c r="V6" i="34" s="1"/>
  <c r="AB6" i="34" s="1"/>
  <c r="AH6" i="34" s="1"/>
  <c r="AN6" i="34" s="1"/>
  <c r="G6" i="34"/>
  <c r="M6" i="34" s="1"/>
  <c r="S6" i="34" s="1"/>
  <c r="Y6" i="34" s="1"/>
  <c r="AE6" i="34" s="1"/>
  <c r="AK6" i="34" s="1"/>
  <c r="AQ6" i="34" s="1"/>
  <c r="AZ6" i="34" s="1"/>
  <c r="AQ63" i="71"/>
  <c r="AQ34" i="71"/>
  <c r="AR15" i="45"/>
  <c r="AR25" i="45"/>
  <c r="AP21" i="52"/>
  <c r="AP37" i="52"/>
  <c r="AO10" i="29"/>
  <c r="AO15" i="29"/>
  <c r="D25" i="45"/>
  <c r="D15" i="45"/>
  <c r="AQ20" i="30"/>
  <c r="AQ13" i="30"/>
  <c r="AP19" i="53"/>
  <c r="AP12" i="53"/>
  <c r="AP23" i="49"/>
  <c r="AP41" i="49"/>
  <c r="W269" i="77"/>
  <c r="Z269" i="77"/>
  <c r="K269" i="77"/>
  <c r="L269" i="77"/>
  <c r="D269" i="77"/>
  <c r="Y269" i="77"/>
  <c r="U269" i="77"/>
  <c r="Q269" i="77"/>
  <c r="R269" i="77" s="1"/>
  <c r="T269" i="77"/>
  <c r="E269" i="77"/>
  <c r="V269" i="77"/>
  <c r="X269" i="77"/>
  <c r="AA269" i="77"/>
  <c r="C269" i="77"/>
  <c r="BJ15" i="84" s="1"/>
  <c r="AB269" i="77"/>
  <c r="N269" i="77"/>
  <c r="AR269" i="77"/>
  <c r="AQ269" i="77"/>
  <c r="O269" i="77"/>
  <c r="AS269" i="77"/>
  <c r="AO269" i="77"/>
  <c r="AP269" i="77"/>
  <c r="AW49" i="46"/>
  <c r="AW74" i="46"/>
  <c r="AW43" i="46"/>
  <c r="AW36" i="46"/>
  <c r="AW81" i="46"/>
  <c r="AW24" i="46"/>
  <c r="AW30" i="46"/>
  <c r="AW55" i="46"/>
  <c r="AW62" i="46"/>
  <c r="AW11" i="46"/>
  <c r="AW68" i="46"/>
  <c r="AW105" i="46"/>
  <c r="AW93" i="46"/>
  <c r="AW17" i="46"/>
  <c r="AT13" i="65"/>
  <c r="AT21" i="65"/>
  <c r="AR37" i="52"/>
  <c r="AR21" i="52"/>
  <c r="AS63" i="71"/>
  <c r="AS34" i="71"/>
  <c r="AT23" i="31"/>
  <c r="AT14" i="31"/>
  <c r="AS20" i="30"/>
  <c r="AS13" i="30"/>
  <c r="B25" i="2"/>
  <c r="B48" i="13"/>
  <c r="B43" i="12"/>
  <c r="Y15" i="45"/>
  <c r="Y25" i="45"/>
  <c r="AX163" i="73"/>
  <c r="AX155" i="73"/>
  <c r="AX171" i="73"/>
  <c r="AH41" i="49"/>
  <c r="AH23" i="49"/>
  <c r="R150" i="83"/>
  <c r="R161" i="83"/>
  <c r="R92" i="83"/>
  <c r="R116" i="83"/>
  <c r="R35" i="83"/>
  <c r="R130" i="83"/>
  <c r="AH37" i="52"/>
  <c r="AH21" i="52"/>
  <c r="K21" i="52"/>
  <c r="K37" i="52"/>
  <c r="AW155" i="73"/>
  <c r="AW163" i="73"/>
  <c r="AW171" i="73"/>
  <c r="AI23" i="31"/>
  <c r="AI14" i="31"/>
  <c r="C150" i="83"/>
  <c r="C130" i="83"/>
  <c r="C161" i="83"/>
  <c r="C35" i="83"/>
  <c r="C92" i="83"/>
  <c r="C116" i="83"/>
  <c r="V37" i="52"/>
  <c r="V21" i="52"/>
  <c r="L224" i="77"/>
  <c r="BB224" i="77" s="1"/>
  <c r="C224" i="77"/>
  <c r="Q15" i="84" s="1"/>
  <c r="E224" i="77"/>
  <c r="K224" i="77"/>
  <c r="D224" i="77"/>
  <c r="M195" i="73"/>
  <c r="M187" i="73"/>
  <c r="M179" i="73"/>
  <c r="AO20" i="30"/>
  <c r="AO13" i="30"/>
  <c r="AL10" i="29"/>
  <c r="AL15" i="29"/>
  <c r="AP13" i="65"/>
  <c r="AP21" i="65"/>
  <c r="AM19" i="53"/>
  <c r="AM12" i="53"/>
  <c r="AR13" i="65"/>
  <c r="AR21" i="65"/>
  <c r="D10" i="29"/>
  <c r="D15" i="29"/>
  <c r="AG171" i="73"/>
  <c r="AG155" i="73"/>
  <c r="AG163" i="73"/>
  <c r="P150" i="83"/>
  <c r="P161" i="83"/>
  <c r="P35" i="83"/>
  <c r="P130" i="83"/>
  <c r="P92" i="83"/>
  <c r="P116" i="83"/>
  <c r="S41" i="49"/>
  <c r="S23" i="49"/>
  <c r="E63" i="71"/>
  <c r="E34" i="71"/>
  <c r="P11" i="39"/>
  <c r="P21" i="39"/>
  <c r="V63" i="9"/>
  <c r="V48" i="9"/>
  <c r="V122" i="9"/>
  <c r="V11" i="9"/>
  <c r="V5" i="9"/>
  <c r="V56" i="9"/>
  <c r="V138" i="8" s="1"/>
  <c r="V23" i="9"/>
  <c r="V34" i="9"/>
  <c r="V35" i="9" s="1"/>
  <c r="V38" i="9"/>
  <c r="AF23" i="32"/>
  <c r="AF14" i="32"/>
  <c r="X19" i="53"/>
  <c r="X12" i="53"/>
  <c r="Y34" i="71"/>
  <c r="Y63" i="71"/>
  <c r="N20" i="30"/>
  <c r="N13" i="30"/>
  <c r="O25" i="45"/>
  <c r="O15" i="45"/>
  <c r="C179" i="73"/>
  <c r="C195" i="73"/>
  <c r="C187" i="73"/>
  <c r="P34" i="71"/>
  <c r="P63" i="71"/>
  <c r="J21" i="65"/>
  <c r="J13" i="65"/>
  <c r="R122" i="9"/>
  <c r="R38" i="9"/>
  <c r="R48" i="9"/>
  <c r="R56" i="9"/>
  <c r="R138" i="8" s="1"/>
  <c r="R23" i="9"/>
  <c r="R63" i="9"/>
  <c r="R5" i="9"/>
  <c r="R11" i="9"/>
  <c r="R34" i="9"/>
  <c r="R35" i="9" s="1"/>
  <c r="G25" i="45"/>
  <c r="G15" i="45"/>
  <c r="AG25" i="45"/>
  <c r="AG15" i="45"/>
  <c r="E17" i="46"/>
  <c r="E11" i="46"/>
  <c r="AF21" i="65"/>
  <c r="AF13" i="65"/>
  <c r="AC87" i="73"/>
  <c r="AC131" i="73"/>
  <c r="AC139" i="73"/>
  <c r="AC123" i="73"/>
  <c r="AC95" i="73"/>
  <c r="AC115" i="73"/>
  <c r="AC105" i="73"/>
  <c r="AC79" i="73"/>
  <c r="AG37" i="52"/>
  <c r="AG21" i="52"/>
  <c r="AD23" i="49"/>
  <c r="AD41" i="49"/>
  <c r="X13" i="30"/>
  <c r="X20" i="30"/>
  <c r="P122" i="9"/>
  <c r="P56" i="9"/>
  <c r="P138" i="8" s="1"/>
  <c r="P63" i="9"/>
  <c r="P23" i="9"/>
  <c r="P5" i="9"/>
  <c r="P11" i="9"/>
  <c r="P48" i="9"/>
  <c r="P38" i="9"/>
  <c r="P34" i="9"/>
  <c r="P35" i="9" s="1"/>
  <c r="AK34" i="9"/>
  <c r="AK35" i="9" s="1"/>
  <c r="AK48" i="9"/>
  <c r="AK63" i="9"/>
  <c r="AK56" i="9"/>
  <c r="AK122" i="9"/>
  <c r="AK11" i="9"/>
  <c r="AK38" i="9"/>
  <c r="AK5" i="9"/>
  <c r="AK23" i="9"/>
  <c r="X15" i="45"/>
  <c r="X25" i="45"/>
  <c r="AI11" i="9"/>
  <c r="AI23" i="9"/>
  <c r="AI63" i="9"/>
  <c r="AI48" i="9"/>
  <c r="AI34" i="9"/>
  <c r="AI35" i="9" s="1"/>
  <c r="AI38" i="9"/>
  <c r="AI122" i="9"/>
  <c r="AI56" i="9"/>
  <c r="AI5" i="9"/>
  <c r="M14" i="32"/>
  <c r="M23" i="32"/>
  <c r="T17" i="59"/>
  <c r="T11" i="59"/>
  <c r="AG23" i="49"/>
  <c r="AG41" i="49"/>
  <c r="AC21" i="39"/>
  <c r="AC11" i="39"/>
  <c r="U14" i="31"/>
  <c r="U23" i="31"/>
  <c r="Z15" i="29"/>
  <c r="Z10" i="29"/>
  <c r="AP179" i="73"/>
  <c r="AP195" i="73"/>
  <c r="AP187" i="73"/>
  <c r="V23" i="49"/>
  <c r="V41" i="49"/>
  <c r="AJ23" i="49"/>
  <c r="AJ41" i="49"/>
  <c r="BE171" i="73"/>
  <c r="BE155" i="73"/>
  <c r="BE163" i="73"/>
  <c r="AG15" i="29"/>
  <c r="AG10" i="29"/>
  <c r="J14" i="32"/>
  <c r="J23" i="32"/>
  <c r="W130" i="83"/>
  <c r="W161" i="83"/>
  <c r="W150" i="83"/>
  <c r="W116" i="83"/>
  <c r="W35" i="83"/>
  <c r="W92" i="83"/>
  <c r="Y23" i="49"/>
  <c r="Y41" i="49"/>
  <c r="AD38" i="9"/>
  <c r="AD48" i="9"/>
  <c r="AD5" i="9"/>
  <c r="AD23" i="9"/>
  <c r="AD63" i="9"/>
  <c r="AD11" i="9"/>
  <c r="AD56" i="9"/>
  <c r="AD122" i="9"/>
  <c r="AD34" i="9"/>
  <c r="AD35" i="9" s="1"/>
  <c r="W10" i="29"/>
  <c r="W15" i="29"/>
  <c r="AB34" i="71"/>
  <c r="AB63" i="71"/>
  <c r="AG48" i="9"/>
  <c r="AG34" i="9"/>
  <c r="AG35" i="9" s="1"/>
  <c r="AG56" i="9"/>
  <c r="AG23" i="9"/>
  <c r="AG122" i="9"/>
  <c r="AG11" i="9"/>
  <c r="AG5" i="9"/>
  <c r="AG63" i="9"/>
  <c r="AG38" i="9"/>
  <c r="Q37" i="52"/>
  <c r="Q21" i="52"/>
  <c r="G10" i="29"/>
  <c r="G15" i="29"/>
  <c r="T41" i="49"/>
  <c r="T23" i="49"/>
  <c r="AA12" i="53"/>
  <c r="AA19" i="53"/>
  <c r="X10" i="29"/>
  <c r="X15" i="29"/>
  <c r="O19" i="53"/>
  <c r="O12" i="53"/>
  <c r="J11" i="39"/>
  <c r="J21" i="39"/>
  <c r="Q13" i="65"/>
  <c r="Q21" i="65"/>
  <c r="H63" i="71"/>
  <c r="H34" i="71"/>
  <c r="H13" i="65"/>
  <c r="H21" i="65"/>
  <c r="V87" i="73"/>
  <c r="V105" i="73"/>
  <c r="V115" i="73"/>
  <c r="V123" i="73"/>
  <c r="V79" i="73"/>
  <c r="V139" i="73"/>
  <c r="V95" i="73"/>
  <c r="V131" i="73"/>
  <c r="T122" i="9"/>
  <c r="T34" i="9"/>
  <c r="T35" i="9" s="1"/>
  <c r="T11" i="9"/>
  <c r="T56" i="9"/>
  <c r="T115" i="8" s="1"/>
  <c r="T63" i="9"/>
  <c r="T48" i="9"/>
  <c r="T38" i="9"/>
  <c r="T5" i="9"/>
  <c r="T23" i="9"/>
  <c r="E21" i="65"/>
  <c r="E13" i="65"/>
  <c r="I25" i="45"/>
  <c r="I15" i="45"/>
  <c r="AN17" i="46"/>
  <c r="AN11" i="46"/>
  <c r="AN49" i="46"/>
  <c r="AN24" i="46"/>
  <c r="AN93" i="46"/>
  <c r="AN81" i="46"/>
  <c r="AN55" i="46"/>
  <c r="AN105" i="46"/>
  <c r="AN74" i="46"/>
  <c r="AN43" i="46"/>
  <c r="AN62" i="46"/>
  <c r="AN36" i="46"/>
  <c r="AN68" i="46"/>
  <c r="AN30" i="46"/>
  <c r="AR179" i="73"/>
  <c r="AR187" i="73"/>
  <c r="AR195" i="73"/>
  <c r="BD179" i="73"/>
  <c r="BD195" i="73"/>
  <c r="BD187" i="73"/>
  <c r="S92" i="83"/>
  <c r="S130" i="83"/>
  <c r="S35" i="83"/>
  <c r="S150" i="83"/>
  <c r="S116" i="83"/>
  <c r="S161" i="83"/>
  <c r="AF63" i="9"/>
  <c r="AF122" i="9"/>
  <c r="AF48" i="9"/>
  <c r="AF23" i="9"/>
  <c r="AF56" i="9"/>
  <c r="AF11" i="9"/>
  <c r="AF38" i="9"/>
  <c r="AF34" i="9"/>
  <c r="AF35" i="9" s="1"/>
  <c r="AF5" i="9"/>
  <c r="AM93" i="46"/>
  <c r="AM74" i="46"/>
  <c r="AM105" i="46"/>
  <c r="AM49" i="46"/>
  <c r="AM30" i="46"/>
  <c r="AM81" i="46"/>
  <c r="AM36" i="46"/>
  <c r="AM68" i="46"/>
  <c r="AM55" i="46"/>
  <c r="AM43" i="46"/>
  <c r="AM11" i="46"/>
  <c r="AM17" i="46"/>
  <c r="AM62" i="46"/>
  <c r="AM24" i="46"/>
  <c r="R23" i="31"/>
  <c r="R14" i="31"/>
  <c r="AA14" i="31"/>
  <c r="AA23" i="31"/>
  <c r="AU163" i="73"/>
  <c r="AU171" i="73"/>
  <c r="AU155" i="73"/>
  <c r="AR171" i="73"/>
  <c r="AR155" i="73"/>
  <c r="AR163" i="73"/>
  <c r="J19" i="53"/>
  <c r="J12" i="53"/>
  <c r="Z11" i="39"/>
  <c r="Z21" i="39"/>
  <c r="AI11" i="39"/>
  <c r="AI21" i="39"/>
  <c r="AI33" i="39" s="1"/>
  <c r="T68" i="46"/>
  <c r="T81" i="46"/>
  <c r="T93" i="46"/>
  <c r="T62" i="46"/>
  <c r="T11" i="46"/>
  <c r="T24" i="46"/>
  <c r="T30" i="46" s="1"/>
  <c r="T36" i="46" s="1"/>
  <c r="T17" i="46"/>
  <c r="T105" i="46"/>
  <c r="T43" i="46"/>
  <c r="T74" i="46"/>
  <c r="T55" i="46"/>
  <c r="T49" i="46"/>
  <c r="T21" i="39"/>
  <c r="T11" i="39"/>
  <c r="K19" i="53"/>
  <c r="K12" i="53"/>
  <c r="Y163" i="73"/>
  <c r="Y171" i="73"/>
  <c r="Y155" i="73"/>
  <c r="AD43" i="46"/>
  <c r="AD74" i="46"/>
  <c r="AD11" i="46"/>
  <c r="AD68" i="46"/>
  <c r="AD24" i="46"/>
  <c r="AD30" i="46" s="1"/>
  <c r="AD36" i="46" s="1"/>
  <c r="AD49" i="46"/>
  <c r="AD93" i="46"/>
  <c r="AD62" i="46"/>
  <c r="AD81" i="46"/>
  <c r="AD55" i="46"/>
  <c r="AD17" i="46"/>
  <c r="AD105" i="46"/>
  <c r="W95" i="73"/>
  <c r="W105" i="73"/>
  <c r="W139" i="73"/>
  <c r="W131" i="73"/>
  <c r="W79" i="73"/>
  <c r="W87" i="73"/>
  <c r="W123" i="73"/>
  <c r="W115" i="73"/>
  <c r="R21" i="65"/>
  <c r="R13" i="65"/>
  <c r="AI19" i="53"/>
  <c r="AI12" i="53"/>
  <c r="AK74" i="46"/>
  <c r="AK105" i="46"/>
  <c r="AK11" i="46"/>
  <c r="AK55" i="46"/>
  <c r="AK36" i="46"/>
  <c r="AK30" i="46"/>
  <c r="AK49" i="46"/>
  <c r="AK81" i="46"/>
  <c r="AK62" i="46"/>
  <c r="AK43" i="46"/>
  <c r="AK68" i="46"/>
  <c r="AK93" i="46"/>
  <c r="AK24" i="46"/>
  <c r="AK17" i="46"/>
  <c r="AL187" i="73"/>
  <c r="AL195" i="73"/>
  <c r="AL179" i="73"/>
  <c r="R23" i="49"/>
  <c r="R41" i="49"/>
  <c r="AF23" i="49"/>
  <c r="AF41" i="49"/>
  <c r="AI25" i="45"/>
  <c r="AI15" i="45"/>
  <c r="I17" i="46"/>
  <c r="I11" i="46"/>
  <c r="X21" i="39"/>
  <c r="X11" i="39"/>
  <c r="R155" i="73"/>
  <c r="R171" i="73"/>
  <c r="R163" i="73"/>
  <c r="Z79" i="73"/>
  <c r="Z115" i="73"/>
  <c r="Z131" i="73"/>
  <c r="Z95" i="73"/>
  <c r="Z105" i="73"/>
  <c r="Z87" i="73"/>
  <c r="Z139" i="73"/>
  <c r="Z123" i="73"/>
  <c r="AE21" i="39"/>
  <c r="AE11" i="39"/>
  <c r="U21" i="39"/>
  <c r="U11" i="39"/>
  <c r="V23" i="32"/>
  <c r="V14" i="32"/>
  <c r="BB179" i="73"/>
  <c r="BB187" i="73"/>
  <c r="BB195" i="73"/>
  <c r="M34" i="71"/>
  <c r="M63" i="71"/>
  <c r="C15" i="29"/>
  <c r="C10" i="29"/>
  <c r="AP163" i="73"/>
  <c r="AP171" i="73"/>
  <c r="AP155" i="73"/>
  <c r="BD155" i="73"/>
  <c r="BD171" i="73"/>
  <c r="BD163" i="73"/>
  <c r="D255" i="77"/>
  <c r="W255" i="77"/>
  <c r="E255" i="77"/>
  <c r="Y255" i="77"/>
  <c r="AA255" i="77"/>
  <c r="T255" i="77"/>
  <c r="U255" i="77"/>
  <c r="L255" i="77"/>
  <c r="K255" i="77"/>
  <c r="Z255" i="77"/>
  <c r="Q255" i="77"/>
  <c r="X255" i="77"/>
  <c r="V255" i="77"/>
  <c r="C255" i="77"/>
  <c r="AQ255" i="77"/>
  <c r="AR255" i="77"/>
  <c r="AO255" i="77"/>
  <c r="AS255" i="77"/>
  <c r="N255" i="77"/>
  <c r="AP255" i="77"/>
  <c r="O255" i="77"/>
  <c r="AB255" i="77"/>
  <c r="D179" i="73"/>
  <c r="D195" i="73"/>
  <c r="D187" i="73"/>
  <c r="AK105" i="73"/>
  <c r="AK131" i="73"/>
  <c r="AK123" i="73"/>
  <c r="AK79" i="73"/>
  <c r="AK95" i="73"/>
  <c r="AK87" i="73"/>
  <c r="AK139" i="73"/>
  <c r="AK115" i="73"/>
  <c r="L231" i="77"/>
  <c r="BB231" i="77" s="1"/>
  <c r="E231" i="77"/>
  <c r="BA231" i="77" s="1"/>
  <c r="K231" i="77"/>
  <c r="C231" i="77"/>
  <c r="D231" i="77"/>
  <c r="R11" i="39"/>
  <c r="R21" i="39"/>
  <c r="V11" i="39"/>
  <c r="V21" i="39"/>
  <c r="AA256" i="77"/>
  <c r="L256" i="77"/>
  <c r="BB256" i="77" s="1"/>
  <c r="Q256" i="77"/>
  <c r="R256" i="77" s="1"/>
  <c r="W256" i="77"/>
  <c r="D256" i="77"/>
  <c r="T256" i="77"/>
  <c r="K256" i="77"/>
  <c r="U256" i="77"/>
  <c r="E256" i="77"/>
  <c r="Y256" i="77"/>
  <c r="Z256" i="77"/>
  <c r="V256" i="77"/>
  <c r="X256" i="77"/>
  <c r="C256" i="77"/>
  <c r="AS256" i="77"/>
  <c r="AP256" i="77"/>
  <c r="AQ256" i="77"/>
  <c r="AO256" i="77"/>
  <c r="N256" i="77"/>
  <c r="AR256" i="77"/>
  <c r="O256" i="77"/>
  <c r="AB256" i="77"/>
  <c r="D223" i="77"/>
  <c r="L223" i="77"/>
  <c r="K223" i="77"/>
  <c r="C223" i="77"/>
  <c r="E223" i="77"/>
  <c r="E232" i="77"/>
  <c r="BA232" i="77" s="1"/>
  <c r="K232" i="77"/>
  <c r="C232" i="77"/>
  <c r="Y15" i="84" s="1"/>
  <c r="D232" i="77"/>
  <c r="L232" i="77"/>
  <c r="L246" i="77"/>
  <c r="BB246" i="77" s="1"/>
  <c r="E246" i="77"/>
  <c r="K246" i="77"/>
  <c r="AA246" i="77"/>
  <c r="D246" i="77"/>
  <c r="Q246" i="77"/>
  <c r="X246" i="77"/>
  <c r="U246" i="77"/>
  <c r="T246" i="77"/>
  <c r="W246" i="77"/>
  <c r="Y246" i="77"/>
  <c r="V246" i="77"/>
  <c r="Z246" i="77"/>
  <c r="AP246" i="77"/>
  <c r="C246" i="77"/>
  <c r="AM15" i="84" s="1"/>
  <c r="AO246" i="77"/>
  <c r="AS246" i="77"/>
  <c r="AQ246" i="77"/>
  <c r="AR246" i="77"/>
  <c r="N246" i="77"/>
  <c r="AB246" i="77"/>
  <c r="O246" i="77"/>
  <c r="L263" i="77"/>
  <c r="U263" i="77"/>
  <c r="W263" i="77"/>
  <c r="Y263" i="77"/>
  <c r="T263" i="77"/>
  <c r="AA263" i="77"/>
  <c r="E263" i="77"/>
  <c r="D263" i="77"/>
  <c r="Z263" i="77"/>
  <c r="K263" i="77"/>
  <c r="Q263" i="77"/>
  <c r="R263" i="77" s="1"/>
  <c r="V263" i="77"/>
  <c r="X263" i="77"/>
  <c r="AB263" i="77"/>
  <c r="AS263" i="77"/>
  <c r="AO263" i="77"/>
  <c r="AQ263" i="77"/>
  <c r="C263" i="77"/>
  <c r="BD15" i="84" s="1"/>
  <c r="AP263" i="77"/>
  <c r="N263" i="77"/>
  <c r="AR263" i="77"/>
  <c r="O263" i="77"/>
  <c r="L273" i="77"/>
  <c r="K273" i="77"/>
  <c r="E273" i="77"/>
  <c r="Q273" i="77"/>
  <c r="D273" i="77"/>
  <c r="U273" i="77"/>
  <c r="T273" i="77"/>
  <c r="Z273" i="77"/>
  <c r="AP273" i="77"/>
  <c r="AA273" i="77"/>
  <c r="AQ273" i="77"/>
  <c r="W273" i="77"/>
  <c r="Y273" i="77"/>
  <c r="AS273" i="77"/>
  <c r="AR273" i="77"/>
  <c r="N273" i="77"/>
  <c r="C273" i="77"/>
  <c r="BN15" i="84" s="1"/>
  <c r="AO273" i="77"/>
  <c r="X273" i="77"/>
  <c r="V273" i="77"/>
  <c r="O273" i="77"/>
  <c r="AB273" i="77"/>
  <c r="AT15" i="84"/>
  <c r="AP13" i="30"/>
  <c r="AP20" i="30"/>
  <c r="AN41" i="49"/>
  <c r="AN23" i="49"/>
  <c r="AR13" i="30"/>
  <c r="AR20" i="30"/>
  <c r="AU23" i="9"/>
  <c r="AU48" i="9"/>
  <c r="AU122" i="9"/>
  <c r="AU11" i="9"/>
  <c r="AU63" i="9"/>
  <c r="AU56" i="9"/>
  <c r="AU5" i="9"/>
  <c r="AU38" i="9"/>
  <c r="AU34" i="9"/>
  <c r="AU35" i="9" s="1"/>
  <c r="AM21" i="65"/>
  <c r="AM13" i="65"/>
  <c r="AP14" i="32"/>
  <c r="AP23" i="32"/>
  <c r="AV15" i="84"/>
  <c r="AM15" i="45"/>
  <c r="AM25" i="45"/>
  <c r="AL92" i="83"/>
  <c r="AL130" i="83"/>
  <c r="AL161" i="83"/>
  <c r="AL150" i="83"/>
  <c r="AL116" i="83"/>
  <c r="AL35" i="83"/>
  <c r="AE92" i="83"/>
  <c r="AE116" i="83"/>
  <c r="AE150" i="83"/>
  <c r="AE130" i="83"/>
  <c r="AE161" i="83"/>
  <c r="AE35" i="83"/>
  <c r="L266" i="77"/>
  <c r="Q266" i="77"/>
  <c r="E266" i="77"/>
  <c r="T266" i="77"/>
  <c r="U266" i="77"/>
  <c r="D266" i="77"/>
  <c r="W266" i="77"/>
  <c r="Y266" i="77"/>
  <c r="K266" i="77"/>
  <c r="Z266" i="77"/>
  <c r="X266" i="77"/>
  <c r="V266" i="77"/>
  <c r="AA266" i="77"/>
  <c r="AB266" i="77"/>
  <c r="AQ266" i="77"/>
  <c r="AO266" i="77"/>
  <c r="AS266" i="77"/>
  <c r="AP266" i="77"/>
  <c r="AR266" i="77"/>
  <c r="C266" i="77"/>
  <c r="N266" i="77"/>
  <c r="O266" i="77"/>
  <c r="AX34" i="9"/>
  <c r="AX35" i="9" s="1"/>
  <c r="AX56" i="9"/>
  <c r="AX5" i="9"/>
  <c r="AX63" i="9"/>
  <c r="AX23" i="9"/>
  <c r="AX38" i="9"/>
  <c r="AX122" i="9"/>
  <c r="AX11" i="9"/>
  <c r="AX48" i="9"/>
  <c r="C15" i="84"/>
  <c r="AM34" i="71"/>
  <c r="AM63" i="71"/>
  <c r="AU15" i="29"/>
  <c r="AU10" i="29"/>
  <c r="AS25" i="45"/>
  <c r="AS15" i="45"/>
  <c r="AS21" i="65"/>
  <c r="AS13" i="65"/>
  <c r="AS19" i="53"/>
  <c r="AS12" i="53"/>
  <c r="AS21" i="52"/>
  <c r="AS37" i="52"/>
  <c r="AS41" i="49"/>
  <c r="AS23" i="49"/>
  <c r="BA122" i="9"/>
  <c r="BA11" i="9"/>
  <c r="BA48" i="9"/>
  <c r="BA23" i="9"/>
  <c r="BA38" i="9"/>
  <c r="BA34" i="9"/>
  <c r="BA35" i="9" s="1"/>
  <c r="BA56" i="9"/>
  <c r="BA63" i="9"/>
  <c r="BA5" i="9"/>
  <c r="W19" i="53"/>
  <c r="W12" i="53"/>
  <c r="V171" i="73"/>
  <c r="V155" i="73"/>
  <c r="V163" i="73"/>
  <c r="AH105" i="73"/>
  <c r="AH115" i="73"/>
  <c r="AH95" i="73"/>
  <c r="AH87" i="73"/>
  <c r="AH79" i="73"/>
  <c r="AH139" i="73"/>
  <c r="AH131" i="73"/>
  <c r="AH123" i="73"/>
  <c r="AK11" i="39"/>
  <c r="AK21" i="39"/>
  <c r="AK33" i="39" s="1"/>
  <c r="F14" i="32"/>
  <c r="F23" i="32"/>
  <c r="AO179" i="73"/>
  <c r="AO187" i="73"/>
  <c r="AO195" i="73"/>
  <c r="BK195" i="73"/>
  <c r="BK187" i="73"/>
  <c r="BK179" i="73"/>
  <c r="F163" i="73"/>
  <c r="F171" i="73"/>
  <c r="F155" i="73"/>
  <c r="AF131" i="73"/>
  <c r="AF105" i="73"/>
  <c r="AF79" i="73"/>
  <c r="AF123" i="73"/>
  <c r="AF87" i="73"/>
  <c r="AF115" i="73"/>
  <c r="AF139" i="73"/>
  <c r="AF95" i="73"/>
  <c r="U19" i="53"/>
  <c r="U12" i="53"/>
  <c r="AE123" i="73"/>
  <c r="AE79" i="73"/>
  <c r="AE115" i="73"/>
  <c r="AE87" i="73"/>
  <c r="AE139" i="73"/>
  <c r="AE95" i="73"/>
  <c r="AE105" i="73"/>
  <c r="AE131" i="73"/>
  <c r="AM37" i="52"/>
  <c r="AM21" i="52"/>
  <c r="AN37" i="52"/>
  <c r="AN21" i="52"/>
  <c r="AM23" i="32"/>
  <c r="AM14" i="32"/>
  <c r="AT63" i="71"/>
  <c r="AT34" i="71"/>
  <c r="B31" i="13"/>
  <c r="B8" i="2"/>
  <c r="L23" i="31"/>
  <c r="L14" i="31"/>
  <c r="K48" i="9"/>
  <c r="K11" i="9"/>
  <c r="K38" i="9"/>
  <c r="K5" i="9"/>
  <c r="K34" i="9"/>
  <c r="K35" i="9" s="1"/>
  <c r="K122" i="9"/>
  <c r="K23" i="9"/>
  <c r="K56" i="9"/>
  <c r="K138" i="8" s="1"/>
  <c r="K63" i="9"/>
  <c r="N62" i="46"/>
  <c r="N55" i="46"/>
  <c r="N74" i="46"/>
  <c r="N11" i="46"/>
  <c r="N68" i="46"/>
  <c r="N24" i="46"/>
  <c r="N30" i="46" s="1"/>
  <c r="N36" i="46" s="1"/>
  <c r="N43" i="46"/>
  <c r="N49" i="46"/>
  <c r="N17" i="46"/>
  <c r="X116" i="83"/>
  <c r="X92" i="83"/>
  <c r="X130" i="83"/>
  <c r="X35" i="83"/>
  <c r="X161" i="83"/>
  <c r="X150" i="83"/>
  <c r="O130" i="83"/>
  <c r="O35" i="83"/>
  <c r="O161" i="83"/>
  <c r="O150" i="83"/>
  <c r="O92" i="83"/>
  <c r="O116" i="83"/>
  <c r="R195" i="73"/>
  <c r="R187" i="73"/>
  <c r="R179" i="73"/>
  <c r="V63" i="71"/>
  <c r="V34" i="71"/>
  <c r="AK13" i="30"/>
  <c r="AK20" i="30"/>
  <c r="K23" i="32"/>
  <c r="K14" i="32"/>
  <c r="K155" i="73"/>
  <c r="K171" i="73"/>
  <c r="K163" i="73"/>
  <c r="T10" i="29"/>
  <c r="T15" i="29"/>
  <c r="AD20" i="30"/>
  <c r="AD13" i="30"/>
  <c r="W21" i="52"/>
  <c r="W37" i="52"/>
  <c r="G20" i="30"/>
  <c r="G13" i="30"/>
  <c r="AJ12" i="53"/>
  <c r="AJ19" i="53"/>
  <c r="W21" i="65"/>
  <c r="W13" i="65"/>
  <c r="AB116" i="83"/>
  <c r="AB150" i="83"/>
  <c r="AB35" i="83"/>
  <c r="AB130" i="83"/>
  <c r="AB92" i="83"/>
  <c r="AB161" i="83"/>
  <c r="N21" i="65"/>
  <c r="N13" i="65"/>
  <c r="Z21" i="52"/>
  <c r="Z37" i="52"/>
  <c r="AE14" i="32"/>
  <c r="AE23" i="32"/>
  <c r="X37" i="52"/>
  <c r="X21" i="52"/>
  <c r="AG63" i="71"/>
  <c r="AG34" i="71"/>
  <c r="AF37" i="52"/>
  <c r="AF21" i="52"/>
  <c r="J131" i="73"/>
  <c r="J105" i="73"/>
  <c r="J123" i="73"/>
  <c r="J95" i="73"/>
  <c r="J115" i="73"/>
  <c r="J79" i="73"/>
  <c r="J139" i="73"/>
  <c r="J87" i="73"/>
  <c r="E122" i="9"/>
  <c r="E34" i="9"/>
  <c r="E35" i="9" s="1"/>
  <c r="E23" i="9"/>
  <c r="E56" i="9"/>
  <c r="E138" i="8" s="1"/>
  <c r="E38" i="9"/>
  <c r="E63" i="9"/>
  <c r="E5" i="9"/>
  <c r="E11" i="9"/>
  <c r="E48" i="9"/>
  <c r="D115" i="73"/>
  <c r="D105" i="73"/>
  <c r="D131" i="73"/>
  <c r="D95" i="73"/>
  <c r="D87" i="73"/>
  <c r="D139" i="73"/>
  <c r="D79" i="73"/>
  <c r="D123" i="73"/>
  <c r="AM122" i="9"/>
  <c r="AM23" i="9"/>
  <c r="AM11" i="9"/>
  <c r="AM34" i="9"/>
  <c r="AM35" i="9" s="1"/>
  <c r="AM63" i="9"/>
  <c r="AM38" i="9"/>
  <c r="AM56" i="9"/>
  <c r="AM5" i="9"/>
  <c r="AM48" i="9"/>
  <c r="W11" i="39"/>
  <c r="W21" i="39"/>
  <c r="AC195" i="73"/>
  <c r="AC179" i="73"/>
  <c r="AC187" i="73"/>
  <c r="L15" i="45"/>
  <c r="L25" i="45"/>
  <c r="I63" i="71"/>
  <c r="I34" i="71"/>
  <c r="F21" i="52"/>
  <c r="F37" i="52"/>
  <c r="R49" i="46"/>
  <c r="R43" i="46"/>
  <c r="R68" i="46"/>
  <c r="R24" i="46"/>
  <c r="R30" i="46" s="1"/>
  <c r="R36" i="46" s="1"/>
  <c r="R74" i="46"/>
  <c r="R17" i="46"/>
  <c r="R55" i="46"/>
  <c r="R11" i="46"/>
  <c r="R62" i="46"/>
  <c r="N11" i="9"/>
  <c r="N38" i="9"/>
  <c r="N5" i="9"/>
  <c r="N56" i="9"/>
  <c r="N138" i="8" s="1"/>
  <c r="N122" i="9"/>
  <c r="N63" i="9"/>
  <c r="N23" i="9"/>
  <c r="N34" i="9"/>
  <c r="N35" i="9" s="1"/>
  <c r="N48" i="9"/>
  <c r="Y139" i="73"/>
  <c r="Y95" i="73"/>
  <c r="Y105" i="73"/>
  <c r="Y87" i="73"/>
  <c r="Y79" i="73"/>
  <c r="Y123" i="73"/>
  <c r="Y115" i="73"/>
  <c r="Y131" i="73"/>
  <c r="F23" i="31"/>
  <c r="F14" i="31"/>
  <c r="BF179" i="73"/>
  <c r="BF195" i="73"/>
  <c r="BF187" i="73"/>
  <c r="J14" i="31"/>
  <c r="J23" i="31"/>
  <c r="AC63" i="71"/>
  <c r="AC34" i="71"/>
  <c r="J11" i="46"/>
  <c r="J24" i="46"/>
  <c r="J30" i="46" s="1"/>
  <c r="J36" i="46" s="1"/>
  <c r="J62" i="46"/>
  <c r="J17" i="46"/>
  <c r="J49" i="46"/>
  <c r="J68" i="46"/>
  <c r="J74" i="46"/>
  <c r="J55" i="46"/>
  <c r="J43" i="46"/>
  <c r="Z21" i="65"/>
  <c r="Z13" i="65"/>
  <c r="E23" i="49"/>
  <c r="E41" i="49"/>
  <c r="AD14" i="32"/>
  <c r="AD23" i="32"/>
  <c r="AO171" i="73"/>
  <c r="AO155" i="73"/>
  <c r="AO163" i="73"/>
  <c r="V14" i="31"/>
  <c r="V23" i="31"/>
  <c r="M19" i="53"/>
  <c r="M12" i="53"/>
  <c r="BA187" i="73"/>
  <c r="BA179" i="73"/>
  <c r="BA195" i="73"/>
  <c r="AJ14" i="31"/>
  <c r="AJ23" i="31"/>
  <c r="AQ179" i="73"/>
  <c r="AQ195" i="73"/>
  <c r="AQ187" i="73"/>
  <c r="H21" i="52"/>
  <c r="H37" i="52"/>
  <c r="AI37" i="52"/>
  <c r="AI21" i="52"/>
  <c r="L13" i="65"/>
  <c r="L21" i="65"/>
  <c r="BI163" i="73"/>
  <c r="BI171" i="73"/>
  <c r="BI155" i="73"/>
  <c r="H12" i="53"/>
  <c r="H19" i="53"/>
  <c r="AA23" i="9"/>
  <c r="AA48" i="9"/>
  <c r="AA34" i="9"/>
  <c r="AA35" i="9" s="1"/>
  <c r="AA5" i="9"/>
  <c r="AA56" i="9"/>
  <c r="AA63" i="9"/>
  <c r="AA122" i="9"/>
  <c r="AA38" i="9"/>
  <c r="AA11" i="9"/>
  <c r="M155" i="73"/>
  <c r="M171" i="73"/>
  <c r="M163" i="73"/>
  <c r="Q34" i="71"/>
  <c r="Q63" i="71"/>
  <c r="S37" i="52"/>
  <c r="S21" i="52"/>
  <c r="L87" i="73"/>
  <c r="L95" i="73"/>
  <c r="L79" i="73"/>
  <c r="L131" i="73"/>
  <c r="L115" i="73"/>
  <c r="L123" i="73"/>
  <c r="L139" i="73"/>
  <c r="L105" i="73"/>
  <c r="Z19" i="53"/>
  <c r="Z12" i="53"/>
  <c r="AI123" i="73"/>
  <c r="AI95" i="73"/>
  <c r="AI131" i="73"/>
  <c r="AI139" i="73"/>
  <c r="AI79" i="73"/>
  <c r="AI115" i="73"/>
  <c r="AI105" i="73"/>
  <c r="AI87" i="73"/>
  <c r="AJ93" i="46"/>
  <c r="AJ36" i="46"/>
  <c r="AJ24" i="46"/>
  <c r="AJ55" i="46"/>
  <c r="AJ49" i="46"/>
  <c r="AJ68" i="46"/>
  <c r="AJ62" i="46"/>
  <c r="AJ105" i="46"/>
  <c r="AJ17" i="46"/>
  <c r="AJ81" i="46"/>
  <c r="AJ11" i="46"/>
  <c r="AJ30" i="46"/>
  <c r="AJ43" i="46"/>
  <c r="AJ74" i="46"/>
  <c r="AO87" i="73"/>
  <c r="AO95" i="73"/>
  <c r="AO123" i="73"/>
  <c r="AO105" i="73"/>
  <c r="AO79" i="73"/>
  <c r="AO131" i="73"/>
  <c r="AO115" i="73"/>
  <c r="AO139" i="73"/>
  <c r="AA15" i="45"/>
  <c r="AA25" i="45"/>
  <c r="AA21" i="65"/>
  <c r="AA13" i="65"/>
  <c r="AZ187" i="73"/>
  <c r="AZ195" i="73"/>
  <c r="AZ179" i="73"/>
  <c r="Z25" i="45"/>
  <c r="Z15" i="45"/>
  <c r="I105" i="73"/>
  <c r="I87" i="73"/>
  <c r="I95" i="73"/>
  <c r="I123" i="73"/>
  <c r="I115" i="73"/>
  <c r="I79" i="73"/>
  <c r="I131" i="73"/>
  <c r="I139" i="73"/>
  <c r="AE13" i="30"/>
  <c r="AE20" i="30"/>
  <c r="AA265" i="77"/>
  <c r="E265" i="77"/>
  <c r="Q265" i="77"/>
  <c r="X265" i="77"/>
  <c r="D265" i="77"/>
  <c r="Y265" i="77"/>
  <c r="L265" i="77"/>
  <c r="BB265" i="77" s="1"/>
  <c r="T265" i="77"/>
  <c r="Z265" i="77"/>
  <c r="K265" i="77"/>
  <c r="U265" i="77"/>
  <c r="W265" i="77"/>
  <c r="V265" i="77"/>
  <c r="AB265" i="77"/>
  <c r="N265" i="77"/>
  <c r="O265" i="77"/>
  <c r="AR265" i="77"/>
  <c r="AS265" i="77"/>
  <c r="AO265" i="77"/>
  <c r="AP265" i="77"/>
  <c r="AQ265" i="77"/>
  <c r="C265" i="77"/>
  <c r="BF15" i="84" s="1"/>
  <c r="AJ171" i="73"/>
  <c r="AJ155" i="73"/>
  <c r="AJ163" i="73"/>
  <c r="BP195" i="73"/>
  <c r="BP187" i="73"/>
  <c r="BP179" i="73"/>
  <c r="BJ187" i="73"/>
  <c r="BJ195" i="73"/>
  <c r="BJ179" i="73"/>
  <c r="D230" i="77"/>
  <c r="K230" i="77"/>
  <c r="L230" i="77"/>
  <c r="E230" i="77"/>
  <c r="C230" i="77"/>
  <c r="W15" i="84" s="1"/>
  <c r="K216" i="77"/>
  <c r="L216" i="77"/>
  <c r="D216" i="77"/>
  <c r="C216" i="77"/>
  <c r="I15" i="84" s="1"/>
  <c r="E216" i="77"/>
  <c r="C14" i="31"/>
  <c r="C23" i="31"/>
  <c r="C11" i="59"/>
  <c r="C17" i="59"/>
  <c r="AF195" i="73"/>
  <c r="AF187" i="73"/>
  <c r="AF179" i="73"/>
  <c r="C23" i="49"/>
  <c r="C41" i="49"/>
  <c r="F195" i="73"/>
  <c r="F179" i="73"/>
  <c r="F187" i="73"/>
  <c r="L250" i="77"/>
  <c r="AA250" i="77"/>
  <c r="K250" i="77"/>
  <c r="E250" i="77"/>
  <c r="D250" i="77"/>
  <c r="Q250" i="77"/>
  <c r="X250" i="77"/>
  <c r="T250" i="77"/>
  <c r="AQ250" i="77"/>
  <c r="AP250" i="77"/>
  <c r="V250" i="77"/>
  <c r="U250" i="77"/>
  <c r="AR250" i="77"/>
  <c r="AS250" i="77"/>
  <c r="W250" i="77"/>
  <c r="Z250" i="77"/>
  <c r="N250" i="77"/>
  <c r="Y250" i="77"/>
  <c r="C250" i="77"/>
  <c r="AQ15" i="84" s="1"/>
  <c r="AO250" i="77"/>
  <c r="AB250" i="77"/>
  <c r="O250" i="77"/>
  <c r="C17" i="46"/>
  <c r="C11" i="46"/>
  <c r="AQ13" i="65"/>
  <c r="AQ21" i="65"/>
  <c r="AO23" i="31"/>
  <c r="AO14" i="31"/>
  <c r="C19" i="53"/>
  <c r="C12" i="53"/>
  <c r="C13" i="65"/>
  <c r="C21" i="65"/>
  <c r="AT23" i="9"/>
  <c r="AT56" i="9"/>
  <c r="AT5" i="9"/>
  <c r="AT38" i="9"/>
  <c r="AT122" i="9"/>
  <c r="AT63" i="9"/>
  <c r="AT11" i="9"/>
  <c r="AT34" i="9"/>
  <c r="AT35" i="9" s="1"/>
  <c r="AT48" i="9"/>
  <c r="AO25" i="45"/>
  <c r="AO15" i="45"/>
  <c r="Z23" i="49"/>
  <c r="Z41" i="49"/>
  <c r="AG35" i="83"/>
  <c r="AG116" i="83"/>
  <c r="AG161" i="83"/>
  <c r="AG130" i="83"/>
  <c r="AG92" i="83"/>
  <c r="AG150" i="83"/>
  <c r="AN13" i="65"/>
  <c r="AN21" i="65"/>
  <c r="P15" i="84"/>
  <c r="AP17" i="46"/>
  <c r="AP49" i="46"/>
  <c r="AP81" i="46"/>
  <c r="AP36" i="46"/>
  <c r="AP74" i="46"/>
  <c r="AP24" i="46"/>
  <c r="AP43" i="46"/>
  <c r="AP68" i="46"/>
  <c r="AP55" i="46"/>
  <c r="AP62" i="46"/>
  <c r="AP11" i="46"/>
  <c r="AP30" i="46"/>
  <c r="AP93" i="46"/>
  <c r="AP105" i="46"/>
  <c r="AT12" i="53"/>
  <c r="AT19" i="53"/>
  <c r="AR12" i="53"/>
  <c r="AR19" i="53"/>
  <c r="AS23" i="31"/>
  <c r="AS14" i="31"/>
  <c r="AZ56" i="9"/>
  <c r="AZ23" i="9"/>
  <c r="AZ63" i="9"/>
  <c r="AZ5" i="9"/>
  <c r="AZ48" i="9"/>
  <c r="AZ122" i="9"/>
  <c r="AZ38" i="9"/>
  <c r="AZ34" i="9"/>
  <c r="AZ35" i="9" s="1"/>
  <c r="AZ11" i="9"/>
  <c r="AA15" i="29"/>
  <c r="AA10" i="29"/>
  <c r="AF13" i="30"/>
  <c r="AF20" i="30"/>
  <c r="L217" i="77"/>
  <c r="C217" i="77"/>
  <c r="D217" i="77"/>
  <c r="K217" i="77"/>
  <c r="E217" i="77"/>
  <c r="AE10" i="29"/>
  <c r="AE15" i="29"/>
  <c r="H23" i="31"/>
  <c r="H14" i="31"/>
  <c r="N63" i="71"/>
  <c r="N34" i="71"/>
  <c r="N79" i="73"/>
  <c r="N105" i="73"/>
  <c r="N87" i="73"/>
  <c r="N95" i="73"/>
  <c r="N139" i="73"/>
  <c r="N115" i="73"/>
  <c r="N131" i="73"/>
  <c r="N123" i="73"/>
  <c r="J171" i="73"/>
  <c r="J155" i="73"/>
  <c r="J163" i="73"/>
  <c r="AG21" i="65"/>
  <c r="AG13" i="65"/>
  <c r="O41" i="49"/>
  <c r="O23" i="49"/>
  <c r="Y13" i="30"/>
  <c r="Y20" i="30"/>
  <c r="AB179" i="73"/>
  <c r="AB195" i="73"/>
  <c r="AB187" i="73"/>
  <c r="C220" i="77"/>
  <c r="D220" i="77"/>
  <c r="E220" i="77"/>
  <c r="K220" i="77"/>
  <c r="L220" i="77"/>
  <c r="C63" i="71"/>
  <c r="C34" i="71"/>
  <c r="AL19" i="53"/>
  <c r="AL12" i="53"/>
  <c r="AR14" i="32"/>
  <c r="AR23" i="32"/>
  <c r="AU25" i="45"/>
  <c r="AU15" i="45"/>
  <c r="BB48" i="9"/>
  <c r="BB122" i="9"/>
  <c r="BB56" i="9"/>
  <c r="BB11" i="9"/>
  <c r="BB23" i="9"/>
  <c r="BB34" i="9"/>
  <c r="BB35" i="9" s="1"/>
  <c r="BB63" i="9"/>
  <c r="BB38" i="9"/>
  <c r="BB5" i="9"/>
  <c r="R10" i="29"/>
  <c r="R15" i="29"/>
  <c r="AB23" i="32"/>
  <c r="AB14" i="32"/>
  <c r="Q15" i="29"/>
  <c r="Q10" i="29"/>
  <c r="J10" i="29"/>
  <c r="J15" i="29"/>
  <c r="AE23" i="31"/>
  <c r="AE14" i="31"/>
  <c r="D11" i="59"/>
  <c r="D17" i="59"/>
  <c r="AC34" i="9"/>
  <c r="AC35" i="9" s="1"/>
  <c r="AC48" i="9"/>
  <c r="AC56" i="9"/>
  <c r="AC38" i="9"/>
  <c r="AC122" i="9"/>
  <c r="AC63" i="9"/>
  <c r="AC23" i="9"/>
  <c r="AC5" i="9"/>
  <c r="AC11" i="9"/>
  <c r="AI13" i="65"/>
  <c r="AI21" i="65"/>
  <c r="Q74" i="46"/>
  <c r="Q68" i="46"/>
  <c r="Q43" i="46"/>
  <c r="Q24" i="46"/>
  <c r="Q30" i="46" s="1"/>
  <c r="Q36" i="46" s="1"/>
  <c r="Q62" i="46"/>
  <c r="Q55" i="46"/>
  <c r="Q49" i="46"/>
  <c r="Q11" i="46"/>
  <c r="Q17" i="46"/>
  <c r="AJ63" i="9"/>
  <c r="AJ11" i="9"/>
  <c r="AJ38" i="9"/>
  <c r="AJ34" i="9"/>
  <c r="AJ35" i="9" s="1"/>
  <c r="AJ5" i="9"/>
  <c r="AJ23" i="9"/>
  <c r="AJ122" i="9"/>
  <c r="AJ48" i="9"/>
  <c r="AJ56" i="9"/>
  <c r="N11" i="59"/>
  <c r="N17" i="59"/>
  <c r="O23" i="32"/>
  <c r="O14" i="32"/>
  <c r="L63" i="71"/>
  <c r="L34" i="71"/>
  <c r="M21" i="52"/>
  <c r="M37" i="52"/>
  <c r="Z23" i="32"/>
  <c r="Z14" i="32"/>
  <c r="T37" i="52"/>
  <c r="T21" i="52"/>
  <c r="AB15" i="29"/>
  <c r="AB10" i="29"/>
  <c r="AC25" i="45"/>
  <c r="AC15" i="45"/>
  <c r="U13" i="65"/>
  <c r="U21" i="65"/>
  <c r="J23" i="49"/>
  <c r="J41" i="49"/>
  <c r="E21" i="39"/>
  <c r="E11" i="39"/>
  <c r="Q87" i="73"/>
  <c r="Q123" i="73"/>
  <c r="Q115" i="73"/>
  <c r="Q105" i="73"/>
  <c r="Q131" i="73"/>
  <c r="Q95" i="73"/>
  <c r="Q139" i="73"/>
  <c r="Q79" i="73"/>
  <c r="M21" i="65"/>
  <c r="M13" i="65"/>
  <c r="U34" i="9"/>
  <c r="U35" i="9" s="1"/>
  <c r="U63" i="9"/>
  <c r="U11" i="9"/>
  <c r="U48" i="9"/>
  <c r="U23" i="9"/>
  <c r="U122" i="9"/>
  <c r="U5" i="9"/>
  <c r="U56" i="9"/>
  <c r="U38" i="9"/>
  <c r="G131" i="73"/>
  <c r="G79" i="73"/>
  <c r="G139" i="73"/>
  <c r="G115" i="73"/>
  <c r="G105" i="73"/>
  <c r="G87" i="73"/>
  <c r="G123" i="73"/>
  <c r="G95" i="73"/>
  <c r="AD10" i="29"/>
  <c r="AD15" i="29"/>
  <c r="K13" i="65"/>
  <c r="K21" i="65"/>
  <c r="N21" i="39"/>
  <c r="N11" i="39"/>
  <c r="Y179" i="73"/>
  <c r="Y195" i="73"/>
  <c r="Y187" i="73"/>
  <c r="AA244" i="77"/>
  <c r="D244" i="77"/>
  <c r="K244" i="77"/>
  <c r="Q244" i="77"/>
  <c r="E244" i="77"/>
  <c r="L244" i="77"/>
  <c r="C244" i="77"/>
  <c r="Z244" i="77"/>
  <c r="V244" i="77"/>
  <c r="U244" i="77"/>
  <c r="T244" i="77"/>
  <c r="W244" i="77"/>
  <c r="Y244" i="77"/>
  <c r="X244" i="77"/>
  <c r="AS244" i="77"/>
  <c r="AP244" i="77"/>
  <c r="AR244" i="77"/>
  <c r="AQ244" i="77"/>
  <c r="AO244" i="77"/>
  <c r="N244" i="77"/>
  <c r="O244" i="77"/>
  <c r="AB244" i="77"/>
  <c r="AJ23" i="32"/>
  <c r="AJ14" i="32"/>
  <c r="X68" i="46"/>
  <c r="X62" i="46"/>
  <c r="X55" i="46"/>
  <c r="X49" i="46"/>
  <c r="X43" i="46"/>
  <c r="X24" i="46"/>
  <c r="X30" i="46" s="1"/>
  <c r="X36" i="46" s="1"/>
  <c r="X81" i="46"/>
  <c r="X105" i="46"/>
  <c r="X74" i="46"/>
  <c r="X11" i="46"/>
  <c r="X93" i="46"/>
  <c r="X17" i="46"/>
  <c r="L155" i="73"/>
  <c r="L171" i="73"/>
  <c r="L163" i="73"/>
  <c r="V10" i="29"/>
  <c r="V15" i="29"/>
  <c r="AD13" i="65"/>
  <c r="AD21" i="65"/>
  <c r="S15" i="29"/>
  <c r="S10" i="29"/>
  <c r="AE13" i="65"/>
  <c r="AE21" i="65"/>
  <c r="AA187" i="73"/>
  <c r="AA179" i="73"/>
  <c r="AA195" i="73"/>
  <c r="W63" i="71"/>
  <c r="W34" i="71"/>
  <c r="AE34" i="71"/>
  <c r="AE63" i="71"/>
  <c r="I23" i="32"/>
  <c r="I14" i="32"/>
  <c r="AI13" i="30"/>
  <c r="AI20" i="30"/>
  <c r="I161" i="83"/>
  <c r="I116" i="83"/>
  <c r="I92" i="83"/>
  <c r="I150" i="83"/>
  <c r="I35" i="83"/>
  <c r="I130" i="83"/>
  <c r="R19" i="53"/>
  <c r="R12" i="53"/>
  <c r="AD171" i="73"/>
  <c r="AD155" i="73"/>
  <c r="AD163" i="73"/>
  <c r="H20" i="30"/>
  <c r="H13" i="30"/>
  <c r="Q11" i="39"/>
  <c r="Q21" i="39"/>
  <c r="S20" i="30"/>
  <c r="S13" i="30"/>
  <c r="T25" i="45"/>
  <c r="T15" i="45"/>
  <c r="AI63" i="71"/>
  <c r="AI34" i="71"/>
  <c r="Q19" i="53"/>
  <c r="Q12" i="53"/>
  <c r="BC155" i="73"/>
  <c r="BC171" i="73"/>
  <c r="BC163" i="73"/>
  <c r="BC195" i="73"/>
  <c r="BC187" i="73"/>
  <c r="BC179" i="73"/>
  <c r="AF25" i="45"/>
  <c r="AF15" i="45"/>
  <c r="AC116" i="83"/>
  <c r="AC92" i="83"/>
  <c r="AC130" i="83"/>
  <c r="AC150" i="83"/>
  <c r="AC35" i="83"/>
  <c r="AC161" i="83"/>
  <c r="E11" i="59"/>
  <c r="E17" i="59"/>
  <c r="D23" i="32"/>
  <c r="D14" i="32"/>
  <c r="F63" i="71"/>
  <c r="F34" i="71"/>
  <c r="X5" i="9"/>
  <c r="X38" i="9"/>
  <c r="X11" i="9"/>
  <c r="X122" i="9"/>
  <c r="X56" i="9"/>
  <c r="X23" i="9"/>
  <c r="X48" i="9"/>
  <c r="X63" i="9"/>
  <c r="X34" i="9"/>
  <c r="X35" i="9" s="1"/>
  <c r="D23" i="49"/>
  <c r="D41" i="49"/>
  <c r="E23" i="32"/>
  <c r="E14" i="32"/>
  <c r="S187" i="73"/>
  <c r="S179" i="73"/>
  <c r="S195" i="73"/>
  <c r="AC4" i="1"/>
  <c r="AH23" i="9"/>
  <c r="AH63" i="9"/>
  <c r="AH122" i="9"/>
  <c r="AH11" i="9"/>
  <c r="AH56" i="9"/>
  <c r="AH5" i="9"/>
  <c r="AH38" i="9"/>
  <c r="AH34" i="9"/>
  <c r="AH35" i="9" s="1"/>
  <c r="AH48" i="9"/>
  <c r="AW179" i="73"/>
  <c r="AW187" i="73"/>
  <c r="AW195" i="73"/>
  <c r="G14" i="31"/>
  <c r="G23" i="31"/>
  <c r="L12" i="53"/>
  <c r="L19" i="53"/>
  <c r="R37" i="52"/>
  <c r="R21" i="52"/>
  <c r="X139" i="73"/>
  <c r="X105" i="73"/>
  <c r="X87" i="73"/>
  <c r="X131" i="73"/>
  <c r="X115" i="73"/>
  <c r="X123" i="73"/>
  <c r="X79" i="73"/>
  <c r="X95" i="73"/>
  <c r="AH21" i="39"/>
  <c r="AH33" i="39" s="1"/>
  <c r="AH11" i="39"/>
  <c r="E155" i="73"/>
  <c r="E171" i="73"/>
  <c r="E163" i="73"/>
  <c r="K15" i="45"/>
  <c r="K25" i="45"/>
  <c r="M123" i="73"/>
  <c r="M95" i="73"/>
  <c r="M139" i="73"/>
  <c r="M87" i="73"/>
  <c r="M131" i="73"/>
  <c r="M105" i="73"/>
  <c r="M79" i="73"/>
  <c r="M115" i="73"/>
  <c r="K264" i="77"/>
  <c r="Q264" i="77"/>
  <c r="L264" i="77"/>
  <c r="AA264" i="77"/>
  <c r="E264" i="77"/>
  <c r="Z264" i="77"/>
  <c r="D264" i="77"/>
  <c r="Y264" i="77"/>
  <c r="W264" i="77"/>
  <c r="T264" i="77"/>
  <c r="U264" i="77"/>
  <c r="X264" i="77"/>
  <c r="V264" i="77"/>
  <c r="AB264" i="77"/>
  <c r="N264" i="77"/>
  <c r="AO264" i="77"/>
  <c r="AS264" i="77"/>
  <c r="AP264" i="77"/>
  <c r="O264" i="77"/>
  <c r="C264" i="77"/>
  <c r="BE15" i="84" s="1"/>
  <c r="AQ264" i="77"/>
  <c r="AR264" i="77"/>
  <c r="C124" i="9"/>
  <c r="C125" i="9" s="1"/>
  <c r="E124" i="9"/>
  <c r="E125" i="9" s="1"/>
  <c r="D124" i="9"/>
  <c r="D125" i="9" s="1"/>
  <c r="AZ163" i="73"/>
  <c r="AZ155" i="73"/>
  <c r="AZ171" i="73"/>
  <c r="P15" i="45"/>
  <c r="P25" i="45"/>
  <c r="E227" i="77"/>
  <c r="D227" i="77"/>
  <c r="L227" i="77"/>
  <c r="C227" i="77"/>
  <c r="T15" i="84" s="1"/>
  <c r="K227" i="77"/>
  <c r="AA259" i="77"/>
  <c r="Z259" i="77"/>
  <c r="W259" i="77"/>
  <c r="E259" i="77"/>
  <c r="Q259" i="77"/>
  <c r="U259" i="77"/>
  <c r="K259" i="77"/>
  <c r="L259" i="77"/>
  <c r="D259" i="77"/>
  <c r="T259" i="77"/>
  <c r="Y259" i="77"/>
  <c r="V259" i="77"/>
  <c r="X259" i="77"/>
  <c r="N259" i="77"/>
  <c r="C259" i="77"/>
  <c r="AZ15" i="84" s="1"/>
  <c r="AP259" i="77"/>
  <c r="AS259" i="77"/>
  <c r="AR259" i="77"/>
  <c r="AO259" i="77"/>
  <c r="AQ259" i="77"/>
  <c r="O259" i="77"/>
  <c r="AB259" i="77"/>
  <c r="AV187" i="73"/>
  <c r="AV195" i="73"/>
  <c r="AV179" i="73"/>
  <c r="G171" i="73"/>
  <c r="G155" i="73"/>
  <c r="G163" i="73"/>
  <c r="AE155" i="73"/>
  <c r="AE171" i="73"/>
  <c r="AE163" i="73"/>
  <c r="U195" i="73"/>
  <c r="U179" i="73"/>
  <c r="U187" i="73"/>
  <c r="AA249" i="77"/>
  <c r="K249" i="77"/>
  <c r="Q249" i="77"/>
  <c r="E249" i="77"/>
  <c r="D249" i="77"/>
  <c r="L249" i="77"/>
  <c r="U249" i="77"/>
  <c r="V249" i="77"/>
  <c r="X249" i="77"/>
  <c r="T249" i="77"/>
  <c r="Y249" i="77"/>
  <c r="W249" i="77"/>
  <c r="Z249" i="77"/>
  <c r="C249" i="77"/>
  <c r="AP15" i="84" s="1"/>
  <c r="AP249" i="77"/>
  <c r="AQ249" i="77"/>
  <c r="N249" i="77"/>
  <c r="AO249" i="77"/>
  <c r="AS249" i="77"/>
  <c r="AR249" i="77"/>
  <c r="O249" i="77"/>
  <c r="AB249" i="77"/>
  <c r="I195" i="73"/>
  <c r="I179" i="73"/>
  <c r="I187" i="73"/>
  <c r="BN187" i="73"/>
  <c r="BN179" i="73"/>
  <c r="BN195" i="73"/>
  <c r="L236" i="77"/>
  <c r="Q236" i="77"/>
  <c r="O236" i="77"/>
  <c r="K236" i="77"/>
  <c r="N236" i="77"/>
  <c r="E236" i="77"/>
  <c r="C236" i="77"/>
  <c r="AC15" i="84" s="1"/>
  <c r="D236" i="77"/>
  <c r="C15" i="45"/>
  <c r="C25" i="45"/>
  <c r="C20" i="30"/>
  <c r="C13" i="30"/>
  <c r="C211" i="77"/>
  <c r="L211" i="77"/>
  <c r="K211" i="77"/>
  <c r="D211" i="77"/>
  <c r="E211" i="77"/>
  <c r="BL179" i="73"/>
  <c r="BL195" i="73"/>
  <c r="BL187" i="73"/>
  <c r="AA251" i="77"/>
  <c r="D251" i="77"/>
  <c r="Q251" i="77"/>
  <c r="K251" i="77"/>
  <c r="E251" i="77"/>
  <c r="L251" i="77"/>
  <c r="X251" i="77"/>
  <c r="U251" i="77"/>
  <c r="AQ251" i="77"/>
  <c r="AO251" i="77"/>
  <c r="N251" i="77"/>
  <c r="AP251" i="77"/>
  <c r="V251" i="77"/>
  <c r="AR251" i="77"/>
  <c r="AS251" i="77"/>
  <c r="W251" i="77"/>
  <c r="T251" i="77"/>
  <c r="C251" i="77"/>
  <c r="AR15" i="84" s="1"/>
  <c r="Z251" i="77"/>
  <c r="Y251" i="77"/>
  <c r="AB251" i="77"/>
  <c r="O251" i="77"/>
  <c r="AM15" i="29"/>
  <c r="AM10" i="29"/>
  <c r="AL14" i="31"/>
  <c r="AL23" i="31"/>
  <c r="AJ21" i="52"/>
  <c r="AJ37" i="52"/>
  <c r="AK15" i="84"/>
  <c r="AL20" i="30"/>
  <c r="AL13" i="30"/>
  <c r="AR10" i="29"/>
  <c r="AR15" i="29"/>
  <c r="AD161" i="83"/>
  <c r="AD150" i="83"/>
  <c r="AD130" i="83"/>
  <c r="AD35" i="83"/>
  <c r="AD92" i="83"/>
  <c r="AD116" i="83"/>
  <c r="X15" i="84"/>
  <c r="AT24" i="46"/>
  <c r="AT62" i="46"/>
  <c r="AT81" i="46"/>
  <c r="AT36" i="46"/>
  <c r="AT49" i="46"/>
  <c r="AT43" i="46"/>
  <c r="AT74" i="46"/>
  <c r="AT17" i="46"/>
  <c r="AT68" i="46"/>
  <c r="AT55" i="46"/>
  <c r="AT93" i="46"/>
  <c r="AT11" i="46"/>
  <c r="AT105" i="46"/>
  <c r="AT30" i="46"/>
  <c r="AQ10" i="29"/>
  <c r="AQ15" i="29"/>
  <c r="BG15" i="84"/>
  <c r="AQ23" i="32"/>
  <c r="AQ14" i="32"/>
  <c r="J15" i="84"/>
  <c r="AL15" i="45"/>
  <c r="AL25" i="45"/>
  <c r="AW15" i="84"/>
  <c r="Q267" i="77"/>
  <c r="L267" i="77"/>
  <c r="K267" i="77"/>
  <c r="U267" i="77"/>
  <c r="T267" i="77"/>
  <c r="D267" i="77"/>
  <c r="Z267" i="77"/>
  <c r="X267" i="77"/>
  <c r="W267" i="77"/>
  <c r="E267" i="77"/>
  <c r="BA267" i="77" s="1"/>
  <c r="V267" i="77"/>
  <c r="Y267" i="77"/>
  <c r="AA267" i="77"/>
  <c r="AB267" i="77"/>
  <c r="C267" i="77"/>
  <c r="BH15" i="84" s="1"/>
  <c r="N267" i="77"/>
  <c r="AO267" i="77"/>
  <c r="AS267" i="77"/>
  <c r="O267" i="77"/>
  <c r="AR267" i="77"/>
  <c r="AP267" i="77"/>
  <c r="AQ267" i="77"/>
  <c r="AY56" i="9"/>
  <c r="AY11" i="9"/>
  <c r="AY38" i="9"/>
  <c r="AY23" i="9"/>
  <c r="AY63" i="9"/>
  <c r="AY122" i="9"/>
  <c r="AY34" i="9"/>
  <c r="AY35" i="9" s="1"/>
  <c r="AY5" i="9"/>
  <c r="AY48" i="9"/>
  <c r="AM130" i="83"/>
  <c r="AM161" i="83"/>
  <c r="AM116" i="83"/>
  <c r="AM92" i="83"/>
  <c r="AM35" i="83"/>
  <c r="AM150" i="83"/>
  <c r="AU23" i="32"/>
  <c r="AU14" i="32"/>
  <c r="M11" i="39"/>
  <c r="M21" i="39"/>
  <c r="H150" i="83"/>
  <c r="H130" i="83"/>
  <c r="H35" i="83"/>
  <c r="H161" i="83"/>
  <c r="H92" i="83"/>
  <c r="H116" i="83"/>
  <c r="AK14" i="32"/>
  <c r="AK23" i="32"/>
  <c r="N25" i="45"/>
  <c r="N15" i="45"/>
  <c r="AA34" i="71"/>
  <c r="AA63" i="71"/>
  <c r="AJ15" i="45"/>
  <c r="AJ25" i="45"/>
  <c r="H48" i="9"/>
  <c r="H11" i="9"/>
  <c r="H23" i="9"/>
  <c r="H63" i="9"/>
  <c r="H34" i="9"/>
  <c r="H35" i="9" s="1"/>
  <c r="H5" i="9"/>
  <c r="H38" i="9"/>
  <c r="H122" i="9"/>
  <c r="H56" i="9"/>
  <c r="H138" i="8" s="1"/>
  <c r="F11" i="39"/>
  <c r="F21" i="39"/>
  <c r="AB21" i="39"/>
  <c r="AB11" i="39"/>
  <c r="K95" i="73"/>
  <c r="K115" i="73"/>
  <c r="K123" i="73"/>
  <c r="K79" i="73"/>
  <c r="K105" i="73"/>
  <c r="K139" i="73"/>
  <c r="K131" i="73"/>
  <c r="K87" i="73"/>
  <c r="BH179" i="73"/>
  <c r="BH187" i="73"/>
  <c r="BH195" i="73"/>
  <c r="AH161" i="83"/>
  <c r="AH130" i="83"/>
  <c r="AH92" i="83"/>
  <c r="AH150" i="83"/>
  <c r="AH35" i="83"/>
  <c r="AH116" i="83"/>
  <c r="AI92" i="83"/>
  <c r="AI150" i="83"/>
  <c r="AI35" i="83"/>
  <c r="AI116" i="83"/>
  <c r="AI130" i="83"/>
  <c r="AI161" i="83"/>
  <c r="AL34" i="71"/>
  <c r="AL63" i="71"/>
  <c r="D13" i="65"/>
  <c r="D21" i="65"/>
  <c r="J116" i="83"/>
  <c r="J130" i="83"/>
  <c r="J161" i="83"/>
  <c r="J150" i="83"/>
  <c r="J35" i="83"/>
  <c r="J92" i="83"/>
  <c r="AD63" i="71"/>
  <c r="AD34" i="71"/>
  <c r="L122" i="9"/>
  <c r="L11" i="9"/>
  <c r="L38" i="9"/>
  <c r="L34" i="9"/>
  <c r="L35" i="9" s="1"/>
  <c r="L23" i="9"/>
  <c r="L48" i="9"/>
  <c r="L5" i="9"/>
  <c r="L56" i="9"/>
  <c r="L138" i="8" s="1"/>
  <c r="L63" i="9"/>
  <c r="I20" i="30"/>
  <c r="I13" i="30"/>
  <c r="AG12" i="53"/>
  <c r="AG19" i="53"/>
  <c r="E12" i="53"/>
  <c r="E19" i="53"/>
  <c r="G41" i="49"/>
  <c r="G23" i="49"/>
  <c r="AF11" i="46"/>
  <c r="AF74" i="46"/>
  <c r="AF49" i="46"/>
  <c r="AF43" i="46"/>
  <c r="AF17" i="46"/>
  <c r="AF62" i="46"/>
  <c r="AF105" i="46"/>
  <c r="AF81" i="46"/>
  <c r="AF93" i="46"/>
  <c r="AF24" i="46"/>
  <c r="AF30" i="46" s="1"/>
  <c r="AF36" i="46" s="1"/>
  <c r="AF68" i="46"/>
  <c r="AF55" i="46"/>
  <c r="BB171" i="73"/>
  <c r="BB155" i="73"/>
  <c r="BB163" i="73"/>
  <c r="L21" i="52"/>
  <c r="L37" i="52"/>
  <c r="AG36" i="46"/>
  <c r="AG74" i="46"/>
  <c r="AG81" i="46"/>
  <c r="AG17" i="46"/>
  <c r="AG93" i="46"/>
  <c r="AG62" i="46"/>
  <c r="AG30" i="46"/>
  <c r="AG43" i="46"/>
  <c r="AG11" i="46"/>
  <c r="AG24" i="46"/>
  <c r="AG105" i="46"/>
  <c r="AG55" i="46"/>
  <c r="AG68" i="46"/>
  <c r="AG49" i="46"/>
  <c r="E123" i="73"/>
  <c r="E87" i="73"/>
  <c r="E139" i="73"/>
  <c r="E105" i="73"/>
  <c r="E95" i="73"/>
  <c r="E115" i="73"/>
  <c r="E131" i="73"/>
  <c r="E79" i="73"/>
  <c r="L15" i="29"/>
  <c r="L10" i="29"/>
  <c r="AJ10" i="29"/>
  <c r="AJ15" i="29"/>
  <c r="M14" i="31"/>
  <c r="M23" i="31"/>
  <c r="E20" i="30"/>
  <c r="E13" i="30"/>
  <c r="N163" i="73"/>
  <c r="N171" i="73"/>
  <c r="N155" i="73"/>
  <c r="AG13" i="30"/>
  <c r="AG20" i="30"/>
  <c r="U15" i="45"/>
  <c r="U25" i="45"/>
  <c r="E23" i="31"/>
  <c r="E14" i="31"/>
  <c r="AI74" i="46"/>
  <c r="AI68" i="46"/>
  <c r="AI55" i="46"/>
  <c r="AI62" i="46"/>
  <c r="AI105" i="46"/>
  <c r="AI24" i="46"/>
  <c r="AI49" i="46"/>
  <c r="AI93" i="46"/>
  <c r="AI17" i="46"/>
  <c r="AI43" i="46"/>
  <c r="AI11" i="46"/>
  <c r="AI81" i="46"/>
  <c r="AI36" i="46"/>
  <c r="AI30" i="46"/>
  <c r="X23" i="32"/>
  <c r="X14" i="32"/>
  <c r="U163" i="73"/>
  <c r="U155" i="73"/>
  <c r="U171" i="73"/>
  <c r="U95" i="73"/>
  <c r="U131" i="73"/>
  <c r="U115" i="73"/>
  <c r="U79" i="73"/>
  <c r="U139" i="73"/>
  <c r="U123" i="73"/>
  <c r="U87" i="73"/>
  <c r="U105" i="73"/>
  <c r="M92" i="83"/>
  <c r="M35" i="83"/>
  <c r="M161" i="83"/>
  <c r="M150" i="83"/>
  <c r="M130" i="83"/>
  <c r="M116" i="83"/>
  <c r="O13" i="30"/>
  <c r="O20" i="30"/>
  <c r="K195" i="73"/>
  <c r="K179" i="73"/>
  <c r="K187" i="73"/>
  <c r="AB23" i="49"/>
  <c r="AB41" i="49"/>
  <c r="AJ13" i="65"/>
  <c r="AJ21" i="65"/>
  <c r="AD37" i="52"/>
  <c r="AD21" i="52"/>
  <c r="Z56" i="9"/>
  <c r="Z23" i="9"/>
  <c r="Z5" i="9"/>
  <c r="Z48" i="9"/>
  <c r="Z38" i="9"/>
  <c r="Z11" i="9"/>
  <c r="Z63" i="9"/>
  <c r="Z122" i="9"/>
  <c r="Z34" i="9"/>
  <c r="Z35" i="9" s="1"/>
  <c r="W163" i="73"/>
  <c r="W155" i="73"/>
  <c r="W171" i="73"/>
  <c r="O63" i="71"/>
  <c r="O34" i="71"/>
  <c r="AD11" i="39"/>
  <c r="AD21" i="39"/>
  <c r="O15" i="29"/>
  <c r="O10" i="29"/>
  <c r="Q155" i="73"/>
  <c r="Q163" i="73"/>
  <c r="Q171" i="73"/>
  <c r="AD23" i="31"/>
  <c r="AD14" i="31"/>
  <c r="AP95" i="73"/>
  <c r="AP105" i="73"/>
  <c r="AP131" i="73"/>
  <c r="AP115" i="73"/>
  <c r="AP87" i="73"/>
  <c r="AP123" i="73"/>
  <c r="AP79" i="73"/>
  <c r="AP139" i="73"/>
  <c r="D212" i="77"/>
  <c r="L212" i="77"/>
  <c r="E212" i="77"/>
  <c r="K212" i="77"/>
  <c r="C212" i="77"/>
  <c r="Q179" i="73"/>
  <c r="Q195" i="73"/>
  <c r="Q187" i="73"/>
  <c r="H14" i="32"/>
  <c r="H23" i="32"/>
  <c r="AK15" i="29"/>
  <c r="AK10" i="29"/>
  <c r="I15" i="29"/>
  <c r="I10" i="29"/>
  <c r="T21" i="65"/>
  <c r="T13" i="65"/>
  <c r="W25" i="45"/>
  <c r="W15" i="45"/>
  <c r="AQ155" i="73"/>
  <c r="AQ171" i="73"/>
  <c r="AQ163" i="73"/>
  <c r="AH13" i="30"/>
  <c r="AH20" i="30"/>
  <c r="AB38" i="9"/>
  <c r="AB122" i="9"/>
  <c r="AB5" i="9"/>
  <c r="AB23" i="9"/>
  <c r="AB34" i="9"/>
  <c r="AB35" i="9" s="1"/>
  <c r="AB48" i="9"/>
  <c r="AB11" i="9"/>
  <c r="AB56" i="9"/>
  <c r="AB63" i="9"/>
  <c r="L187" i="73"/>
  <c r="L179" i="73"/>
  <c r="L195" i="73"/>
  <c r="W13" i="30"/>
  <c r="W20" i="30"/>
  <c r="H11" i="59"/>
  <c r="H17" i="59"/>
  <c r="E225" i="77"/>
  <c r="L225" i="77"/>
  <c r="K225" i="77"/>
  <c r="D225" i="77"/>
  <c r="C225" i="77"/>
  <c r="R15" i="84" s="1"/>
  <c r="D37" i="52"/>
  <c r="D21" i="52"/>
  <c r="BG187" i="73"/>
  <c r="BG195" i="73"/>
  <c r="BG179" i="73"/>
  <c r="T195" i="73"/>
  <c r="T187" i="73"/>
  <c r="T179" i="73"/>
  <c r="W187" i="73"/>
  <c r="W179" i="73"/>
  <c r="W195" i="73"/>
  <c r="AA240" i="77"/>
  <c r="V240" i="77"/>
  <c r="E240" i="77"/>
  <c r="AQ240" i="77"/>
  <c r="AP240" i="77"/>
  <c r="T240" i="77"/>
  <c r="AS240" i="77"/>
  <c r="W240" i="77"/>
  <c r="U240" i="77"/>
  <c r="AO240" i="77"/>
  <c r="K240" i="77"/>
  <c r="N240" i="77"/>
  <c r="O240" i="77"/>
  <c r="L240" i="77"/>
  <c r="X240" i="77"/>
  <c r="Z240" i="77"/>
  <c r="Q240" i="77"/>
  <c r="C240" i="77"/>
  <c r="AG15" i="84" s="1"/>
  <c r="AR240" i="77"/>
  <c r="Y240" i="77"/>
  <c r="D240" i="77"/>
  <c r="AB240" i="77"/>
  <c r="I6" i="34"/>
  <c r="O6" i="34" s="1"/>
  <c r="U6" i="34" s="1"/>
  <c r="AA6" i="34" s="1"/>
  <c r="AG6" i="34" s="1"/>
  <c r="AM6" i="34" s="1"/>
  <c r="F6" i="34"/>
  <c r="L6" i="34" s="1"/>
  <c r="R6" i="34" s="1"/>
  <c r="X6" i="34" s="1"/>
  <c r="AD6" i="34" s="1"/>
  <c r="AJ6" i="34" s="1"/>
  <c r="AP6" i="34" s="1"/>
  <c r="AY6" i="34" s="1"/>
  <c r="D222" i="77"/>
  <c r="K222" i="77"/>
  <c r="E222" i="77"/>
  <c r="C222" i="77"/>
  <c r="O15" i="84" s="1"/>
  <c r="L222" i="77"/>
  <c r="L218" i="77"/>
  <c r="C218" i="77"/>
  <c r="K15" i="84" s="1"/>
  <c r="K218" i="77"/>
  <c r="D218" i="77"/>
  <c r="E218" i="77"/>
  <c r="BA218" i="77" s="1"/>
  <c r="AL171" i="73"/>
  <c r="AL155" i="73"/>
  <c r="AL163" i="73"/>
  <c r="D215" i="77"/>
  <c r="C215" i="77"/>
  <c r="H15" i="84" s="1"/>
  <c r="E215" i="77"/>
  <c r="L215" i="77"/>
  <c r="K215" i="77"/>
  <c r="R14" i="32"/>
  <c r="R23" i="32"/>
  <c r="H163" i="73"/>
  <c r="H155" i="73"/>
  <c r="H171" i="73"/>
  <c r="AA41" i="49"/>
  <c r="AA23" i="49"/>
  <c r="J187" i="73"/>
  <c r="J179" i="73"/>
  <c r="J195" i="73"/>
  <c r="AA87" i="73"/>
  <c r="AA131" i="73"/>
  <c r="AA95" i="73"/>
  <c r="AA123" i="73"/>
  <c r="AA79" i="73"/>
  <c r="AA139" i="73"/>
  <c r="AA105" i="73"/>
  <c r="AA115" i="73"/>
  <c r="AM79" i="73"/>
  <c r="AM105" i="73"/>
  <c r="AM131" i="73"/>
  <c r="AM87" i="73"/>
  <c r="AM115" i="73"/>
  <c r="AM139" i="73"/>
  <c r="AM123" i="73"/>
  <c r="AM95" i="73"/>
  <c r="AA261" i="77"/>
  <c r="L261" i="77"/>
  <c r="X261" i="77"/>
  <c r="E261" i="77"/>
  <c r="V261" i="77"/>
  <c r="Q261" i="77"/>
  <c r="K261" i="77"/>
  <c r="T261" i="77"/>
  <c r="Z261" i="77"/>
  <c r="Y261" i="77"/>
  <c r="W261" i="77"/>
  <c r="D261" i="77"/>
  <c r="U261" i="77"/>
  <c r="AB261" i="77"/>
  <c r="AS261" i="77"/>
  <c r="N261" i="77"/>
  <c r="C261" i="77"/>
  <c r="AO261" i="77"/>
  <c r="AQ261" i="77"/>
  <c r="AP261" i="77"/>
  <c r="AR261" i="77"/>
  <c r="O261" i="77"/>
  <c r="E214" i="77"/>
  <c r="L214" i="77"/>
  <c r="K214" i="77"/>
  <c r="D214" i="77"/>
  <c r="C214" i="77"/>
  <c r="AQ115" i="73"/>
  <c r="AQ105" i="73"/>
  <c r="AQ95" i="73"/>
  <c r="AQ79" i="73"/>
  <c r="AQ87" i="73"/>
  <c r="AQ131" i="73"/>
  <c r="AQ123" i="73"/>
  <c r="AQ139" i="73"/>
  <c r="C11" i="39"/>
  <c r="C21" i="39"/>
  <c r="U262" i="77"/>
  <c r="D262" i="77"/>
  <c r="Y262" i="77"/>
  <c r="V262" i="77"/>
  <c r="AA262" i="77"/>
  <c r="Q262" i="77"/>
  <c r="W262" i="77"/>
  <c r="Z262" i="77"/>
  <c r="X262" i="77"/>
  <c r="E262" i="77"/>
  <c r="BA262" i="77" s="1"/>
  <c r="L262" i="77"/>
  <c r="BB262" i="77" s="1"/>
  <c r="T262" i="77"/>
  <c r="K262" i="77"/>
  <c r="AB262" i="77"/>
  <c r="C262" i="77"/>
  <c r="BC15" i="84" s="1"/>
  <c r="AO262" i="77"/>
  <c r="N262" i="77"/>
  <c r="AS262" i="77"/>
  <c r="AQ262" i="77"/>
  <c r="AP262" i="77"/>
  <c r="AR262" i="77"/>
  <c r="O262" i="77"/>
  <c r="AA245" i="77"/>
  <c r="E245" i="77"/>
  <c r="Q245" i="77"/>
  <c r="R245" i="77" s="1"/>
  <c r="K245" i="77"/>
  <c r="L245" i="77"/>
  <c r="D245" i="77"/>
  <c r="Z245" i="77"/>
  <c r="T245" i="77"/>
  <c r="W245" i="77"/>
  <c r="Y245" i="77"/>
  <c r="V245" i="77"/>
  <c r="U245" i="77"/>
  <c r="X245" i="77"/>
  <c r="AO245" i="77"/>
  <c r="N245" i="77"/>
  <c r="AQ245" i="77"/>
  <c r="AP245" i="77"/>
  <c r="AS245" i="77"/>
  <c r="AR245" i="77"/>
  <c r="C245" i="77"/>
  <c r="AL15" i="84" s="1"/>
  <c r="AB245" i="77"/>
  <c r="O245" i="77"/>
  <c r="D15" i="84"/>
  <c r="AP14" i="31"/>
  <c r="AP23" i="31"/>
  <c r="AQ11" i="46"/>
  <c r="AQ24" i="46"/>
  <c r="AQ74" i="46"/>
  <c r="AQ43" i="46"/>
  <c r="AQ49" i="46"/>
  <c r="AQ17" i="46"/>
  <c r="AQ36" i="46"/>
  <c r="AQ68" i="46"/>
  <c r="AQ62" i="46"/>
  <c r="AQ55" i="46"/>
  <c r="AQ93" i="46"/>
  <c r="AQ105" i="46"/>
  <c r="AQ81" i="46"/>
  <c r="AQ30" i="46"/>
  <c r="AQ19" i="53"/>
  <c r="AQ12" i="53"/>
  <c r="AO21" i="52"/>
  <c r="AO37" i="52"/>
  <c r="AE15" i="84"/>
  <c r="AM20" i="30"/>
  <c r="AM13" i="30"/>
  <c r="AN15" i="45"/>
  <c r="AN25" i="45"/>
  <c r="AN19" i="53"/>
  <c r="AN12" i="53"/>
  <c r="AO19" i="53"/>
  <c r="AO12" i="53"/>
  <c r="AS15" i="29"/>
  <c r="AS10" i="29"/>
  <c r="AT37" i="52"/>
  <c r="AT21" i="52"/>
  <c r="AR63" i="71"/>
  <c r="AR34" i="71"/>
  <c r="AN161" i="83"/>
  <c r="AN35" i="83"/>
  <c r="AN150" i="83"/>
  <c r="AN130" i="83"/>
  <c r="AN92" i="83"/>
  <c r="AN116" i="83"/>
  <c r="AU20" i="30"/>
  <c r="AU13" i="30"/>
  <c r="AT14" i="32"/>
  <c r="AT23" i="32"/>
  <c r="F25" i="45"/>
  <c r="F15" i="45"/>
  <c r="AC15" i="29"/>
  <c r="AC10" i="29"/>
  <c r="E25" i="45"/>
  <c r="E15" i="45"/>
  <c r="Z171" i="73"/>
  <c r="Z155" i="73"/>
  <c r="Z163" i="73"/>
  <c r="P11" i="59"/>
  <c r="P17" i="59"/>
  <c r="P21" i="65"/>
  <c r="P13" i="65"/>
  <c r="I11" i="59"/>
  <c r="I17" i="59"/>
  <c r="BO195" i="73"/>
  <c r="BO187" i="73"/>
  <c r="BO179" i="73"/>
  <c r="AT23" i="49"/>
  <c r="AT41" i="49"/>
  <c r="B40" i="13"/>
  <c r="B11" i="2"/>
  <c r="B34" i="13"/>
  <c r="B11" i="12"/>
  <c r="B17" i="2"/>
  <c r="B13" i="12"/>
  <c r="B41" i="12"/>
  <c r="B20" i="2"/>
  <c r="B46" i="13"/>
  <c r="AJ13" i="30"/>
  <c r="AJ20" i="30"/>
  <c r="C155" i="73"/>
  <c r="C163" i="73"/>
  <c r="C171" i="73"/>
  <c r="Y13" i="65"/>
  <c r="Y21" i="65"/>
  <c r="AG11" i="39"/>
  <c r="AG21" i="39"/>
  <c r="G12" i="53"/>
  <c r="G19" i="53"/>
  <c r="L17" i="59"/>
  <c r="L11" i="59"/>
  <c r="J34" i="71"/>
  <c r="J63" i="71"/>
  <c r="G122" i="9"/>
  <c r="G38" i="9"/>
  <c r="G5" i="9"/>
  <c r="G23" i="9"/>
  <c r="G56" i="9"/>
  <c r="G138" i="8" s="1"/>
  <c r="G34" i="9"/>
  <c r="G35" i="9" s="1"/>
  <c r="G63" i="9"/>
  <c r="G11" i="9"/>
  <c r="G48" i="9"/>
  <c r="AJ34" i="71"/>
  <c r="AJ63" i="71"/>
  <c r="Y19" i="53"/>
  <c r="Y12" i="53"/>
  <c r="Y68" i="46"/>
  <c r="Y74" i="46"/>
  <c r="Y17" i="46"/>
  <c r="Y55" i="46"/>
  <c r="Y43" i="46"/>
  <c r="Y105" i="46"/>
  <c r="Y93" i="46"/>
  <c r="Y62" i="46"/>
  <c r="Y11" i="46"/>
  <c r="Y24" i="46"/>
  <c r="Y30" i="46" s="1"/>
  <c r="Y36" i="46" s="1"/>
  <c r="Y81" i="46"/>
  <c r="Y49" i="46"/>
  <c r="L23" i="32"/>
  <c r="L14" i="32"/>
  <c r="U34" i="71"/>
  <c r="U63" i="71"/>
  <c r="M13" i="30"/>
  <c r="M20" i="30"/>
  <c r="AC21" i="52"/>
  <c r="AC37" i="52"/>
  <c r="U20" i="30"/>
  <c r="U13" i="30"/>
  <c r="R25" i="45"/>
  <c r="R15" i="45"/>
  <c r="AB81" i="46"/>
  <c r="AB43" i="46"/>
  <c r="AB17" i="46"/>
  <c r="AB11" i="46"/>
  <c r="AB24" i="46"/>
  <c r="AB30" i="46" s="1"/>
  <c r="AB36" i="46" s="1"/>
  <c r="AB74" i="46"/>
  <c r="AB55" i="46"/>
  <c r="AB62" i="46"/>
  <c r="AB105" i="46"/>
  <c r="AB49" i="46"/>
  <c r="AB68" i="46"/>
  <c r="AB93" i="46"/>
  <c r="Q25" i="45"/>
  <c r="Q15" i="45"/>
  <c r="S13" i="65"/>
  <c r="S21" i="65"/>
  <c r="AD25" i="45"/>
  <c r="AD15" i="45"/>
  <c r="Y23" i="9"/>
  <c r="Y122" i="9"/>
  <c r="Y56" i="9"/>
  <c r="Y11" i="9"/>
  <c r="Y63" i="9"/>
  <c r="Y34" i="9"/>
  <c r="Y35" i="9" s="1"/>
  <c r="Y48" i="9"/>
  <c r="Y38" i="9"/>
  <c r="Y5" i="9"/>
  <c r="F35" i="83"/>
  <c r="F150" i="83"/>
  <c r="F92" i="83"/>
  <c r="F130" i="83"/>
  <c r="F116" i="83"/>
  <c r="F161" i="83"/>
  <c r="BH155" i="73"/>
  <c r="BH171" i="73"/>
  <c r="BH163" i="73"/>
  <c r="P23" i="31"/>
  <c r="P14" i="31"/>
  <c r="I11" i="39"/>
  <c r="I21" i="39"/>
  <c r="J15" i="45"/>
  <c r="J25" i="45"/>
  <c r="D11" i="46"/>
  <c r="D17" i="46"/>
  <c r="C38" i="9"/>
  <c r="C63" i="9"/>
  <c r="C48" i="9"/>
  <c r="C56" i="9"/>
  <c r="C138" i="8" s="1"/>
  <c r="C5" i="9"/>
  <c r="C23" i="9"/>
  <c r="C122" i="9"/>
  <c r="C34" i="9"/>
  <c r="C35" i="9" s="1"/>
  <c r="C11" i="9"/>
  <c r="M63" i="9"/>
  <c r="M34" i="9"/>
  <c r="M35" i="9" s="1"/>
  <c r="M5" i="9"/>
  <c r="M38" i="9"/>
  <c r="M23" i="9"/>
  <c r="M56" i="9"/>
  <c r="M138" i="8" s="1"/>
  <c r="M122" i="9"/>
  <c r="M48" i="9"/>
  <c r="M11" i="9"/>
  <c r="T63" i="71"/>
  <c r="T34" i="71"/>
  <c r="R34" i="71"/>
  <c r="R63" i="71"/>
  <c r="AK15" i="45"/>
  <c r="AK25" i="45"/>
  <c r="Z195" i="73"/>
  <c r="Z187" i="73"/>
  <c r="Z179" i="73"/>
  <c r="AH13" i="65"/>
  <c r="AH21" i="65"/>
  <c r="AN171" i="73"/>
  <c r="AN155" i="73"/>
  <c r="AN163" i="73"/>
  <c r="O34" i="9"/>
  <c r="O35" i="9" s="1"/>
  <c r="O5" i="9"/>
  <c r="O38" i="9"/>
  <c r="O56" i="9"/>
  <c r="O138" i="8" s="1"/>
  <c r="O63" i="9"/>
  <c r="O122" i="9"/>
  <c r="O23" i="9"/>
  <c r="O48" i="9"/>
  <c r="O11" i="9"/>
  <c r="H11" i="39"/>
  <c r="H21" i="39"/>
  <c r="X13" i="65"/>
  <c r="X21" i="65"/>
  <c r="F11" i="46"/>
  <c r="F17" i="46"/>
  <c r="AH15" i="45"/>
  <c r="AH25" i="45"/>
  <c r="S14" i="31"/>
  <c r="S23" i="31"/>
  <c r="F12" i="53"/>
  <c r="F19" i="53"/>
  <c r="AB155" i="73"/>
  <c r="AB163" i="73"/>
  <c r="AB171" i="73"/>
  <c r="Z34" i="71"/>
  <c r="Z63" i="71"/>
  <c r="S11" i="59"/>
  <c r="S17" i="59"/>
  <c r="BQ195" i="73"/>
  <c r="BQ187" i="73"/>
  <c r="BQ179" i="73"/>
  <c r="AS122" i="9"/>
  <c r="AS56" i="9"/>
  <c r="AS34" i="9"/>
  <c r="AS35" i="9" s="1"/>
  <c r="AS63" i="9"/>
  <c r="AS38" i="9"/>
  <c r="AS5" i="9"/>
  <c r="AS11" i="9"/>
  <c r="AS48" i="9"/>
  <c r="AS23" i="9"/>
  <c r="V19" i="53"/>
  <c r="V12" i="53"/>
  <c r="D13" i="30"/>
  <c r="D20" i="30"/>
  <c r="J5" i="9"/>
  <c r="J122" i="9"/>
  <c r="J34" i="9"/>
  <c r="J35" i="9" s="1"/>
  <c r="J38" i="9"/>
  <c r="J23" i="9"/>
  <c r="J56" i="9"/>
  <c r="J138" i="8" s="1"/>
  <c r="J11" i="9"/>
  <c r="J63" i="9"/>
  <c r="J48" i="9"/>
  <c r="E219" i="77"/>
  <c r="D219" i="77"/>
  <c r="L219" i="77"/>
  <c r="C219" i="77"/>
  <c r="L15" i="84" s="1"/>
  <c r="K219" i="77"/>
  <c r="O163" i="73"/>
  <c r="O155" i="73"/>
  <c r="O171" i="73"/>
  <c r="BG155" i="73"/>
  <c r="BG163" i="73"/>
  <c r="BG171" i="73"/>
  <c r="J11" i="59"/>
  <c r="J17" i="59"/>
  <c r="AJ11" i="39"/>
  <c r="AJ21" i="39"/>
  <c r="AJ33" i="39" s="1"/>
  <c r="AG23" i="31"/>
  <c r="AG14" i="31"/>
  <c r="F48" i="9"/>
  <c r="F23" i="9"/>
  <c r="F63" i="9"/>
  <c r="F56" i="9"/>
  <c r="F138" i="8" s="1"/>
  <c r="F38" i="9"/>
  <c r="F5" i="9"/>
  <c r="F122" i="9"/>
  <c r="F11" i="9"/>
  <c r="F34" i="9"/>
  <c r="F35" i="9" s="1"/>
  <c r="O17" i="59"/>
  <c r="O11" i="59"/>
  <c r="Q23" i="31"/>
  <c r="Q14" i="31"/>
  <c r="Y11" i="39"/>
  <c r="Y21" i="39"/>
  <c r="W38" i="9"/>
  <c r="W48" i="9"/>
  <c r="W11" i="9"/>
  <c r="W63" i="9"/>
  <c r="W56" i="9"/>
  <c r="W34" i="9"/>
  <c r="W35" i="9" s="1"/>
  <c r="W122" i="9"/>
  <c r="W23" i="9"/>
  <c r="W5" i="9"/>
  <c r="K13" i="30"/>
  <c r="K20" i="30"/>
  <c r="P187" i="73"/>
  <c r="P179" i="73"/>
  <c r="P195" i="73"/>
  <c r="AC23" i="49"/>
  <c r="AC41" i="49"/>
  <c r="Y37" i="52"/>
  <c r="Y21" i="52"/>
  <c r="U21" i="52"/>
  <c r="U37" i="52"/>
  <c r="AJ115" i="73"/>
  <c r="AJ123" i="73"/>
  <c r="AJ79" i="73"/>
  <c r="AJ131" i="73"/>
  <c r="AJ95" i="73"/>
  <c r="AJ87" i="73"/>
  <c r="AJ139" i="73"/>
  <c r="AJ105" i="73"/>
  <c r="AR139" i="73"/>
  <c r="AR87" i="73"/>
  <c r="AR123" i="73"/>
  <c r="AR105" i="73"/>
  <c r="AR79" i="73"/>
  <c r="AR95" i="73"/>
  <c r="AR131" i="73"/>
  <c r="AR115" i="73"/>
  <c r="BJ171" i="73"/>
  <c r="BJ163" i="73"/>
  <c r="BJ155" i="73"/>
  <c r="P19" i="53"/>
  <c r="P12" i="53"/>
  <c r="O23" i="31"/>
  <c r="O14" i="31"/>
  <c r="AI187" i="73"/>
  <c r="AI195" i="73"/>
  <c r="AI179" i="73"/>
  <c r="Y150" i="83"/>
  <c r="Y130" i="83"/>
  <c r="Y92" i="83"/>
  <c r="Y35" i="83"/>
  <c r="Y116" i="83"/>
  <c r="Y161" i="83"/>
  <c r="E242" i="77"/>
  <c r="O242" i="77"/>
  <c r="X242" i="77"/>
  <c r="T242" i="77"/>
  <c r="AR242" i="77"/>
  <c r="N242" i="77"/>
  <c r="AA242" i="77"/>
  <c r="D242" i="77"/>
  <c r="K242" i="77"/>
  <c r="L242" i="77"/>
  <c r="V242" i="77"/>
  <c r="AS242" i="77"/>
  <c r="U242" i="77"/>
  <c r="Q242" i="77"/>
  <c r="C242" i="77"/>
  <c r="AI15" i="84" s="1"/>
  <c r="AQ242" i="77"/>
  <c r="AO242" i="77"/>
  <c r="W242" i="77"/>
  <c r="Z242" i="77"/>
  <c r="Y242" i="77"/>
  <c r="AP242" i="77"/>
  <c r="AB242" i="77"/>
  <c r="N10" i="29"/>
  <c r="N15" i="29"/>
  <c r="AL115" i="73"/>
  <c r="AL105" i="73"/>
  <c r="AL79" i="73"/>
  <c r="AL123" i="73"/>
  <c r="AL95" i="73"/>
  <c r="AL87" i="73"/>
  <c r="AL139" i="73"/>
  <c r="AL131" i="73"/>
  <c r="AB79" i="73"/>
  <c r="AB131" i="73"/>
  <c r="AB105" i="73"/>
  <c r="AB123" i="73"/>
  <c r="AB115" i="73"/>
  <c r="AB95" i="73"/>
  <c r="AB139" i="73"/>
  <c r="AB87" i="73"/>
  <c r="N235" i="77"/>
  <c r="L235" i="77"/>
  <c r="O235" i="77"/>
  <c r="D235" i="77"/>
  <c r="Q235" i="77"/>
  <c r="K235" i="77"/>
  <c r="E235" i="77"/>
  <c r="C235" i="77"/>
  <c r="AN195" i="73"/>
  <c r="AN187" i="73"/>
  <c r="AN179" i="73"/>
  <c r="V195" i="73"/>
  <c r="V187" i="73"/>
  <c r="V179" i="73"/>
  <c r="Y14" i="32"/>
  <c r="Y23" i="32"/>
  <c r="N21" i="52"/>
  <c r="N37" i="52"/>
  <c r="AF23" i="31"/>
  <c r="AF14" i="31"/>
  <c r="AN38" i="9"/>
  <c r="AN11" i="9"/>
  <c r="AN34" i="9"/>
  <c r="AN35" i="9" s="1"/>
  <c r="AN5" i="9"/>
  <c r="AN48" i="9"/>
  <c r="AN23" i="9"/>
  <c r="AN122" i="9"/>
  <c r="AN63" i="9"/>
  <c r="AN56" i="9"/>
  <c r="AH23" i="32"/>
  <c r="AH14" i="32"/>
  <c r="BA171" i="73"/>
  <c r="BA163" i="73"/>
  <c r="BA155" i="73"/>
  <c r="D226" i="77"/>
  <c r="C226" i="77"/>
  <c r="S15" i="84" s="1"/>
  <c r="K226" i="77"/>
  <c r="E226" i="77"/>
  <c r="L226" i="77"/>
  <c r="AJ195" i="73"/>
  <c r="AJ187" i="73"/>
  <c r="AJ179" i="73"/>
  <c r="S25" i="45"/>
  <c r="S15" i="45"/>
  <c r="BM187" i="73"/>
  <c r="BM179" i="73"/>
  <c r="BM195" i="73"/>
  <c r="AS163" i="73"/>
  <c r="AS171" i="73"/>
  <c r="AS155" i="73"/>
  <c r="AF12" i="53"/>
  <c r="AF19" i="53"/>
  <c r="T258" i="77"/>
  <c r="W258" i="77"/>
  <c r="U258" i="77"/>
  <c r="D258" i="77"/>
  <c r="L258" i="77"/>
  <c r="AA258" i="77"/>
  <c r="Q258" i="77"/>
  <c r="K258" i="77"/>
  <c r="E258" i="77"/>
  <c r="Y258" i="77"/>
  <c r="X258" i="77"/>
  <c r="Z258" i="77"/>
  <c r="V258" i="77"/>
  <c r="AP258" i="77"/>
  <c r="AR258" i="77"/>
  <c r="N258" i="77"/>
  <c r="C258" i="77"/>
  <c r="AY15" i="84" s="1"/>
  <c r="AQ258" i="77"/>
  <c r="AS258" i="77"/>
  <c r="AO258" i="77"/>
  <c r="AB258" i="77"/>
  <c r="O258" i="77"/>
  <c r="AA239" i="77"/>
  <c r="O239" i="77"/>
  <c r="Q239" i="77"/>
  <c r="K239" i="77"/>
  <c r="V239" i="77"/>
  <c r="AP239" i="77"/>
  <c r="X239" i="77"/>
  <c r="C239" i="77"/>
  <c r="AF15" i="84" s="1"/>
  <c r="U239" i="77"/>
  <c r="N239" i="77"/>
  <c r="Y239" i="77"/>
  <c r="L239" i="77"/>
  <c r="AR239" i="77"/>
  <c r="W239" i="77"/>
  <c r="T239" i="77"/>
  <c r="AO239" i="77"/>
  <c r="AS239" i="77"/>
  <c r="E239" i="77"/>
  <c r="AQ239" i="77"/>
  <c r="D239" i="77"/>
  <c r="Z239" i="77"/>
  <c r="AB239" i="77"/>
  <c r="AA20" i="30"/>
  <c r="AA13" i="30"/>
  <c r="AK37" i="52"/>
  <c r="AK21" i="52"/>
  <c r="K271" i="77"/>
  <c r="E271" i="77"/>
  <c r="Q271" i="77"/>
  <c r="D271" i="77"/>
  <c r="L271" i="77"/>
  <c r="AA271" i="77"/>
  <c r="Y271" i="77"/>
  <c r="Z271" i="77"/>
  <c r="W271" i="77"/>
  <c r="U271" i="77"/>
  <c r="T271" i="77"/>
  <c r="X271" i="77"/>
  <c r="V271" i="77"/>
  <c r="AB271" i="77"/>
  <c r="N271" i="77"/>
  <c r="AO271" i="77"/>
  <c r="AS271" i="77"/>
  <c r="O271" i="77"/>
  <c r="AQ271" i="77"/>
  <c r="C271" i="77"/>
  <c r="BL15" i="84" s="1"/>
  <c r="AP271" i="77"/>
  <c r="AR271" i="77"/>
  <c r="AA14" i="32"/>
  <c r="AA23" i="32"/>
  <c r="C21" i="52"/>
  <c r="C37" i="52"/>
  <c r="AP15" i="29"/>
  <c r="AP10" i="29"/>
  <c r="AS81" i="46"/>
  <c r="AS74" i="46"/>
  <c r="AS49" i="46"/>
  <c r="AS11" i="46"/>
  <c r="AS43" i="46"/>
  <c r="AS30" i="46"/>
  <c r="AS105" i="46"/>
  <c r="AS62" i="46"/>
  <c r="AS17" i="46"/>
  <c r="AS24" i="46"/>
  <c r="AS55" i="46"/>
  <c r="AS93" i="46"/>
  <c r="AS68" i="46"/>
  <c r="AS36" i="46"/>
  <c r="AL41" i="49"/>
  <c r="AL23" i="49"/>
  <c r="AD15" i="84"/>
  <c r="AR105" i="46"/>
  <c r="AR68" i="46"/>
  <c r="AR62" i="46"/>
  <c r="AR24" i="46"/>
  <c r="AR30" i="46"/>
  <c r="AR17" i="46"/>
  <c r="AR11" i="46"/>
  <c r="AR74" i="46"/>
  <c r="AR81" i="46"/>
  <c r="AR36" i="46"/>
  <c r="AR49" i="46"/>
  <c r="AR43" i="46"/>
  <c r="AR55" i="46"/>
  <c r="AR93" i="46"/>
  <c r="AM23" i="31"/>
  <c r="AM14" i="31"/>
  <c r="AO21" i="65"/>
  <c r="AO13" i="65"/>
  <c r="AJ150" i="83"/>
  <c r="AJ161" i="83"/>
  <c r="AJ92" i="83"/>
  <c r="AJ130" i="83"/>
  <c r="AJ35" i="83"/>
  <c r="AJ116" i="83"/>
  <c r="AB15" i="84"/>
  <c r="K270" i="77"/>
  <c r="E270" i="77"/>
  <c r="D270" i="77"/>
  <c r="L270" i="77"/>
  <c r="Q270" i="77"/>
  <c r="Z270" i="77"/>
  <c r="W270" i="77"/>
  <c r="T270" i="77"/>
  <c r="Y270" i="77"/>
  <c r="U270" i="77"/>
  <c r="X270" i="77"/>
  <c r="V270" i="77"/>
  <c r="AA270" i="77"/>
  <c r="AB270" i="77"/>
  <c r="C270" i="77"/>
  <c r="BK15" i="84" s="1"/>
  <c r="AS270" i="77"/>
  <c r="AP270" i="77"/>
  <c r="N270" i="77"/>
  <c r="AQ270" i="77"/>
  <c r="AO270" i="77"/>
  <c r="AR270" i="77"/>
  <c r="O270" i="77"/>
  <c r="M15" i="84"/>
  <c r="E15" i="84"/>
  <c r="AN23" i="31"/>
  <c r="AN14" i="31"/>
  <c r="L272" i="77"/>
  <c r="BB272" i="77" s="1"/>
  <c r="D272" i="77"/>
  <c r="K272" i="77"/>
  <c r="E272" i="77"/>
  <c r="Q272" i="77"/>
  <c r="N272" i="77"/>
  <c r="AS272" i="77"/>
  <c r="AA272" i="77"/>
  <c r="Z272" i="77"/>
  <c r="AP272" i="77"/>
  <c r="Y272" i="77"/>
  <c r="W272" i="77"/>
  <c r="AQ272" i="77"/>
  <c r="AR272" i="77"/>
  <c r="T272" i="77"/>
  <c r="AO272" i="77"/>
  <c r="C272" i="77"/>
  <c r="BM15" i="84" s="1"/>
  <c r="U272" i="77"/>
  <c r="X272" i="77"/>
  <c r="O272" i="77"/>
  <c r="V272" i="77"/>
  <c r="AB272" i="77"/>
  <c r="AX17" i="46"/>
  <c r="AX68" i="46"/>
  <c r="AX81" i="46"/>
  <c r="AX62" i="46"/>
  <c r="AX24" i="46"/>
  <c r="AX11" i="46"/>
  <c r="AX105" i="46"/>
  <c r="AX55" i="46"/>
  <c r="AX36" i="46"/>
  <c r="AX49" i="46"/>
  <c r="AX43" i="46"/>
  <c r="AX93" i="46"/>
  <c r="AX30" i="46"/>
  <c r="AX74" i="46"/>
  <c r="AT25" i="45"/>
  <c r="AT15" i="45"/>
  <c r="AO35" i="83"/>
  <c r="AO116" i="83"/>
  <c r="AO150" i="83"/>
  <c r="AO130" i="83"/>
  <c r="AO161" i="83"/>
  <c r="AO92" i="83"/>
  <c r="AR14" i="31"/>
  <c r="AR23" i="31"/>
  <c r="AT13" i="30"/>
  <c r="AT20" i="30"/>
  <c r="AS23" i="32"/>
  <c r="AS14" i="32"/>
  <c r="AF10" i="29"/>
  <c r="AF15" i="29"/>
  <c r="AQ34" i="9"/>
  <c r="AQ35" i="9" s="1"/>
  <c r="AQ48" i="9"/>
  <c r="AQ56" i="9"/>
  <c r="AQ63" i="9"/>
  <c r="AQ38" i="9"/>
  <c r="AQ122" i="9"/>
  <c r="AQ23" i="9"/>
  <c r="AQ5" i="9"/>
  <c r="AQ11" i="9"/>
  <c r="Q41" i="49"/>
  <c r="Q23" i="49"/>
  <c r="M23" i="49"/>
  <c r="M41" i="49"/>
  <c r="P15" i="29"/>
  <c r="P10" i="29"/>
  <c r="O74" i="46"/>
  <c r="O49" i="46"/>
  <c r="O55" i="46"/>
  <c r="O43" i="46"/>
  <c r="O62" i="46"/>
  <c r="O17" i="46"/>
  <c r="O11" i="46"/>
  <c r="O68" i="46"/>
  <c r="O24" i="46"/>
  <c r="O30" i="46" s="1"/>
  <c r="O36" i="46" s="1"/>
  <c r="Z62" i="46"/>
  <c r="Z43" i="46"/>
  <c r="Z74" i="46"/>
  <c r="Z11" i="46"/>
  <c r="Z93" i="46"/>
  <c r="Z17" i="46"/>
  <c r="Z55" i="46"/>
  <c r="Z24" i="46"/>
  <c r="Z30" i="46" s="1"/>
  <c r="Z36" i="46" s="1"/>
  <c r="Z105" i="46"/>
  <c r="Z81" i="46"/>
  <c r="Z49" i="46"/>
  <c r="Z68" i="46"/>
  <c r="AB37" i="52"/>
  <c r="AB21" i="52"/>
  <c r="AE19" i="53"/>
  <c r="AE12" i="53"/>
  <c r="T116" i="83"/>
  <c r="T130" i="83"/>
  <c r="T161" i="83"/>
  <c r="T150" i="83"/>
  <c r="T35" i="83"/>
  <c r="T92" i="83"/>
  <c r="AS105" i="73"/>
  <c r="AS87" i="73"/>
  <c r="AS123" i="73"/>
  <c r="AS139" i="73"/>
  <c r="AS79" i="73"/>
  <c r="AS115" i="73"/>
  <c r="AS95" i="73"/>
  <c r="AS131" i="73"/>
  <c r="AK155" i="73"/>
  <c r="AK171" i="73"/>
  <c r="AK163" i="73"/>
  <c r="AE56" i="9"/>
  <c r="AE23" i="9"/>
  <c r="AE11" i="9"/>
  <c r="AE5" i="9"/>
  <c r="AE48" i="9"/>
  <c r="AE38" i="9"/>
  <c r="AE34" i="9"/>
  <c r="AE35" i="9" s="1"/>
  <c r="AE63" i="9"/>
  <c r="AE122" i="9"/>
  <c r="G21" i="65"/>
  <c r="G13" i="65"/>
  <c r="M49" i="46"/>
  <c r="M74" i="46"/>
  <c r="M24" i="46"/>
  <c r="M30" i="46" s="1"/>
  <c r="M36" i="46" s="1"/>
  <c r="M68" i="46"/>
  <c r="M17" i="46"/>
  <c r="M11" i="46"/>
  <c r="M43" i="46"/>
  <c r="M55" i="46"/>
  <c r="M62" i="46"/>
  <c r="AC14" i="31"/>
  <c r="AC23" i="31"/>
  <c r="E229" i="77"/>
  <c r="C229" i="77"/>
  <c r="V15" i="84" s="1"/>
  <c r="D229" i="77"/>
  <c r="L229" i="77"/>
  <c r="K229" i="77"/>
  <c r="AF21" i="39"/>
  <c r="AF11" i="39"/>
  <c r="C79" i="73"/>
  <c r="C95" i="73"/>
  <c r="C105" i="73"/>
  <c r="C87" i="73"/>
  <c r="C115" i="73"/>
  <c r="C131" i="73"/>
  <c r="C139" i="73"/>
  <c r="C123" i="73"/>
  <c r="L43" i="46"/>
  <c r="L24" i="46"/>
  <c r="L30" i="46" s="1"/>
  <c r="L36" i="46" s="1"/>
  <c r="L62" i="46"/>
  <c r="L11" i="46"/>
  <c r="L55" i="46"/>
  <c r="L49" i="46"/>
  <c r="L68" i="46"/>
  <c r="L74" i="46"/>
  <c r="L17" i="46"/>
  <c r="AA247" i="77"/>
  <c r="D247" i="77"/>
  <c r="K247" i="77"/>
  <c r="L247" i="77"/>
  <c r="Q247" i="77"/>
  <c r="E247" i="77"/>
  <c r="Z247" i="77"/>
  <c r="X247" i="77"/>
  <c r="V247" i="77"/>
  <c r="U247" i="77"/>
  <c r="T247" i="77"/>
  <c r="W247" i="77"/>
  <c r="Y247" i="77"/>
  <c r="C247" i="77"/>
  <c r="AN15" i="84" s="1"/>
  <c r="AP247" i="77"/>
  <c r="AS247" i="77"/>
  <c r="AQ247" i="77"/>
  <c r="N247" i="77"/>
  <c r="AO247" i="77"/>
  <c r="AR247" i="77"/>
  <c r="AB247" i="77"/>
  <c r="O247" i="77"/>
  <c r="AN131" i="73"/>
  <c r="AN95" i="73"/>
  <c r="AN123" i="73"/>
  <c r="AN87" i="73"/>
  <c r="AN139" i="73"/>
  <c r="AN79" i="73"/>
  <c r="AN115" i="73"/>
  <c r="AN105" i="73"/>
  <c r="O95" i="73"/>
  <c r="O131" i="73"/>
  <c r="O87" i="73"/>
  <c r="O105" i="73"/>
  <c r="O115" i="73"/>
  <c r="O79" i="73"/>
  <c r="O139" i="73"/>
  <c r="O123" i="73"/>
  <c r="AB12" i="53"/>
  <c r="AB19" i="53"/>
  <c r="S21" i="39"/>
  <c r="S11" i="39"/>
  <c r="L11" i="39"/>
  <c r="L21" i="39"/>
  <c r="AH15" i="29"/>
  <c r="AH10" i="29"/>
  <c r="AB25" i="45"/>
  <c r="AB15" i="45"/>
  <c r="AP38" i="9"/>
  <c r="AP34" i="9"/>
  <c r="AP35" i="9" s="1"/>
  <c r="AP23" i="9"/>
  <c r="AP122" i="9"/>
  <c r="AP63" i="9"/>
  <c r="AP5" i="9"/>
  <c r="AP48" i="9"/>
  <c r="AP11" i="9"/>
  <c r="AP56" i="9"/>
  <c r="P55" i="46"/>
  <c r="P49" i="46"/>
  <c r="P68" i="46"/>
  <c r="P62" i="46"/>
  <c r="P24" i="46"/>
  <c r="P30" i="46" s="1"/>
  <c r="P36" i="46" s="1"/>
  <c r="P74" i="46"/>
  <c r="P17" i="46"/>
  <c r="P11" i="46"/>
  <c r="P43" i="46"/>
  <c r="AE15" i="45"/>
  <c r="AE25" i="45"/>
  <c r="H23" i="49"/>
  <c r="H41" i="49"/>
  <c r="AR34" i="9"/>
  <c r="AR35" i="9" s="1"/>
  <c r="AR11" i="9"/>
  <c r="AR63" i="9"/>
  <c r="AR38" i="9"/>
  <c r="AR56" i="9"/>
  <c r="AR23" i="9"/>
  <c r="AR122" i="9"/>
  <c r="AR5" i="9"/>
  <c r="AR48" i="9"/>
  <c r="AC13" i="30"/>
  <c r="AC20" i="30"/>
  <c r="P21" i="52"/>
  <c r="P37" i="52"/>
  <c r="U10" i="29"/>
  <c r="U15" i="29"/>
  <c r="K23" i="31"/>
  <c r="K14" i="31"/>
  <c r="AC19" i="53"/>
  <c r="AC12" i="53"/>
  <c r="X34" i="71"/>
  <c r="X63" i="71"/>
  <c r="M17" i="59"/>
  <c r="M11" i="59"/>
  <c r="I12" i="53"/>
  <c r="I19" i="53"/>
  <c r="AA11" i="39"/>
  <c r="AA21" i="39"/>
  <c r="K23" i="49"/>
  <c r="K41" i="49"/>
  <c r="P20" i="30"/>
  <c r="P13" i="30"/>
  <c r="U11" i="59"/>
  <c r="U17" i="59"/>
  <c r="H15" i="45"/>
  <c r="H25" i="45"/>
  <c r="AM155" i="73"/>
  <c r="AM163" i="73"/>
  <c r="AM171" i="73"/>
  <c r="D155" i="73"/>
  <c r="D171" i="73"/>
  <c r="D163" i="73"/>
  <c r="AE21" i="52"/>
  <c r="AE37" i="52"/>
  <c r="F11" i="59"/>
  <c r="F17" i="59"/>
  <c r="K92" i="83"/>
  <c r="K150" i="83"/>
  <c r="K161" i="83"/>
  <c r="K35" i="83"/>
  <c r="K130" i="83"/>
  <c r="K116" i="83"/>
  <c r="M10" i="29"/>
  <c r="M15" i="29"/>
  <c r="E37" i="52"/>
  <c r="E21" i="52"/>
  <c r="X23" i="49"/>
  <c r="X41" i="49"/>
  <c r="D14" i="31"/>
  <c r="D23" i="31"/>
  <c r="AI14" i="32"/>
  <c r="AI23" i="32"/>
  <c r="S12" i="53"/>
  <c r="S19" i="53"/>
  <c r="P79" i="73"/>
  <c r="P105" i="73"/>
  <c r="P123" i="73"/>
  <c r="P95" i="73"/>
  <c r="P87" i="73"/>
  <c r="P115" i="73"/>
  <c r="P139" i="73"/>
  <c r="P131" i="73"/>
  <c r="AV171" i="73"/>
  <c r="AV155" i="73"/>
  <c r="AV163" i="73"/>
  <c r="AG195" i="73"/>
  <c r="AG179" i="73"/>
  <c r="AG187" i="73"/>
  <c r="H87" i="73"/>
  <c r="H123" i="73"/>
  <c r="H115" i="73"/>
  <c r="H95" i="73"/>
  <c r="H131" i="73"/>
  <c r="H105" i="73"/>
  <c r="H79" i="73"/>
  <c r="H139" i="73"/>
  <c r="G37" i="52"/>
  <c r="G21" i="52"/>
  <c r="F13" i="65"/>
  <c r="F21" i="65"/>
  <c r="U41" i="49"/>
  <c r="U23" i="49"/>
  <c r="Y23" i="31"/>
  <c r="Y14" i="31"/>
  <c r="BI187" i="73"/>
  <c r="BI195" i="73"/>
  <c r="BI179" i="73"/>
  <c r="W24" i="46"/>
  <c r="W30" i="46" s="1"/>
  <c r="W36" i="46" s="1"/>
  <c r="W17" i="46"/>
  <c r="W11" i="46"/>
  <c r="W81" i="46"/>
  <c r="W43" i="46"/>
  <c r="W49" i="46"/>
  <c r="W68" i="46"/>
  <c r="W62" i="46"/>
  <c r="W93" i="46"/>
  <c r="W55" i="46"/>
  <c r="W74" i="46"/>
  <c r="W105" i="46"/>
  <c r="D92" i="83"/>
  <c r="D116" i="83"/>
  <c r="D130" i="83"/>
  <c r="D150" i="83"/>
  <c r="D35" i="83"/>
  <c r="D161" i="83"/>
  <c r="F13" i="30"/>
  <c r="F20" i="30"/>
  <c r="H11" i="46"/>
  <c r="H17" i="46"/>
  <c r="U43" i="46"/>
  <c r="U105" i="46"/>
  <c r="U81" i="46"/>
  <c r="U93" i="46"/>
  <c r="U17" i="46"/>
  <c r="U68" i="46"/>
  <c r="U24" i="46"/>
  <c r="U30" i="46" s="1"/>
  <c r="U36" i="46" s="1"/>
  <c r="U55" i="46"/>
  <c r="U62" i="46"/>
  <c r="U74" i="46"/>
  <c r="U49" i="46"/>
  <c r="U11" i="46"/>
  <c r="AB21" i="65"/>
  <c r="AB13" i="65"/>
  <c r="H10" i="29"/>
  <c r="H15" i="29"/>
  <c r="M25" i="45"/>
  <c r="M15" i="45"/>
  <c r="AK179" i="73"/>
  <c r="AK187" i="73"/>
  <c r="AK195" i="73"/>
  <c r="U14" i="32"/>
  <c r="U23" i="32"/>
  <c r="AU195" i="73"/>
  <c r="AU179" i="73"/>
  <c r="AU187" i="73"/>
  <c r="Y254" i="77"/>
  <c r="K254" i="77"/>
  <c r="Q254" i="77"/>
  <c r="AA254" i="77"/>
  <c r="D254" i="77"/>
  <c r="L254" i="77"/>
  <c r="E254" i="77"/>
  <c r="X254" i="77"/>
  <c r="C254" i="77"/>
  <c r="AU15" i="84" s="1"/>
  <c r="AQ254" i="77"/>
  <c r="T254" i="77"/>
  <c r="AS254" i="77"/>
  <c r="AO254" i="77"/>
  <c r="AR254" i="77"/>
  <c r="N254" i="77"/>
  <c r="U254" i="77"/>
  <c r="Z254" i="77"/>
  <c r="W254" i="77"/>
  <c r="V254" i="77"/>
  <c r="AP254" i="77"/>
  <c r="O254" i="77"/>
  <c r="AB254" i="77"/>
  <c r="S171" i="73"/>
  <c r="S155" i="73"/>
  <c r="S163" i="73"/>
  <c r="T155" i="73"/>
  <c r="T163" i="73"/>
  <c r="T171" i="73"/>
  <c r="G14" i="32"/>
  <c r="G23" i="32"/>
  <c r="K11" i="39"/>
  <c r="K21" i="39"/>
  <c r="T23" i="31"/>
  <c r="T14" i="31"/>
  <c r="E228" i="77"/>
  <c r="D228" i="77"/>
  <c r="K228" i="77"/>
  <c r="L228" i="77"/>
  <c r="C228" i="77"/>
  <c r="AH12" i="53"/>
  <c r="AH19" i="53"/>
  <c r="AF155" i="73"/>
  <c r="AF163" i="73"/>
  <c r="AF171" i="73"/>
  <c r="AA241" i="77"/>
  <c r="U241" i="77"/>
  <c r="Z241" i="77"/>
  <c r="AS241" i="77"/>
  <c r="K241" i="77"/>
  <c r="O241" i="77"/>
  <c r="AR241" i="77"/>
  <c r="AO241" i="77"/>
  <c r="AP241" i="77"/>
  <c r="Q241" i="77"/>
  <c r="R241" i="77" s="1"/>
  <c r="W241" i="77"/>
  <c r="T241" i="77"/>
  <c r="D241" i="77"/>
  <c r="C241" i="77"/>
  <c r="E241" i="77"/>
  <c r="BA241" i="77" s="1"/>
  <c r="L241" i="77"/>
  <c r="BB241" i="77" s="1"/>
  <c r="V241" i="77"/>
  <c r="N241" i="77"/>
  <c r="AQ241" i="77"/>
  <c r="X241" i="77"/>
  <c r="Y241" i="77"/>
  <c r="AB241" i="77"/>
  <c r="AA155" i="73"/>
  <c r="AA171" i="73"/>
  <c r="AA163" i="73"/>
  <c r="O21" i="65"/>
  <c r="O13" i="65"/>
  <c r="J20" i="30"/>
  <c r="J13" i="30"/>
  <c r="Z116" i="83"/>
  <c r="Z35" i="83"/>
  <c r="Z92" i="83"/>
  <c r="Z130" i="83"/>
  <c r="Z161" i="83"/>
  <c r="Z150" i="83"/>
  <c r="G187" i="73"/>
  <c r="G179" i="73"/>
  <c r="G195" i="73"/>
  <c r="AE187" i="73"/>
  <c r="AE179" i="73"/>
  <c r="AE195" i="73"/>
  <c r="I13" i="65"/>
  <c r="I21" i="65"/>
  <c r="AS187" i="73"/>
  <c r="AS195" i="73"/>
  <c r="AS179" i="73"/>
  <c r="BE179" i="73"/>
  <c r="BE187" i="73"/>
  <c r="BE195" i="73"/>
  <c r="D213" i="77"/>
  <c r="C213" i="77"/>
  <c r="F15" i="84" s="1"/>
  <c r="K213" i="77"/>
  <c r="L213" i="77"/>
  <c r="E213" i="77"/>
  <c r="AD179" i="73"/>
  <c r="AD187" i="73"/>
  <c r="AD195" i="73"/>
  <c r="X179" i="73"/>
  <c r="X187" i="73"/>
  <c r="X195" i="73"/>
  <c r="Z23" i="31"/>
  <c r="Z14" i="31"/>
  <c r="O179" i="73"/>
  <c r="O195" i="73"/>
  <c r="O187" i="73"/>
  <c r="AA257" i="77"/>
  <c r="T257" i="77"/>
  <c r="K257" i="77"/>
  <c r="Y257" i="77"/>
  <c r="D257" i="77"/>
  <c r="U257" i="77"/>
  <c r="E257" i="77"/>
  <c r="Q257" i="77"/>
  <c r="Z257" i="77"/>
  <c r="L257" i="77"/>
  <c r="W257" i="77"/>
  <c r="V257" i="77"/>
  <c r="X257" i="77"/>
  <c r="AS257" i="77"/>
  <c r="N257" i="77"/>
  <c r="AQ257" i="77"/>
  <c r="AP257" i="77"/>
  <c r="AR257" i="77"/>
  <c r="AO257" i="77"/>
  <c r="C257" i="77"/>
  <c r="AX15" i="84" s="1"/>
  <c r="AB257" i="77"/>
  <c r="O257" i="77"/>
  <c r="AA243" i="77"/>
  <c r="AO243" i="77"/>
  <c r="U243" i="77"/>
  <c r="AQ243" i="77"/>
  <c r="Y243" i="77"/>
  <c r="V243" i="77"/>
  <c r="Z243" i="77"/>
  <c r="Q243" i="77"/>
  <c r="D243" i="77"/>
  <c r="W243" i="77"/>
  <c r="C243" i="77"/>
  <c r="AJ15" i="84" s="1"/>
  <c r="K243" i="77"/>
  <c r="AR243" i="77"/>
  <c r="N243" i="77"/>
  <c r="O243" i="77"/>
  <c r="X243" i="77"/>
  <c r="AP243" i="77"/>
  <c r="L243" i="77"/>
  <c r="E243" i="77"/>
  <c r="BA243" i="77" s="1"/>
  <c r="AS243" i="77"/>
  <c r="T243" i="77"/>
  <c r="AB243" i="77"/>
  <c r="AV34" i="9"/>
  <c r="AV35" i="9" s="1"/>
  <c r="AV63" i="9"/>
  <c r="AV122" i="9"/>
  <c r="AV48" i="9"/>
  <c r="AV38" i="9"/>
  <c r="AV5" i="9"/>
  <c r="AV23" i="9"/>
  <c r="AV11" i="9"/>
  <c r="AV56" i="9"/>
  <c r="D234" i="77"/>
  <c r="O234" i="77"/>
  <c r="Q234" i="77"/>
  <c r="N234" i="77"/>
  <c r="L234" i="77"/>
  <c r="K234" i="77"/>
  <c r="C234" i="77"/>
  <c r="AA15" i="84" s="1"/>
  <c r="E234" i="77"/>
  <c r="AK13" i="65"/>
  <c r="AK21" i="65"/>
  <c r="X155" i="73"/>
  <c r="X163" i="73"/>
  <c r="X171" i="73"/>
  <c r="AA252" i="77"/>
  <c r="Q252" i="77"/>
  <c r="L252" i="77"/>
  <c r="E252" i="77"/>
  <c r="D252" i="77"/>
  <c r="K252" i="77"/>
  <c r="X252" i="77"/>
  <c r="AP252" i="77"/>
  <c r="N252" i="77"/>
  <c r="T252" i="77"/>
  <c r="C252" i="77"/>
  <c r="AS15" i="84" s="1"/>
  <c r="Y252" i="77"/>
  <c r="W252" i="77"/>
  <c r="AO252" i="77"/>
  <c r="AR252" i="77"/>
  <c r="AS252" i="77"/>
  <c r="V252" i="77"/>
  <c r="AQ252" i="77"/>
  <c r="Z252" i="77"/>
  <c r="U252" i="77"/>
  <c r="AB252" i="77"/>
  <c r="O252" i="77"/>
  <c r="AO34" i="71"/>
  <c r="AO63" i="71"/>
  <c r="U15" i="84"/>
  <c r="AK14" i="31"/>
  <c r="AK23" i="31"/>
  <c r="AN63" i="71"/>
  <c r="AN34" i="71"/>
  <c r="C14" i="32"/>
  <c r="C23" i="32"/>
  <c r="AP15" i="45"/>
  <c r="AP25" i="45"/>
  <c r="AO15" i="84"/>
  <c r="AM41" i="49"/>
  <c r="AM23" i="49"/>
  <c r="V268" i="77"/>
  <c r="Y268" i="77"/>
  <c r="W268" i="77"/>
  <c r="E268" i="77"/>
  <c r="K268" i="77"/>
  <c r="D268" i="77"/>
  <c r="U268" i="77"/>
  <c r="L268" i="77"/>
  <c r="Z268" i="77"/>
  <c r="X268" i="77"/>
  <c r="Q268" i="77"/>
  <c r="R268" i="77" s="1"/>
  <c r="T268" i="77"/>
  <c r="AA268" i="77"/>
  <c r="AB268" i="77"/>
  <c r="N268" i="77"/>
  <c r="AS268" i="77"/>
  <c r="AP268" i="77"/>
  <c r="O268" i="77"/>
  <c r="AR268" i="77"/>
  <c r="AQ268" i="77"/>
  <c r="AO268" i="77"/>
  <c r="C268" i="77"/>
  <c r="BI15" i="84" s="1"/>
  <c r="AH15" i="84"/>
  <c r="AK12" i="53"/>
  <c r="AK19" i="53"/>
  <c r="AQ41" i="49"/>
  <c r="AQ23" i="49"/>
  <c r="AK41" i="49"/>
  <c r="AK23" i="49"/>
  <c r="AU49" i="46"/>
  <c r="AU81" i="46"/>
  <c r="AU36" i="46"/>
  <c r="AU93" i="46"/>
  <c r="AU17" i="46"/>
  <c r="AU74" i="46"/>
  <c r="AU55" i="46"/>
  <c r="AU30" i="46"/>
  <c r="AU68" i="46"/>
  <c r="AU24" i="46"/>
  <c r="AU43" i="46"/>
  <c r="AU105" i="46"/>
  <c r="AU62" i="46"/>
  <c r="AU11" i="46"/>
  <c r="AO41" i="49"/>
  <c r="AO23" i="49"/>
  <c r="AN14" i="32"/>
  <c r="AN23" i="32"/>
  <c r="G15" i="84"/>
  <c r="AQ21" i="52"/>
  <c r="AQ37" i="52"/>
  <c r="AO17" i="46"/>
  <c r="AO36" i="46"/>
  <c r="AO105" i="46"/>
  <c r="AO93" i="46"/>
  <c r="AO68" i="46"/>
  <c r="AO62" i="46"/>
  <c r="AO55" i="46"/>
  <c r="AO24" i="46"/>
  <c r="AO30" i="46"/>
  <c r="AO74" i="46"/>
  <c r="AO81" i="46"/>
  <c r="AO43" i="46"/>
  <c r="AO49" i="46"/>
  <c r="AO11" i="46"/>
  <c r="AN10" i="29"/>
  <c r="AN15" i="29"/>
  <c r="N15" i="84"/>
  <c r="BB15" i="84"/>
  <c r="AV36" i="46"/>
  <c r="AV68" i="46"/>
  <c r="AV105" i="46"/>
  <c r="AV74" i="46"/>
  <c r="AV24" i="46"/>
  <c r="AV11" i="46"/>
  <c r="AV43" i="46"/>
  <c r="AV62" i="46"/>
  <c r="AV17" i="46"/>
  <c r="AV55" i="46"/>
  <c r="AV93" i="46"/>
  <c r="AV30" i="46"/>
  <c r="AV49" i="46"/>
  <c r="AV81" i="46"/>
  <c r="AT10" i="29"/>
  <c r="AT15" i="29"/>
  <c r="AR41" i="49"/>
  <c r="AR23" i="49"/>
  <c r="U128" i="83"/>
  <c r="U124" i="83"/>
  <c r="U151" i="83"/>
  <c r="U87" i="83"/>
  <c r="U101" i="83"/>
  <c r="U93" i="83"/>
  <c r="U95" i="83"/>
  <c r="U103" i="83"/>
  <c r="U155" i="83"/>
  <c r="U121" i="83"/>
  <c r="U117" i="83"/>
  <c r="U127" i="83"/>
  <c r="U157" i="83"/>
  <c r="U112" i="83"/>
  <c r="U111" i="83" s="1"/>
  <c r="U153" i="83"/>
  <c r="U118" i="83"/>
  <c r="W128" i="83"/>
  <c r="W124" i="83"/>
  <c r="W151" i="83"/>
  <c r="W87" i="83"/>
  <c r="W101" i="83"/>
  <c r="W95" i="83"/>
  <c r="W103" i="83"/>
  <c r="W93" i="83"/>
  <c r="W155" i="83"/>
  <c r="W121" i="83"/>
  <c r="W117" i="83"/>
  <c r="W127" i="83"/>
  <c r="W157" i="83"/>
  <c r="W112" i="83"/>
  <c r="W153" i="83"/>
  <c r="W118" i="83"/>
  <c r="S31" i="83"/>
  <c r="S82" i="83"/>
  <c r="S65" i="83"/>
  <c r="S29" i="83"/>
  <c r="S107" i="83"/>
  <c r="S71" i="83"/>
  <c r="S28" i="83"/>
  <c r="S78" i="83"/>
  <c r="AB140" i="83"/>
  <c r="AB122" i="83"/>
  <c r="AB139" i="83"/>
  <c r="AB143" i="83"/>
  <c r="AB138" i="83"/>
  <c r="I31" i="83"/>
  <c r="I65" i="83"/>
  <c r="I29" i="83"/>
  <c r="I86" i="83"/>
  <c r="I28" i="83"/>
  <c r="I78" i="83"/>
  <c r="AM140" i="83"/>
  <c r="AM122" i="83"/>
  <c r="AM139" i="83"/>
  <c r="AM143" i="83"/>
  <c r="AM138" i="83"/>
  <c r="AH128" i="83"/>
  <c r="AH124" i="83"/>
  <c r="AH151" i="83"/>
  <c r="AH87" i="83"/>
  <c r="AH101" i="83"/>
  <c r="AH103" i="83"/>
  <c r="AH93" i="83"/>
  <c r="AH95" i="83"/>
  <c r="AH155" i="83"/>
  <c r="AH121" i="83"/>
  <c r="AH117" i="83"/>
  <c r="AH127" i="83"/>
  <c r="AH157" i="83"/>
  <c r="AH112" i="83"/>
  <c r="AH111" i="83" s="1"/>
  <c r="AH153" i="83"/>
  <c r="AH118" i="83"/>
  <c r="AN128" i="83"/>
  <c r="AN124" i="83"/>
  <c r="AN151" i="83"/>
  <c r="AN87" i="83"/>
  <c r="AN101" i="83"/>
  <c r="AN103" i="83"/>
  <c r="AN95" i="83"/>
  <c r="AN93" i="83"/>
  <c r="AN155" i="83"/>
  <c r="AN121" i="83"/>
  <c r="AN117" i="83"/>
  <c r="AN127" i="83"/>
  <c r="AN157" i="83"/>
  <c r="AN112" i="83"/>
  <c r="AN111" i="83" s="1"/>
  <c r="AN153" i="83"/>
  <c r="AN118" i="83"/>
  <c r="T140" i="83"/>
  <c r="T122" i="83"/>
  <c r="T139" i="83"/>
  <c r="T143" i="83"/>
  <c r="T138" i="83"/>
  <c r="Z128" i="83"/>
  <c r="Z124" i="83"/>
  <c r="Z151" i="83"/>
  <c r="Z87" i="83"/>
  <c r="Z101" i="83"/>
  <c r="Z103" i="83"/>
  <c r="Z93" i="83"/>
  <c r="Z95" i="83"/>
  <c r="Z155" i="83"/>
  <c r="Z121" i="83"/>
  <c r="Z117" i="83"/>
  <c r="Z127" i="83"/>
  <c r="Z157" i="83"/>
  <c r="Z112" i="83"/>
  <c r="Z111" i="83" s="1"/>
  <c r="Z153" i="83"/>
  <c r="Z118" i="83"/>
  <c r="N31" i="83"/>
  <c r="N82" i="83"/>
  <c r="N65" i="83"/>
  <c r="N29" i="83"/>
  <c r="N107" i="83"/>
  <c r="N28" i="83"/>
  <c r="N78" i="83"/>
  <c r="E31" i="83"/>
  <c r="E65" i="83"/>
  <c r="E29" i="83"/>
  <c r="E71" i="83"/>
  <c r="E86" i="83"/>
  <c r="E28" i="83"/>
  <c r="E78" i="83"/>
  <c r="R128" i="83"/>
  <c r="R124" i="83"/>
  <c r="R151" i="83"/>
  <c r="R87" i="83"/>
  <c r="R101" i="83"/>
  <c r="R95" i="83"/>
  <c r="R103" i="83"/>
  <c r="R93" i="83"/>
  <c r="R155" i="83"/>
  <c r="R121" i="83"/>
  <c r="R117" i="83"/>
  <c r="R127" i="83"/>
  <c r="R157" i="83"/>
  <c r="R112" i="83"/>
  <c r="R153" i="83"/>
  <c r="R118" i="83"/>
  <c r="C31" i="83"/>
  <c r="C65" i="83"/>
  <c r="C29" i="83"/>
  <c r="C71" i="83"/>
  <c r="C86" i="83"/>
  <c r="C28" i="83"/>
  <c r="C78" i="83"/>
  <c r="P128" i="83"/>
  <c r="P95" i="83"/>
  <c r="P151" i="83"/>
  <c r="P87" i="83"/>
  <c r="P101" i="83"/>
  <c r="P103" i="83"/>
  <c r="P93" i="83"/>
  <c r="P155" i="83"/>
  <c r="P157" i="83"/>
  <c r="P112" i="83"/>
  <c r="P111" i="83" s="1"/>
  <c r="P153" i="83"/>
  <c r="AE128" i="83"/>
  <c r="AE124" i="83"/>
  <c r="AE151" i="83"/>
  <c r="AE87" i="83"/>
  <c r="AE101" i="83"/>
  <c r="AE93" i="83"/>
  <c r="AE103" i="83"/>
  <c r="AE95" i="83"/>
  <c r="AE155" i="83"/>
  <c r="AE121" i="83"/>
  <c r="AE117" i="83"/>
  <c r="AE127" i="83"/>
  <c r="AE157" i="83"/>
  <c r="AE112" i="83"/>
  <c r="AE111" i="83" s="1"/>
  <c r="AE153" i="83"/>
  <c r="AE118" i="83"/>
  <c r="AM128" i="83"/>
  <c r="AM124" i="83"/>
  <c r="AM151" i="83"/>
  <c r="AM87" i="83"/>
  <c r="AM101" i="83"/>
  <c r="AM95" i="83"/>
  <c r="AM93" i="83"/>
  <c r="AM103" i="83"/>
  <c r="AM155" i="83"/>
  <c r="AM121" i="83"/>
  <c r="AM117" i="83"/>
  <c r="AM127" i="83"/>
  <c r="AM157" i="83"/>
  <c r="AM112" i="83"/>
  <c r="AM111" i="83" s="1"/>
  <c r="AM153" i="83"/>
  <c r="AM118" i="83"/>
  <c r="AN140" i="83"/>
  <c r="AN122" i="83"/>
  <c r="AN139" i="83"/>
  <c r="AN143" i="83"/>
  <c r="AN138" i="83"/>
  <c r="Y128" i="83"/>
  <c r="Y124" i="83"/>
  <c r="Y151" i="83"/>
  <c r="Y87" i="83"/>
  <c r="Y101" i="83"/>
  <c r="Y93" i="83"/>
  <c r="Y103" i="83"/>
  <c r="Y95" i="83"/>
  <c r="Y155" i="83"/>
  <c r="Y121" i="83"/>
  <c r="Y117" i="83"/>
  <c r="Y127" i="83"/>
  <c r="Y157" i="83"/>
  <c r="Y112" i="83"/>
  <c r="Y111" i="83" s="1"/>
  <c r="Y153" i="83"/>
  <c r="Y118" i="83"/>
  <c r="D128" i="83"/>
  <c r="D95" i="83"/>
  <c r="D111" i="83"/>
  <c r="D101" i="83"/>
  <c r="D103" i="83"/>
  <c r="D93" i="83"/>
  <c r="X31" i="83"/>
  <c r="X82" i="83"/>
  <c r="X65" i="83"/>
  <c r="X29" i="83"/>
  <c r="X107" i="83"/>
  <c r="X71" i="83"/>
  <c r="X28" i="83"/>
  <c r="X78" i="83"/>
  <c r="AI140" i="83"/>
  <c r="AI122" i="83"/>
  <c r="AI139" i="83"/>
  <c r="AI143" i="83"/>
  <c r="AI138" i="83"/>
  <c r="R140" i="83"/>
  <c r="R122" i="83"/>
  <c r="R139" i="83"/>
  <c r="R143" i="83"/>
  <c r="R138" i="83"/>
  <c r="C128" i="83"/>
  <c r="C95" i="83"/>
  <c r="C111" i="83"/>
  <c r="C101" i="83"/>
  <c r="C93" i="83"/>
  <c r="C103" i="83"/>
  <c r="P140" i="83"/>
  <c r="P122" i="83"/>
  <c r="P139" i="83"/>
  <c r="P143" i="83"/>
  <c r="P138" i="83"/>
  <c r="S140" i="83"/>
  <c r="S122" i="83"/>
  <c r="S139" i="83"/>
  <c r="S143" i="83"/>
  <c r="S138" i="83"/>
  <c r="AL128" i="83"/>
  <c r="AL124" i="83"/>
  <c r="AL151" i="83"/>
  <c r="AL87" i="83"/>
  <c r="AL101" i="83"/>
  <c r="AL103" i="83"/>
  <c r="AL95" i="83"/>
  <c r="AL93" i="83"/>
  <c r="AL155" i="83"/>
  <c r="AL121" i="83"/>
  <c r="AL117" i="83"/>
  <c r="AL127" i="83"/>
  <c r="AL157" i="83"/>
  <c r="AL112" i="83"/>
  <c r="AL153" i="83"/>
  <c r="AL118" i="83"/>
  <c r="AE140" i="83"/>
  <c r="AE122" i="83"/>
  <c r="AE139" i="83"/>
  <c r="AE143" i="83"/>
  <c r="AE138" i="83"/>
  <c r="AB31" i="83"/>
  <c r="AB82" i="83"/>
  <c r="AB65" i="83"/>
  <c r="AB29" i="83"/>
  <c r="AB107" i="83"/>
  <c r="AB71" i="83"/>
  <c r="AB28" i="83"/>
  <c r="AB78" i="83"/>
  <c r="AG31" i="83"/>
  <c r="AG82" i="83"/>
  <c r="AG65" i="83"/>
  <c r="AG29" i="83"/>
  <c r="AG107" i="83"/>
  <c r="AG71" i="83"/>
  <c r="AG28" i="83"/>
  <c r="AG78" i="83"/>
  <c r="AM31" i="83"/>
  <c r="AM82" i="83"/>
  <c r="AM65" i="83"/>
  <c r="AM29" i="83"/>
  <c r="AM107" i="83"/>
  <c r="AM71" i="83"/>
  <c r="AM86" i="83"/>
  <c r="AM28" i="83"/>
  <c r="AM78" i="83"/>
  <c r="H31" i="83"/>
  <c r="H65" i="83"/>
  <c r="H29" i="83"/>
  <c r="H86" i="83"/>
  <c r="H28" i="83"/>
  <c r="H78" i="83"/>
  <c r="AH31" i="83"/>
  <c r="AH82" i="83"/>
  <c r="AH65" i="83"/>
  <c r="AH29" i="83"/>
  <c r="AH107" i="83"/>
  <c r="AH71" i="83"/>
  <c r="AH86" i="83"/>
  <c r="AH28" i="83"/>
  <c r="AH78" i="83"/>
  <c r="J31" i="83"/>
  <c r="J65" i="83"/>
  <c r="J29" i="83"/>
  <c r="J86" i="83"/>
  <c r="J28" i="83"/>
  <c r="J78" i="83"/>
  <c r="M128" i="83"/>
  <c r="M95" i="83"/>
  <c r="M151" i="83"/>
  <c r="M87" i="83"/>
  <c r="M101" i="83"/>
  <c r="M93" i="83"/>
  <c r="M103" i="83"/>
  <c r="M155" i="83"/>
  <c r="M157" i="83"/>
  <c r="M112" i="83"/>
  <c r="M153" i="83"/>
  <c r="Y31" i="83"/>
  <c r="Y82" i="83"/>
  <c r="Y65" i="83"/>
  <c r="Y29" i="83"/>
  <c r="Y107" i="83"/>
  <c r="Y71" i="83"/>
  <c r="Y86" i="83"/>
  <c r="Y28" i="83"/>
  <c r="Y78" i="83"/>
  <c r="AO31" i="83"/>
  <c r="AO82" i="83"/>
  <c r="AO65" i="83"/>
  <c r="AO29" i="83"/>
  <c r="AO107" i="83"/>
  <c r="AO71" i="83"/>
  <c r="AO28" i="83"/>
  <c r="AO78" i="83"/>
  <c r="K128" i="83"/>
  <c r="K95" i="83"/>
  <c r="K111" i="83"/>
  <c r="K151" i="83"/>
  <c r="K101" i="83"/>
  <c r="K93" i="83"/>
  <c r="K103" i="83"/>
  <c r="K155" i="83"/>
  <c r="K157" i="83"/>
  <c r="K153" i="83"/>
  <c r="D140" i="83"/>
  <c r="D122" i="83"/>
  <c r="D139" i="83"/>
  <c r="D143" i="83"/>
  <c r="D138" i="83"/>
  <c r="M140" i="83"/>
  <c r="M122" i="83"/>
  <c r="M139" i="83"/>
  <c r="M143" i="83"/>
  <c r="M138" i="83"/>
  <c r="U31" i="83"/>
  <c r="U82" i="83"/>
  <c r="U65" i="83"/>
  <c r="U29" i="83"/>
  <c r="U107" i="83"/>
  <c r="U71" i="83"/>
  <c r="U86" i="83"/>
  <c r="U28" i="83"/>
  <c r="U78" i="83"/>
  <c r="R31" i="83"/>
  <c r="R82" i="83"/>
  <c r="R65" i="83"/>
  <c r="R29" i="83"/>
  <c r="R107" i="83"/>
  <c r="R71" i="83"/>
  <c r="R86" i="83"/>
  <c r="R28" i="83"/>
  <c r="R78" i="83"/>
  <c r="C140" i="83"/>
  <c r="C122" i="83"/>
  <c r="C139" i="83"/>
  <c r="C143" i="83"/>
  <c r="C138" i="83"/>
  <c r="O31" i="83"/>
  <c r="O82" i="83"/>
  <c r="O65" i="83"/>
  <c r="O29" i="83"/>
  <c r="O107" i="83"/>
  <c r="O28" i="83"/>
  <c r="O78" i="83"/>
  <c r="AG140" i="83"/>
  <c r="AG122" i="83"/>
  <c r="AG139" i="83"/>
  <c r="AG143" i="83"/>
  <c r="AG138" i="83"/>
  <c r="AC140" i="83"/>
  <c r="AC122" i="83"/>
  <c r="AC139" i="83"/>
  <c r="AC143" i="83"/>
  <c r="AC138" i="83"/>
  <c r="AD31" i="83"/>
  <c r="AD82" i="83"/>
  <c r="AD65" i="83"/>
  <c r="AD29" i="83"/>
  <c r="AD107" i="83"/>
  <c r="AD71" i="83"/>
  <c r="AD28" i="83"/>
  <c r="AD78" i="83"/>
  <c r="AH140" i="83"/>
  <c r="AH122" i="83"/>
  <c r="AH139" i="83"/>
  <c r="AH143" i="83"/>
  <c r="AH138" i="83"/>
  <c r="J128" i="83"/>
  <c r="J95" i="83"/>
  <c r="J111" i="83"/>
  <c r="J151" i="83"/>
  <c r="J101" i="83"/>
  <c r="J103" i="83"/>
  <c r="J93" i="83"/>
  <c r="J155" i="83"/>
  <c r="J157" i="83"/>
  <c r="J153" i="83"/>
  <c r="M31" i="83"/>
  <c r="M82" i="83"/>
  <c r="M65" i="83"/>
  <c r="M29" i="83"/>
  <c r="M107" i="83"/>
  <c r="M86" i="83"/>
  <c r="M28" i="83"/>
  <c r="M78" i="83"/>
  <c r="F31" i="83"/>
  <c r="F65" i="83"/>
  <c r="F29" i="83"/>
  <c r="F71" i="83"/>
  <c r="F86" i="83"/>
  <c r="F28" i="83"/>
  <c r="F78" i="83"/>
  <c r="Y140" i="83"/>
  <c r="Y122" i="83"/>
  <c r="Y139" i="83"/>
  <c r="Y143" i="83"/>
  <c r="Y138" i="83"/>
  <c r="AJ128" i="83"/>
  <c r="AJ124" i="83"/>
  <c r="AJ151" i="83"/>
  <c r="AJ87" i="83"/>
  <c r="AJ101" i="83"/>
  <c r="AJ93" i="83"/>
  <c r="AJ95" i="83"/>
  <c r="AJ103" i="83"/>
  <c r="AJ155" i="83"/>
  <c r="AJ121" i="83"/>
  <c r="AJ117" i="83"/>
  <c r="AJ127" i="83"/>
  <c r="AJ157" i="83"/>
  <c r="AJ112" i="83"/>
  <c r="AJ111" i="83" s="1"/>
  <c r="AJ153" i="83"/>
  <c r="AJ118" i="83"/>
  <c r="AO140" i="83"/>
  <c r="AO122" i="83"/>
  <c r="AO139" i="83"/>
  <c r="AO143" i="83"/>
  <c r="AO138" i="83"/>
  <c r="U140" i="83"/>
  <c r="U122" i="83"/>
  <c r="U139" i="83"/>
  <c r="U143" i="83"/>
  <c r="U138" i="83"/>
  <c r="E140" i="83"/>
  <c r="E122" i="83"/>
  <c r="E139" i="83"/>
  <c r="E143" i="83"/>
  <c r="E138" i="83"/>
  <c r="X140" i="83"/>
  <c r="X122" i="83"/>
  <c r="X139" i="83"/>
  <c r="X143" i="83"/>
  <c r="X138" i="83"/>
  <c r="AB128" i="83"/>
  <c r="AB124" i="83"/>
  <c r="AB151" i="83"/>
  <c r="AB87" i="83"/>
  <c r="AB101" i="83"/>
  <c r="AB95" i="83"/>
  <c r="AB93" i="83"/>
  <c r="AB103" i="83"/>
  <c r="AB155" i="83"/>
  <c r="AB121" i="83"/>
  <c r="AB117" i="83"/>
  <c r="AB127" i="83"/>
  <c r="AB157" i="83"/>
  <c r="AB112" i="83"/>
  <c r="AB153" i="83"/>
  <c r="AB118" i="83"/>
  <c r="AC128" i="83"/>
  <c r="AC124" i="83"/>
  <c r="AC151" i="83"/>
  <c r="AC87" i="83"/>
  <c r="AC101" i="83"/>
  <c r="AC103" i="83"/>
  <c r="AC93" i="83"/>
  <c r="AC95" i="83"/>
  <c r="AC155" i="83"/>
  <c r="AC121" i="83"/>
  <c r="AC117" i="83"/>
  <c r="AC127" i="83"/>
  <c r="AC157" i="83"/>
  <c r="AC112" i="83"/>
  <c r="AC111" i="83" s="1"/>
  <c r="AC153" i="83"/>
  <c r="AC118" i="83"/>
  <c r="AD128" i="83"/>
  <c r="AD124" i="83"/>
  <c r="AD151" i="83"/>
  <c r="AD87" i="83"/>
  <c r="AD101" i="83"/>
  <c r="AD95" i="83"/>
  <c r="AD103" i="83"/>
  <c r="AD93" i="83"/>
  <c r="AD155" i="83"/>
  <c r="AD121" i="83"/>
  <c r="AD117" i="83"/>
  <c r="AD127" i="83"/>
  <c r="AD157" i="83"/>
  <c r="AD112" i="83"/>
  <c r="AD111" i="83" s="1"/>
  <c r="AD153" i="83"/>
  <c r="AD118" i="83"/>
  <c r="H128" i="83"/>
  <c r="H95" i="83"/>
  <c r="H111" i="83"/>
  <c r="H151" i="83"/>
  <c r="H101" i="83"/>
  <c r="H93" i="83"/>
  <c r="H103" i="83"/>
  <c r="H155" i="83"/>
  <c r="H157" i="83"/>
  <c r="H153" i="83"/>
  <c r="AI128" i="83"/>
  <c r="AI124" i="83"/>
  <c r="AI151" i="83"/>
  <c r="AI87" i="83"/>
  <c r="AI101" i="83"/>
  <c r="AI95" i="83"/>
  <c r="AI103" i="83"/>
  <c r="AI93" i="83"/>
  <c r="AI155" i="83"/>
  <c r="AI121" i="83"/>
  <c r="AI117" i="83"/>
  <c r="AI127" i="83"/>
  <c r="AI157" i="83"/>
  <c r="AI112" i="83"/>
  <c r="AI111" i="83" s="1"/>
  <c r="AI153" i="83"/>
  <c r="AI118" i="83"/>
  <c r="T31" i="83"/>
  <c r="T82" i="83"/>
  <c r="T65" i="83"/>
  <c r="T29" i="83"/>
  <c r="T107" i="83"/>
  <c r="T71" i="83"/>
  <c r="T28" i="83"/>
  <c r="T78" i="83"/>
  <c r="O140" i="83"/>
  <c r="O122" i="83"/>
  <c r="O139" i="83"/>
  <c r="O143" i="83"/>
  <c r="O138" i="83"/>
  <c r="AC31" i="83"/>
  <c r="AC82" i="83"/>
  <c r="AC65" i="83"/>
  <c r="AC29" i="83"/>
  <c r="AC107" i="83"/>
  <c r="AC71" i="83"/>
  <c r="AC86" i="83"/>
  <c r="AC28" i="83"/>
  <c r="AC78" i="83"/>
  <c r="F140" i="83"/>
  <c r="F122" i="83"/>
  <c r="F139" i="83"/>
  <c r="F143" i="83"/>
  <c r="F138" i="83"/>
  <c r="X128" i="83"/>
  <c r="X124" i="83"/>
  <c r="X151" i="83"/>
  <c r="X87" i="83"/>
  <c r="X101" i="83"/>
  <c r="X95" i="83"/>
  <c r="X93" i="83"/>
  <c r="X103" i="83"/>
  <c r="X155" i="83"/>
  <c r="X121" i="83"/>
  <c r="X117" i="83"/>
  <c r="X127" i="83"/>
  <c r="X157" i="83"/>
  <c r="X112" i="83"/>
  <c r="X111" i="83" s="1"/>
  <c r="X153" i="83"/>
  <c r="X118" i="83"/>
  <c r="I140" i="83"/>
  <c r="I122" i="83"/>
  <c r="I139" i="83"/>
  <c r="I143" i="83"/>
  <c r="I138" i="83"/>
  <c r="AD140" i="83"/>
  <c r="AD122" i="83"/>
  <c r="AD139" i="83"/>
  <c r="AD143" i="83"/>
  <c r="AD138" i="83"/>
  <c r="H140" i="83"/>
  <c r="H122" i="83"/>
  <c r="H139" i="83"/>
  <c r="H143" i="83"/>
  <c r="H138" i="83"/>
  <c r="AN31" i="83"/>
  <c r="AN82" i="83"/>
  <c r="AN65" i="83"/>
  <c r="AN29" i="83"/>
  <c r="AN107" i="83"/>
  <c r="AN71" i="83"/>
  <c r="AN86" i="83"/>
  <c r="AN28" i="83"/>
  <c r="AN78" i="83"/>
  <c r="F128" i="83"/>
  <c r="F95" i="83"/>
  <c r="F111" i="83"/>
  <c r="F101" i="83"/>
  <c r="F93" i="83"/>
  <c r="F103" i="83"/>
  <c r="AJ31" i="83"/>
  <c r="AJ82" i="83"/>
  <c r="AJ65" i="83"/>
  <c r="AJ29" i="83"/>
  <c r="AJ107" i="83"/>
  <c r="AJ71" i="83"/>
  <c r="AJ86" i="83"/>
  <c r="AJ28" i="83"/>
  <c r="AJ78" i="83"/>
  <c r="T128" i="83"/>
  <c r="T124" i="83"/>
  <c r="T151" i="83"/>
  <c r="T87" i="83"/>
  <c r="T101" i="83"/>
  <c r="T93" i="83"/>
  <c r="T95" i="83"/>
  <c r="T103" i="83"/>
  <c r="T155" i="83"/>
  <c r="T121" i="83"/>
  <c r="T117" i="83"/>
  <c r="T127" i="83"/>
  <c r="T157" i="83"/>
  <c r="T112" i="83"/>
  <c r="T111" i="83" s="1"/>
  <c r="T153" i="83"/>
  <c r="T118" i="83"/>
  <c r="K31" i="83"/>
  <c r="K65" i="83"/>
  <c r="K29" i="83"/>
  <c r="K86" i="83"/>
  <c r="K28" i="83"/>
  <c r="K78" i="83"/>
  <c r="D31" i="83"/>
  <c r="D65" i="83"/>
  <c r="D29" i="83"/>
  <c r="D71" i="83"/>
  <c r="D86" i="83"/>
  <c r="D28" i="83"/>
  <c r="D78" i="83"/>
  <c r="AL31" i="83"/>
  <c r="AL82" i="83"/>
  <c r="AL65" i="83"/>
  <c r="AL29" i="83"/>
  <c r="AL107" i="83"/>
  <c r="AL71" i="83"/>
  <c r="AL86" i="83"/>
  <c r="AL28" i="83"/>
  <c r="AL78" i="83"/>
  <c r="AO128" i="83"/>
  <c r="AO124" i="83"/>
  <c r="AO151" i="83"/>
  <c r="AO87" i="83"/>
  <c r="AO101" i="83"/>
  <c r="AO93" i="83"/>
  <c r="AO95" i="83"/>
  <c r="AO103" i="83"/>
  <c r="AO155" i="83"/>
  <c r="AO121" i="83"/>
  <c r="AO117" i="83"/>
  <c r="AO127" i="83"/>
  <c r="AO157" i="83"/>
  <c r="AO112" i="83"/>
  <c r="AO111" i="83" s="1"/>
  <c r="AO153" i="83"/>
  <c r="AO118" i="83"/>
  <c r="N128" i="83"/>
  <c r="N95" i="83"/>
  <c r="N151" i="83"/>
  <c r="N87" i="83"/>
  <c r="N101" i="83"/>
  <c r="N93" i="83"/>
  <c r="N103" i="83"/>
  <c r="N155" i="83"/>
  <c r="N157" i="83"/>
  <c r="N112" i="83"/>
  <c r="N111" i="83" s="1"/>
  <c r="N153" i="83"/>
  <c r="W140" i="83"/>
  <c r="W122" i="83"/>
  <c r="W139" i="83"/>
  <c r="W143" i="83"/>
  <c r="W138" i="83"/>
  <c r="S128" i="83"/>
  <c r="S124" i="83"/>
  <c r="S151" i="83"/>
  <c r="S87" i="83"/>
  <c r="S101" i="83"/>
  <c r="S95" i="83"/>
  <c r="S103" i="83"/>
  <c r="S93" i="83"/>
  <c r="S155" i="83"/>
  <c r="S121" i="83"/>
  <c r="S117" i="83"/>
  <c r="S127" i="83"/>
  <c r="S157" i="83"/>
  <c r="S112" i="83"/>
  <c r="S111" i="83" s="1"/>
  <c r="S153" i="83"/>
  <c r="S118" i="83"/>
  <c r="AL140" i="83"/>
  <c r="AL122" i="83"/>
  <c r="AL139" i="83"/>
  <c r="AL143" i="83"/>
  <c r="AL138" i="83"/>
  <c r="AE31" i="83"/>
  <c r="AE82" i="83"/>
  <c r="AE65" i="83"/>
  <c r="AE29" i="83"/>
  <c r="AE107" i="83"/>
  <c r="AE71" i="83"/>
  <c r="AE86" i="83"/>
  <c r="AE28" i="83"/>
  <c r="AE78" i="83"/>
  <c r="O128" i="83"/>
  <c r="O95" i="83"/>
  <c r="O151" i="83"/>
  <c r="O87" i="83"/>
  <c r="O101" i="83"/>
  <c r="O103" i="83"/>
  <c r="O93" i="83"/>
  <c r="O155" i="83"/>
  <c r="O157" i="83"/>
  <c r="O112" i="83"/>
  <c r="O111" i="83" s="1"/>
  <c r="O153" i="83"/>
  <c r="AG128" i="83"/>
  <c r="AG124" i="83"/>
  <c r="AG151" i="83"/>
  <c r="AG87" i="83"/>
  <c r="AG101" i="83"/>
  <c r="AG95" i="83"/>
  <c r="AG93" i="83"/>
  <c r="AG103" i="83"/>
  <c r="AG155" i="83"/>
  <c r="AG121" i="83"/>
  <c r="AG117" i="83"/>
  <c r="AG127" i="83"/>
  <c r="AG157" i="83"/>
  <c r="AG112" i="83"/>
  <c r="AG153" i="83"/>
  <c r="AG118" i="83"/>
  <c r="I128" i="83"/>
  <c r="I95" i="83"/>
  <c r="I111" i="83"/>
  <c r="I151" i="83"/>
  <c r="I101" i="83"/>
  <c r="I103" i="83"/>
  <c r="I93" i="83"/>
  <c r="I155" i="83"/>
  <c r="I157" i="83"/>
  <c r="I153" i="83"/>
  <c r="AI31" i="83"/>
  <c r="AI82" i="83"/>
  <c r="AI65" i="83"/>
  <c r="AI29" i="83"/>
  <c r="AI107" i="83"/>
  <c r="AI71" i="83"/>
  <c r="AI86" i="83"/>
  <c r="AI28" i="83"/>
  <c r="AI78" i="83"/>
  <c r="J140" i="83"/>
  <c r="J122" i="83"/>
  <c r="J139" i="83"/>
  <c r="J143" i="83"/>
  <c r="J138" i="83"/>
  <c r="AJ140" i="83"/>
  <c r="AJ122" i="83"/>
  <c r="AJ139" i="83"/>
  <c r="AJ143" i="83"/>
  <c r="AJ138" i="83"/>
  <c r="Z140" i="83"/>
  <c r="Z122" i="83"/>
  <c r="Z139" i="83"/>
  <c r="Z143" i="83"/>
  <c r="Z138" i="83"/>
  <c r="P31" i="83"/>
  <c r="P82" i="83"/>
  <c r="P65" i="83"/>
  <c r="P29" i="83"/>
  <c r="P107" i="83"/>
  <c r="P86" i="83"/>
  <c r="P28" i="83"/>
  <c r="P78" i="83"/>
  <c r="W31" i="83"/>
  <c r="W82" i="83"/>
  <c r="W65" i="83"/>
  <c r="W29" i="83"/>
  <c r="W107" i="83"/>
  <c r="W71" i="83"/>
  <c r="W86" i="83"/>
  <c r="W28" i="83"/>
  <c r="W78" i="83"/>
  <c r="K140" i="83"/>
  <c r="K122" i="83"/>
  <c r="K139" i="83"/>
  <c r="K143" i="83"/>
  <c r="K138" i="83"/>
  <c r="Z31" i="83"/>
  <c r="Z82" i="83"/>
  <c r="Z65" i="83"/>
  <c r="Z29" i="83"/>
  <c r="Z107" i="83"/>
  <c r="Z71" i="83"/>
  <c r="Z86" i="83"/>
  <c r="Z28" i="83"/>
  <c r="Z78" i="83"/>
  <c r="N140" i="83"/>
  <c r="N122" i="83"/>
  <c r="N139" i="83"/>
  <c r="N143" i="83"/>
  <c r="N138" i="83"/>
  <c r="E128" i="83"/>
  <c r="E95" i="83"/>
  <c r="E111" i="83"/>
  <c r="E101" i="83"/>
  <c r="E93" i="83"/>
  <c r="E103" i="83"/>
  <c r="W111" i="83"/>
  <c r="R111" i="83"/>
  <c r="AL111" i="83"/>
  <c r="M111" i="83"/>
  <c r="AB86" i="83"/>
  <c r="AB111" i="83"/>
  <c r="AD86" i="83"/>
  <c r="X86" i="83"/>
  <c r="T86" i="83"/>
  <c r="AO86" i="83"/>
  <c r="N86" i="83"/>
  <c r="S86" i="83"/>
  <c r="O86" i="83"/>
  <c r="AG86" i="83"/>
  <c r="AG111" i="83"/>
  <c r="AM248" i="77" l="1"/>
  <c r="BB263" i="77"/>
  <c r="AX248" i="77"/>
  <c r="BB257" i="77"/>
  <c r="R258" i="77"/>
  <c r="R257" i="77"/>
  <c r="R238" i="77"/>
  <c r="BA233" i="77"/>
  <c r="BB238" i="77"/>
  <c r="AW253" i="77"/>
  <c r="AK242" i="77"/>
  <c r="R261" i="77"/>
  <c r="BA272" i="77"/>
  <c r="BA236" i="77"/>
  <c r="BA246" i="77"/>
  <c r="BA226" i="77"/>
  <c r="R242" i="77"/>
  <c r="R273" i="77"/>
  <c r="AK255" i="77"/>
  <c r="R266" i="77"/>
  <c r="R253" i="77"/>
  <c r="BA254" i="77"/>
  <c r="BB259" i="77"/>
  <c r="BB266" i="77"/>
  <c r="AF253" i="77"/>
  <c r="AH268" i="77"/>
  <c r="AX252" i="77"/>
  <c r="BB228" i="77"/>
  <c r="BB254" i="77"/>
  <c r="BB247" i="77"/>
  <c r="BB229" i="77"/>
  <c r="AY272" i="77"/>
  <c r="AY239" i="77"/>
  <c r="AF239" i="77"/>
  <c r="AX258" i="77"/>
  <c r="BB253" i="77"/>
  <c r="BB227" i="77"/>
  <c r="BB243" i="77"/>
  <c r="AG241" i="77"/>
  <c r="AY270" i="77"/>
  <c r="AE270" i="77"/>
  <c r="AX271" i="77"/>
  <c r="AM271" i="77"/>
  <c r="AV264" i="77"/>
  <c r="AE264" i="77"/>
  <c r="AX269" i="77"/>
  <c r="AE269" i="77"/>
  <c r="AX238" i="77"/>
  <c r="AV260" i="77"/>
  <c r="BB225" i="77"/>
  <c r="AJ251" i="77"/>
  <c r="AU246" i="77"/>
  <c r="AF256" i="77"/>
  <c r="AK238" i="77"/>
  <c r="AY268" i="77"/>
  <c r="BB268" i="77"/>
  <c r="AF252" i="77"/>
  <c r="BA252" i="77"/>
  <c r="AI243" i="77"/>
  <c r="R243" i="77"/>
  <c r="AY257" i="77"/>
  <c r="AF257" i="77"/>
  <c r="AX241" i="77"/>
  <c r="BA228" i="77"/>
  <c r="AG254" i="77"/>
  <c r="R254" i="77"/>
  <c r="AW247" i="77"/>
  <c r="AG247" i="77"/>
  <c r="BA229" i="77"/>
  <c r="AH272" i="77"/>
  <c r="BA245" i="77"/>
  <c r="AU262" i="77"/>
  <c r="R240" i="77"/>
  <c r="BA225" i="77"/>
  <c r="R249" i="77"/>
  <c r="R259" i="77"/>
  <c r="AY244" i="77"/>
  <c r="AI273" i="77"/>
  <c r="AW273" i="77"/>
  <c r="AW263" i="77"/>
  <c r="AK263" i="77"/>
  <c r="AI246" i="77"/>
  <c r="AY256" i="77"/>
  <c r="AU255" i="77"/>
  <c r="R271" i="77"/>
  <c r="BA261" i="77"/>
  <c r="BB267" i="77"/>
  <c r="AU251" i="77"/>
  <c r="AU249" i="77"/>
  <c r="AE249" i="77"/>
  <c r="AW259" i="77"/>
  <c r="AG259" i="77"/>
  <c r="BA259" i="77"/>
  <c r="BA227" i="77"/>
  <c r="AM244" i="77"/>
  <c r="AI244" i="77"/>
  <c r="BB244" i="77"/>
  <c r="AU266" i="77"/>
  <c r="AJ266" i="77"/>
  <c r="AK260" i="77"/>
  <c r="R252" i="77"/>
  <c r="AJ258" i="77"/>
  <c r="AW245" i="77"/>
  <c r="AE245" i="77"/>
  <c r="AM262" i="77"/>
  <c r="R262" i="77"/>
  <c r="AW261" i="77"/>
  <c r="AH261" i="77"/>
  <c r="AI261" i="77"/>
  <c r="AI240" i="77"/>
  <c r="AY240" i="77"/>
  <c r="AU267" i="77"/>
  <c r="AH267" i="77"/>
  <c r="R267" i="77"/>
  <c r="BA230" i="77"/>
  <c r="AF265" i="77"/>
  <c r="R265" i="77"/>
  <c r="BA258" i="77"/>
  <c r="R235" i="77"/>
  <c r="AV242" i="77"/>
  <c r="BA219" i="77"/>
  <c r="R244" i="77"/>
  <c r="BB220" i="77"/>
  <c r="AM250" i="77"/>
  <c r="AX250" i="77"/>
  <c r="BB230" i="77"/>
  <c r="AY265" i="77"/>
  <c r="BA265" i="77"/>
  <c r="BA268" i="77"/>
  <c r="AY243" i="77"/>
  <c r="R247" i="77"/>
  <c r="BA270" i="77"/>
  <c r="AX254" i="77"/>
  <c r="AG242" i="77"/>
  <c r="AI242" i="77"/>
  <c r="BA224" i="77"/>
  <c r="BA269" i="77"/>
  <c r="BB260" i="77"/>
  <c r="AK111" i="83"/>
  <c r="AG24" i="83"/>
  <c r="AK86" i="83"/>
  <c r="O24" i="83"/>
  <c r="S24" i="83"/>
  <c r="N24" i="83"/>
  <c r="AO24" i="83"/>
  <c r="T24" i="83"/>
  <c r="X24" i="83"/>
  <c r="AD24" i="83"/>
  <c r="AF111" i="83"/>
  <c r="AF86" i="83"/>
  <c r="AB24" i="83"/>
  <c r="Q111" i="83"/>
  <c r="AP111" i="83"/>
  <c r="V111" i="83"/>
  <c r="AA111" i="83"/>
  <c r="E97" i="83"/>
  <c r="E12" i="83"/>
  <c r="N132" i="83"/>
  <c r="Z16" i="83"/>
  <c r="Z137" i="83"/>
  <c r="Z24" i="83"/>
  <c r="Z74" i="83"/>
  <c r="Z67" i="83"/>
  <c r="Z66" i="83"/>
  <c r="Z20" i="83"/>
  <c r="Z133" i="83"/>
  <c r="K132" i="83"/>
  <c r="AA78" i="83"/>
  <c r="W16" i="83"/>
  <c r="W137" i="83"/>
  <c r="AA28" i="83"/>
  <c r="W24" i="83"/>
  <c r="AA86" i="83"/>
  <c r="AA71" i="83"/>
  <c r="W74" i="83"/>
  <c r="AA107" i="83"/>
  <c r="AA29" i="83"/>
  <c r="W66" i="83"/>
  <c r="W67" i="83"/>
  <c r="AA65" i="83"/>
  <c r="W20" i="83"/>
  <c r="AA82" i="83"/>
  <c r="AA31" i="83"/>
  <c r="W133" i="83"/>
  <c r="P16" i="83"/>
  <c r="P137" i="83"/>
  <c r="P24" i="83"/>
  <c r="P67" i="83"/>
  <c r="P66" i="83"/>
  <c r="P20" i="83"/>
  <c r="P133" i="83"/>
  <c r="Z132" i="83"/>
  <c r="AJ132" i="83"/>
  <c r="J132" i="83"/>
  <c r="AI16" i="83"/>
  <c r="AI137" i="83"/>
  <c r="AI24" i="83"/>
  <c r="AI74" i="83"/>
  <c r="AI66" i="83"/>
  <c r="AI67" i="83"/>
  <c r="AI20" i="83"/>
  <c r="AI133" i="83"/>
  <c r="I154" i="83"/>
  <c r="I159" i="83"/>
  <c r="I158" i="83"/>
  <c r="I156" i="83"/>
  <c r="I97" i="83"/>
  <c r="I12" i="83"/>
  <c r="I96" i="83"/>
  <c r="AH134" i="83"/>
  <c r="AG154" i="83"/>
  <c r="AK153" i="83"/>
  <c r="AK112" i="83"/>
  <c r="AG158" i="83"/>
  <c r="AK157" i="83"/>
  <c r="AG159" i="83"/>
  <c r="AG148" i="83"/>
  <c r="AG156" i="83"/>
  <c r="AK155" i="83"/>
  <c r="AK103" i="83"/>
  <c r="AG97" i="83"/>
  <c r="AK93" i="83"/>
  <c r="AK95" i="83"/>
  <c r="AG96" i="83"/>
  <c r="AK101" i="83"/>
  <c r="AG12" i="83"/>
  <c r="AG25" i="83"/>
  <c r="AK87" i="83"/>
  <c r="AG152" i="83"/>
  <c r="AK151" i="83"/>
  <c r="O154" i="83"/>
  <c r="O158" i="83"/>
  <c r="O159" i="83"/>
  <c r="O156" i="83"/>
  <c r="O97" i="83"/>
  <c r="O12" i="83"/>
  <c r="O25" i="83"/>
  <c r="O152" i="83"/>
  <c r="O96" i="83"/>
  <c r="AE16" i="83"/>
  <c r="AE137" i="83"/>
  <c r="AE24" i="83"/>
  <c r="AE74" i="83"/>
  <c r="AE66" i="83"/>
  <c r="AE67" i="83"/>
  <c r="AE20" i="83"/>
  <c r="AE133" i="83"/>
  <c r="AP138" i="83"/>
  <c r="AP143" i="83"/>
  <c r="AP139" i="83"/>
  <c r="AP122" i="83"/>
  <c r="AL132" i="83"/>
  <c r="AP140" i="83"/>
  <c r="T134" i="83"/>
  <c r="S154" i="83"/>
  <c r="S158" i="83"/>
  <c r="S159" i="83"/>
  <c r="S148" i="83"/>
  <c r="S156" i="83"/>
  <c r="S97" i="83"/>
  <c r="S96" i="83"/>
  <c r="S12" i="83"/>
  <c r="S25" i="83"/>
  <c r="S152" i="83"/>
  <c r="AA138" i="83"/>
  <c r="AA143" i="83"/>
  <c r="AA139" i="83"/>
  <c r="W132" i="83"/>
  <c r="AA122" i="83"/>
  <c r="AA140" i="83"/>
  <c r="N154" i="83"/>
  <c r="N158" i="83"/>
  <c r="N159" i="83"/>
  <c r="N156" i="83"/>
  <c r="N97" i="83"/>
  <c r="N12" i="83"/>
  <c r="N25" i="83"/>
  <c r="N152" i="83"/>
  <c r="N96" i="83"/>
  <c r="AP118" i="83"/>
  <c r="AO154" i="83"/>
  <c r="AO158" i="83"/>
  <c r="AO159" i="83"/>
  <c r="AP127" i="83"/>
  <c r="AP117" i="83"/>
  <c r="AO148" i="83"/>
  <c r="AP148" i="83" s="1"/>
  <c r="AO156" i="83"/>
  <c r="AO96" i="83"/>
  <c r="AO97" i="83"/>
  <c r="AO12" i="83"/>
  <c r="AO25" i="83"/>
  <c r="AO152" i="83"/>
  <c r="AP124" i="83"/>
  <c r="AP128" i="83"/>
  <c r="AP78" i="83"/>
  <c r="AL16" i="83"/>
  <c r="AP28" i="83"/>
  <c r="AL137" i="83"/>
  <c r="AL24" i="83"/>
  <c r="AP86" i="83"/>
  <c r="AP71" i="83"/>
  <c r="AL74" i="83"/>
  <c r="AP107" i="83"/>
  <c r="AP29" i="83"/>
  <c r="AP65" i="83"/>
  <c r="AL66" i="83"/>
  <c r="AL67" i="83"/>
  <c r="AP82" i="83"/>
  <c r="AL20" i="83"/>
  <c r="AP31" i="83"/>
  <c r="AL133" i="83"/>
  <c r="D16" i="83"/>
  <c r="D137" i="83"/>
  <c r="D24" i="83"/>
  <c r="D74" i="83"/>
  <c r="D67" i="83"/>
  <c r="D133" i="83"/>
  <c r="K16" i="83"/>
  <c r="K137" i="83"/>
  <c r="K24" i="83"/>
  <c r="K67" i="83"/>
  <c r="K66" i="83"/>
  <c r="K133" i="83"/>
  <c r="U134" i="83"/>
  <c r="T154" i="83"/>
  <c r="T158" i="83"/>
  <c r="T159" i="83"/>
  <c r="T148" i="83"/>
  <c r="T156" i="83"/>
  <c r="T96" i="83"/>
  <c r="T97" i="83"/>
  <c r="T12" i="83"/>
  <c r="T125" i="83" s="1"/>
  <c r="T25" i="83"/>
  <c r="T152" i="83"/>
  <c r="AJ16" i="83"/>
  <c r="AJ137" i="83"/>
  <c r="AJ24" i="83"/>
  <c r="AJ74" i="83"/>
  <c r="AJ67" i="83"/>
  <c r="AJ66" i="83"/>
  <c r="AJ20" i="83"/>
  <c r="AJ133" i="83"/>
  <c r="F97" i="83"/>
  <c r="F12" i="83"/>
  <c r="G128" i="83"/>
  <c r="AN16" i="83"/>
  <c r="AN137" i="83"/>
  <c r="AN24" i="83"/>
  <c r="AN74" i="83"/>
  <c r="AN67" i="83"/>
  <c r="AN66" i="83"/>
  <c r="AN20" i="83"/>
  <c r="AN133" i="83"/>
  <c r="L138" i="83"/>
  <c r="L143" i="83"/>
  <c r="L139" i="83"/>
  <c r="L122" i="83"/>
  <c r="H132" i="83"/>
  <c r="L140" i="83"/>
  <c r="AD132" i="83"/>
  <c r="I132" i="83"/>
  <c r="Y134" i="83"/>
  <c r="X154" i="83"/>
  <c r="X158" i="83"/>
  <c r="X159" i="83"/>
  <c r="X148" i="83"/>
  <c r="X156" i="83"/>
  <c r="X97" i="83"/>
  <c r="X96" i="83"/>
  <c r="X12" i="83"/>
  <c r="X25" i="83"/>
  <c r="X152" i="83"/>
  <c r="F132" i="83"/>
  <c r="AC16" i="83"/>
  <c r="AC137" i="83"/>
  <c r="AC24" i="83"/>
  <c r="AC74" i="83"/>
  <c r="AC66" i="83"/>
  <c r="AC67" i="83"/>
  <c r="AC20" i="83"/>
  <c r="AC133" i="83"/>
  <c r="O132" i="83"/>
  <c r="T16" i="83"/>
  <c r="T137" i="83"/>
  <c r="T74" i="83"/>
  <c r="T67" i="83"/>
  <c r="T66" i="83"/>
  <c r="T20" i="83"/>
  <c r="T133" i="83"/>
  <c r="AJ134" i="83"/>
  <c r="AI154" i="83"/>
  <c r="AI159" i="83"/>
  <c r="AI158" i="83"/>
  <c r="AI148" i="83"/>
  <c r="AI156" i="83"/>
  <c r="AI97" i="83"/>
  <c r="AI96" i="83"/>
  <c r="AI12" i="83"/>
  <c r="AI25" i="83"/>
  <c r="AI152" i="83"/>
  <c r="L153" i="83"/>
  <c r="H154" i="83"/>
  <c r="H158" i="83"/>
  <c r="H159" i="83"/>
  <c r="L157" i="83"/>
  <c r="H156" i="83"/>
  <c r="L155" i="83"/>
  <c r="L103" i="83"/>
  <c r="H97" i="83"/>
  <c r="L93" i="83"/>
  <c r="L101" i="83"/>
  <c r="H12" i="83"/>
  <c r="L151" i="83"/>
  <c r="L111" i="83"/>
  <c r="L95" i="83"/>
  <c r="H96" i="83"/>
  <c r="AE134" i="83"/>
  <c r="AD154" i="83"/>
  <c r="AD158" i="83"/>
  <c r="AD159" i="83"/>
  <c r="AD148" i="83"/>
  <c r="AD156" i="83"/>
  <c r="AD97" i="83"/>
  <c r="AD96" i="83"/>
  <c r="AD12" i="83"/>
  <c r="AD25" i="83"/>
  <c r="AD152" i="83"/>
  <c r="AD134" i="83"/>
  <c r="AC154" i="83"/>
  <c r="AC159" i="83"/>
  <c r="AC158" i="83"/>
  <c r="AC148" i="83"/>
  <c r="AC156" i="83"/>
  <c r="AC96" i="83"/>
  <c r="AC97" i="83"/>
  <c r="AC12" i="83"/>
  <c r="AC125" i="83" s="1"/>
  <c r="AC25" i="83"/>
  <c r="AC152" i="83"/>
  <c r="AC134" i="83"/>
  <c r="AB154" i="83"/>
  <c r="AF153" i="83"/>
  <c r="AF112" i="83"/>
  <c r="AF157" i="83"/>
  <c r="AB159" i="83"/>
  <c r="AB158" i="83"/>
  <c r="AB148" i="83"/>
  <c r="AB156" i="83"/>
  <c r="AF155" i="83"/>
  <c r="AF103" i="83"/>
  <c r="AF93" i="83"/>
  <c r="AB97" i="83"/>
  <c r="AF95" i="83"/>
  <c r="AB96" i="83"/>
  <c r="AB12" i="83"/>
  <c r="AF101" i="83"/>
  <c r="AF87" i="83"/>
  <c r="AB25" i="83"/>
  <c r="AB152" i="83"/>
  <c r="AF151" i="83"/>
  <c r="X132" i="83"/>
  <c r="E132" i="83"/>
  <c r="U132" i="83"/>
  <c r="AO132" i="83"/>
  <c r="AK118" i="83"/>
  <c r="AJ154" i="83"/>
  <c r="AJ158" i="83"/>
  <c r="AJ159" i="83"/>
  <c r="AK127" i="83"/>
  <c r="AJ148" i="83"/>
  <c r="AK117" i="83"/>
  <c r="AJ156" i="83"/>
  <c r="AJ96" i="83"/>
  <c r="AJ97" i="83"/>
  <c r="AJ12" i="83"/>
  <c r="AJ125" i="83" s="1"/>
  <c r="AK125" i="83" s="1"/>
  <c r="AJ25" i="83"/>
  <c r="AJ152" i="83"/>
  <c r="AK124" i="83"/>
  <c r="AK128" i="83"/>
  <c r="Y132" i="83"/>
  <c r="F16" i="83"/>
  <c r="F137" i="83"/>
  <c r="F24" i="83"/>
  <c r="F74" i="83"/>
  <c r="F67" i="83"/>
  <c r="F133" i="83"/>
  <c r="M16" i="83"/>
  <c r="Q78" i="83"/>
  <c r="M137" i="83"/>
  <c r="Q28" i="83"/>
  <c r="Q86" i="83"/>
  <c r="M24" i="83"/>
  <c r="Q107" i="83"/>
  <c r="Q29" i="83"/>
  <c r="Q65" i="83"/>
  <c r="M66" i="83"/>
  <c r="M67" i="83"/>
  <c r="Q82" i="83"/>
  <c r="M20" i="83"/>
  <c r="Q31" i="83"/>
  <c r="M133" i="83"/>
  <c r="J154" i="83"/>
  <c r="J158" i="83"/>
  <c r="J159" i="83"/>
  <c r="J156" i="83"/>
  <c r="J97" i="83"/>
  <c r="J12" i="83"/>
  <c r="J125" i="83" s="1"/>
  <c r="J96" i="83"/>
  <c r="AH132" i="83"/>
  <c r="AD16" i="83"/>
  <c r="AD137" i="83"/>
  <c r="AD74" i="83"/>
  <c r="AD66" i="83"/>
  <c r="AD67" i="83"/>
  <c r="AD20" i="83"/>
  <c r="AD133" i="83"/>
  <c r="AC132" i="83"/>
  <c r="AK138" i="83"/>
  <c r="AK143" i="83"/>
  <c r="AK139" i="83"/>
  <c r="AK122" i="83"/>
  <c r="AG132" i="83"/>
  <c r="AK140" i="83"/>
  <c r="O16" i="83"/>
  <c r="O137" i="83"/>
  <c r="O66" i="83"/>
  <c r="O67" i="83"/>
  <c r="O20" i="83"/>
  <c r="O133" i="83"/>
  <c r="G138" i="83"/>
  <c r="G143" i="83"/>
  <c r="G139" i="83"/>
  <c r="C132" i="83"/>
  <c r="G122" i="83"/>
  <c r="G140" i="83"/>
  <c r="V78" i="83"/>
  <c r="R16" i="83"/>
  <c r="R137" i="83"/>
  <c r="V28" i="83"/>
  <c r="R24" i="83"/>
  <c r="V86" i="83"/>
  <c r="R74" i="83"/>
  <c r="V71" i="83"/>
  <c r="V107" i="83"/>
  <c r="V29" i="83"/>
  <c r="R66" i="83"/>
  <c r="R67" i="83"/>
  <c r="V65" i="83"/>
  <c r="V82" i="83"/>
  <c r="R20" i="83"/>
  <c r="V31" i="83"/>
  <c r="R133" i="83"/>
  <c r="U16" i="83"/>
  <c r="U137" i="83"/>
  <c r="U24" i="83"/>
  <c r="U74" i="83"/>
  <c r="U67" i="83"/>
  <c r="U66" i="83"/>
  <c r="U20" i="83"/>
  <c r="U133" i="83"/>
  <c r="Q138" i="83"/>
  <c r="Q143" i="83"/>
  <c r="Q139" i="83"/>
  <c r="M132" i="83"/>
  <c r="Q122" i="83"/>
  <c r="Q140" i="83"/>
  <c r="D132" i="83"/>
  <c r="K154" i="83"/>
  <c r="K159" i="83"/>
  <c r="K158" i="83"/>
  <c r="K156" i="83"/>
  <c r="K97" i="83"/>
  <c r="K12" i="83"/>
  <c r="K96" i="83"/>
  <c r="L128" i="83"/>
  <c r="AO16" i="83"/>
  <c r="AO137" i="83"/>
  <c r="AO74" i="83"/>
  <c r="AO67" i="83"/>
  <c r="AO66" i="83"/>
  <c r="AO20" i="83"/>
  <c r="AO133" i="83"/>
  <c r="Y16" i="83"/>
  <c r="Y137" i="83"/>
  <c r="Y24" i="83"/>
  <c r="Y74" i="83"/>
  <c r="Y66" i="83"/>
  <c r="Y67" i="83"/>
  <c r="Y20" i="83"/>
  <c r="Y133" i="83"/>
  <c r="M154" i="83"/>
  <c r="Q153" i="83"/>
  <c r="Q112" i="83"/>
  <c r="M158" i="83"/>
  <c r="M159" i="83"/>
  <c r="Q157" i="83"/>
  <c r="Q155" i="83"/>
  <c r="M156" i="83"/>
  <c r="Q103" i="83"/>
  <c r="Q93" i="83"/>
  <c r="M97" i="83"/>
  <c r="Q101" i="83"/>
  <c r="M12" i="83"/>
  <c r="Q87" i="83"/>
  <c r="M25" i="83"/>
  <c r="Q151" i="83"/>
  <c r="Q95" i="83"/>
  <c r="M96" i="83"/>
  <c r="J16" i="83"/>
  <c r="J137" i="83"/>
  <c r="J24" i="83"/>
  <c r="J67" i="83"/>
  <c r="J66" i="83"/>
  <c r="J133" i="83"/>
  <c r="AH16" i="83"/>
  <c r="AH137" i="83"/>
  <c r="AH24" i="83"/>
  <c r="AH74" i="83"/>
  <c r="AH67" i="83"/>
  <c r="AH66" i="83"/>
  <c r="AH20" i="83"/>
  <c r="AH133" i="83"/>
  <c r="H16" i="83"/>
  <c r="L78" i="83"/>
  <c r="L28" i="83"/>
  <c r="H137" i="83"/>
  <c r="L86" i="83"/>
  <c r="H24" i="83"/>
  <c r="L29" i="83"/>
  <c r="H67" i="83"/>
  <c r="H66" i="83"/>
  <c r="L65" i="83"/>
  <c r="H133" i="83"/>
  <c r="L31" i="83"/>
  <c r="AM16" i="83"/>
  <c r="AM137" i="83"/>
  <c r="AM24" i="83"/>
  <c r="AM74" i="83"/>
  <c r="AM66" i="83"/>
  <c r="AM67" i="83"/>
  <c r="AM20" i="83"/>
  <c r="AM133" i="83"/>
  <c r="AK78" i="83"/>
  <c r="AG16" i="83"/>
  <c r="AK28" i="83"/>
  <c r="AG137" i="83"/>
  <c r="AG74" i="83"/>
  <c r="AK71" i="83"/>
  <c r="AK107" i="83"/>
  <c r="AK29" i="83"/>
  <c r="AG66" i="83"/>
  <c r="AG67" i="83"/>
  <c r="AK65" i="83"/>
  <c r="AK82" i="83"/>
  <c r="AG20" i="83"/>
  <c r="AG133" i="83"/>
  <c r="AK31" i="83"/>
  <c r="AB16" i="83"/>
  <c r="AF78" i="83"/>
  <c r="AF28" i="83"/>
  <c r="AB137" i="83"/>
  <c r="AF71" i="83"/>
  <c r="AB74" i="83"/>
  <c r="AF107" i="83"/>
  <c r="AF29" i="83"/>
  <c r="AB66" i="83"/>
  <c r="AF65" i="83"/>
  <c r="AB67" i="83"/>
  <c r="AF82" i="83"/>
  <c r="AB20" i="83"/>
  <c r="AB133" i="83"/>
  <c r="AF31" i="83"/>
  <c r="AE132" i="83"/>
  <c r="AM134" i="83"/>
  <c r="AP153" i="83"/>
  <c r="AL154" i="83"/>
  <c r="AP112" i="83"/>
  <c r="AP157" i="83"/>
  <c r="AL158" i="83"/>
  <c r="AL159" i="83"/>
  <c r="AL148" i="83"/>
  <c r="AP155" i="83"/>
  <c r="AL156" i="83"/>
  <c r="AP93" i="83"/>
  <c r="AL97" i="83"/>
  <c r="AP95" i="83"/>
  <c r="AL96" i="83"/>
  <c r="AP103" i="83"/>
  <c r="AP101" i="83"/>
  <c r="AL12" i="83"/>
  <c r="AP87" i="83"/>
  <c r="AL25" i="83"/>
  <c r="AP151" i="83"/>
  <c r="AL152" i="83"/>
  <c r="S132" i="83"/>
  <c r="P132" i="83"/>
  <c r="G103" i="83"/>
  <c r="G93" i="83"/>
  <c r="C97" i="83"/>
  <c r="C12" i="83"/>
  <c r="G101" i="83"/>
  <c r="G111" i="83"/>
  <c r="G95" i="83"/>
  <c r="V138" i="83"/>
  <c r="V143" i="83"/>
  <c r="V139" i="83"/>
  <c r="V122" i="83"/>
  <c r="R132" i="83"/>
  <c r="V140" i="83"/>
  <c r="AI132" i="83"/>
  <c r="X16" i="83"/>
  <c r="X137" i="83"/>
  <c r="X74" i="83"/>
  <c r="X66" i="83"/>
  <c r="X67" i="83"/>
  <c r="X20" i="83"/>
  <c r="X133" i="83"/>
  <c r="D97" i="83"/>
  <c r="D12" i="83"/>
  <c r="Z134" i="83"/>
  <c r="Y154" i="83"/>
  <c r="Y159" i="83"/>
  <c r="Y158" i="83"/>
  <c r="Y148" i="83"/>
  <c r="Y156" i="83"/>
  <c r="Y96" i="83"/>
  <c r="Y97" i="83"/>
  <c r="Y12" i="83"/>
  <c r="Y25" i="83"/>
  <c r="Y152" i="83"/>
  <c r="AN132" i="83"/>
  <c r="AN134" i="83"/>
  <c r="AM154" i="83"/>
  <c r="AM159" i="83"/>
  <c r="AM158" i="83"/>
  <c r="AM148" i="83"/>
  <c r="AM156" i="83"/>
  <c r="AM97" i="83"/>
  <c r="AM96" i="83"/>
  <c r="AM12" i="83"/>
  <c r="AM25" i="83"/>
  <c r="AM152" i="83"/>
  <c r="AF118" i="83"/>
  <c r="AE154" i="83"/>
  <c r="AE159" i="83"/>
  <c r="AE158" i="83"/>
  <c r="AF127" i="83"/>
  <c r="AF117" i="83"/>
  <c r="AE148" i="83"/>
  <c r="AE156" i="83"/>
  <c r="AE96" i="83"/>
  <c r="AE97" i="83"/>
  <c r="AE12" i="83"/>
  <c r="AE25" i="83"/>
  <c r="AE152" i="83"/>
  <c r="AF124" i="83"/>
  <c r="AF128" i="83"/>
  <c r="P154" i="83"/>
  <c r="P159" i="83"/>
  <c r="P158" i="83"/>
  <c r="P156" i="83"/>
  <c r="P97" i="83"/>
  <c r="P12" i="83"/>
  <c r="P25" i="83"/>
  <c r="P152" i="83"/>
  <c r="P96" i="83"/>
  <c r="Q128" i="83"/>
  <c r="C16" i="83"/>
  <c r="G78" i="83"/>
  <c r="G28" i="83"/>
  <c r="C137" i="83"/>
  <c r="G86" i="83"/>
  <c r="C24" i="83"/>
  <c r="G71" i="83"/>
  <c r="C74" i="83"/>
  <c r="G29" i="83"/>
  <c r="G65" i="83"/>
  <c r="C67" i="83"/>
  <c r="G31" i="83"/>
  <c r="C133" i="83"/>
  <c r="R134" i="83"/>
  <c r="S134" i="83"/>
  <c r="V153" i="83"/>
  <c r="R154" i="83"/>
  <c r="V112" i="83"/>
  <c r="R159" i="83"/>
  <c r="R158" i="83"/>
  <c r="V157" i="83"/>
  <c r="R148" i="83"/>
  <c r="V155" i="83"/>
  <c r="R156" i="83"/>
  <c r="R97" i="83"/>
  <c r="V93" i="83"/>
  <c r="V103" i="83"/>
  <c r="R96" i="83"/>
  <c r="V95" i="83"/>
  <c r="R12" i="83"/>
  <c r="V101" i="83"/>
  <c r="V87" i="83"/>
  <c r="R25" i="83"/>
  <c r="V151" i="83"/>
  <c r="R152" i="83"/>
  <c r="E16" i="83"/>
  <c r="E137" i="83"/>
  <c r="E24" i="83"/>
  <c r="E74" i="83"/>
  <c r="E67" i="83"/>
  <c r="E133" i="83"/>
  <c r="N16" i="83"/>
  <c r="N137" i="83"/>
  <c r="N66" i="83"/>
  <c r="N67" i="83"/>
  <c r="N20" i="83"/>
  <c r="N133" i="83"/>
  <c r="AA118" i="83"/>
  <c r="Z154" i="83"/>
  <c r="Z159" i="83"/>
  <c r="Z158" i="83"/>
  <c r="AA127" i="83"/>
  <c r="Z148" i="83"/>
  <c r="AA117" i="83"/>
  <c r="Z156" i="83"/>
  <c r="Z96" i="83"/>
  <c r="Z97" i="83"/>
  <c r="Z12" i="83"/>
  <c r="Z25" i="83"/>
  <c r="Z152" i="83"/>
  <c r="AA124" i="83"/>
  <c r="AA128" i="83"/>
  <c r="T132" i="83"/>
  <c r="AO134" i="83"/>
  <c r="AN154" i="83"/>
  <c r="AN158" i="83"/>
  <c r="AN159" i="83"/>
  <c r="AN148" i="83"/>
  <c r="AO147" i="83" s="1"/>
  <c r="AN156" i="83"/>
  <c r="AN97" i="83"/>
  <c r="AN96" i="83"/>
  <c r="AN12" i="83"/>
  <c r="AN25" i="83"/>
  <c r="AN152" i="83"/>
  <c r="AI134" i="83"/>
  <c r="AH154" i="83"/>
  <c r="AH158" i="83"/>
  <c r="AH159" i="83"/>
  <c r="AH148" i="83"/>
  <c r="AH156" i="83"/>
  <c r="AH96" i="83"/>
  <c r="AH97" i="83"/>
  <c r="AH12" i="83"/>
  <c r="AH25" i="83"/>
  <c r="AH152" i="83"/>
  <c r="AM132" i="83"/>
  <c r="I16" i="83"/>
  <c r="I137" i="83"/>
  <c r="I24" i="83"/>
  <c r="I66" i="83"/>
  <c r="I67" i="83"/>
  <c r="I133" i="83"/>
  <c r="AF138" i="83"/>
  <c r="AF143" i="83"/>
  <c r="AF139" i="83"/>
  <c r="AB132" i="83"/>
  <c r="AF122" i="83"/>
  <c r="AF140" i="83"/>
  <c r="S16" i="83"/>
  <c r="S137" i="83"/>
  <c r="S74" i="83"/>
  <c r="S67" i="83"/>
  <c r="S66" i="83"/>
  <c r="S20" i="83"/>
  <c r="S133" i="83"/>
  <c r="X134" i="83"/>
  <c r="AA153" i="83"/>
  <c r="W154" i="83"/>
  <c r="AA112" i="83"/>
  <c r="AA157" i="83"/>
  <c r="W159" i="83"/>
  <c r="W158" i="83"/>
  <c r="W148" i="83"/>
  <c r="W156" i="83"/>
  <c r="AA155" i="83"/>
  <c r="W97" i="83"/>
  <c r="AA93" i="83"/>
  <c r="AA103" i="83"/>
  <c r="W96" i="83"/>
  <c r="AA95" i="83"/>
  <c r="W12" i="83"/>
  <c r="AA101" i="83"/>
  <c r="W25" i="83"/>
  <c r="AA87" i="83"/>
  <c r="W152" i="83"/>
  <c r="AA151" i="83"/>
  <c r="V118" i="83"/>
  <c r="U154" i="83"/>
  <c r="U158" i="83"/>
  <c r="U159" i="83"/>
  <c r="V127" i="83"/>
  <c r="V117" i="83"/>
  <c r="U148" i="83"/>
  <c r="U156" i="83"/>
  <c r="U96" i="83"/>
  <c r="U97" i="83"/>
  <c r="U12" i="83"/>
  <c r="U25" i="83"/>
  <c r="U152" i="83"/>
  <c r="V124" i="83"/>
  <c r="V128" i="83"/>
  <c r="AJ252" i="77"/>
  <c r="AX260" i="77"/>
  <c r="AE260" i="77"/>
  <c r="AM253" i="77"/>
  <c r="AE253" i="77"/>
  <c r="O43" i="39"/>
  <c r="O55" i="39" s="1"/>
  <c r="O33" i="39"/>
  <c r="AU248" i="77"/>
  <c r="AG248" i="77"/>
  <c r="Z37" i="83"/>
  <c r="Z39" i="83"/>
  <c r="Z55" i="83"/>
  <c r="Z53" i="83"/>
  <c r="Z48" i="83"/>
  <c r="Z45" i="83"/>
  <c r="Z59" i="83"/>
  <c r="Z61" i="83"/>
  <c r="Z57" i="83"/>
  <c r="W39" i="83"/>
  <c r="W37" i="83"/>
  <c r="W55" i="83"/>
  <c r="W48" i="83"/>
  <c r="W53" i="83"/>
  <c r="W61" i="83"/>
  <c r="W45" i="83"/>
  <c r="W59" i="83"/>
  <c r="W57" i="83"/>
  <c r="AC43" i="39"/>
  <c r="AC55" i="39" s="1"/>
  <c r="AC33" i="39"/>
  <c r="P39" i="83"/>
  <c r="P37" i="83"/>
  <c r="P55" i="83"/>
  <c r="P53" i="83"/>
  <c r="P48" i="83"/>
  <c r="P59" i="83"/>
  <c r="P45" i="83"/>
  <c r="P61" i="83"/>
  <c r="P57" i="83"/>
  <c r="AH269" i="77"/>
  <c r="AF268" i="77"/>
  <c r="AK252" i="77"/>
  <c r="BB252" i="77"/>
  <c r="BA234" i="77"/>
  <c r="AV65" i="9"/>
  <c r="AV64" i="9"/>
  <c r="AK243" i="77"/>
  <c r="AM257" i="77"/>
  <c r="AI257" i="77"/>
  <c r="AM241" i="77"/>
  <c r="AH254" i="77"/>
  <c r="AW254" i="77"/>
  <c r="AY247" i="77"/>
  <c r="AI247" i="77"/>
  <c r="AI272" i="77"/>
  <c r="AJ272" i="77"/>
  <c r="AH270" i="77"/>
  <c r="AV271" i="77"/>
  <c r="AG271" i="77"/>
  <c r="BB271" i="77"/>
  <c r="AU239" i="77"/>
  <c r="AV258" i="77"/>
  <c r="BB235" i="77"/>
  <c r="AH242" i="77"/>
  <c r="BB242" i="77"/>
  <c r="H33" i="39"/>
  <c r="H43" i="39"/>
  <c r="H55" i="39" s="1"/>
  <c r="AK245" i="77"/>
  <c r="AX262" i="77"/>
  <c r="AU261" i="77"/>
  <c r="AJ261" i="77"/>
  <c r="BB261" i="77"/>
  <c r="BB218" i="77"/>
  <c r="AM240" i="77"/>
  <c r="BB240" i="77"/>
  <c r="AE240" i="77"/>
  <c r="AI39" i="83"/>
  <c r="AI37" i="83"/>
  <c r="AI55" i="83"/>
  <c r="AI48" i="83"/>
  <c r="AI53" i="83"/>
  <c r="AI61" i="83"/>
  <c r="AI45" i="83"/>
  <c r="AI59" i="83"/>
  <c r="AI57" i="83"/>
  <c r="AI267" i="77"/>
  <c r="AE251" i="77"/>
  <c r="AW251" i="77"/>
  <c r="AI249" i="77"/>
  <c r="AU259" i="77"/>
  <c r="AJ259" i="77"/>
  <c r="AH259" i="77"/>
  <c r="AX264" i="77"/>
  <c r="AM264" i="77"/>
  <c r="AK264" i="77"/>
  <c r="AJ244" i="77"/>
  <c r="BA244" i="77"/>
  <c r="BA217" i="77"/>
  <c r="AU250" i="77"/>
  <c r="AF250" i="77"/>
  <c r="BA250" i="77"/>
  <c r="BA216" i="77"/>
  <c r="AX265" i="77"/>
  <c r="AK265" i="77"/>
  <c r="BA64" i="9"/>
  <c r="BA65" i="9"/>
  <c r="AW266" i="77"/>
  <c r="AH266" i="77"/>
  <c r="AE39" i="83"/>
  <c r="AE37" i="83"/>
  <c r="AE38" i="83" s="1"/>
  <c r="AE55" i="83"/>
  <c r="AE56" i="83" s="1"/>
  <c r="AE53" i="83"/>
  <c r="AE48" i="83"/>
  <c r="AE59" i="83"/>
  <c r="AE60" i="83" s="1"/>
  <c r="AE61" i="83"/>
  <c r="AE45" i="83"/>
  <c r="AE57" i="83"/>
  <c r="AU273" i="77"/>
  <c r="AL273" i="77"/>
  <c r="AU263" i="77"/>
  <c r="AV246" i="77"/>
  <c r="R246" i="77"/>
  <c r="AM256" i="77"/>
  <c r="AE256" i="77"/>
  <c r="R43" i="39"/>
  <c r="R55" i="39" s="1"/>
  <c r="R33" i="39"/>
  <c r="AX255" i="77"/>
  <c r="BB255" i="77"/>
  <c r="U43" i="39"/>
  <c r="U55" i="39" s="1"/>
  <c r="U33" i="39"/>
  <c r="J33" i="39"/>
  <c r="J43" i="39"/>
  <c r="J55" i="39" s="1"/>
  <c r="AM238" i="77"/>
  <c r="AF238" i="77"/>
  <c r="BB233" i="77"/>
  <c r="AW260" i="77"/>
  <c r="AI260" i="77"/>
  <c r="AG260" i="77"/>
  <c r="BA253" i="77"/>
  <c r="AW248" i="77"/>
  <c r="AP65" i="9"/>
  <c r="AP64" i="9"/>
  <c r="AL39" i="83"/>
  <c r="AL37" i="83"/>
  <c r="AL55" i="83"/>
  <c r="AL53" i="83"/>
  <c r="AL48" i="83"/>
  <c r="AL61" i="83"/>
  <c r="AL59" i="83"/>
  <c r="AL45" i="83"/>
  <c r="AL57" i="83"/>
  <c r="X33" i="39"/>
  <c r="X43" i="39"/>
  <c r="X55" i="39" s="1"/>
  <c r="T43" i="39"/>
  <c r="T55" i="39" s="1"/>
  <c r="T33" i="39"/>
  <c r="AI65" i="9"/>
  <c r="AI64" i="9"/>
  <c r="AM268" i="77"/>
  <c r="AW252" i="77"/>
  <c r="AE252" i="77"/>
  <c r="AM243" i="77"/>
  <c r="AG243" i="77"/>
  <c r="AG257" i="77"/>
  <c r="AJ257" i="77"/>
  <c r="AJ241" i="77"/>
  <c r="AK254" i="77"/>
  <c r="AJ254" i="77"/>
  <c r="D39" i="83"/>
  <c r="D37" i="83"/>
  <c r="D55" i="83"/>
  <c r="D53" i="83"/>
  <c r="D48" i="83"/>
  <c r="D59" i="83"/>
  <c r="D61" i="83"/>
  <c r="D45" i="83"/>
  <c r="D57" i="83"/>
  <c r="K37" i="83"/>
  <c r="K39" i="83"/>
  <c r="K55" i="83"/>
  <c r="K53" i="83"/>
  <c r="K48" i="83"/>
  <c r="K61" i="83"/>
  <c r="K59" i="83"/>
  <c r="K45" i="83"/>
  <c r="K57" i="83"/>
  <c r="AV247" i="77"/>
  <c r="AK247" i="77"/>
  <c r="AF272" i="77"/>
  <c r="AV272" i="77"/>
  <c r="AM270" i="77"/>
  <c r="AK270" i="77"/>
  <c r="AJ39" i="83"/>
  <c r="AJ37" i="83"/>
  <c r="AJ55" i="83"/>
  <c r="AJ48" i="83"/>
  <c r="AJ53" i="83"/>
  <c r="AJ61" i="83"/>
  <c r="AJ45" i="83"/>
  <c r="AJ59" i="83"/>
  <c r="AJ57" i="83"/>
  <c r="AI271" i="77"/>
  <c r="AE239" i="77"/>
  <c r="AI239" i="77"/>
  <c r="AM258" i="77"/>
  <c r="AG258" i="77"/>
  <c r="BB258" i="77"/>
  <c r="AU242" i="77"/>
  <c r="BA242" i="77"/>
  <c r="W138" i="8"/>
  <c r="W64" i="9"/>
  <c r="W65" i="9"/>
  <c r="AN37" i="83"/>
  <c r="AN39" i="83"/>
  <c r="AN55" i="83"/>
  <c r="AN56" i="83" s="1"/>
  <c r="AN48" i="83"/>
  <c r="AN45" i="83"/>
  <c r="AN53" i="83"/>
  <c r="AN61" i="83"/>
  <c r="AN59" i="83"/>
  <c r="AN57" i="83"/>
  <c r="AU245" i="77"/>
  <c r="AV262" i="77"/>
  <c r="AE262" i="77"/>
  <c r="AG262" i="77"/>
  <c r="AK261" i="77"/>
  <c r="BB222" i="77"/>
  <c r="AV240" i="77"/>
  <c r="AY65" i="9"/>
  <c r="AY64" i="9"/>
  <c r="AK267" i="77"/>
  <c r="AH251" i="77"/>
  <c r="AF251" i="77"/>
  <c r="AW249" i="77"/>
  <c r="AG249" i="77"/>
  <c r="AX259" i="77"/>
  <c r="AE259" i="77"/>
  <c r="AK259" i="77"/>
  <c r="AW264" i="77"/>
  <c r="AG264" i="77"/>
  <c r="BA264" i="77"/>
  <c r="AH244" i="77"/>
  <c r="N33" i="39"/>
  <c r="N43" i="39"/>
  <c r="N55" i="39" s="1"/>
  <c r="AC64" i="9"/>
  <c r="AC65" i="9"/>
  <c r="AZ65" i="9"/>
  <c r="AZ64" i="9"/>
  <c r="AG250" i="77"/>
  <c r="AE265" i="77"/>
  <c r="W43" i="39"/>
  <c r="W55" i="39" s="1"/>
  <c r="W33" i="39"/>
  <c r="AM266" i="77"/>
  <c r="AV273" i="77"/>
  <c r="BB273" i="77"/>
  <c r="AY263" i="77"/>
  <c r="BA263" i="77"/>
  <c r="AM246" i="77"/>
  <c r="AK246" i="77"/>
  <c r="AI256" i="77"/>
  <c r="AW255" i="77"/>
  <c r="AF255" i="77"/>
  <c r="AM269" i="77"/>
  <c r="AF269" i="77"/>
  <c r="BL6" i="34"/>
  <c r="CA6" i="34" s="1"/>
  <c r="BO6" i="34"/>
  <c r="CD6" i="34" s="1"/>
  <c r="D33" i="39"/>
  <c r="D43" i="39"/>
  <c r="D55" i="39" s="1"/>
  <c r="AE238" i="77"/>
  <c r="AK253" i="77"/>
  <c r="G43" i="39"/>
  <c r="G55" i="39" s="1"/>
  <c r="G33" i="39"/>
  <c r="AL64" i="9"/>
  <c r="AL65" i="9"/>
  <c r="AW65" i="9"/>
  <c r="AW64" i="9"/>
  <c r="AK248" i="77"/>
  <c r="S33" i="39"/>
  <c r="S43" i="39"/>
  <c r="S55" i="39" s="1"/>
  <c r="AC39" i="83"/>
  <c r="AC37" i="83"/>
  <c r="AC48" i="83"/>
  <c r="AC53" i="83"/>
  <c r="AC45" i="83"/>
  <c r="AC59" i="83"/>
  <c r="AC55" i="83"/>
  <c r="AC61" i="83"/>
  <c r="AC57" i="83"/>
  <c r="AJ65" i="9"/>
  <c r="AJ64" i="9"/>
  <c r="AU268" i="77"/>
  <c r="AL268" i="77"/>
  <c r="AG252" i="77"/>
  <c r="AE243" i="77"/>
  <c r="AX243" i="77"/>
  <c r="AJ243" i="77"/>
  <c r="AU257" i="77"/>
  <c r="AH257" i="77"/>
  <c r="AI241" i="77"/>
  <c r="AE241" i="77"/>
  <c r="AY241" i="77"/>
  <c r="K33" i="39"/>
  <c r="K43" i="39"/>
  <c r="K55" i="39" s="1"/>
  <c r="AF254" i="77"/>
  <c r="AI254" i="77"/>
  <c r="BA247" i="77"/>
  <c r="AF33" i="39"/>
  <c r="AF43" i="39"/>
  <c r="AF55" i="39" s="1"/>
  <c r="T37" i="83"/>
  <c r="T39" i="83"/>
  <c r="T55" i="83"/>
  <c r="T53" i="83"/>
  <c r="T48" i="83"/>
  <c r="T59" i="83"/>
  <c r="T45" i="83"/>
  <c r="T61" i="83"/>
  <c r="T57" i="83"/>
  <c r="AK272" i="77"/>
  <c r="AX270" i="77"/>
  <c r="AL270" i="77"/>
  <c r="R270" i="77"/>
  <c r="AW271" i="77"/>
  <c r="AE271" i="77"/>
  <c r="AM239" i="77"/>
  <c r="AH239" i="77"/>
  <c r="AV239" i="77"/>
  <c r="AU258" i="77"/>
  <c r="AK258" i="77"/>
  <c r="AW242" i="77"/>
  <c r="AS65" i="9"/>
  <c r="AS64" i="9"/>
  <c r="Y138" i="8"/>
  <c r="Y65" i="9"/>
  <c r="Y64" i="9"/>
  <c r="AG43" i="39"/>
  <c r="AG55" i="39" s="1"/>
  <c r="AG33" i="39"/>
  <c r="AM245" i="77"/>
  <c r="AI245" i="77"/>
  <c r="BB245" i="77"/>
  <c r="AW262" i="77"/>
  <c r="AJ262" i="77"/>
  <c r="AE261" i="77"/>
  <c r="AJ240" i="77"/>
  <c r="AW240" i="77"/>
  <c r="AW267" i="77"/>
  <c r="AM267" i="77"/>
  <c r="AY251" i="77"/>
  <c r="AI251" i="77"/>
  <c r="AV249" i="77"/>
  <c r="AF249" i="77"/>
  <c r="AY259" i="77"/>
  <c r="AI264" i="77"/>
  <c r="AH64" i="9"/>
  <c r="AH65" i="9"/>
  <c r="AU244" i="77"/>
  <c r="AE244" i="77"/>
  <c r="E43" i="39"/>
  <c r="E55" i="39" s="1"/>
  <c r="E33" i="39"/>
  <c r="AT65" i="9"/>
  <c r="AT64" i="9"/>
  <c r="AJ250" i="77"/>
  <c r="AV250" i="77"/>
  <c r="AL266" i="77"/>
  <c r="AF266" i="77"/>
  <c r="AK273" i="77"/>
  <c r="AM263" i="77"/>
  <c r="AG246" i="77"/>
  <c r="AX256" i="77"/>
  <c r="AG256" i="77"/>
  <c r="AH256" i="77"/>
  <c r="AM255" i="77"/>
  <c r="AE255" i="77"/>
  <c r="AE43" i="39"/>
  <c r="AE55" i="39" s="1"/>
  <c r="AE33" i="39"/>
  <c r="AV269" i="77"/>
  <c r="AJ269" i="77"/>
  <c r="AW6" i="34"/>
  <c r="AT6" i="34"/>
  <c r="BC6" i="34" s="1"/>
  <c r="BR6" i="34" s="1"/>
  <c r="CG6" i="34" s="1"/>
  <c r="DB6" i="34" s="1"/>
  <c r="DW6" i="34" s="1"/>
  <c r="AU238" i="77"/>
  <c r="AV238" i="77"/>
  <c r="AY260" i="77"/>
  <c r="AH260" i="77"/>
  <c r="AJ260" i="77"/>
  <c r="AH253" i="77"/>
  <c r="AF248" i="77"/>
  <c r="AU65" i="9"/>
  <c r="AU64" i="9"/>
  <c r="AW268" i="77"/>
  <c r="AE268" i="77"/>
  <c r="AY252" i="77"/>
  <c r="AV252" i="77"/>
  <c r="BB234" i="77"/>
  <c r="AW243" i="77"/>
  <c r="AX257" i="77"/>
  <c r="AE257" i="77"/>
  <c r="AW241" i="77"/>
  <c r="AH241" i="77"/>
  <c r="AK241" i="77"/>
  <c r="AM247" i="77"/>
  <c r="AJ247" i="77"/>
  <c r="AU272" i="77"/>
  <c r="AL272" i="77"/>
  <c r="AU270" i="77"/>
  <c r="AG270" i="77"/>
  <c r="BB270" i="77"/>
  <c r="AF271" i="77"/>
  <c r="BA271" i="77"/>
  <c r="AK239" i="77"/>
  <c r="AX239" i="77"/>
  <c r="AG239" i="77"/>
  <c r="AY258" i="77"/>
  <c r="AI258" i="77"/>
  <c r="AF258" i="77"/>
  <c r="BB226" i="77"/>
  <c r="BA235" i="77"/>
  <c r="BB219" i="77"/>
  <c r="F39" i="83"/>
  <c r="F41" i="83" s="1"/>
  <c r="F37" i="83"/>
  <c r="F55" i="83"/>
  <c r="F53" i="83"/>
  <c r="F48" i="83"/>
  <c r="F45" i="83"/>
  <c r="F59" i="83"/>
  <c r="F61" i="83"/>
  <c r="F57" i="83"/>
  <c r="AF245" i="77"/>
  <c r="AY262" i="77"/>
  <c r="BA214" i="77"/>
  <c r="AY261" i="77"/>
  <c r="BA222" i="77"/>
  <c r="AX240" i="77"/>
  <c r="BA240" i="77"/>
  <c r="Z65" i="9"/>
  <c r="Z64" i="9"/>
  <c r="M39" i="83"/>
  <c r="M37" i="83"/>
  <c r="M55" i="83"/>
  <c r="M48" i="83"/>
  <c r="M53" i="83"/>
  <c r="M61" i="83"/>
  <c r="M59" i="83"/>
  <c r="M45" i="83"/>
  <c r="M57" i="83"/>
  <c r="AV267" i="77"/>
  <c r="AL267" i="77"/>
  <c r="AE267" i="77"/>
  <c r="AD37" i="83"/>
  <c r="AD39" i="83"/>
  <c r="AD55" i="83"/>
  <c r="AD48" i="83"/>
  <c r="AD53" i="83"/>
  <c r="AD61" i="83"/>
  <c r="AD59" i="83"/>
  <c r="AD45" i="83"/>
  <c r="AD57" i="83"/>
  <c r="AX251" i="77"/>
  <c r="BB251" i="77"/>
  <c r="R236" i="77"/>
  <c r="AM249" i="77"/>
  <c r="BB249" i="77"/>
  <c r="AV259" i="77"/>
  <c r="AF264" i="77"/>
  <c r="BB264" i="77"/>
  <c r="X138" i="8"/>
  <c r="X65" i="9"/>
  <c r="X64" i="9"/>
  <c r="AW244" i="77"/>
  <c r="AF244" i="77"/>
  <c r="BA220" i="77"/>
  <c r="AW250" i="77"/>
  <c r="BB250" i="77"/>
  <c r="AM265" i="77"/>
  <c r="AJ265" i="77"/>
  <c r="O39" i="83"/>
  <c r="O37" i="83"/>
  <c r="O55" i="83"/>
  <c r="O48" i="83"/>
  <c r="O53" i="83"/>
  <c r="O45" i="83"/>
  <c r="O61" i="83"/>
  <c r="O59" i="83"/>
  <c r="O57" i="83"/>
  <c r="AG266" i="77"/>
  <c r="AE266" i="77"/>
  <c r="AX273" i="77"/>
  <c r="AE273" i="77"/>
  <c r="AX263" i="77"/>
  <c r="AI263" i="77"/>
  <c r="AE263" i="77"/>
  <c r="AX246" i="77"/>
  <c r="AJ246" i="77"/>
  <c r="BA223" i="77"/>
  <c r="AK256" i="77"/>
  <c r="AG255" i="77"/>
  <c r="R37" i="83"/>
  <c r="R39" i="83"/>
  <c r="R55" i="83"/>
  <c r="R48" i="83"/>
  <c r="R53" i="83"/>
  <c r="R45" i="83"/>
  <c r="R59" i="83"/>
  <c r="R61" i="83"/>
  <c r="R62" i="83" s="1"/>
  <c r="R57" i="83"/>
  <c r="AU269" i="77"/>
  <c r="AL269" i="77"/>
  <c r="AJ238" i="77"/>
  <c r="AH238" i="77"/>
  <c r="BA238" i="77"/>
  <c r="AU260" i="77"/>
  <c r="AU253" i="77"/>
  <c r="AX253" i="77"/>
  <c r="U39" i="83"/>
  <c r="U37" i="83"/>
  <c r="U38" i="83" s="1"/>
  <c r="U55" i="83"/>
  <c r="U56" i="83" s="1"/>
  <c r="U48" i="83"/>
  <c r="U53" i="83"/>
  <c r="U59" i="83"/>
  <c r="U60" i="83" s="1"/>
  <c r="U61" i="83"/>
  <c r="U45" i="83"/>
  <c r="U57" i="83"/>
  <c r="U58" i="83" s="1"/>
  <c r="AY248" i="77"/>
  <c r="AH248" i="77"/>
  <c r="AL271" i="77"/>
  <c r="AA65" i="9"/>
  <c r="AA64" i="9"/>
  <c r="AO39" i="83"/>
  <c r="BA273" i="77"/>
  <c r="AI252" i="77"/>
  <c r="AF243" i="77"/>
  <c r="AV257" i="77"/>
  <c r="AK257" i="77"/>
  <c r="AF241" i="77"/>
  <c r="AM254" i="77"/>
  <c r="L33" i="39"/>
  <c r="L43" i="39"/>
  <c r="L55" i="39" s="1"/>
  <c r="AX247" i="77"/>
  <c r="AH247" i="77"/>
  <c r="AQ65" i="9"/>
  <c r="AQ64" i="9"/>
  <c r="AO57" i="83"/>
  <c r="AO53" i="83"/>
  <c r="AO61" i="83"/>
  <c r="AO45" i="83"/>
  <c r="AO59" i="83"/>
  <c r="AO48" i="83"/>
  <c r="AO55" i="83"/>
  <c r="AE272" i="77"/>
  <c r="AW270" i="77"/>
  <c r="AI270" i="77"/>
  <c r="AY271" i="77"/>
  <c r="AH271" i="77"/>
  <c r="BB239" i="77"/>
  <c r="AW258" i="77"/>
  <c r="AH258" i="77"/>
  <c r="AM242" i="77"/>
  <c r="Y37" i="83"/>
  <c r="Y39" i="83"/>
  <c r="Y55" i="83"/>
  <c r="Y53" i="83"/>
  <c r="Y48" i="83"/>
  <c r="Y59" i="83"/>
  <c r="Y60" i="83" s="1"/>
  <c r="Y61" i="83"/>
  <c r="Y62" i="83" s="1"/>
  <c r="Y45" i="83"/>
  <c r="Y57" i="83"/>
  <c r="AX245" i="77"/>
  <c r="AG245" i="77"/>
  <c r="AI262" i="77"/>
  <c r="AF262" i="77"/>
  <c r="AM261" i="77"/>
  <c r="AU240" i="77"/>
  <c r="AG240" i="77"/>
  <c r="AD33" i="39"/>
  <c r="AD43" i="39"/>
  <c r="AD55" i="39" s="1"/>
  <c r="J39" i="83"/>
  <c r="J37" i="83"/>
  <c r="J55" i="83"/>
  <c r="J53" i="83"/>
  <c r="J48" i="83"/>
  <c r="J59" i="83"/>
  <c r="J61" i="83"/>
  <c r="J45" i="83"/>
  <c r="J57" i="83"/>
  <c r="AH39" i="83"/>
  <c r="AH37" i="83"/>
  <c r="AH55" i="83"/>
  <c r="AH56" i="83" s="1"/>
  <c r="AH53" i="83"/>
  <c r="AH48" i="83"/>
  <c r="AH45" i="83"/>
  <c r="AH61" i="83"/>
  <c r="AH59" i="83"/>
  <c r="AH57" i="83"/>
  <c r="AH58" i="83" s="1"/>
  <c r="H37" i="83"/>
  <c r="H39" i="83"/>
  <c r="H55" i="83"/>
  <c r="H48" i="83"/>
  <c r="H53" i="83"/>
  <c r="H59" i="83"/>
  <c r="H61" i="83"/>
  <c r="H45" i="83"/>
  <c r="H57" i="83"/>
  <c r="AM39" i="83"/>
  <c r="AM37" i="83"/>
  <c r="AM38" i="83" s="1"/>
  <c r="AM55" i="83"/>
  <c r="AM48" i="83"/>
  <c r="AM53" i="83"/>
  <c r="AM59" i="83"/>
  <c r="AM60" i="83" s="1"/>
  <c r="AM61" i="83"/>
  <c r="AM45" i="83"/>
  <c r="AM57" i="83"/>
  <c r="AX267" i="77"/>
  <c r="AJ267" i="77"/>
  <c r="AF267" i="77"/>
  <c r="AM251" i="77"/>
  <c r="AG251" i="77"/>
  <c r="BA251" i="77"/>
  <c r="BB236" i="77"/>
  <c r="AK249" i="77"/>
  <c r="R264" i="77"/>
  <c r="Q43" i="39"/>
  <c r="Q55" i="39" s="1"/>
  <c r="Q33" i="39"/>
  <c r="AX244" i="77"/>
  <c r="AG244" i="77"/>
  <c r="AG37" i="83"/>
  <c r="AG39" i="83"/>
  <c r="AG55" i="83"/>
  <c r="AG48" i="83"/>
  <c r="AG53" i="83"/>
  <c r="AG45" i="83"/>
  <c r="AG61" i="83"/>
  <c r="AG59" i="83"/>
  <c r="AG57" i="83"/>
  <c r="AL58" i="83" s="1"/>
  <c r="AK250" i="77"/>
  <c r="AE250" i="77"/>
  <c r="AW265" i="77"/>
  <c r="AG265" i="77"/>
  <c r="AB39" i="83"/>
  <c r="AB37" i="83"/>
  <c r="AB55" i="83"/>
  <c r="AB48" i="83"/>
  <c r="AB53" i="83"/>
  <c r="AB61" i="83"/>
  <c r="AB62" i="83" s="1"/>
  <c r="AB59" i="83"/>
  <c r="AB60" i="83" s="1"/>
  <c r="AB45" i="83"/>
  <c r="AB57" i="83"/>
  <c r="AX266" i="77"/>
  <c r="AI266" i="77"/>
  <c r="BA266" i="77"/>
  <c r="AM273" i="77"/>
  <c r="AY273" i="77"/>
  <c r="AF273" i="77"/>
  <c r="AG263" i="77"/>
  <c r="AJ263" i="77"/>
  <c r="AW246" i="77"/>
  <c r="AH246" i="77"/>
  <c r="AU256" i="77"/>
  <c r="AJ256" i="77"/>
  <c r="AV255" i="77"/>
  <c r="AI255" i="77"/>
  <c r="AJ255" i="77"/>
  <c r="AG64" i="9"/>
  <c r="AG65" i="9"/>
  <c r="AY269" i="77"/>
  <c r="AI269" i="77"/>
  <c r="BB269" i="77"/>
  <c r="AW238" i="77"/>
  <c r="AY238" i="77"/>
  <c r="AF260" i="77"/>
  <c r="BA221" i="77"/>
  <c r="AO65" i="9"/>
  <c r="AO64" i="9"/>
  <c r="AY253" i="77"/>
  <c r="AV253" i="77"/>
  <c r="AV248" i="77"/>
  <c r="AE248" i="77"/>
  <c r="AE254" i="77"/>
  <c r="AA33" i="39"/>
  <c r="AA43" i="39"/>
  <c r="AA55" i="39" s="1"/>
  <c r="I33" i="39"/>
  <c r="I43" i="39"/>
  <c r="I55" i="39" s="1"/>
  <c r="AV6" i="34"/>
  <c r="AS6" i="34"/>
  <c r="BB6" i="34" s="1"/>
  <c r="BQ6" i="34" s="1"/>
  <c r="CF6" i="34" s="1"/>
  <c r="DA6" i="34" s="1"/>
  <c r="DV6" i="34" s="1"/>
  <c r="M43" i="39"/>
  <c r="M55" i="39" s="1"/>
  <c r="M33" i="39"/>
  <c r="C131" i="9"/>
  <c r="C130" i="9"/>
  <c r="X37" i="83"/>
  <c r="X39" i="83"/>
  <c r="X55" i="83"/>
  <c r="X53" i="83"/>
  <c r="X48" i="83"/>
  <c r="X61" i="83"/>
  <c r="X59" i="83"/>
  <c r="X45" i="83"/>
  <c r="X57" i="83"/>
  <c r="AX64" i="9"/>
  <c r="AX65" i="9"/>
  <c r="AX268" i="77"/>
  <c r="AI268" i="77"/>
  <c r="AJ268" i="77"/>
  <c r="AU252" i="77"/>
  <c r="R234" i="77"/>
  <c r="AH243" i="77"/>
  <c r="AU243" i="77"/>
  <c r="AW257" i="77"/>
  <c r="AV241" i="77"/>
  <c r="AU254" i="77"/>
  <c r="AR64" i="9"/>
  <c r="AR65" i="9"/>
  <c r="AU247" i="77"/>
  <c r="AE247" i="77"/>
  <c r="AE65" i="9"/>
  <c r="AE64" i="9"/>
  <c r="AM272" i="77"/>
  <c r="AX272" i="77"/>
  <c r="AF270" i="77"/>
  <c r="AU271" i="77"/>
  <c r="AK271" i="77"/>
  <c r="AW239" i="77"/>
  <c r="AJ239" i="77"/>
  <c r="R239" i="77"/>
  <c r="AE258" i="77"/>
  <c r="AN65" i="9"/>
  <c r="AN64" i="9"/>
  <c r="AF242" i="77"/>
  <c r="AX242" i="77"/>
  <c r="AY245" i="77"/>
  <c r="AJ245" i="77"/>
  <c r="AK262" i="77"/>
  <c r="C43" i="39"/>
  <c r="C55" i="39" s="1"/>
  <c r="C33" i="39"/>
  <c r="AX261" i="77"/>
  <c r="AF261" i="77"/>
  <c r="AG261" i="77"/>
  <c r="AF240" i="77"/>
  <c r="AB43" i="39"/>
  <c r="AB55" i="39" s="1"/>
  <c r="AB33" i="39"/>
  <c r="AG267" i="77"/>
  <c r="AV251" i="77"/>
  <c r="AX249" i="77"/>
  <c r="AH249" i="77"/>
  <c r="BA249" i="77"/>
  <c r="AM259" i="77"/>
  <c r="AF259" i="77"/>
  <c r="D131" i="9"/>
  <c r="D130" i="9"/>
  <c r="AY264" i="77"/>
  <c r="AH264" i="77"/>
  <c r="AV244" i="77"/>
  <c r="AK244" i="77"/>
  <c r="AH250" i="77"/>
  <c r="AI250" i="77"/>
  <c r="AV265" i="77"/>
  <c r="AH265" i="77"/>
  <c r="AI265" i="77"/>
  <c r="AM65" i="9"/>
  <c r="AM64" i="9"/>
  <c r="AV266" i="77"/>
  <c r="AK266" i="77"/>
  <c r="AJ273" i="77"/>
  <c r="AO37" i="83"/>
  <c r="AV263" i="77"/>
  <c r="AH263" i="77"/>
  <c r="AY246" i="77"/>
  <c r="AE246" i="77"/>
  <c r="AW256" i="77"/>
  <c r="BA256" i="77"/>
  <c r="R255" i="77"/>
  <c r="BA255" i="77"/>
  <c r="AD65" i="9"/>
  <c r="AD64" i="9"/>
  <c r="C39" i="83"/>
  <c r="C37" i="83"/>
  <c r="C55" i="83"/>
  <c r="C48" i="83"/>
  <c r="C53" i="83"/>
  <c r="C59" i="83"/>
  <c r="C45" i="83"/>
  <c r="C61" i="83"/>
  <c r="C57" i="83"/>
  <c r="AG269" i="77"/>
  <c r="AI238" i="77"/>
  <c r="AG238" i="77"/>
  <c r="AM260" i="77"/>
  <c r="BB221" i="77"/>
  <c r="AJ253" i="77"/>
  <c r="E37" i="83"/>
  <c r="E39" i="83"/>
  <c r="E55" i="83"/>
  <c r="E53" i="83"/>
  <c r="E48" i="83"/>
  <c r="E61" i="83"/>
  <c r="E59" i="83"/>
  <c r="E45" i="83"/>
  <c r="E57" i="83"/>
  <c r="N37" i="83"/>
  <c r="N39" i="83"/>
  <c r="N55" i="83"/>
  <c r="N48" i="83"/>
  <c r="N61" i="83"/>
  <c r="N53" i="83"/>
  <c r="N59" i="83"/>
  <c r="N45" i="83"/>
  <c r="N57" i="83"/>
  <c r="AJ248" i="77"/>
  <c r="AV268" i="77"/>
  <c r="AK268" i="77"/>
  <c r="AG268" i="77"/>
  <c r="AH252" i="77"/>
  <c r="AM252" i="77"/>
  <c r="AV243" i="77"/>
  <c r="BA257" i="77"/>
  <c r="AU241" i="77"/>
  <c r="AV254" i="77"/>
  <c r="AY254" i="77"/>
  <c r="AF247" i="77"/>
  <c r="AG272" i="77"/>
  <c r="AW272" i="77"/>
  <c r="R272" i="77"/>
  <c r="AV270" i="77"/>
  <c r="AJ270" i="77"/>
  <c r="AJ271" i="77"/>
  <c r="BA239" i="77"/>
  <c r="AJ242" i="77"/>
  <c r="AY242" i="77"/>
  <c r="AE242" i="77"/>
  <c r="Y33" i="39"/>
  <c r="Y43" i="39"/>
  <c r="Y55" i="39" s="1"/>
  <c r="AV245" i="77"/>
  <c r="AH245" i="77"/>
  <c r="AH262" i="77"/>
  <c r="AV261" i="77"/>
  <c r="BA215" i="77"/>
  <c r="BN6" i="34"/>
  <c r="CC6" i="34" s="1"/>
  <c r="BK6" i="34"/>
  <c r="BZ6" i="34" s="1"/>
  <c r="AK240" i="77"/>
  <c r="AH240" i="77"/>
  <c r="AB64" i="9"/>
  <c r="AB65" i="9"/>
  <c r="F43" i="39"/>
  <c r="F55" i="39" s="1"/>
  <c r="F33" i="39"/>
  <c r="AY267" i="77"/>
  <c r="AK251" i="77"/>
  <c r="R251" i="77"/>
  <c r="AY249" i="77"/>
  <c r="AJ249" i="77"/>
  <c r="AI259" i="77"/>
  <c r="E130" i="9"/>
  <c r="E131" i="9"/>
  <c r="AU264" i="77"/>
  <c r="AJ264" i="77"/>
  <c r="I37" i="83"/>
  <c r="I38" i="83" s="1"/>
  <c r="I39" i="83"/>
  <c r="I55" i="83"/>
  <c r="I48" i="83"/>
  <c r="I61" i="83"/>
  <c r="I62" i="83" s="1"/>
  <c r="I45" i="83"/>
  <c r="I53" i="83"/>
  <c r="I59" i="83"/>
  <c r="I60" i="83" s="1"/>
  <c r="I57" i="83"/>
  <c r="BB65" i="9"/>
  <c r="BB64" i="9"/>
  <c r="AY250" i="77"/>
  <c r="R250" i="77"/>
  <c r="AU265" i="77"/>
  <c r="AY266" i="77"/>
  <c r="AG273" i="77"/>
  <c r="AH273" i="77"/>
  <c r="AF263" i="77"/>
  <c r="AF246" i="77"/>
  <c r="BB232" i="77"/>
  <c r="BB223" i="77"/>
  <c r="AV256" i="77"/>
  <c r="V33" i="39"/>
  <c r="V43" i="39"/>
  <c r="V55" i="39" s="1"/>
  <c r="AY255" i="77"/>
  <c r="AH255" i="77"/>
  <c r="Z43" i="39"/>
  <c r="Z55" i="39" s="1"/>
  <c r="Z33" i="39"/>
  <c r="AF65" i="9"/>
  <c r="AF64" i="9"/>
  <c r="S37" i="83"/>
  <c r="S39" i="83"/>
  <c r="S55" i="83"/>
  <c r="S48" i="83"/>
  <c r="S53" i="83"/>
  <c r="S59" i="83"/>
  <c r="S45" i="83"/>
  <c r="S61" i="83"/>
  <c r="S57" i="83"/>
  <c r="AK64" i="9"/>
  <c r="AK65" i="9"/>
  <c r="P43" i="39"/>
  <c r="P55" i="39" s="1"/>
  <c r="P33" i="39"/>
  <c r="AW269" i="77"/>
  <c r="AK269" i="77"/>
  <c r="BA260" i="77"/>
  <c r="AG253" i="77"/>
  <c r="AI253" i="77"/>
  <c r="AI248" i="77"/>
  <c r="AI68" i="83"/>
  <c r="X98" i="83"/>
  <c r="C68" i="83"/>
  <c r="R98" i="83"/>
  <c r="Z98" i="83"/>
  <c r="AN98" i="83"/>
  <c r="S68" i="83"/>
  <c r="W98" i="83"/>
  <c r="E98" i="83"/>
  <c r="P68" i="83"/>
  <c r="I98" i="83"/>
  <c r="O98" i="83"/>
  <c r="AD98" i="83"/>
  <c r="J98" i="83"/>
  <c r="K98" i="83"/>
  <c r="J68" i="83"/>
  <c r="AH68" i="83"/>
  <c r="AL98" i="83"/>
  <c r="D98" i="83"/>
  <c r="E68" i="83"/>
  <c r="N68" i="83"/>
  <c r="Z68" i="83"/>
  <c r="AG98" i="83"/>
  <c r="AI98" i="83"/>
  <c r="H98" i="83"/>
  <c r="AJ98" i="83"/>
  <c r="AO68" i="83"/>
  <c r="AG68" i="83"/>
  <c r="AE98" i="83"/>
  <c r="I68" i="83"/>
  <c r="AL68" i="83"/>
  <c r="T98" i="83"/>
  <c r="F98" i="83"/>
  <c r="AB98" i="83"/>
  <c r="R68" i="83"/>
  <c r="C98" i="83"/>
  <c r="AM98" i="83"/>
  <c r="AN68" i="83"/>
  <c r="AD68" i="83"/>
  <c r="O68" i="83"/>
  <c r="AM68" i="83"/>
  <c r="X68" i="83"/>
  <c r="W68" i="83"/>
  <c r="AE68" i="83"/>
  <c r="S98" i="83"/>
  <c r="AJ68" i="83"/>
  <c r="AC68" i="83"/>
  <c r="Y68" i="83"/>
  <c r="M98" i="83"/>
  <c r="AB68" i="83"/>
  <c r="Y98" i="83"/>
  <c r="P98" i="83"/>
  <c r="D68" i="83"/>
  <c r="K68" i="83"/>
  <c r="T68" i="83"/>
  <c r="M68" i="83"/>
  <c r="N98" i="83"/>
  <c r="AO98" i="83"/>
  <c r="AC98" i="83"/>
  <c r="F68" i="83"/>
  <c r="U68" i="83"/>
  <c r="H68" i="83"/>
  <c r="AH98" i="83"/>
  <c r="U98" i="83"/>
  <c r="U62" i="83" l="1"/>
  <c r="AH60" i="83"/>
  <c r="AN60" i="83"/>
  <c r="S58" i="83"/>
  <c r="AO42" i="83"/>
  <c r="R60" i="83"/>
  <c r="S38" i="83"/>
  <c r="I58" i="83"/>
  <c r="E41" i="83"/>
  <c r="AH38" i="83"/>
  <c r="AM62" i="83"/>
  <c r="E50" i="83"/>
  <c r="G37" i="83"/>
  <c r="F51" i="83"/>
  <c r="N60" i="83"/>
  <c r="R58" i="83"/>
  <c r="S56" i="83"/>
  <c r="J38" i="83"/>
  <c r="AD38" i="83"/>
  <c r="K62" i="83"/>
  <c r="AI62" i="83"/>
  <c r="P60" i="83"/>
  <c r="W58" i="83"/>
  <c r="I56" i="83"/>
  <c r="AG62" i="83"/>
  <c r="H60" i="83"/>
  <c r="AH62" i="83"/>
  <c r="AO51" i="83"/>
  <c r="AD60" i="83"/>
  <c r="T56" i="83"/>
  <c r="D50" i="83"/>
  <c r="J62" i="83"/>
  <c r="Y38" i="83"/>
  <c r="AO41" i="83"/>
  <c r="O58" i="83"/>
  <c r="AD62" i="83"/>
  <c r="D51" i="83"/>
  <c r="AO145" i="83"/>
  <c r="AA159" i="83"/>
  <c r="Q159" i="83"/>
  <c r="V159" i="83"/>
  <c r="AK159" i="83"/>
  <c r="AP159" i="83"/>
  <c r="AF159" i="83"/>
  <c r="L159" i="83"/>
  <c r="Q24" i="83"/>
  <c r="Q121" i="83" s="1"/>
  <c r="Q20" i="83"/>
  <c r="AA25" i="83"/>
  <c r="AF25" i="83"/>
  <c r="V25" i="83"/>
  <c r="AF24" i="83"/>
  <c r="AF121" i="83" s="1"/>
  <c r="AK20" i="83"/>
  <c r="AF20" i="83"/>
  <c r="V20" i="83"/>
  <c r="AP20" i="83"/>
  <c r="AA20" i="83"/>
  <c r="Q25" i="83"/>
  <c r="AA24" i="83"/>
  <c r="AA121" i="83" s="1"/>
  <c r="AK24" i="83"/>
  <c r="AK121" i="83" s="1"/>
  <c r="AP25" i="83"/>
  <c r="V24" i="83"/>
  <c r="V121" i="83" s="1"/>
  <c r="AP24" i="83"/>
  <c r="AP121" i="83" s="1"/>
  <c r="AK25" i="83"/>
  <c r="AF132" i="83"/>
  <c r="V132" i="83"/>
  <c r="Q132" i="83"/>
  <c r="AK132" i="83"/>
  <c r="L132" i="83"/>
  <c r="G132" i="83"/>
  <c r="AA132" i="83"/>
  <c r="AP132" i="83"/>
  <c r="G24" i="83"/>
  <c r="G121" i="83" s="1"/>
  <c r="L24" i="83"/>
  <c r="L121" i="83" s="1"/>
  <c r="AF133" i="83"/>
  <c r="Q96" i="83"/>
  <c r="AF137" i="83"/>
  <c r="AK137" i="83"/>
  <c r="G137" i="83"/>
  <c r="AP137" i="83"/>
  <c r="AA137" i="83"/>
  <c r="V134" i="83"/>
  <c r="G133" i="83"/>
  <c r="L137" i="83"/>
  <c r="V137" i="83"/>
  <c r="L133" i="83"/>
  <c r="Q137" i="83"/>
  <c r="AA133" i="83"/>
  <c r="AK133" i="83"/>
  <c r="V133" i="83"/>
  <c r="AP133" i="83"/>
  <c r="Q133" i="83"/>
  <c r="AA96" i="83"/>
  <c r="AA152" i="83"/>
  <c r="Q94" i="83"/>
  <c r="W134" i="83"/>
  <c r="AA134" i="83" s="1"/>
  <c r="AK154" i="83"/>
  <c r="V96" i="83"/>
  <c r="AP94" i="83"/>
  <c r="AF156" i="83"/>
  <c r="L94" i="83"/>
  <c r="AA156" i="83"/>
  <c r="AA154" i="83"/>
  <c r="AK158" i="83"/>
  <c r="V154" i="83"/>
  <c r="AK94" i="83"/>
  <c r="V156" i="83"/>
  <c r="AA94" i="83"/>
  <c r="V158" i="83"/>
  <c r="Q158" i="83"/>
  <c r="AK156" i="83"/>
  <c r="U100" i="83"/>
  <c r="AH100" i="83"/>
  <c r="L68" i="83"/>
  <c r="H69" i="83"/>
  <c r="H9" i="83"/>
  <c r="U69" i="83"/>
  <c r="U9" i="83"/>
  <c r="F9" i="83"/>
  <c r="F69" i="83"/>
  <c r="AC100" i="83"/>
  <c r="AO100" i="83"/>
  <c r="N100" i="83"/>
  <c r="M9" i="83"/>
  <c r="Q68" i="83"/>
  <c r="M69" i="83"/>
  <c r="T69" i="83"/>
  <c r="T9" i="83"/>
  <c r="K9" i="83"/>
  <c r="K69" i="83"/>
  <c r="D69" i="83"/>
  <c r="D9" i="83"/>
  <c r="P100" i="83"/>
  <c r="Y100" i="83"/>
  <c r="AB9" i="83"/>
  <c r="AB69" i="83"/>
  <c r="AF68" i="83"/>
  <c r="Q98" i="83"/>
  <c r="M100" i="83"/>
  <c r="Y69" i="83"/>
  <c r="Y9" i="83"/>
  <c r="AC69" i="83"/>
  <c r="AC9" i="83"/>
  <c r="AJ69" i="83"/>
  <c r="AJ9" i="83"/>
  <c r="S100" i="83"/>
  <c r="AE9" i="83"/>
  <c r="AE69" i="83"/>
  <c r="W9" i="83"/>
  <c r="AA68" i="83"/>
  <c r="W69" i="83"/>
  <c r="X9" i="83"/>
  <c r="X69" i="83"/>
  <c r="AM69" i="83"/>
  <c r="AM9" i="83"/>
  <c r="O69" i="83"/>
  <c r="O9" i="83"/>
  <c r="AD9" i="83"/>
  <c r="AD69" i="83"/>
  <c r="AN69" i="83"/>
  <c r="AN9" i="83"/>
  <c r="AM100" i="83"/>
  <c r="C100" i="83"/>
  <c r="G98" i="83"/>
  <c r="V68" i="83"/>
  <c r="R9" i="83"/>
  <c r="R69" i="83"/>
  <c r="AB100" i="83"/>
  <c r="AF98" i="83"/>
  <c r="F100" i="83"/>
  <c r="T100" i="83"/>
  <c r="AP68" i="83"/>
  <c r="AL69" i="83"/>
  <c r="AL9" i="83"/>
  <c r="I9" i="83"/>
  <c r="I69" i="83"/>
  <c r="AE100" i="83"/>
  <c r="AG9" i="83"/>
  <c r="AK68" i="83"/>
  <c r="AG69" i="83"/>
  <c r="AO69" i="83"/>
  <c r="AO9" i="83"/>
  <c r="AJ100" i="83"/>
  <c r="L98" i="83"/>
  <c r="H100" i="83"/>
  <c r="AI100" i="83"/>
  <c r="AG100" i="83"/>
  <c r="AK98" i="83"/>
  <c r="Z69" i="83"/>
  <c r="Z9" i="83"/>
  <c r="N69" i="83"/>
  <c r="N9" i="83"/>
  <c r="E69" i="83"/>
  <c r="E9" i="83"/>
  <c r="D100" i="83"/>
  <c r="AL100" i="83"/>
  <c r="AP98" i="83"/>
  <c r="AH69" i="83"/>
  <c r="AH9" i="83"/>
  <c r="J9" i="83"/>
  <c r="J69" i="83"/>
  <c r="K100" i="83"/>
  <c r="J100" i="83"/>
  <c r="AD100" i="83"/>
  <c r="O100" i="83"/>
  <c r="I100" i="83"/>
  <c r="P69" i="83"/>
  <c r="P9" i="83"/>
  <c r="E100" i="83"/>
  <c r="W100" i="83"/>
  <c r="AA98" i="83"/>
  <c r="S9" i="83"/>
  <c r="S69" i="83"/>
  <c r="AN100" i="83"/>
  <c r="Z100" i="83"/>
  <c r="R100" i="83"/>
  <c r="V98" i="83"/>
  <c r="C9" i="83"/>
  <c r="C69" i="83"/>
  <c r="G68" i="83"/>
  <c r="X100" i="83"/>
  <c r="AI69" i="83"/>
  <c r="AI9" i="83"/>
  <c r="AB50" i="83"/>
  <c r="AF48" i="83"/>
  <c r="AB49" i="83"/>
  <c r="AP37" i="83"/>
  <c r="AL38" i="83"/>
  <c r="Z40" i="83"/>
  <c r="Z41" i="83"/>
  <c r="U7" i="83"/>
  <c r="AH7" i="83"/>
  <c r="P125" i="83"/>
  <c r="Q125" i="83" s="1"/>
  <c r="AP12" i="83"/>
  <c r="H6" i="83"/>
  <c r="H70" i="83"/>
  <c r="L16" i="83"/>
  <c r="M125" i="83"/>
  <c r="Q12" i="83"/>
  <c r="U6" i="83"/>
  <c r="U70" i="83"/>
  <c r="U75" i="83" s="1"/>
  <c r="F6" i="83"/>
  <c r="F70" i="83"/>
  <c r="F75" i="83" s="1"/>
  <c r="AC7" i="83"/>
  <c r="AE147" i="83"/>
  <c r="AE145" i="83" s="1"/>
  <c r="L156" i="83"/>
  <c r="U147" i="83"/>
  <c r="U145" i="83" s="1"/>
  <c r="AP16" i="83"/>
  <c r="AO7" i="83"/>
  <c r="N7" i="83"/>
  <c r="AG125" i="83"/>
  <c r="AK12" i="83"/>
  <c r="S62" i="83"/>
  <c r="I49" i="83"/>
  <c r="I50" i="83"/>
  <c r="S54" i="83"/>
  <c r="N54" i="83"/>
  <c r="N51" i="83"/>
  <c r="X56" i="83"/>
  <c r="BH6" i="34"/>
  <c r="BW6" i="34" s="1"/>
  <c r="CO6" i="34" s="1"/>
  <c r="DJ6" i="34" s="1"/>
  <c r="BE6" i="34"/>
  <c r="BT6" i="34" s="1"/>
  <c r="AB56" i="83"/>
  <c r="AF55" i="83"/>
  <c r="AG60" i="83"/>
  <c r="H62" i="83"/>
  <c r="J58" i="83"/>
  <c r="J40" i="83"/>
  <c r="J41" i="83"/>
  <c r="Y56" i="83"/>
  <c r="U54" i="83"/>
  <c r="U51" i="83"/>
  <c r="V45" i="83"/>
  <c r="R42" i="83"/>
  <c r="R47" i="83"/>
  <c r="R46" i="83"/>
  <c r="O56" i="83"/>
  <c r="AD42" i="83"/>
  <c r="AD47" i="83"/>
  <c r="AD46" i="83"/>
  <c r="M49" i="83"/>
  <c r="Q48" i="83"/>
  <c r="M50" i="83"/>
  <c r="T51" i="83"/>
  <c r="T54" i="83"/>
  <c r="AC50" i="83"/>
  <c r="AC49" i="83"/>
  <c r="AO62" i="83"/>
  <c r="AJ62" i="83"/>
  <c r="K50" i="83"/>
  <c r="K49" i="83"/>
  <c r="AP39" i="83"/>
  <c r="AL40" i="83"/>
  <c r="AL41" i="83"/>
  <c r="AE50" i="83"/>
  <c r="AE49" i="83"/>
  <c r="AI51" i="83"/>
  <c r="AI54" i="83"/>
  <c r="P49" i="83"/>
  <c r="P50" i="83"/>
  <c r="W60" i="83"/>
  <c r="AE58" i="83"/>
  <c r="Z58" i="83"/>
  <c r="Z38" i="83"/>
  <c r="W125" i="83"/>
  <c r="AA12" i="83"/>
  <c r="AB134" i="83"/>
  <c r="AF134" i="83" s="1"/>
  <c r="R125" i="83"/>
  <c r="V12" i="83"/>
  <c r="AF148" i="83"/>
  <c r="AG147" i="83" s="1"/>
  <c r="AK147" i="83" s="1"/>
  <c r="Y125" i="83"/>
  <c r="AP156" i="83"/>
  <c r="V74" i="83"/>
  <c r="M6" i="83"/>
  <c r="Q67" i="83"/>
  <c r="M70" i="83"/>
  <c r="AK148" i="83"/>
  <c r="AL147" i="83" s="1"/>
  <c r="AP147" i="83" s="1"/>
  <c r="AB125" i="83"/>
  <c r="AF12" i="83"/>
  <c r="T6" i="83"/>
  <c r="T70" i="83"/>
  <c r="K6" i="83"/>
  <c r="K70" i="83"/>
  <c r="D6" i="83"/>
  <c r="D70" i="83"/>
  <c r="D75" i="83" s="1"/>
  <c r="AP74" i="83"/>
  <c r="AA66" i="83"/>
  <c r="H42" i="83"/>
  <c r="L45" i="83"/>
  <c r="H47" i="83"/>
  <c r="H46" i="83"/>
  <c r="AA39" i="83"/>
  <c r="W40" i="83"/>
  <c r="W41" i="83"/>
  <c r="S47" i="83"/>
  <c r="S42" i="83"/>
  <c r="S46" i="83"/>
  <c r="N62" i="83"/>
  <c r="C51" i="83"/>
  <c r="G53" i="83"/>
  <c r="X41" i="83"/>
  <c r="X40" i="83"/>
  <c r="AF37" i="83"/>
  <c r="AB38" i="83"/>
  <c r="AM51" i="83"/>
  <c r="AM54" i="83"/>
  <c r="J47" i="83"/>
  <c r="J42" i="83"/>
  <c r="J46" i="83"/>
  <c r="Y41" i="83"/>
  <c r="Y40" i="83"/>
  <c r="U50" i="83"/>
  <c r="U49" i="83"/>
  <c r="R51" i="83"/>
  <c r="V53" i="83"/>
  <c r="R54" i="83"/>
  <c r="O38" i="83"/>
  <c r="M56" i="83"/>
  <c r="Q55" i="83"/>
  <c r="BF6" i="34"/>
  <c r="BU6" i="34" s="1"/>
  <c r="BI6" i="34"/>
  <c r="BX6" i="34" s="1"/>
  <c r="CP6" i="34" s="1"/>
  <c r="DK6" i="34" s="1"/>
  <c r="AC38" i="83"/>
  <c r="AN62" i="83"/>
  <c r="AO54" i="83"/>
  <c r="AJ51" i="83"/>
  <c r="AJ54" i="83"/>
  <c r="K51" i="83"/>
  <c r="K54" i="83"/>
  <c r="AP45" i="83"/>
  <c r="AL42" i="83"/>
  <c r="AL47" i="83"/>
  <c r="AL46" i="83"/>
  <c r="AE51" i="83"/>
  <c r="AE54" i="83"/>
  <c r="AI50" i="83"/>
  <c r="AI49" i="83"/>
  <c r="P51" i="83"/>
  <c r="P54" i="83"/>
  <c r="AA45" i="83"/>
  <c r="W46" i="83"/>
  <c r="W47" i="83"/>
  <c r="W42" i="83"/>
  <c r="Z62" i="83"/>
  <c r="X147" i="83"/>
  <c r="X145" i="83" s="1"/>
  <c r="S147" i="83"/>
  <c r="S145" i="83" s="1"/>
  <c r="R145" i="83"/>
  <c r="G74" i="83"/>
  <c r="G16" i="83"/>
  <c r="P7" i="83"/>
  <c r="AM125" i="83"/>
  <c r="Y7" i="83"/>
  <c r="AL125" i="83"/>
  <c r="AM147" i="83"/>
  <c r="AM145" i="83" s="1"/>
  <c r="AB6" i="83"/>
  <c r="AF67" i="83"/>
  <c r="AB70" i="83"/>
  <c r="AB75" i="83" s="1"/>
  <c r="AK74" i="83"/>
  <c r="M7" i="83"/>
  <c r="Q97" i="83"/>
  <c r="Y6" i="83"/>
  <c r="Y70" i="83"/>
  <c r="Y75" i="83" s="1"/>
  <c r="AC147" i="83"/>
  <c r="AC145" i="83" s="1"/>
  <c r="H125" i="83"/>
  <c r="L12" i="83"/>
  <c r="L158" i="83"/>
  <c r="AI125" i="83"/>
  <c r="AC6" i="83"/>
  <c r="AC70" i="83"/>
  <c r="Y147" i="83"/>
  <c r="Y145" i="83" s="1"/>
  <c r="AJ6" i="83"/>
  <c r="AJ70" i="83"/>
  <c r="AJ75" i="83" s="1"/>
  <c r="S7" i="83"/>
  <c r="AE6" i="83"/>
  <c r="AE70" i="83"/>
  <c r="AE75" i="83" s="1"/>
  <c r="AH147" i="83"/>
  <c r="AH145" i="83" s="1"/>
  <c r="W6" i="83"/>
  <c r="AA67" i="83"/>
  <c r="W70" i="83"/>
  <c r="AM40" i="83"/>
  <c r="AH41" i="83"/>
  <c r="AH40" i="83"/>
  <c r="S60" i="83"/>
  <c r="X38" i="83"/>
  <c r="Q37" i="83"/>
  <c r="M38" i="83"/>
  <c r="AC40" i="83"/>
  <c r="AC41" i="83"/>
  <c r="AN51" i="83"/>
  <c r="AN54" i="83"/>
  <c r="AO49" i="83"/>
  <c r="AJ50" i="83"/>
  <c r="AJ49" i="83"/>
  <c r="K56" i="83"/>
  <c r="AL60" i="83"/>
  <c r="AI56" i="83"/>
  <c r="P56" i="83"/>
  <c r="W62" i="83"/>
  <c r="Z60" i="83"/>
  <c r="AI147" i="83"/>
  <c r="AI145" i="83" s="1"/>
  <c r="AA148" i="83"/>
  <c r="AB147" i="83" s="1"/>
  <c r="AF147" i="83" s="1"/>
  <c r="X6" i="83"/>
  <c r="X70" i="83"/>
  <c r="X75" i="83" s="1"/>
  <c r="C125" i="83"/>
  <c r="G12" i="83"/>
  <c r="AF66" i="83"/>
  <c r="AM6" i="83"/>
  <c r="AM70" i="83"/>
  <c r="AM75" i="83" s="1"/>
  <c r="V66" i="83"/>
  <c r="O6" i="83"/>
  <c r="O70" i="83"/>
  <c r="AD6" i="83"/>
  <c r="AD70" i="83"/>
  <c r="AD75" i="83" s="1"/>
  <c r="Q66" i="83"/>
  <c r="AF152" i="83"/>
  <c r="AF96" i="83"/>
  <c r="AD147" i="83"/>
  <c r="AD145" i="83" s="1"/>
  <c r="AD125" i="83"/>
  <c r="AN6" i="83"/>
  <c r="AN70" i="83"/>
  <c r="AN75" i="83" s="1"/>
  <c r="F125" i="83"/>
  <c r="G125" i="83" s="1"/>
  <c r="AP152" i="83"/>
  <c r="AK152" i="83"/>
  <c r="AP96" i="83"/>
  <c r="AK96" i="83"/>
  <c r="X51" i="83"/>
  <c r="X54" i="83"/>
  <c r="Y54" i="83"/>
  <c r="Y51" i="83"/>
  <c r="O49" i="83"/>
  <c r="O50" i="83"/>
  <c r="Q53" i="83"/>
  <c r="M54" i="83"/>
  <c r="M51" i="83"/>
  <c r="AG58" i="83"/>
  <c r="AB58" i="83"/>
  <c r="O40" i="83"/>
  <c r="O41" i="83"/>
  <c r="AC58" i="83"/>
  <c r="S51" i="83"/>
  <c r="N56" i="83"/>
  <c r="E51" i="83"/>
  <c r="G55" i="83"/>
  <c r="X47" i="83"/>
  <c r="X46" i="83"/>
  <c r="X42" i="83"/>
  <c r="AF45" i="83"/>
  <c r="AB46" i="83"/>
  <c r="AB42" i="83"/>
  <c r="AB47" i="83"/>
  <c r="AK53" i="83"/>
  <c r="AG51" i="83"/>
  <c r="AG54" i="83"/>
  <c r="AM56" i="83"/>
  <c r="L48" i="83"/>
  <c r="H50" i="83"/>
  <c r="H49" i="83"/>
  <c r="AH50" i="83"/>
  <c r="AH49" i="83"/>
  <c r="J60" i="83"/>
  <c r="Y46" i="83"/>
  <c r="Y47" i="83"/>
  <c r="Y42" i="83"/>
  <c r="V55" i="83"/>
  <c r="R56" i="83"/>
  <c r="O60" i="83"/>
  <c r="AD51" i="83"/>
  <c r="AD54" i="83"/>
  <c r="M58" i="83"/>
  <c r="M40" i="83"/>
  <c r="M41" i="83"/>
  <c r="Q39" i="83"/>
  <c r="F50" i="83"/>
  <c r="T58" i="83"/>
  <c r="T38" i="83"/>
  <c r="AC62" i="83"/>
  <c r="AN47" i="83"/>
  <c r="AN42" i="83"/>
  <c r="AN63" i="83" s="1"/>
  <c r="AN46" i="83"/>
  <c r="AO56" i="83"/>
  <c r="AJ56" i="83"/>
  <c r="K40" i="83"/>
  <c r="K41" i="83"/>
  <c r="AL62" i="83"/>
  <c r="AN38" i="83"/>
  <c r="AI38" i="83"/>
  <c r="P38" i="83"/>
  <c r="AA53" i="83"/>
  <c r="W51" i="83"/>
  <c r="W54" i="83"/>
  <c r="Z46" i="83"/>
  <c r="Z42" i="83"/>
  <c r="Z47" i="83"/>
  <c r="V148" i="83"/>
  <c r="W147" i="83" s="1"/>
  <c r="AA147" i="83" s="1"/>
  <c r="AN125" i="83"/>
  <c r="AE125" i="83"/>
  <c r="AF125" i="83" s="1"/>
  <c r="AM7" i="83"/>
  <c r="D125" i="83"/>
  <c r="G97" i="83"/>
  <c r="C7" i="83"/>
  <c r="AP154" i="83"/>
  <c r="AK66" i="83"/>
  <c r="Q154" i="83"/>
  <c r="V67" i="83"/>
  <c r="R6" i="83"/>
  <c r="R70" i="83"/>
  <c r="R75" i="83" s="1"/>
  <c r="Q16" i="83"/>
  <c r="AF97" i="83"/>
  <c r="AB7" i="83"/>
  <c r="F7" i="83"/>
  <c r="T7" i="83"/>
  <c r="AL6" i="83"/>
  <c r="AP67" i="83"/>
  <c r="AL70" i="83"/>
  <c r="AL75" i="83" s="1"/>
  <c r="T147" i="83"/>
  <c r="T145" i="83" s="1"/>
  <c r="O125" i="83"/>
  <c r="C47" i="83"/>
  <c r="G45" i="83"/>
  <c r="G47" i="83" s="1"/>
  <c r="C42" i="83"/>
  <c r="AO46" i="83"/>
  <c r="AJ47" i="83"/>
  <c r="AJ42" i="83"/>
  <c r="AO43" i="83" s="1"/>
  <c r="AJ46" i="83"/>
  <c r="I40" i="83"/>
  <c r="I41" i="83"/>
  <c r="N49" i="83"/>
  <c r="N50" i="83"/>
  <c r="G48" i="83"/>
  <c r="C50" i="83"/>
  <c r="AM50" i="83"/>
  <c r="AM49" i="83"/>
  <c r="AO44" i="83"/>
  <c r="S50" i="83"/>
  <c r="S49" i="83"/>
  <c r="N41" i="83"/>
  <c r="N40" i="83"/>
  <c r="AO47" i="83"/>
  <c r="X60" i="83"/>
  <c r="AG50" i="83"/>
  <c r="AK48" i="83"/>
  <c r="AG49" i="83"/>
  <c r="L55" i="83"/>
  <c r="H56" i="83"/>
  <c r="AH51" i="83"/>
  <c r="AH54" i="83"/>
  <c r="J49" i="83"/>
  <c r="J50" i="83"/>
  <c r="U41" i="83"/>
  <c r="U40" i="83"/>
  <c r="V39" i="83"/>
  <c r="R40" i="83"/>
  <c r="R41" i="83"/>
  <c r="O62" i="83"/>
  <c r="AD50" i="83"/>
  <c r="AD49" i="83"/>
  <c r="M42" i="83"/>
  <c r="M46" i="83"/>
  <c r="Q45" i="83"/>
  <c r="M47" i="83"/>
  <c r="T62" i="83"/>
  <c r="AC56" i="83"/>
  <c r="AN50" i="83"/>
  <c r="AN49" i="83"/>
  <c r="AO38" i="83"/>
  <c r="AJ38" i="83"/>
  <c r="K58" i="83"/>
  <c r="K38" i="83"/>
  <c r="AP48" i="83"/>
  <c r="AL50" i="83"/>
  <c r="AL49" i="83"/>
  <c r="AE41" i="83"/>
  <c r="AE40" i="83"/>
  <c r="AN58" i="83"/>
  <c r="AI58" i="83"/>
  <c r="AN40" i="83"/>
  <c r="AI40" i="83"/>
  <c r="AI41" i="83"/>
  <c r="P58" i="83"/>
  <c r="P41" i="83"/>
  <c r="P40" i="83"/>
  <c r="W50" i="83"/>
  <c r="W49" i="83"/>
  <c r="AA48" i="83"/>
  <c r="Z50" i="83"/>
  <c r="Z49" i="83"/>
  <c r="AA158" i="83"/>
  <c r="I6" i="83"/>
  <c r="I70" i="83"/>
  <c r="Z125" i="83"/>
  <c r="AA125" i="83" s="1"/>
  <c r="AE7" i="83"/>
  <c r="AP158" i="83"/>
  <c r="AF16" i="83"/>
  <c r="AG6" i="83"/>
  <c r="AK67" i="83"/>
  <c r="AG70" i="83"/>
  <c r="AG75" i="83" s="1"/>
  <c r="AK16" i="83"/>
  <c r="AO6" i="83"/>
  <c r="AO70" i="83"/>
  <c r="AO75" i="83" s="1"/>
  <c r="K125" i="83"/>
  <c r="L125" i="83" s="1"/>
  <c r="AJ7" i="83"/>
  <c r="AF94" i="83"/>
  <c r="AF158" i="83"/>
  <c r="H7" i="83"/>
  <c r="L97" i="83"/>
  <c r="AI7" i="83"/>
  <c r="X125" i="83"/>
  <c r="AG7" i="83"/>
  <c r="AK97" i="83"/>
  <c r="I125" i="83"/>
  <c r="AA16" i="83"/>
  <c r="Z6" i="83"/>
  <c r="Z70" i="83"/>
  <c r="Z75" i="83" s="1"/>
  <c r="E125" i="83"/>
  <c r="CX6" i="34"/>
  <c r="DS6" i="34" s="1"/>
  <c r="CU6" i="34"/>
  <c r="DP6" i="34" s="1"/>
  <c r="AG38" i="83"/>
  <c r="AK37" i="83"/>
  <c r="AO63" i="83"/>
  <c r="AC54" i="83"/>
  <c r="AC51" i="83"/>
  <c r="X58" i="83"/>
  <c r="AK45" i="83"/>
  <c r="AG47" i="83"/>
  <c r="AG42" i="83"/>
  <c r="AG46" i="83"/>
  <c r="H54" i="83"/>
  <c r="H51" i="83"/>
  <c r="V48" i="83"/>
  <c r="R50" i="83"/>
  <c r="R49" i="83"/>
  <c r="F42" i="83"/>
  <c r="F47" i="83"/>
  <c r="L53" i="83"/>
  <c r="I54" i="83"/>
  <c r="I51" i="83"/>
  <c r="I52" i="83" s="1"/>
  <c r="N58" i="83"/>
  <c r="N38" i="83"/>
  <c r="C41" i="83"/>
  <c r="G39" i="83"/>
  <c r="X62" i="83"/>
  <c r="AK55" i="83"/>
  <c r="AG56" i="83"/>
  <c r="AM58" i="83"/>
  <c r="AM41" i="83"/>
  <c r="H41" i="83"/>
  <c r="H40" i="83"/>
  <c r="L39" i="83"/>
  <c r="L40" i="83" s="1"/>
  <c r="J51" i="83"/>
  <c r="J54" i="83"/>
  <c r="AO50" i="83"/>
  <c r="U47" i="83"/>
  <c r="U42" i="83"/>
  <c r="U46" i="83"/>
  <c r="V37" i="83"/>
  <c r="R38" i="83"/>
  <c r="O42" i="83"/>
  <c r="O46" i="83"/>
  <c r="O47" i="83"/>
  <c r="AD56" i="83"/>
  <c r="M60" i="83"/>
  <c r="T42" i="83"/>
  <c r="T46" i="83"/>
  <c r="T47" i="83"/>
  <c r="AC60" i="83"/>
  <c r="AO58" i="83"/>
  <c r="AJ58" i="83"/>
  <c r="AO40" i="83"/>
  <c r="AJ41" i="83"/>
  <c r="AJ40" i="83"/>
  <c r="K42" i="83"/>
  <c r="K47" i="83"/>
  <c r="K46" i="83"/>
  <c r="D41" i="83"/>
  <c r="AP53" i="83"/>
  <c r="AL51" i="83"/>
  <c r="AL54" i="83"/>
  <c r="AE42" i="83"/>
  <c r="AE47" i="83"/>
  <c r="AE46" i="83"/>
  <c r="AI60" i="83"/>
  <c r="P62" i="83"/>
  <c r="W56" i="83"/>
  <c r="AA55" i="83"/>
  <c r="Z51" i="83"/>
  <c r="Z54" i="83"/>
  <c r="AH125" i="83"/>
  <c r="N70" i="83"/>
  <c r="N6" i="83"/>
  <c r="E6" i="83"/>
  <c r="E70" i="83"/>
  <c r="E75" i="83" s="1"/>
  <c r="V94" i="83"/>
  <c r="Z147" i="83"/>
  <c r="Z145" i="83" s="1"/>
  <c r="D7" i="83"/>
  <c r="AL7" i="83"/>
  <c r="AP97" i="83"/>
  <c r="L67" i="83"/>
  <c r="L66" i="83"/>
  <c r="AH6" i="83"/>
  <c r="AH70" i="83"/>
  <c r="AH75" i="83" s="1"/>
  <c r="J6" i="83"/>
  <c r="J70" i="83"/>
  <c r="K7" i="83"/>
  <c r="J7" i="83"/>
  <c r="AL134" i="83"/>
  <c r="AP134" i="83" s="1"/>
  <c r="AD7" i="83"/>
  <c r="L96" i="83"/>
  <c r="L154" i="83"/>
  <c r="AP66" i="83"/>
  <c r="O7" i="83"/>
  <c r="I7" i="83"/>
  <c r="P6" i="83"/>
  <c r="P70" i="83"/>
  <c r="AA74" i="83"/>
  <c r="E7" i="83"/>
  <c r="E42" i="83"/>
  <c r="E47" i="83"/>
  <c r="T49" i="83"/>
  <c r="T50" i="83"/>
  <c r="AB41" i="83"/>
  <c r="AF39" i="83"/>
  <c r="AB40" i="83"/>
  <c r="AH47" i="83"/>
  <c r="AH42" i="83"/>
  <c r="AH46" i="83"/>
  <c r="AD58" i="83"/>
  <c r="Y58" i="83"/>
  <c r="T41" i="83"/>
  <c r="T40" i="83"/>
  <c r="S41" i="83"/>
  <c r="S40" i="83"/>
  <c r="I47" i="83"/>
  <c r="I42" i="83"/>
  <c r="I46" i="83"/>
  <c r="N42" i="83"/>
  <c r="N47" i="83"/>
  <c r="N46" i="83"/>
  <c r="X49" i="83"/>
  <c r="X50" i="83"/>
  <c r="AF53" i="83"/>
  <c r="AB54" i="83"/>
  <c r="AB51" i="83"/>
  <c r="AG41" i="83"/>
  <c r="AG40" i="83"/>
  <c r="AK39" i="83"/>
  <c r="AM42" i="83"/>
  <c r="AM47" i="83"/>
  <c r="AM46" i="83"/>
  <c r="H58" i="83"/>
  <c r="L37" i="83"/>
  <c r="L38" i="83" s="1"/>
  <c r="H38" i="83"/>
  <c r="J56" i="83"/>
  <c r="Y50" i="83"/>
  <c r="Y49" i="83"/>
  <c r="O51" i="83"/>
  <c r="O54" i="83"/>
  <c r="AD40" i="83"/>
  <c r="AD41" i="83"/>
  <c r="M62" i="83"/>
  <c r="T60" i="83"/>
  <c r="AC47" i="83"/>
  <c r="AC42" i="83"/>
  <c r="AC63" i="83" s="1"/>
  <c r="AC46" i="83"/>
  <c r="CY6" i="34"/>
  <c r="DT6" i="34" s="1"/>
  <c r="CV6" i="34"/>
  <c r="DQ6" i="34" s="1"/>
  <c r="AN41" i="83"/>
  <c r="AO60" i="83"/>
  <c r="AJ60" i="83"/>
  <c r="K60" i="83"/>
  <c r="D42" i="83"/>
  <c r="D47" i="83"/>
  <c r="AP55" i="83"/>
  <c r="AL56" i="83"/>
  <c r="AE62" i="83"/>
  <c r="AI42" i="83"/>
  <c r="AI47" i="83"/>
  <c r="AI46" i="83"/>
  <c r="P47" i="83"/>
  <c r="P42" i="83"/>
  <c r="P46" i="83"/>
  <c r="AA37" i="83"/>
  <c r="W38" i="83"/>
  <c r="Z56" i="83"/>
  <c r="U125" i="83"/>
  <c r="V125" i="83" s="1"/>
  <c r="W7" i="83"/>
  <c r="AA97" i="83"/>
  <c r="S6" i="83"/>
  <c r="S70" i="83"/>
  <c r="AN7" i="83"/>
  <c r="Z7" i="83"/>
  <c r="R7" i="83"/>
  <c r="V97" i="83"/>
  <c r="C6" i="83"/>
  <c r="G67" i="83"/>
  <c r="C70" i="83"/>
  <c r="C75" i="83" s="1"/>
  <c r="AG134" i="83"/>
  <c r="AK134" i="83" s="1"/>
  <c r="AN147" i="83"/>
  <c r="AN145" i="83" s="1"/>
  <c r="AF74" i="83"/>
  <c r="Q156" i="83"/>
  <c r="V16" i="83"/>
  <c r="AF154" i="83"/>
  <c r="AJ147" i="83"/>
  <c r="AJ145" i="83" s="1"/>
  <c r="X7" i="83"/>
  <c r="AO125" i="83"/>
  <c r="AP125" i="83" s="1"/>
  <c r="N125" i="83"/>
  <c r="S125" i="83"/>
  <c r="AI6" i="83"/>
  <c r="AI70" i="83"/>
  <c r="AI75" i="83" s="1"/>
  <c r="L41" i="83" l="1"/>
  <c r="AA38" i="83"/>
  <c r="K52" i="83"/>
  <c r="V38" i="83"/>
  <c r="Z52" i="83"/>
  <c r="AP61" i="83"/>
  <c r="O52" i="83"/>
  <c r="AI52" i="83"/>
  <c r="V41" i="83"/>
  <c r="AH52" i="83"/>
  <c r="G50" i="83"/>
  <c r="AA54" i="83"/>
  <c r="U52" i="83"/>
  <c r="Q41" i="83"/>
  <c r="Q56" i="83"/>
  <c r="G41" i="83"/>
  <c r="L56" i="83"/>
  <c r="AA41" i="83"/>
  <c r="AC52" i="83"/>
  <c r="N52" i="83"/>
  <c r="AH8" i="83"/>
  <c r="AH119" i="83" s="1"/>
  <c r="AI8" i="83"/>
  <c r="AI10" i="83" s="1"/>
  <c r="G7" i="83"/>
  <c r="AA7" i="83"/>
  <c r="L7" i="83"/>
  <c r="Q7" i="83"/>
  <c r="V7" i="83"/>
  <c r="AP7" i="83"/>
  <c r="AF7" i="83"/>
  <c r="AO8" i="83"/>
  <c r="AO119" i="83" s="1"/>
  <c r="AP119" i="83" s="1"/>
  <c r="Y8" i="83"/>
  <c r="Y119" i="83" s="1"/>
  <c r="U8" i="83"/>
  <c r="U119" i="83" s="1"/>
  <c r="V119" i="83" s="1"/>
  <c r="AE8" i="83"/>
  <c r="AE10" i="83" s="1"/>
  <c r="E8" i="83"/>
  <c r="E10" i="83" s="1"/>
  <c r="AD8" i="83"/>
  <c r="AD119" i="83" s="1"/>
  <c r="AJ8" i="83"/>
  <c r="AJ119" i="83" s="1"/>
  <c r="AK119" i="83" s="1"/>
  <c r="Z8" i="83"/>
  <c r="Z11" i="83" s="1"/>
  <c r="I8" i="83"/>
  <c r="I119" i="83" s="1"/>
  <c r="N8" i="83"/>
  <c r="N119" i="83" s="1"/>
  <c r="AN8" i="83"/>
  <c r="AN10" i="83" s="1"/>
  <c r="D8" i="83"/>
  <c r="D10" i="83" s="1"/>
  <c r="O8" i="83"/>
  <c r="O11" i="83" s="1"/>
  <c r="F8" i="83"/>
  <c r="F11" i="83" s="1"/>
  <c r="K8" i="83"/>
  <c r="K10" i="83" s="1"/>
  <c r="S8" i="83"/>
  <c r="S119" i="83" s="1"/>
  <c r="AC8" i="83"/>
  <c r="AC10" i="83" s="1"/>
  <c r="P8" i="83"/>
  <c r="P10" i="83" s="1"/>
  <c r="AM8" i="83"/>
  <c r="AM119" i="83" s="1"/>
  <c r="T8" i="83"/>
  <c r="T10" i="83" s="1"/>
  <c r="X8" i="83"/>
  <c r="X119" i="83" s="1"/>
  <c r="J8" i="83"/>
  <c r="J119" i="83" s="1"/>
  <c r="AA69" i="83"/>
  <c r="AK69" i="83"/>
  <c r="AB145" i="83"/>
  <c r="L69" i="83"/>
  <c r="AK7" i="83"/>
  <c r="AG145" i="83"/>
  <c r="AF69" i="83"/>
  <c r="F44" i="83"/>
  <c r="F63" i="83"/>
  <c r="AH44" i="83"/>
  <c r="AH43" i="83"/>
  <c r="AH63" i="83"/>
  <c r="C8" i="83"/>
  <c r="C10" i="83" s="1"/>
  <c r="G6" i="83"/>
  <c r="U44" i="83"/>
  <c r="U43" i="83"/>
  <c r="U63" i="83"/>
  <c r="G42" i="83"/>
  <c r="C44" i="83"/>
  <c r="C63" i="83"/>
  <c r="AD73" i="83"/>
  <c r="AD76" i="83"/>
  <c r="AD79" i="83"/>
  <c r="AE52" i="83"/>
  <c r="U73" i="83"/>
  <c r="U76" i="83"/>
  <c r="U79" i="83"/>
  <c r="AE113" i="83"/>
  <c r="AE99" i="83"/>
  <c r="AE104" i="83"/>
  <c r="AE102" i="83"/>
  <c r="AH102" i="83"/>
  <c r="AH99" i="83"/>
  <c r="AH113" i="83"/>
  <c r="AH104" i="83"/>
  <c r="D44" i="83"/>
  <c r="D63" i="83"/>
  <c r="AC44" i="83"/>
  <c r="AC43" i="83"/>
  <c r="E73" i="83"/>
  <c r="E76" i="83"/>
  <c r="E79" i="83"/>
  <c r="AA56" i="83"/>
  <c r="AA61" i="83"/>
  <c r="AP51" i="83"/>
  <c r="AL52" i="83"/>
  <c r="V61" i="83"/>
  <c r="V50" i="83"/>
  <c r="V49" i="83"/>
  <c r="V40" i="83"/>
  <c r="Z43" i="83"/>
  <c r="Z44" i="83"/>
  <c r="Z63" i="83"/>
  <c r="AK51" i="83"/>
  <c r="AG52" i="83"/>
  <c r="AN52" i="83"/>
  <c r="AE76" i="83"/>
  <c r="AE73" i="83"/>
  <c r="AE79" i="83"/>
  <c r="AC75" i="83"/>
  <c r="AC76" i="83"/>
  <c r="AC73" i="83"/>
  <c r="AC79" i="83"/>
  <c r="AB76" i="83"/>
  <c r="AB73" i="83"/>
  <c r="AF70" i="83"/>
  <c r="AB79" i="83"/>
  <c r="J43" i="83"/>
  <c r="J44" i="83"/>
  <c r="J63" i="83"/>
  <c r="G59" i="83"/>
  <c r="AA40" i="83"/>
  <c r="AF56" i="83"/>
  <c r="AF61" i="83"/>
  <c r="R102" i="83"/>
  <c r="R113" i="83"/>
  <c r="V100" i="83"/>
  <c r="R99" i="83"/>
  <c r="R104" i="83"/>
  <c r="AF100" i="83"/>
  <c r="AB113" i="83"/>
  <c r="AB99" i="83"/>
  <c r="AB102" i="83"/>
  <c r="AB104" i="83"/>
  <c r="U102" i="83"/>
  <c r="U99" i="83"/>
  <c r="U113" i="83"/>
  <c r="U104" i="83"/>
  <c r="AP40" i="83"/>
  <c r="AK40" i="83"/>
  <c r="AF40" i="83"/>
  <c r="H52" i="83"/>
  <c r="L51" i="83"/>
  <c r="AO76" i="83"/>
  <c r="AO73" i="83"/>
  <c r="AO79" i="83"/>
  <c r="AG8" i="83"/>
  <c r="AG11" i="83" s="1"/>
  <c r="AK6" i="83"/>
  <c r="I75" i="83"/>
  <c r="I73" i="83"/>
  <c r="I76" i="83"/>
  <c r="I79" i="83"/>
  <c r="AL8" i="83"/>
  <c r="AL10" i="83" s="1"/>
  <c r="AP6" i="83"/>
  <c r="V70" i="83"/>
  <c r="V75" i="83" s="1"/>
  <c r="R76" i="83"/>
  <c r="R73" i="83"/>
  <c r="R79" i="83"/>
  <c r="AD52" i="83"/>
  <c r="AP54" i="83"/>
  <c r="AK59" i="83"/>
  <c r="AK54" i="83"/>
  <c r="G61" i="83"/>
  <c r="O76" i="83"/>
  <c r="O75" i="83"/>
  <c r="O73" i="83"/>
  <c r="O79" i="83"/>
  <c r="Y73" i="83"/>
  <c r="Y76" i="83"/>
  <c r="Y79" i="83"/>
  <c r="AA59" i="83"/>
  <c r="AA46" i="83"/>
  <c r="AA47" i="83"/>
  <c r="G51" i="83"/>
  <c r="Z113" i="83"/>
  <c r="Z99" i="83"/>
  <c r="Z104" i="83"/>
  <c r="Z102" i="83"/>
  <c r="AJ104" i="83"/>
  <c r="AJ113" i="83"/>
  <c r="AJ99" i="83"/>
  <c r="AJ102" i="83"/>
  <c r="AF9" i="83"/>
  <c r="AE44" i="83"/>
  <c r="AE43" i="83"/>
  <c r="AE63" i="83"/>
  <c r="AP46" i="83"/>
  <c r="AK47" i="83"/>
  <c r="AK46" i="83"/>
  <c r="AN44" i="83"/>
  <c r="AQ42" i="83"/>
  <c r="AN43" i="83"/>
  <c r="P73" i="83"/>
  <c r="P75" i="83"/>
  <c r="P76" i="83"/>
  <c r="P79" i="83"/>
  <c r="E44" i="83"/>
  <c r="E63" i="83"/>
  <c r="AP50" i="83"/>
  <c r="AP49" i="83"/>
  <c r="X79" i="83"/>
  <c r="X73" i="83"/>
  <c r="X76" i="83"/>
  <c r="AA50" i="83"/>
  <c r="AA49" i="83"/>
  <c r="H8" i="83"/>
  <c r="H11" i="83" s="1"/>
  <c r="L6" i="83"/>
  <c r="AF49" i="83"/>
  <c r="AF50" i="83"/>
  <c r="H99" i="83"/>
  <c r="H113" i="83"/>
  <c r="L100" i="83"/>
  <c r="H104" i="83"/>
  <c r="H102" i="83"/>
  <c r="AC113" i="83"/>
  <c r="AC99" i="83"/>
  <c r="AC104" i="83"/>
  <c r="AC102" i="83"/>
  <c r="AF41" i="83"/>
  <c r="J79" i="83"/>
  <c r="J73" i="83"/>
  <c r="J76" i="83"/>
  <c r="J75" i="83"/>
  <c r="AP56" i="83"/>
  <c r="AK61" i="83"/>
  <c r="AK56" i="83"/>
  <c r="Z73" i="83"/>
  <c r="Z76" i="83"/>
  <c r="Z79" i="83"/>
  <c r="M44" i="83"/>
  <c r="Q42" i="83"/>
  <c r="M43" i="83"/>
  <c r="M63" i="83"/>
  <c r="AK50" i="83"/>
  <c r="AK49" i="83"/>
  <c r="V6" i="83"/>
  <c r="R8" i="83"/>
  <c r="R10" i="83" s="1"/>
  <c r="AA70" i="83"/>
  <c r="AA75" i="83" s="1"/>
  <c r="W76" i="83"/>
  <c r="W73" i="83"/>
  <c r="W79" i="83"/>
  <c r="AF6" i="83"/>
  <c r="AB8" i="83"/>
  <c r="AP42" i="83"/>
  <c r="AL44" i="83"/>
  <c r="AL43" i="83"/>
  <c r="AL63" i="83"/>
  <c r="V51" i="83"/>
  <c r="T75" i="83"/>
  <c r="T76" i="83"/>
  <c r="T73" i="83"/>
  <c r="T79" i="83"/>
  <c r="M75" i="83"/>
  <c r="M73" i="83"/>
  <c r="M76" i="83"/>
  <c r="Q70" i="83"/>
  <c r="M79" i="83"/>
  <c r="AP41" i="83"/>
  <c r="AD44" i="83"/>
  <c r="AD43" i="83"/>
  <c r="AD63" i="83"/>
  <c r="CI6" i="34"/>
  <c r="DD6" i="34" s="1"/>
  <c r="CL6" i="34"/>
  <c r="DG6" i="34" s="1"/>
  <c r="EB6" i="34" s="1"/>
  <c r="AN99" i="83"/>
  <c r="AN113" i="83"/>
  <c r="AN104" i="83"/>
  <c r="AN102" i="83"/>
  <c r="I104" i="83"/>
  <c r="I99" i="83"/>
  <c r="I113" i="83"/>
  <c r="I102" i="83"/>
  <c r="AP9" i="83"/>
  <c r="V9" i="83"/>
  <c r="Y99" i="83"/>
  <c r="Y113" i="83"/>
  <c r="Y104" i="83"/>
  <c r="Y102" i="83"/>
  <c r="AI44" i="83"/>
  <c r="AI43" i="83"/>
  <c r="AI63" i="83"/>
  <c r="AK41" i="83"/>
  <c r="N44" i="83"/>
  <c r="N43" i="83"/>
  <c r="N63" i="83"/>
  <c r="W75" i="83"/>
  <c r="N75" i="83"/>
  <c r="N73" i="83"/>
  <c r="N76" i="83"/>
  <c r="N79" i="83"/>
  <c r="O43" i="83"/>
  <c r="O44" i="83"/>
  <c r="O63" i="83"/>
  <c r="J52" i="83"/>
  <c r="L54" i="83"/>
  <c r="W52" i="83"/>
  <c r="AA51" i="83"/>
  <c r="AA52" i="83" s="1"/>
  <c r="AF42" i="83"/>
  <c r="AB44" i="83"/>
  <c r="AB43" i="83"/>
  <c r="AB63" i="83"/>
  <c r="R52" i="83"/>
  <c r="M52" i="83"/>
  <c r="Q51" i="83"/>
  <c r="X52" i="83"/>
  <c r="AL145" i="83"/>
  <c r="W145" i="83"/>
  <c r="P52" i="83"/>
  <c r="AP59" i="83"/>
  <c r="AP47" i="83"/>
  <c r="AM52" i="83"/>
  <c r="F73" i="83"/>
  <c r="F76" i="83"/>
  <c r="F79" i="83"/>
  <c r="X113" i="83"/>
  <c r="X99" i="83"/>
  <c r="X102" i="83"/>
  <c r="X104" i="83"/>
  <c r="O102" i="83"/>
  <c r="O99" i="83"/>
  <c r="O113" i="83"/>
  <c r="O104" i="83"/>
  <c r="V69" i="83"/>
  <c r="AA9" i="83"/>
  <c r="P99" i="83"/>
  <c r="P113" i="83"/>
  <c r="P102" i="83"/>
  <c r="P104" i="83"/>
  <c r="Q69" i="83"/>
  <c r="K43" i="83"/>
  <c r="K44" i="83"/>
  <c r="K63" i="83"/>
  <c r="AI76" i="83"/>
  <c r="AI73" i="83"/>
  <c r="AI79" i="83"/>
  <c r="AB52" i="83"/>
  <c r="AF51" i="83"/>
  <c r="AH79" i="83"/>
  <c r="AH76" i="83"/>
  <c r="AH73" i="83"/>
  <c r="AK42" i="83"/>
  <c r="AG44" i="83"/>
  <c r="AG43" i="83"/>
  <c r="AG63" i="83"/>
  <c r="AP38" i="83"/>
  <c r="AK38" i="83"/>
  <c r="AJ44" i="83"/>
  <c r="AJ43" i="83"/>
  <c r="AJ63" i="83"/>
  <c r="Q40" i="83"/>
  <c r="V56" i="83"/>
  <c r="S52" i="83"/>
  <c r="AN73" i="83"/>
  <c r="AN76" i="83"/>
  <c r="AN79" i="83"/>
  <c r="Q38" i="83"/>
  <c r="W8" i="83"/>
  <c r="W10" i="83" s="1"/>
  <c r="AA6" i="83"/>
  <c r="AJ76" i="83"/>
  <c r="AJ73" i="83"/>
  <c r="AJ79" i="83"/>
  <c r="CJ6" i="34"/>
  <c r="DE6" i="34" s="1"/>
  <c r="CM6" i="34"/>
  <c r="DH6" i="34" s="1"/>
  <c r="EC6" i="34" s="1"/>
  <c r="S44" i="83"/>
  <c r="S43" i="83"/>
  <c r="S63" i="83"/>
  <c r="L59" i="83"/>
  <c r="L47" i="83"/>
  <c r="L46" i="83"/>
  <c r="M8" i="83"/>
  <c r="Q6" i="83"/>
  <c r="T52" i="83"/>
  <c r="G69" i="83"/>
  <c r="AD113" i="83"/>
  <c r="AD99" i="83"/>
  <c r="AD104" i="83"/>
  <c r="AD102" i="83"/>
  <c r="AL99" i="83"/>
  <c r="AL113" i="83"/>
  <c r="AP100" i="83"/>
  <c r="AL102" i="83"/>
  <c r="AL104" i="83"/>
  <c r="AP69" i="83"/>
  <c r="Q9" i="83"/>
  <c r="L9" i="83"/>
  <c r="S76" i="83"/>
  <c r="S73" i="83"/>
  <c r="S79" i="83"/>
  <c r="I43" i="83"/>
  <c r="I44" i="83"/>
  <c r="I63" i="83"/>
  <c r="Y43" i="83"/>
  <c r="Y44" i="83"/>
  <c r="Y63" i="83"/>
  <c r="L61" i="83"/>
  <c r="L49" i="83"/>
  <c r="L50" i="83"/>
  <c r="AF46" i="83"/>
  <c r="AF47" i="83"/>
  <c r="V54" i="83"/>
  <c r="Q54" i="83"/>
  <c r="Q59" i="83"/>
  <c r="AF38" i="83"/>
  <c r="H43" i="83"/>
  <c r="L42" i="83"/>
  <c r="H44" i="83"/>
  <c r="H63" i="83"/>
  <c r="J113" i="83"/>
  <c r="J99" i="83"/>
  <c r="J104" i="83"/>
  <c r="J102" i="83"/>
  <c r="D113" i="83"/>
  <c r="D99" i="83"/>
  <c r="D104" i="83"/>
  <c r="D102" i="83"/>
  <c r="AG113" i="83"/>
  <c r="AK100" i="83"/>
  <c r="AG99" i="83"/>
  <c r="AG102" i="83"/>
  <c r="AG104" i="83"/>
  <c r="T113" i="83"/>
  <c r="T99" i="83"/>
  <c r="T104" i="83"/>
  <c r="T102" i="83"/>
  <c r="C113" i="83"/>
  <c r="C99" i="83"/>
  <c r="G100" i="83"/>
  <c r="C104" i="83"/>
  <c r="C102" i="83"/>
  <c r="M99" i="83"/>
  <c r="M113" i="83"/>
  <c r="Q100" i="83"/>
  <c r="M102" i="83"/>
  <c r="M104" i="83"/>
  <c r="N99" i="83"/>
  <c r="N113" i="83"/>
  <c r="N102" i="83"/>
  <c r="N104" i="83"/>
  <c r="AF54" i="83"/>
  <c r="AF59" i="83"/>
  <c r="AF60" i="83" s="1"/>
  <c r="X44" i="83"/>
  <c r="X43" i="83"/>
  <c r="X63" i="83"/>
  <c r="AM73" i="83"/>
  <c r="AM76" i="83"/>
  <c r="AM79" i="83"/>
  <c r="W43" i="83"/>
  <c r="AA42" i="83"/>
  <c r="W44" i="83"/>
  <c r="W63" i="83"/>
  <c r="D79" i="83"/>
  <c r="D76" i="83"/>
  <c r="D73" i="83"/>
  <c r="Q61" i="83"/>
  <c r="Q49" i="83"/>
  <c r="Q50" i="83"/>
  <c r="R44" i="83"/>
  <c r="V42" i="83"/>
  <c r="R43" i="83"/>
  <c r="R63" i="83"/>
  <c r="H76" i="83"/>
  <c r="H73" i="83"/>
  <c r="L70" i="83"/>
  <c r="H75" i="83"/>
  <c r="H79" i="83"/>
  <c r="G9" i="83"/>
  <c r="W113" i="83"/>
  <c r="W99" i="83"/>
  <c r="AA100" i="83"/>
  <c r="W102" i="83"/>
  <c r="W104" i="83"/>
  <c r="K99" i="83"/>
  <c r="K113" i="83"/>
  <c r="K104" i="83"/>
  <c r="K102" i="83"/>
  <c r="AI113" i="83"/>
  <c r="AI99" i="83"/>
  <c r="AI104" i="83"/>
  <c r="AI102" i="83"/>
  <c r="AK9" i="83"/>
  <c r="F113" i="83"/>
  <c r="F99" i="83"/>
  <c r="F104" i="83"/>
  <c r="F102" i="83"/>
  <c r="AM102" i="83"/>
  <c r="AM113" i="83"/>
  <c r="AM99" i="83"/>
  <c r="AM104" i="83"/>
  <c r="S113" i="83"/>
  <c r="S99" i="83"/>
  <c r="S102" i="83"/>
  <c r="S104" i="83"/>
  <c r="AO113" i="83"/>
  <c r="AO99" i="83"/>
  <c r="AO102" i="83"/>
  <c r="AO104" i="83"/>
  <c r="C73" i="83"/>
  <c r="G70" i="83"/>
  <c r="C76" i="83"/>
  <c r="C79" i="83"/>
  <c r="T43" i="83"/>
  <c r="T44" i="83"/>
  <c r="T63" i="83"/>
  <c r="P44" i="83"/>
  <c r="P43" i="83"/>
  <c r="P63" i="83"/>
  <c r="AG79" i="83"/>
  <c r="AG73" i="83"/>
  <c r="AG76" i="83"/>
  <c r="AK70" i="83"/>
  <c r="E104" i="83"/>
  <c r="E99" i="83"/>
  <c r="E113" i="83"/>
  <c r="E102" i="83"/>
  <c r="G57" i="83"/>
  <c r="AL76" i="83"/>
  <c r="AP70" i="83"/>
  <c r="AP75" i="83" s="1"/>
  <c r="AL73" i="83"/>
  <c r="AL79" i="83"/>
  <c r="AO52" i="83"/>
  <c r="AJ52" i="83"/>
  <c r="V59" i="83"/>
  <c r="V60" i="83" s="1"/>
  <c r="V47" i="83"/>
  <c r="S75" i="83"/>
  <c r="AM44" i="83"/>
  <c r="AM43" i="83"/>
  <c r="AM63" i="83"/>
  <c r="V46" i="83"/>
  <c r="Q46" i="83"/>
  <c r="Q47" i="83"/>
  <c r="Y52" i="83"/>
  <c r="K73" i="83"/>
  <c r="K76" i="83"/>
  <c r="K75" i="83"/>
  <c r="K79" i="83"/>
  <c r="AE115" i="83"/>
  <c r="H115" i="83"/>
  <c r="AN115" i="83"/>
  <c r="AL115" i="83"/>
  <c r="AG115" i="83"/>
  <c r="F115" i="83"/>
  <c r="E115" i="83"/>
  <c r="O115" i="83"/>
  <c r="M115" i="83"/>
  <c r="J115" i="83"/>
  <c r="W115" i="83"/>
  <c r="P115" i="83"/>
  <c r="C115" i="83"/>
  <c r="R115" i="83"/>
  <c r="X115" i="83"/>
  <c r="AD115" i="83"/>
  <c r="T115" i="83"/>
  <c r="AB115" i="83"/>
  <c r="AC115" i="83"/>
  <c r="D115" i="83"/>
  <c r="AO115" i="83"/>
  <c r="U115" i="83"/>
  <c r="AJ115" i="83"/>
  <c r="I115" i="83"/>
  <c r="AM115" i="83"/>
  <c r="AH115" i="83"/>
  <c r="Z115" i="83"/>
  <c r="Y115" i="83"/>
  <c r="N115" i="83"/>
  <c r="K115" i="83"/>
  <c r="S115" i="83"/>
  <c r="AI115" i="83"/>
  <c r="Q62" i="83" l="1"/>
  <c r="AA62" i="83"/>
  <c r="AP57" i="83"/>
  <c r="AP63" i="83" s="1"/>
  <c r="AF62" i="83"/>
  <c r="L62" i="83"/>
  <c r="AN11" i="83"/>
  <c r="AN17" i="83" s="1"/>
  <c r="AI11" i="83"/>
  <c r="AI17" i="83" s="1"/>
  <c r="AI119" i="83"/>
  <c r="N11" i="83"/>
  <c r="N14" i="83" s="1"/>
  <c r="E11" i="83"/>
  <c r="E17" i="83" s="1"/>
  <c r="AH10" i="83"/>
  <c r="AH11" i="83"/>
  <c r="AH14" i="83" s="1"/>
  <c r="AM10" i="83"/>
  <c r="U10" i="83"/>
  <c r="AN119" i="83"/>
  <c r="Y10" i="83"/>
  <c r="N10" i="83"/>
  <c r="X11" i="83"/>
  <c r="X17" i="83" s="1"/>
  <c r="O119" i="83"/>
  <c r="Y11" i="83"/>
  <c r="Y13" i="83" s="1"/>
  <c r="AE119" i="83"/>
  <c r="AF119" i="83" s="1"/>
  <c r="AJ10" i="83"/>
  <c r="E119" i="83"/>
  <c r="X10" i="83"/>
  <c r="AG10" i="83"/>
  <c r="O10" i="83"/>
  <c r="AJ11" i="83"/>
  <c r="K11" i="83"/>
  <c r="K17" i="83" s="1"/>
  <c r="K119" i="83"/>
  <c r="L119" i="83" s="1"/>
  <c r="I10" i="83"/>
  <c r="P64" i="83"/>
  <c r="S10" i="83"/>
  <c r="AO11" i="83"/>
  <c r="AO13" i="83" s="1"/>
  <c r="S11" i="83"/>
  <c r="S14" i="83" s="1"/>
  <c r="D11" i="83"/>
  <c r="D13" i="83" s="1"/>
  <c r="D119" i="83"/>
  <c r="U11" i="83"/>
  <c r="U17" i="83" s="1"/>
  <c r="AO10" i="83"/>
  <c r="AC11" i="83"/>
  <c r="AC13" i="83" s="1"/>
  <c r="T11" i="83"/>
  <c r="T17" i="83" s="1"/>
  <c r="I11" i="83"/>
  <c r="I14" i="83" s="1"/>
  <c r="AC119" i="83"/>
  <c r="T119" i="83"/>
  <c r="AE11" i="83"/>
  <c r="AE14" i="83" s="1"/>
  <c r="AI64" i="83"/>
  <c r="AM11" i="83"/>
  <c r="AM14" i="83" s="1"/>
  <c r="Z119" i="83"/>
  <c r="AA119" i="83" s="1"/>
  <c r="Z10" i="83"/>
  <c r="F119" i="83"/>
  <c r="G119" i="83" s="1"/>
  <c r="F10" i="83"/>
  <c r="J10" i="83"/>
  <c r="AD11" i="83"/>
  <c r="AD14" i="83" s="1"/>
  <c r="AD10" i="83"/>
  <c r="J11" i="83"/>
  <c r="J14" i="83" s="1"/>
  <c r="P11" i="83"/>
  <c r="P17" i="83" s="1"/>
  <c r="P119" i="83"/>
  <c r="Q119" i="83" s="1"/>
  <c r="I64" i="83"/>
  <c r="X64" i="83"/>
  <c r="H10" i="83"/>
  <c r="O64" i="83"/>
  <c r="R64" i="83"/>
  <c r="H64" i="83"/>
  <c r="AB64" i="83"/>
  <c r="M64" i="83"/>
  <c r="J64" i="83"/>
  <c r="N64" i="83"/>
  <c r="AL64" i="83"/>
  <c r="Z64" i="83"/>
  <c r="AI114" i="83"/>
  <c r="AI105" i="83"/>
  <c r="AI106" i="83" s="1"/>
  <c r="AI108" i="83"/>
  <c r="AI109" i="83" s="1"/>
  <c r="AK99" i="83"/>
  <c r="AK113" i="83"/>
  <c r="AK114" i="83" s="1"/>
  <c r="AK104" i="83"/>
  <c r="AK102" i="83"/>
  <c r="AN77" i="83"/>
  <c r="AN88" i="83"/>
  <c r="AN80" i="83"/>
  <c r="AN81" i="83" s="1"/>
  <c r="AN83" i="83"/>
  <c r="AN84" i="83" s="1"/>
  <c r="S114" i="83"/>
  <c r="S105" i="83"/>
  <c r="S106" i="83" s="1"/>
  <c r="S108" i="83"/>
  <c r="S109" i="83" s="1"/>
  <c r="T64" i="83"/>
  <c r="K105" i="83"/>
  <c r="K106" i="83" s="1"/>
  <c r="K108" i="83"/>
  <c r="K109" i="83" s="1"/>
  <c r="K114" i="83"/>
  <c r="V57" i="83"/>
  <c r="V63" i="83" s="1"/>
  <c r="V44" i="83"/>
  <c r="V43" i="83"/>
  <c r="D80" i="83"/>
  <c r="D81" i="83" s="1"/>
  <c r="D88" i="83"/>
  <c r="D83" i="83"/>
  <c r="D84" i="83" s="1"/>
  <c r="D77" i="83"/>
  <c r="N108" i="83"/>
  <c r="N109" i="83" s="1"/>
  <c r="N114" i="83"/>
  <c r="N105" i="83"/>
  <c r="N106" i="83" s="1"/>
  <c r="N77" i="83"/>
  <c r="N88" i="83"/>
  <c r="N83" i="83"/>
  <c r="N84" i="83" s="1"/>
  <c r="N80" i="83"/>
  <c r="N81" i="83" s="1"/>
  <c r="Y105" i="83"/>
  <c r="Y106" i="83" s="1"/>
  <c r="Y114" i="83"/>
  <c r="Y108" i="83"/>
  <c r="Y109" i="83" s="1"/>
  <c r="M77" i="83"/>
  <c r="M83" i="83"/>
  <c r="M88" i="83"/>
  <c r="M80" i="83"/>
  <c r="Q76" i="83"/>
  <c r="Q77" i="83" s="1"/>
  <c r="AP62" i="83"/>
  <c r="AK62" i="83"/>
  <c r="Z108" i="83"/>
  <c r="Z109" i="83" s="1"/>
  <c r="Z114" i="83"/>
  <c r="Z105" i="83"/>
  <c r="Z106" i="83" s="1"/>
  <c r="AO88" i="83"/>
  <c r="AO77" i="83"/>
  <c r="AO83" i="83"/>
  <c r="AO84" i="83" s="1"/>
  <c r="AO80" i="83"/>
  <c r="AO81" i="83" s="1"/>
  <c r="L60" i="83"/>
  <c r="AH108" i="83"/>
  <c r="AH109" i="83" s="1"/>
  <c r="AH114" i="83"/>
  <c r="AH105" i="83"/>
  <c r="AH106" i="83" s="1"/>
  <c r="C119" i="83"/>
  <c r="C11" i="83"/>
  <c r="G8" i="83"/>
  <c r="AM105" i="83"/>
  <c r="AM106" i="83" s="1"/>
  <c r="AM114" i="83"/>
  <c r="AM108" i="83"/>
  <c r="AM109" i="83" s="1"/>
  <c r="Z17" i="83"/>
  <c r="Z14" i="83"/>
  <c r="Z13" i="83"/>
  <c r="I114" i="83"/>
  <c r="I108" i="83"/>
  <c r="I109" i="83" s="1"/>
  <c r="I105" i="83"/>
  <c r="I106" i="83" s="1"/>
  <c r="X77" i="83"/>
  <c r="X80" i="83"/>
  <c r="X81" i="83" s="1"/>
  <c r="X83" i="83"/>
  <c r="X84" i="83" s="1"/>
  <c r="X88" i="83"/>
  <c r="P88" i="83"/>
  <c r="P83" i="83"/>
  <c r="P84" i="83" s="1"/>
  <c r="P77" i="83"/>
  <c r="P80" i="83"/>
  <c r="P81" i="83" s="1"/>
  <c r="AJ108" i="83"/>
  <c r="AJ109" i="83" s="1"/>
  <c r="AJ114" i="83"/>
  <c r="AJ105" i="83"/>
  <c r="AJ106" i="83" s="1"/>
  <c r="AA60" i="83"/>
  <c r="I80" i="83"/>
  <c r="I81" i="83" s="1"/>
  <c r="I77" i="83"/>
  <c r="I83" i="83"/>
  <c r="I84" i="83" s="1"/>
  <c r="I88" i="83"/>
  <c r="L52" i="83"/>
  <c r="L57" i="83"/>
  <c r="L58" i="83" s="1"/>
  <c r="U114" i="83"/>
  <c r="U108" i="83"/>
  <c r="U109" i="83" s="1"/>
  <c r="U105" i="83"/>
  <c r="U106" i="83" s="1"/>
  <c r="E88" i="83"/>
  <c r="E83" i="83"/>
  <c r="E84" i="83" s="1"/>
  <c r="E80" i="83"/>
  <c r="E81" i="83" s="1"/>
  <c r="E77" i="83"/>
  <c r="U88" i="83"/>
  <c r="U80" i="83"/>
  <c r="U81" i="83" s="1"/>
  <c r="U77" i="83"/>
  <c r="U83" i="83"/>
  <c r="U84" i="83" s="1"/>
  <c r="G44" i="83"/>
  <c r="G63" i="83"/>
  <c r="AC64" i="83"/>
  <c r="AK75" i="83"/>
  <c r="AK73" i="83"/>
  <c r="AK79" i="83"/>
  <c r="AG14" i="83"/>
  <c r="AG13" i="83"/>
  <c r="AG17" i="83"/>
  <c r="K80" i="83"/>
  <c r="K81" i="83" s="1"/>
  <c r="K88" i="83"/>
  <c r="K83" i="83"/>
  <c r="K84" i="83" s="1"/>
  <c r="K77" i="83"/>
  <c r="AP73" i="83"/>
  <c r="AP79" i="83"/>
  <c r="AG88" i="83"/>
  <c r="AG77" i="83"/>
  <c r="AG80" i="83"/>
  <c r="AG83" i="83"/>
  <c r="AK76" i="83"/>
  <c r="AK77" i="83" s="1"/>
  <c r="AO114" i="83"/>
  <c r="AO108" i="83"/>
  <c r="AO109" i="83" s="1"/>
  <c r="AO105" i="83"/>
  <c r="AO106" i="83" s="1"/>
  <c r="W64" i="83"/>
  <c r="D108" i="83"/>
  <c r="D109" i="83" s="1"/>
  <c r="D105" i="83"/>
  <c r="D106" i="83" s="1"/>
  <c r="D114" i="83"/>
  <c r="AN13" i="83"/>
  <c r="AO64" i="83"/>
  <c r="AJ64" i="83"/>
  <c r="AP43" i="83"/>
  <c r="AK44" i="83"/>
  <c r="AK43" i="83"/>
  <c r="AD64" i="83"/>
  <c r="W83" i="83"/>
  <c r="W77" i="83"/>
  <c r="W88" i="83"/>
  <c r="W80" i="83"/>
  <c r="AA76" i="83"/>
  <c r="AA77" i="83" s="1"/>
  <c r="AC114" i="83"/>
  <c r="AC105" i="83"/>
  <c r="AC106" i="83" s="1"/>
  <c r="AC108" i="83"/>
  <c r="AC109" i="83" s="1"/>
  <c r="AE64" i="83"/>
  <c r="AB105" i="83"/>
  <c r="AB108" i="83"/>
  <c r="AB114" i="83"/>
  <c r="V104" i="83"/>
  <c r="V99" i="83"/>
  <c r="V113" i="83"/>
  <c r="V114" i="83" s="1"/>
  <c r="V102" i="83"/>
  <c r="AC88" i="83"/>
  <c r="AC77" i="83"/>
  <c r="AC83" i="83"/>
  <c r="AC84" i="83" s="1"/>
  <c r="AC80" i="83"/>
  <c r="AC81" i="83" s="1"/>
  <c r="U64" i="83"/>
  <c r="AM64" i="83"/>
  <c r="AH64" i="83"/>
  <c r="T114" i="83"/>
  <c r="T108" i="83"/>
  <c r="T109" i="83" s="1"/>
  <c r="T105" i="83"/>
  <c r="T106" i="83" s="1"/>
  <c r="W119" i="83"/>
  <c r="AA8" i="83"/>
  <c r="W11" i="83"/>
  <c r="EE6" i="34"/>
  <c r="DY6" i="34"/>
  <c r="AP76" i="83"/>
  <c r="AP77" i="83" s="1"/>
  <c r="AL77" i="83"/>
  <c r="AL80" i="83"/>
  <c r="AL83" i="83"/>
  <c r="AL88" i="83"/>
  <c r="L75" i="83"/>
  <c r="L73" i="83"/>
  <c r="L76" i="83"/>
  <c r="L77" i="83" s="1"/>
  <c r="L79" i="83"/>
  <c r="G104" i="83"/>
  <c r="G113" i="83"/>
  <c r="G114" i="83" s="1"/>
  <c r="G99" i="83"/>
  <c r="G102" i="83"/>
  <c r="Q60" i="83"/>
  <c r="Y64" i="83"/>
  <c r="S80" i="83"/>
  <c r="S81" i="83" s="1"/>
  <c r="S77" i="83"/>
  <c r="S88" i="83"/>
  <c r="S83" i="83"/>
  <c r="S84" i="83" s="1"/>
  <c r="AD114" i="83"/>
  <c r="AD105" i="83"/>
  <c r="AD106" i="83" s="1"/>
  <c r="AD108" i="83"/>
  <c r="AD109" i="83" s="1"/>
  <c r="Q8" i="83"/>
  <c r="M119" i="83"/>
  <c r="M11" i="83"/>
  <c r="EF6" i="34"/>
  <c r="DZ6" i="34"/>
  <c r="X108" i="83"/>
  <c r="X109" i="83" s="1"/>
  <c r="X105" i="83"/>
  <c r="X106" i="83" s="1"/>
  <c r="X114" i="83"/>
  <c r="AP44" i="83"/>
  <c r="AA73" i="83"/>
  <c r="AA79" i="83"/>
  <c r="J77" i="83"/>
  <c r="J88" i="83"/>
  <c r="J80" i="83"/>
  <c r="J81" i="83" s="1"/>
  <c r="J83" i="83"/>
  <c r="J84" i="83" s="1"/>
  <c r="Y77" i="83"/>
  <c r="Y80" i="83"/>
  <c r="Y81" i="83" s="1"/>
  <c r="Y88" i="83"/>
  <c r="Y83" i="83"/>
  <c r="Y84" i="83" s="1"/>
  <c r="AF104" i="83"/>
  <c r="AF99" i="83"/>
  <c r="AF113" i="83"/>
  <c r="AF114" i="83" s="1"/>
  <c r="AF102" i="83"/>
  <c r="R114" i="83"/>
  <c r="R105" i="83"/>
  <c r="R108" i="83"/>
  <c r="AP52" i="83"/>
  <c r="AK57" i="83"/>
  <c r="AK52" i="83"/>
  <c r="V62" i="83"/>
  <c r="C88" i="83"/>
  <c r="C83" i="83"/>
  <c r="C80" i="83"/>
  <c r="C77" i="83"/>
  <c r="Q99" i="83"/>
  <c r="Q113" i="83"/>
  <c r="Q114" i="83" s="1"/>
  <c r="Q104" i="83"/>
  <c r="Q102" i="83"/>
  <c r="AH83" i="83"/>
  <c r="AH84" i="83" s="1"/>
  <c r="AH77" i="83"/>
  <c r="AH88" i="83"/>
  <c r="AH80" i="83"/>
  <c r="AH81" i="83" s="1"/>
  <c r="AI83" i="83"/>
  <c r="AI84" i="83" s="1"/>
  <c r="AI80" i="83"/>
  <c r="AI81" i="83" s="1"/>
  <c r="AI88" i="83"/>
  <c r="AI77" i="83"/>
  <c r="AF57" i="83"/>
  <c r="AF43" i="83"/>
  <c r="AF44" i="83"/>
  <c r="AB11" i="83"/>
  <c r="AF8" i="83"/>
  <c r="AB119" i="83"/>
  <c r="O14" i="83"/>
  <c r="O13" i="83"/>
  <c r="O17" i="83"/>
  <c r="H119" i="83"/>
  <c r="L8" i="83"/>
  <c r="AB10" i="83"/>
  <c r="O77" i="83"/>
  <c r="O80" i="83"/>
  <c r="O81" i="83" s="1"/>
  <c r="O83" i="83"/>
  <c r="O84" i="83" s="1"/>
  <c r="O88" i="83"/>
  <c r="R83" i="83"/>
  <c r="R77" i="83"/>
  <c r="R88" i="83"/>
  <c r="V76" i="83"/>
  <c r="V77" i="83" s="1"/>
  <c r="R80" i="83"/>
  <c r="C105" i="83"/>
  <c r="C114" i="83"/>
  <c r="C108" i="83"/>
  <c r="F80" i="83"/>
  <c r="F81" i="83" s="1"/>
  <c r="F83" i="83"/>
  <c r="F84" i="83" s="1"/>
  <c r="F77" i="83"/>
  <c r="F88" i="83"/>
  <c r="T88" i="83"/>
  <c r="T83" i="83"/>
  <c r="T84" i="83" s="1"/>
  <c r="T77" i="83"/>
  <c r="T80" i="83"/>
  <c r="T81" i="83" s="1"/>
  <c r="Z83" i="83"/>
  <c r="Z84" i="83" s="1"/>
  <c r="Z77" i="83"/>
  <c r="Z88" i="83"/>
  <c r="Z80" i="83"/>
  <c r="Z81" i="83" s="1"/>
  <c r="V73" i="83"/>
  <c r="V79" i="83"/>
  <c r="AK8" i="83"/>
  <c r="AG119" i="83"/>
  <c r="AF75" i="83"/>
  <c r="AF73" i="83"/>
  <c r="AF79" i="83"/>
  <c r="AD83" i="83"/>
  <c r="AD84" i="83" s="1"/>
  <c r="AD88" i="83"/>
  <c r="AD80" i="83"/>
  <c r="AD81" i="83" s="1"/>
  <c r="AD77" i="83"/>
  <c r="L44" i="83"/>
  <c r="L43" i="83"/>
  <c r="G75" i="83"/>
  <c r="G76" i="83"/>
  <c r="G77" i="83" s="1"/>
  <c r="G73" i="83"/>
  <c r="G79" i="83"/>
  <c r="AP113" i="83"/>
  <c r="AP114" i="83" s="1"/>
  <c r="AP99" i="83"/>
  <c r="AP102" i="83"/>
  <c r="AP104" i="83"/>
  <c r="P105" i="83"/>
  <c r="P106" i="83" s="1"/>
  <c r="P114" i="83"/>
  <c r="P108" i="83"/>
  <c r="P109" i="83" s="1"/>
  <c r="W114" i="83"/>
  <c r="W108" i="83"/>
  <c r="W105" i="83"/>
  <c r="J108" i="83"/>
  <c r="J109" i="83" s="1"/>
  <c r="J105" i="83"/>
  <c r="J106" i="83" s="1"/>
  <c r="J114" i="83"/>
  <c r="H13" i="83"/>
  <c r="H14" i="83"/>
  <c r="H17" i="83"/>
  <c r="F17" i="83"/>
  <c r="F14" i="83"/>
  <c r="F13" i="83"/>
  <c r="V52" i="83"/>
  <c r="Q52" i="83"/>
  <c r="R119" i="83"/>
  <c r="V8" i="83"/>
  <c r="R11" i="83"/>
  <c r="L104" i="83"/>
  <c r="L113" i="83"/>
  <c r="L114" i="83" s="1"/>
  <c r="L99" i="83"/>
  <c r="L102" i="83"/>
  <c r="AA99" i="83"/>
  <c r="AA113" i="83"/>
  <c r="AA114" i="83" s="1"/>
  <c r="AA104" i="83"/>
  <c r="AA102" i="83"/>
  <c r="AA57" i="83"/>
  <c r="AA63" i="83" s="1"/>
  <c r="AA43" i="83"/>
  <c r="AA44" i="83"/>
  <c r="H83" i="83"/>
  <c r="H77" i="83"/>
  <c r="H80" i="83"/>
  <c r="H88" i="83"/>
  <c r="M105" i="83"/>
  <c r="M114" i="83"/>
  <c r="M108" i="83"/>
  <c r="O114" i="83"/>
  <c r="O108" i="83"/>
  <c r="O109" i="83" s="1"/>
  <c r="O105" i="83"/>
  <c r="O106" i="83" s="1"/>
  <c r="E105" i="83"/>
  <c r="E106" i="83" s="1"/>
  <c r="E114" i="83"/>
  <c r="E108" i="83"/>
  <c r="E109" i="83" s="1"/>
  <c r="F105" i="83"/>
  <c r="F106" i="83" s="1"/>
  <c r="F114" i="83"/>
  <c r="F108" i="83"/>
  <c r="F109" i="83" s="1"/>
  <c r="AG114" i="83"/>
  <c r="AG108" i="83"/>
  <c r="AG105" i="83"/>
  <c r="AL114" i="83"/>
  <c r="AL105" i="83"/>
  <c r="AL108" i="83"/>
  <c r="AN105" i="83"/>
  <c r="AN106" i="83" s="1"/>
  <c r="AN108" i="83"/>
  <c r="AN109" i="83" s="1"/>
  <c r="AN114" i="83"/>
  <c r="Q57" i="83"/>
  <c r="Q63" i="83" s="1"/>
  <c r="Q44" i="83"/>
  <c r="Q43" i="83"/>
  <c r="AE88" i="83"/>
  <c r="AE77" i="83"/>
  <c r="AE83" i="83"/>
  <c r="AE84" i="83" s="1"/>
  <c r="AE80" i="83"/>
  <c r="AE81" i="83" s="1"/>
  <c r="AM80" i="83"/>
  <c r="AM81" i="83" s="1"/>
  <c r="AM77" i="83"/>
  <c r="AM83" i="83"/>
  <c r="AM84" i="83" s="1"/>
  <c r="AM88" i="83"/>
  <c r="M10" i="83"/>
  <c r="S64" i="83"/>
  <c r="AJ80" i="83"/>
  <c r="AJ81" i="83" s="1"/>
  <c r="AJ83" i="83"/>
  <c r="AJ84" i="83" s="1"/>
  <c r="AJ88" i="83"/>
  <c r="AJ77" i="83"/>
  <c r="AG64" i="83"/>
  <c r="AF52" i="83"/>
  <c r="K64" i="83"/>
  <c r="Q79" i="83"/>
  <c r="Q75" i="83"/>
  <c r="Q73" i="83"/>
  <c r="H114" i="83"/>
  <c r="H105" i="83"/>
  <c r="H108" i="83"/>
  <c r="AP60" i="83"/>
  <c r="AK60" i="83"/>
  <c r="AQ6" i="83"/>
  <c r="AP8" i="83"/>
  <c r="AL11" i="83"/>
  <c r="AL119" i="83"/>
  <c r="AB83" i="83"/>
  <c r="AB77" i="83"/>
  <c r="AF76" i="83"/>
  <c r="AF77" i="83" s="1"/>
  <c r="AB80" i="83"/>
  <c r="AB88" i="83"/>
  <c r="AE105" i="83"/>
  <c r="AE106" i="83" s="1"/>
  <c r="AE108" i="83"/>
  <c r="AE109" i="83" s="1"/>
  <c r="AE114" i="83"/>
  <c r="AN64" i="83"/>
  <c r="P90" i="83"/>
  <c r="C90" i="83"/>
  <c r="E90" i="83"/>
  <c r="AG90" i="83"/>
  <c r="W90" i="83"/>
  <c r="R90" i="83"/>
  <c r="T90" i="83"/>
  <c r="AM90" i="83"/>
  <c r="AJ90" i="83"/>
  <c r="AB90" i="83"/>
  <c r="AN90" i="83"/>
  <c r="I90" i="83"/>
  <c r="J90" i="83"/>
  <c r="M90" i="83"/>
  <c r="AO90" i="83"/>
  <c r="F90" i="83"/>
  <c r="AD90" i="83"/>
  <c r="AI90" i="83"/>
  <c r="X90" i="83"/>
  <c r="Z90" i="83"/>
  <c r="D90" i="83"/>
  <c r="AC90" i="83"/>
  <c r="S90" i="83"/>
  <c r="AH90" i="83"/>
  <c r="H90" i="83"/>
  <c r="AE90" i="83"/>
  <c r="N90" i="83"/>
  <c r="K90" i="83"/>
  <c r="U90" i="83"/>
  <c r="AL90" i="83"/>
  <c r="O90" i="83"/>
  <c r="Y90" i="83"/>
  <c r="AI13" i="83" l="1"/>
  <c r="AI14" i="83"/>
  <c r="AI21" i="83" s="1"/>
  <c r="N13" i="83"/>
  <c r="AN14" i="83"/>
  <c r="AN18" i="83" s="1"/>
  <c r="AN19" i="83" s="1"/>
  <c r="E14" i="83"/>
  <c r="E18" i="83" s="1"/>
  <c r="E19" i="83" s="1"/>
  <c r="L63" i="83"/>
  <c r="L64" i="83" s="1"/>
  <c r="AF58" i="83"/>
  <c r="V58" i="83"/>
  <c r="N17" i="83"/>
  <c r="E13" i="83"/>
  <c r="J13" i="83"/>
  <c r="AH13" i="83"/>
  <c r="AH17" i="83"/>
  <c r="AK11" i="83"/>
  <c r="AK10" i="83" s="1"/>
  <c r="Y14" i="83"/>
  <c r="Y15" i="83" s="1"/>
  <c r="X14" i="83"/>
  <c r="X21" i="83" s="1"/>
  <c r="X13" i="83"/>
  <c r="Y17" i="83"/>
  <c r="J17" i="83"/>
  <c r="AJ17" i="83"/>
  <c r="AJ13" i="83"/>
  <c r="AJ14" i="83"/>
  <c r="AJ26" i="83" s="1"/>
  <c r="K13" i="83"/>
  <c r="K14" i="83"/>
  <c r="K18" i="83" s="1"/>
  <c r="K19" i="83" s="1"/>
  <c r="AC17" i="83"/>
  <c r="AC14" i="83"/>
  <c r="AC18" i="83" s="1"/>
  <c r="AC19" i="83" s="1"/>
  <c r="AO14" i="83"/>
  <c r="AO18" i="83" s="1"/>
  <c r="AO19" i="83" s="1"/>
  <c r="L11" i="83"/>
  <c r="L17" i="83" s="1"/>
  <c r="S13" i="83"/>
  <c r="D14" i="83"/>
  <c r="D18" i="83" s="1"/>
  <c r="D19" i="83" s="1"/>
  <c r="AM17" i="83"/>
  <c r="S17" i="83"/>
  <c r="P14" i="83"/>
  <c r="P21" i="83" s="1"/>
  <c r="AM13" i="83"/>
  <c r="T14" i="83"/>
  <c r="T26" i="83" s="1"/>
  <c r="AD17" i="83"/>
  <c r="I13" i="83"/>
  <c r="AO17" i="83"/>
  <c r="I17" i="83"/>
  <c r="U13" i="83"/>
  <c r="AD13" i="83"/>
  <c r="U14" i="83"/>
  <c r="U18" i="83" s="1"/>
  <c r="U19" i="83" s="1"/>
  <c r="AE17" i="83"/>
  <c r="AE13" i="83"/>
  <c r="D17" i="83"/>
  <c r="T13" i="83"/>
  <c r="P13" i="83"/>
  <c r="AB81" i="83"/>
  <c r="AF80" i="83"/>
  <c r="AF81" i="83" s="1"/>
  <c r="Y89" i="83"/>
  <c r="H84" i="83"/>
  <c r="L83" i="83"/>
  <c r="L84" i="83" s="1"/>
  <c r="R84" i="83"/>
  <c r="V83" i="83"/>
  <c r="V84" i="83" s="1"/>
  <c r="W84" i="83"/>
  <c r="AA83" i="83"/>
  <c r="AA84" i="83" s="1"/>
  <c r="AG15" i="83"/>
  <c r="AG18" i="83"/>
  <c r="AG21" i="83"/>
  <c r="AG26" i="83"/>
  <c r="Z18" i="83"/>
  <c r="Z19" i="83" s="1"/>
  <c r="Z15" i="83"/>
  <c r="Z21" i="83"/>
  <c r="Z26" i="83"/>
  <c r="N15" i="83"/>
  <c r="N21" i="83"/>
  <c r="N26" i="83"/>
  <c r="N18" i="83"/>
  <c r="N19" i="83" s="1"/>
  <c r="O89" i="83"/>
  <c r="AE15" i="83"/>
  <c r="AE26" i="83"/>
  <c r="AE21" i="83"/>
  <c r="AE18" i="83"/>
  <c r="AE19" i="83" s="1"/>
  <c r="M109" i="83"/>
  <c r="Q108" i="83"/>
  <c r="Q109" i="83" s="1"/>
  <c r="AP88" i="83"/>
  <c r="AP89" i="83" s="1"/>
  <c r="AL89" i="83"/>
  <c r="U89" i="83"/>
  <c r="F26" i="83"/>
  <c r="F21" i="83"/>
  <c r="F15" i="83"/>
  <c r="F18" i="83"/>
  <c r="F19" i="83" s="1"/>
  <c r="S15" i="83"/>
  <c r="S26" i="83"/>
  <c r="S18" i="83"/>
  <c r="S19" i="83" s="1"/>
  <c r="S21" i="83"/>
  <c r="C106" i="83"/>
  <c r="G105" i="83"/>
  <c r="G106" i="83" s="1"/>
  <c r="AB14" i="83"/>
  <c r="AF11" i="83"/>
  <c r="AB13" i="83"/>
  <c r="AB17" i="83"/>
  <c r="AB109" i="83"/>
  <c r="AF108" i="83"/>
  <c r="AF109" i="83" s="1"/>
  <c r="K89" i="83"/>
  <c r="N89" i="83"/>
  <c r="H109" i="83"/>
  <c r="L108" i="83"/>
  <c r="L109" i="83" s="1"/>
  <c r="Q58" i="83"/>
  <c r="AL106" i="83"/>
  <c r="AP105" i="83"/>
  <c r="AP106" i="83" s="1"/>
  <c r="AA58" i="83"/>
  <c r="R81" i="83"/>
  <c r="V80" i="83"/>
  <c r="V81" i="83" s="1"/>
  <c r="AF63" i="83"/>
  <c r="AF64" i="83" s="1"/>
  <c r="R109" i="83"/>
  <c r="V108" i="83"/>
  <c r="V109" i="83" s="1"/>
  <c r="AP80" i="83"/>
  <c r="AP81" i="83" s="1"/>
  <c r="AL81" i="83"/>
  <c r="AB106" i="83"/>
  <c r="AF105" i="83"/>
  <c r="AF106" i="83" s="1"/>
  <c r="AG81" i="83"/>
  <c r="AK80" i="83"/>
  <c r="AK81" i="83" s="1"/>
  <c r="M84" i="83"/>
  <c r="Q83" i="83"/>
  <c r="Q84" i="83" s="1"/>
  <c r="H106" i="83"/>
  <c r="L105" i="83"/>
  <c r="L106" i="83" s="1"/>
  <c r="AE89" i="83"/>
  <c r="H89" i="83"/>
  <c r="L88" i="83"/>
  <c r="L89" i="83" s="1"/>
  <c r="R14" i="83"/>
  <c r="V11" i="83"/>
  <c r="R17" i="83"/>
  <c r="R13" i="83"/>
  <c r="W109" i="83"/>
  <c r="AA108" i="83"/>
  <c r="AA109" i="83" s="1"/>
  <c r="AH89" i="83"/>
  <c r="C81" i="83"/>
  <c r="G80" i="83"/>
  <c r="G81" i="83" s="1"/>
  <c r="R106" i="83"/>
  <c r="V105" i="83"/>
  <c r="V106" i="83" s="1"/>
  <c r="S89" i="83"/>
  <c r="AC89" i="83"/>
  <c r="W81" i="83"/>
  <c r="AA80" i="83"/>
  <c r="AA81" i="83" s="1"/>
  <c r="AD26" i="83"/>
  <c r="AD15" i="83"/>
  <c r="AD18" i="83"/>
  <c r="AD19" i="83" s="1"/>
  <c r="AD21" i="83"/>
  <c r="I21" i="83"/>
  <c r="I18" i="83"/>
  <c r="I19" i="83" s="1"/>
  <c r="I26" i="83"/>
  <c r="I15" i="83"/>
  <c r="D89" i="83"/>
  <c r="AG109" i="83"/>
  <c r="AK108" i="83"/>
  <c r="AK109" i="83" s="1"/>
  <c r="H26" i="83"/>
  <c r="H18" i="83"/>
  <c r="H21" i="83"/>
  <c r="H15" i="83"/>
  <c r="Z89" i="83"/>
  <c r="O21" i="83"/>
  <c r="O26" i="83"/>
  <c r="O15" i="83"/>
  <c r="O18" i="83"/>
  <c r="O19" i="83" s="1"/>
  <c r="X89" i="83"/>
  <c r="V64" i="83"/>
  <c r="Q64" i="83"/>
  <c r="AA64" i="83"/>
  <c r="C109" i="83"/>
  <c r="G108" i="83"/>
  <c r="G109" i="83" s="1"/>
  <c r="AI89" i="83"/>
  <c r="W13" i="83"/>
  <c r="W14" i="83"/>
  <c r="AA11" i="83"/>
  <c r="W17" i="83"/>
  <c r="AB84" i="83"/>
  <c r="AF83" i="83"/>
  <c r="AF84" i="83" s="1"/>
  <c r="AD89" i="83"/>
  <c r="F89" i="83"/>
  <c r="AH15" i="83"/>
  <c r="AH21" i="83"/>
  <c r="AH26" i="83"/>
  <c r="AH18" i="83"/>
  <c r="AH19" i="83" s="1"/>
  <c r="AP58" i="83"/>
  <c r="AK58" i="83"/>
  <c r="AK63" i="83"/>
  <c r="AO89" i="83"/>
  <c r="M81" i="83"/>
  <c r="Q80" i="83"/>
  <c r="Q81" i="83" s="1"/>
  <c r="AL109" i="83"/>
  <c r="AP108" i="83"/>
  <c r="AP109" i="83" s="1"/>
  <c r="AL84" i="83"/>
  <c r="AP83" i="83"/>
  <c r="AP84" i="83" s="1"/>
  <c r="AG84" i="83"/>
  <c r="AK83" i="83"/>
  <c r="AK84" i="83" s="1"/>
  <c r="Q88" i="83"/>
  <c r="Q89" i="83" s="1"/>
  <c r="M89" i="83"/>
  <c r="AL14" i="83"/>
  <c r="AP11" i="83"/>
  <c r="AL13" i="83"/>
  <c r="AL17" i="83"/>
  <c r="M106" i="83"/>
  <c r="Q105" i="83"/>
  <c r="Q106" i="83" s="1"/>
  <c r="W106" i="83"/>
  <c r="AA105" i="83"/>
  <c r="AA106" i="83" s="1"/>
  <c r="J89" i="83"/>
  <c r="I89" i="83"/>
  <c r="AN89" i="83"/>
  <c r="AB89" i="83"/>
  <c r="AF88" i="83"/>
  <c r="AF89" i="83" s="1"/>
  <c r="AJ89" i="83"/>
  <c r="AM89" i="83"/>
  <c r="AG106" i="83"/>
  <c r="AK105" i="83"/>
  <c r="AK106" i="83" s="1"/>
  <c r="H81" i="83"/>
  <c r="L80" i="83"/>
  <c r="L81" i="83" s="1"/>
  <c r="J26" i="83"/>
  <c r="J21" i="83"/>
  <c r="J18" i="83"/>
  <c r="J19" i="83" s="1"/>
  <c r="J15" i="83"/>
  <c r="T89" i="83"/>
  <c r="V88" i="83"/>
  <c r="V89" i="83" s="1"/>
  <c r="R89" i="83"/>
  <c r="C84" i="83"/>
  <c r="G83" i="83"/>
  <c r="G84" i="83" s="1"/>
  <c r="M14" i="83"/>
  <c r="Q11" i="83"/>
  <c r="M17" i="83"/>
  <c r="M13" i="83"/>
  <c r="W89" i="83"/>
  <c r="AA88" i="83"/>
  <c r="AA89" i="83" s="1"/>
  <c r="AG89" i="83"/>
  <c r="AK88" i="83"/>
  <c r="AK89" i="83" s="1"/>
  <c r="E89" i="83"/>
  <c r="G11" i="83"/>
  <c r="C14" i="83"/>
  <c r="C17" i="83"/>
  <c r="C13" i="83"/>
  <c r="AM26" i="83"/>
  <c r="AM15" i="83"/>
  <c r="AM21" i="83"/>
  <c r="AM18" i="83"/>
  <c r="AM19" i="83" s="1"/>
  <c r="C89" i="83"/>
  <c r="G88" i="83"/>
  <c r="G89" i="83" s="1"/>
  <c r="P89" i="83"/>
  <c r="AI26" i="83" l="1"/>
  <c r="AK26" i="83" s="1"/>
  <c r="AK27" i="83" s="1"/>
  <c r="AI18" i="83"/>
  <c r="AI19" i="83" s="1"/>
  <c r="AI15" i="83"/>
  <c r="E26" i="83"/>
  <c r="E27" i="83" s="1"/>
  <c r="E15" i="83"/>
  <c r="AN15" i="83"/>
  <c r="AN21" i="83"/>
  <c r="AN131" i="83" s="1"/>
  <c r="AN135" i="83" s="1"/>
  <c r="AN141" i="83" s="1"/>
  <c r="AN144" i="83" s="1"/>
  <c r="AN26" i="83"/>
  <c r="AN30" i="83" s="1"/>
  <c r="E21" i="83"/>
  <c r="E22" i="83" s="1"/>
  <c r="AK14" i="83"/>
  <c r="AK15" i="83" s="1"/>
  <c r="AK13" i="83"/>
  <c r="AK17" i="83"/>
  <c r="Y18" i="83"/>
  <c r="Y19" i="83" s="1"/>
  <c r="Y21" i="83"/>
  <c r="Y131" i="83" s="1"/>
  <c r="Y135" i="83" s="1"/>
  <c r="Y141" i="83" s="1"/>
  <c r="Y144" i="83" s="1"/>
  <c r="Y26" i="83"/>
  <c r="Y27" i="83" s="1"/>
  <c r="X26" i="83"/>
  <c r="X27" i="83" s="1"/>
  <c r="X18" i="83"/>
  <c r="X19" i="83" s="1"/>
  <c r="X15" i="83"/>
  <c r="P26" i="83"/>
  <c r="P27" i="83" s="1"/>
  <c r="AJ15" i="83"/>
  <c r="D26" i="83"/>
  <c r="D27" i="83" s="1"/>
  <c r="AJ21" i="83"/>
  <c r="AJ22" i="83" s="1"/>
  <c r="AJ18" i="83"/>
  <c r="AJ19" i="83" s="1"/>
  <c r="K26" i="83"/>
  <c r="K30" i="83" s="1"/>
  <c r="K21" i="83"/>
  <c r="K22" i="83" s="1"/>
  <c r="K15" i="83"/>
  <c r="AC21" i="83"/>
  <c r="AC22" i="83" s="1"/>
  <c r="AO26" i="83"/>
  <c r="AO27" i="83" s="1"/>
  <c r="AC15" i="83"/>
  <c r="AC26" i="83"/>
  <c r="AC30" i="83" s="1"/>
  <c r="AO15" i="83"/>
  <c r="AO21" i="83"/>
  <c r="AO131" i="83" s="1"/>
  <c r="AO135" i="83" s="1"/>
  <c r="AO141" i="83" s="1"/>
  <c r="AO144" i="83" s="1"/>
  <c r="L10" i="83"/>
  <c r="L13" i="83"/>
  <c r="L14" i="83"/>
  <c r="L15" i="83" s="1"/>
  <c r="T18" i="83"/>
  <c r="T19" i="83" s="1"/>
  <c r="T21" i="83"/>
  <c r="T131" i="83" s="1"/>
  <c r="T135" i="83" s="1"/>
  <c r="T141" i="83" s="1"/>
  <c r="T144" i="83" s="1"/>
  <c r="D21" i="83"/>
  <c r="D131" i="83" s="1"/>
  <c r="D135" i="83" s="1"/>
  <c r="D141" i="83" s="1"/>
  <c r="D144" i="83" s="1"/>
  <c r="D15" i="83"/>
  <c r="T15" i="83"/>
  <c r="P15" i="83"/>
  <c r="P18" i="83"/>
  <c r="P19" i="83" s="1"/>
  <c r="U21" i="83"/>
  <c r="U22" i="83" s="1"/>
  <c r="U26" i="83"/>
  <c r="U30" i="83" s="1"/>
  <c r="U15" i="83"/>
  <c r="AM22" i="83"/>
  <c r="AM131" i="83"/>
  <c r="AM135" i="83" s="1"/>
  <c r="AM141" i="83" s="1"/>
  <c r="AM144" i="83" s="1"/>
  <c r="AH131" i="83"/>
  <c r="AH135" i="83" s="1"/>
  <c r="AH141" i="83" s="1"/>
  <c r="AH144" i="83" s="1"/>
  <c r="AH22" i="83"/>
  <c r="H19" i="83"/>
  <c r="L18" i="83"/>
  <c r="L19" i="83" s="1"/>
  <c r="T30" i="83"/>
  <c r="T27" i="83"/>
  <c r="H27" i="83"/>
  <c r="H30" i="83"/>
  <c r="AE27" i="83"/>
  <c r="AE30" i="83"/>
  <c r="N27" i="83"/>
  <c r="N30" i="83"/>
  <c r="X131" i="83"/>
  <c r="X135" i="83" s="1"/>
  <c r="X141" i="83" s="1"/>
  <c r="X144" i="83" s="1"/>
  <c r="X22" i="83"/>
  <c r="AF14" i="83"/>
  <c r="AF15" i="83" s="1"/>
  <c r="AF10" i="83"/>
  <c r="AF17" i="83"/>
  <c r="AF13" i="83"/>
  <c r="N131" i="83"/>
  <c r="N135" i="83" s="1"/>
  <c r="N141" i="83" s="1"/>
  <c r="N144" i="83" s="1"/>
  <c r="N22" i="83"/>
  <c r="AL26" i="83"/>
  <c r="AL15" i="83"/>
  <c r="AL18" i="83"/>
  <c r="AL21" i="83"/>
  <c r="AP64" i="83"/>
  <c r="AK64" i="83"/>
  <c r="AD30" i="83"/>
  <c r="AD27" i="83"/>
  <c r="F131" i="83"/>
  <c r="F135" i="83" s="1"/>
  <c r="F141" i="83" s="1"/>
  <c r="F144" i="83" s="1"/>
  <c r="F22" i="83"/>
  <c r="Z30" i="83"/>
  <c r="Z27" i="83"/>
  <c r="C21" i="83"/>
  <c r="C15" i="83"/>
  <c r="C26" i="83"/>
  <c r="C18" i="83"/>
  <c r="F27" i="83"/>
  <c r="F30" i="83"/>
  <c r="Z131" i="83"/>
  <c r="Z135" i="83" s="1"/>
  <c r="Z141" i="83" s="1"/>
  <c r="Z144" i="83" s="1"/>
  <c r="Z22" i="83"/>
  <c r="J30" i="83"/>
  <c r="J27" i="83"/>
  <c r="W18" i="83"/>
  <c r="W26" i="83"/>
  <c r="W21" i="83"/>
  <c r="W15" i="83"/>
  <c r="O131" i="83"/>
  <c r="O135" i="83" s="1"/>
  <c r="O141" i="83" s="1"/>
  <c r="O144" i="83" s="1"/>
  <c r="O22" i="83"/>
  <c r="I131" i="83"/>
  <c r="I135" i="83" s="1"/>
  <c r="I141" i="83" s="1"/>
  <c r="I144" i="83" s="1"/>
  <c r="I22" i="83"/>
  <c r="S27" i="83"/>
  <c r="S30" i="83"/>
  <c r="AE22" i="83"/>
  <c r="AE131" i="83"/>
  <c r="AE135" i="83" s="1"/>
  <c r="AE141" i="83" s="1"/>
  <c r="AE144" i="83" s="1"/>
  <c r="AG27" i="83"/>
  <c r="AG30" i="83"/>
  <c r="P22" i="83"/>
  <c r="P131" i="83"/>
  <c r="P135" i="83" s="1"/>
  <c r="P141" i="83" s="1"/>
  <c r="P144" i="83" s="1"/>
  <c r="AD22" i="83"/>
  <c r="AD131" i="83"/>
  <c r="AD135" i="83" s="1"/>
  <c r="AD141" i="83" s="1"/>
  <c r="AD144" i="83" s="1"/>
  <c r="AJ27" i="83"/>
  <c r="AJ30" i="83"/>
  <c r="AG131" i="83"/>
  <c r="AG22" i="83"/>
  <c r="AM27" i="83"/>
  <c r="AM30" i="83"/>
  <c r="AP10" i="83"/>
  <c r="AP14" i="83"/>
  <c r="AP15" i="83" s="1"/>
  <c r="AP17" i="83"/>
  <c r="AP13" i="83"/>
  <c r="AG19" i="83"/>
  <c r="AI22" i="83"/>
  <c r="AI131" i="83"/>
  <c r="AI135" i="83" s="1"/>
  <c r="AI141" i="83" s="1"/>
  <c r="AI144" i="83" s="1"/>
  <c r="AB21" i="83"/>
  <c r="AB18" i="83"/>
  <c r="AB15" i="83"/>
  <c r="AB26" i="83"/>
  <c r="G14" i="83"/>
  <c r="G15" i="83" s="1"/>
  <c r="G10" i="83"/>
  <c r="G17" i="83"/>
  <c r="G13" i="83"/>
  <c r="Q13" i="83"/>
  <c r="Q10" i="83"/>
  <c r="Q14" i="83"/>
  <c r="Q15" i="83" s="1"/>
  <c r="Q17" i="83"/>
  <c r="I27" i="83"/>
  <c r="I30" i="83"/>
  <c r="V13" i="83"/>
  <c r="V14" i="83"/>
  <c r="V15" i="83" s="1"/>
  <c r="V10" i="83"/>
  <c r="V17" i="83"/>
  <c r="S131" i="83"/>
  <c r="S135" i="83" s="1"/>
  <c r="S141" i="83" s="1"/>
  <c r="S144" i="83" s="1"/>
  <c r="S22" i="83"/>
  <c r="M26" i="83"/>
  <c r="M21" i="83"/>
  <c r="M18" i="83"/>
  <c r="M15" i="83"/>
  <c r="J22" i="83"/>
  <c r="J131" i="83"/>
  <c r="J135" i="83" s="1"/>
  <c r="J141" i="83" s="1"/>
  <c r="J144" i="83" s="1"/>
  <c r="AH30" i="83"/>
  <c r="AH27" i="83"/>
  <c r="AA14" i="83"/>
  <c r="AA15" i="83" s="1"/>
  <c r="AA10" i="83"/>
  <c r="AA17" i="83"/>
  <c r="AA13" i="83"/>
  <c r="O30" i="83"/>
  <c r="O27" i="83"/>
  <c r="H22" i="83"/>
  <c r="H131" i="83"/>
  <c r="R18" i="83"/>
  <c r="R15" i="83"/>
  <c r="R21" i="83"/>
  <c r="R26" i="83"/>
  <c r="E30" i="83" l="1"/>
  <c r="E32" i="83" s="1"/>
  <c r="D30" i="83"/>
  <c r="D32" i="83" s="1"/>
  <c r="P30" i="83"/>
  <c r="P33" i="83" s="1"/>
  <c r="AN22" i="83"/>
  <c r="AI30" i="83"/>
  <c r="AI33" i="83" s="1"/>
  <c r="AI27" i="83"/>
  <c r="E131" i="83"/>
  <c r="E135" i="83" s="1"/>
  <c r="E141" i="83" s="1"/>
  <c r="E144" i="83" s="1"/>
  <c r="AN27" i="83"/>
  <c r="X30" i="83"/>
  <c r="X32" i="83" s="1"/>
  <c r="Y30" i="83"/>
  <c r="Y33" i="83" s="1"/>
  <c r="AJ131" i="83"/>
  <c r="AJ135" i="83" s="1"/>
  <c r="AJ141" i="83" s="1"/>
  <c r="AJ144" i="83" s="1"/>
  <c r="Y22" i="83"/>
  <c r="AK21" i="83"/>
  <c r="AK22" i="83" s="1"/>
  <c r="K27" i="83"/>
  <c r="AK18" i="83"/>
  <c r="AK19" i="83" s="1"/>
  <c r="L21" i="83"/>
  <c r="L22" i="83" s="1"/>
  <c r="K131" i="83"/>
  <c r="K135" i="83" s="1"/>
  <c r="K141" i="83" s="1"/>
  <c r="K144" i="83" s="1"/>
  <c r="AC131" i="83"/>
  <c r="AC135" i="83" s="1"/>
  <c r="AC141" i="83" s="1"/>
  <c r="AC144" i="83" s="1"/>
  <c r="AO30" i="83"/>
  <c r="AO33" i="83" s="1"/>
  <c r="AC27" i="83"/>
  <c r="L26" i="83"/>
  <c r="L27" i="83" s="1"/>
  <c r="T22" i="83"/>
  <c r="AO22" i="83"/>
  <c r="U27" i="83"/>
  <c r="D22" i="83"/>
  <c r="U131" i="83"/>
  <c r="U135" i="83" s="1"/>
  <c r="U141" i="83" s="1"/>
  <c r="U144" i="83" s="1"/>
  <c r="R19" i="83"/>
  <c r="V18" i="83"/>
  <c r="V19" i="83" s="1"/>
  <c r="M131" i="83"/>
  <c r="M22" i="83"/>
  <c r="Q21" i="83"/>
  <c r="Q22" i="83" s="1"/>
  <c r="AG135" i="83"/>
  <c r="AG141" i="83" s="1"/>
  <c r="AG144" i="83" s="1"/>
  <c r="J32" i="83"/>
  <c r="J33" i="83"/>
  <c r="Z33" i="83"/>
  <c r="Z32" i="83"/>
  <c r="AL27" i="83"/>
  <c r="AL30" i="83"/>
  <c r="AP26" i="83"/>
  <c r="AP27" i="83" s="1"/>
  <c r="M30" i="83"/>
  <c r="Q26" i="83"/>
  <c r="Q27" i="83" s="1"/>
  <c r="M27" i="83"/>
  <c r="AJ32" i="83"/>
  <c r="AJ33" i="83"/>
  <c r="N33" i="83"/>
  <c r="N32" i="83"/>
  <c r="I33" i="83"/>
  <c r="I32" i="83"/>
  <c r="X33" i="83"/>
  <c r="AC33" i="83"/>
  <c r="AC32" i="83"/>
  <c r="W22" i="83"/>
  <c r="AA21" i="83"/>
  <c r="AA22" i="83" s="1"/>
  <c r="W131" i="83"/>
  <c r="G26" i="83"/>
  <c r="G27" i="83" s="1"/>
  <c r="C30" i="83"/>
  <c r="C27" i="83"/>
  <c r="R27" i="83"/>
  <c r="R30" i="83"/>
  <c r="V26" i="83"/>
  <c r="V27" i="83" s="1"/>
  <c r="O33" i="83"/>
  <c r="O32" i="83"/>
  <c r="S33" i="83"/>
  <c r="S32" i="83"/>
  <c r="W30" i="83"/>
  <c r="W27" i="83"/>
  <c r="AA26" i="83"/>
  <c r="AA27" i="83" s="1"/>
  <c r="U33" i="83"/>
  <c r="U32" i="83"/>
  <c r="AL22" i="83"/>
  <c r="AL131" i="83"/>
  <c r="AP21" i="83"/>
  <c r="AP22" i="83" s="1"/>
  <c r="L30" i="83"/>
  <c r="L32" i="83" s="1"/>
  <c r="H33" i="83"/>
  <c r="H32" i="83"/>
  <c r="AG33" i="83"/>
  <c r="AG32" i="83"/>
  <c r="K33" i="83"/>
  <c r="K32" i="83"/>
  <c r="T33" i="83"/>
  <c r="T32" i="83"/>
  <c r="H135" i="83"/>
  <c r="H141" i="83" s="1"/>
  <c r="H144" i="83" s="1"/>
  <c r="P32" i="83"/>
  <c r="AH33" i="83"/>
  <c r="AH32" i="83"/>
  <c r="AN33" i="83"/>
  <c r="AN32" i="83"/>
  <c r="C19" i="83"/>
  <c r="G18" i="83"/>
  <c r="G19" i="83" s="1"/>
  <c r="AE32" i="83"/>
  <c r="AE33" i="83"/>
  <c r="AB27" i="83"/>
  <c r="AF26" i="83"/>
  <c r="AF27" i="83" s="1"/>
  <c r="AB30" i="83"/>
  <c r="AM33" i="83"/>
  <c r="AM32" i="83"/>
  <c r="R131" i="83"/>
  <c r="R22" i="83"/>
  <c r="V21" i="83"/>
  <c r="V22" i="83" s="1"/>
  <c r="AB19" i="83"/>
  <c r="AF18" i="83"/>
  <c r="AF19" i="83" s="1"/>
  <c r="W19" i="83"/>
  <c r="AA18" i="83"/>
  <c r="AA19" i="83" s="1"/>
  <c r="C22" i="83"/>
  <c r="G21" i="83"/>
  <c r="G22" i="83" s="1"/>
  <c r="C131" i="83"/>
  <c r="AD33" i="83"/>
  <c r="AD32" i="83"/>
  <c r="AL19" i="83"/>
  <c r="AP18" i="83"/>
  <c r="AP19" i="83" s="1"/>
  <c r="M19" i="83"/>
  <c r="Q18" i="83"/>
  <c r="Q19" i="83" s="1"/>
  <c r="AB22" i="83"/>
  <c r="AF21" i="83"/>
  <c r="AF22" i="83" s="1"/>
  <c r="AB131" i="83"/>
  <c r="F33" i="83"/>
  <c r="F32" i="83"/>
  <c r="D33" i="83" l="1"/>
  <c r="E33" i="83"/>
  <c r="AK30" i="83"/>
  <c r="AK32" i="83" s="1"/>
  <c r="AI32" i="83"/>
  <c r="Y32" i="83"/>
  <c r="AK144" i="83"/>
  <c r="AK131" i="83"/>
  <c r="AK135" i="83" s="1"/>
  <c r="AK141" i="83" s="1"/>
  <c r="L144" i="83"/>
  <c r="L131" i="83"/>
  <c r="L135" i="83" s="1"/>
  <c r="L141" i="83" s="1"/>
  <c r="AO32" i="83"/>
  <c r="L33" i="83"/>
  <c r="AK33" i="83"/>
  <c r="AB135" i="83"/>
  <c r="AB141" i="83" s="1"/>
  <c r="AB144" i="83" s="1"/>
  <c r="AF144" i="83" s="1"/>
  <c r="AF131" i="83"/>
  <c r="AF135" i="83" s="1"/>
  <c r="AF141" i="83" s="1"/>
  <c r="R32" i="83"/>
  <c r="V30" i="83"/>
  <c r="V32" i="83" s="1"/>
  <c r="R33" i="83"/>
  <c r="V33" i="83" s="1"/>
  <c r="AL135" i="83"/>
  <c r="AL141" i="83" s="1"/>
  <c r="AL144" i="83" s="1"/>
  <c r="AP144" i="83" s="1"/>
  <c r="AP131" i="83"/>
  <c r="AP135" i="83" s="1"/>
  <c r="AP141" i="83" s="1"/>
  <c r="W135" i="83"/>
  <c r="W141" i="83" s="1"/>
  <c r="W144" i="83" s="1"/>
  <c r="AA144" i="83" s="1"/>
  <c r="AA131" i="83"/>
  <c r="AA135" i="83" s="1"/>
  <c r="AA141" i="83" s="1"/>
  <c r="C135" i="83"/>
  <c r="C141" i="83" s="1"/>
  <c r="C144" i="83" s="1"/>
  <c r="G144" i="83" s="1"/>
  <c r="G131" i="83"/>
  <c r="G135" i="83" s="1"/>
  <c r="G141" i="83" s="1"/>
  <c r="Q30" i="83"/>
  <c r="Q32" i="83" s="1"/>
  <c r="M33" i="83"/>
  <c r="Q33" i="83" s="1"/>
  <c r="M32" i="83"/>
  <c r="R135" i="83"/>
  <c r="R141" i="83" s="1"/>
  <c r="R144" i="83" s="1"/>
  <c r="V144" i="83" s="1"/>
  <c r="V131" i="83"/>
  <c r="V135" i="83" s="1"/>
  <c r="V141" i="83" s="1"/>
  <c r="M135" i="83"/>
  <c r="M141" i="83" s="1"/>
  <c r="M144" i="83" s="1"/>
  <c r="Q144" i="83" s="1"/>
  <c r="Q131" i="83"/>
  <c r="Q135" i="83" s="1"/>
  <c r="Q141" i="83" s="1"/>
  <c r="G30" i="83"/>
  <c r="G32" i="83" s="1"/>
  <c r="C33" i="83"/>
  <c r="C32" i="83"/>
  <c r="AP30" i="83"/>
  <c r="AP32" i="83" s="1"/>
  <c r="AL33" i="83"/>
  <c r="AP33" i="83" s="1"/>
  <c r="AL32" i="83"/>
  <c r="AF30" i="83"/>
  <c r="AF32" i="83" s="1"/>
  <c r="AB33" i="83"/>
  <c r="AF33" i="83" s="1"/>
  <c r="AB32" i="83"/>
  <c r="W33" i="83"/>
  <c r="AA33" i="83" s="1"/>
  <c r="AA30" i="83"/>
  <c r="AA32" i="83" s="1"/>
  <c r="W32" i="83"/>
  <c r="G33" i="83" l="1"/>
  <c r="AK145" i="83"/>
  <c r="AK149" i="83" s="1"/>
  <c r="L145" i="83"/>
  <c r="L149" i="83" s="1"/>
  <c r="AF145" i="83"/>
  <c r="AF149" i="83" s="1"/>
  <c r="Q145" i="83"/>
  <c r="Q149" i="83" s="1"/>
  <c r="AA145" i="83"/>
  <c r="AA149" i="83" s="1"/>
  <c r="V145" i="83"/>
  <c r="V149" i="83" s="1"/>
  <c r="AP145" i="83"/>
  <c r="AP149" i="83" s="1"/>
  <c r="G145" i="83"/>
  <c r="G149" i="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xr:uid="{00000000-0006-0000-0100-000001000000}">
      <text>
        <r>
          <rPr>
            <sz val="9"/>
            <color indexed="81"/>
            <rFont val="Segoe UI"/>
            <family val="2"/>
          </rPr>
          <t>PT - Crédito de R$ 9,8 milhões por ganho de causa contra o recolhimento do Fundaf
EN - R$ 9.8 million credit from Fundaf dispute gain</t>
        </r>
      </text>
    </comment>
    <comment ref="G9" authorId="0" shapeId="0" xr:uid="{00000000-0006-0000-0100-000002000000}">
      <text>
        <r>
          <rPr>
            <sz val="9"/>
            <color indexed="81"/>
            <rFont val="Segoe UI"/>
            <family val="2"/>
          </rPr>
          <t xml:space="preserve">PT - Crédito de R$ 9,8 milhões por ganho de causa contra o recolhimento do Fundaf
EN - R$ 9.8 million credit from Fundaf dispute gain
</t>
        </r>
      </text>
    </comment>
    <comment ref="J9" authorId="1" shapeId="0" xr:uid="{00000000-0006-0000-0100-00000300000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xr:uid="{00000000-0006-0000-0100-000004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xr:uid="{00000000-0006-0000-0100-000005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xr:uid="{00000000-0006-0000-0100-000006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xr:uid="{00000000-0006-0000-0100-000007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xr:uid="{00000000-0006-0000-0100-00000800000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xr:uid="{00000000-0006-0000-0100-00000900000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xr:uid="{00000000-0006-0000-0100-00000A00000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xr:uid="{00000000-0006-0000-0100-00000B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xr:uid="{00000000-0006-0000-0100-00000C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xr:uid="{00000000-0006-0000-0100-00000D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xr:uid="{00000000-0006-0000-0100-00000E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xr:uid="{00000000-0006-0000-0100-00000F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xr:uid="{00000000-0006-0000-0100-000010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xr:uid="{00000000-0006-0000-0100-00001100000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xr:uid="{00000000-0006-0000-0100-000012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xr:uid="{00000000-0006-0000-0100-00001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xr:uid="{00000000-0006-0000-0100-000014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xr:uid="{00000000-0006-0000-0100-000015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xr:uid="{00000000-0006-0000-0100-000016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xr:uid="{00000000-0006-0000-0100-00001700000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xr:uid="{00000000-0006-0000-0100-00001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xr:uid="{00000000-0006-0000-0100-00001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xr:uid="{00000000-0006-0000-0100-00001A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xr:uid="{00000000-0006-0000-0100-00001B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xr:uid="{00000000-0006-0000-0100-00001C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xr:uid="{00000000-0006-0000-0100-00001D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xr:uid="{00000000-0006-0000-0100-00001E00000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xr:uid="{00000000-0006-0000-0100-00001F00000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xr:uid="{00000000-0006-0000-0100-000020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xr:uid="{00000000-0006-0000-0100-000021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xr:uid="{00000000-0006-0000-0100-000022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xr:uid="{00000000-0006-0000-0100-000023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xr:uid="{00000000-0006-0000-0100-00002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xr:uid="{00000000-0006-0000-0100-00002500000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xr:uid="{00000000-0006-0000-0100-00002600000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xr:uid="{00000000-0006-0000-0100-00002700000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xr:uid="{00000000-0006-0000-0100-00002800000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xr:uid="{00000000-0006-0000-0100-000029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xr:uid="{00000000-0006-0000-0100-00002A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xr:uid="{00000000-0006-0000-0100-00002B00000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xr:uid="{00000000-0006-0000-0100-00002C00000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xr:uid="{00000000-0006-0000-0100-00002D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xr:uid="{00000000-0006-0000-0100-00002E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xr:uid="{00000000-0006-0000-0100-00002F00000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xr:uid="{00000000-0006-0000-0100-000030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xr:uid="{00000000-0006-0000-0100-000031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xr:uid="{00000000-0006-0000-0100-000032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xr:uid="{00000000-0006-0000-0100-00003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xr:uid="{00000000-0006-0000-0100-000034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xr:uid="{00000000-0006-0000-0100-000035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xr:uid="{00000000-0006-0000-0100-000036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xr:uid="{00000000-0006-0000-0100-000037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xr:uid="{00000000-0006-0000-0100-000038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xr:uid="{00000000-0006-0000-0100-00003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xr:uid="{00000000-0006-0000-0100-00003A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xr:uid="{00000000-0006-0000-0100-00003B00000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xr:uid="{00000000-0006-0000-0100-00003C00000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xr:uid="{00000000-0006-0000-0100-00003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xr:uid="{00000000-0006-0000-0100-00003E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xr:uid="{00000000-0006-0000-0100-00003F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xr:uid="{00000000-0006-0000-0100-00004000000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xr:uid="{00000000-0006-0000-0100-000041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xr:uid="{00000000-0006-0000-0100-000042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xr:uid="{00000000-0006-0000-0100-000043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xr:uid="{00000000-0006-0000-0100-00004400000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xr:uid="{00000000-0006-0000-0100-000045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xr:uid="{00000000-0006-0000-0100-000046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xr:uid="{00000000-0006-0000-0100-000047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xr:uid="{00000000-0006-0000-0100-000048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xr:uid="{00000000-0006-0000-0100-000049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xr:uid="{00000000-0006-0000-0100-00004A00000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xr:uid="{00000000-0006-0000-0100-00004B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xr:uid="{00000000-0006-0000-0100-00004C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xr:uid="{00000000-0006-0000-0100-00004D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xr:uid="{00000000-0006-0000-0100-00004E00000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xr:uid="{00000000-0006-0000-0100-00004F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xr:uid="{00000000-0006-0000-0100-00005000000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xr:uid="{00000000-0006-0000-0100-00005100000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xr:uid="{00000000-0006-0000-0100-000052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xr:uid="{00000000-0006-0000-0100-000053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xr:uid="{00000000-0006-0000-0100-00005400000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xr:uid="{00000000-0006-0000-0100-000055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xr:uid="{00000000-0006-0000-0100-000056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xr:uid="{00000000-0006-0000-0100-000057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xr:uid="{00000000-0006-0000-0100-000058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xr:uid="{00000000-0006-0000-0100-00005900000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xr:uid="{00000000-0006-0000-0100-00005A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xr:uid="{00000000-0006-0000-0100-00005B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xr:uid="{00000000-0006-0000-0100-00005C000000}">
      <text>
        <r>
          <rPr>
            <sz val="9"/>
            <color indexed="81"/>
            <rFont val="Segoe UI"/>
            <family val="2"/>
          </rPr>
          <t>PT - Denúncia espontânea imposto ICMS R$ 5,252 M
Eng - Spontaneous denouncement on fiscal payment R$ 5.252 M</t>
        </r>
      </text>
    </comment>
    <comment ref="K23" authorId="6" shapeId="0" xr:uid="{00000000-0006-0000-0100-00005D00000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xr:uid="{00000000-0006-0000-0100-00005E00000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xr:uid="{00000000-0006-0000-0100-00005F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xr:uid="{00000000-0006-0000-0100-000060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xr:uid="{00000000-0006-0000-0100-00006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xr:uid="{00000000-0006-0000-0100-000062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xr:uid="{00000000-0006-0000-0100-00006300000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xr:uid="{00000000-0006-0000-0100-00006400000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xr:uid="{00000000-0006-0000-0100-000065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xr:uid="{00000000-0006-0000-0100-00006600000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xr:uid="{00000000-0006-0000-0100-00006700000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xr:uid="{00000000-0006-0000-0100-00006800000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xr:uid="{00000000-0006-0000-0100-000069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xr:uid="{00000000-0006-0000-0100-00006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xr:uid="{00000000-0006-0000-0100-00006B00000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xr:uid="{00000000-0006-0000-0100-00006C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xr:uid="{00000000-0006-0000-0100-00006D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xr:uid="{00000000-0006-0000-0100-00006E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xr:uid="{00000000-0006-0000-0100-00006F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xr:uid="{00000000-0006-0000-0100-00007000000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xr:uid="{00000000-0006-0000-0100-000071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xr:uid="{2A3C97C0-1C53-4EDA-BAA5-A5FB7E850E65}">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xr:uid="{00000000-0006-0000-0100-000072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xr:uid="{00000000-0006-0000-0100-00007300000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xr:uid="{00000000-0006-0000-0100-00007400000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xr:uid="{00000000-0006-0000-0100-000075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xr:uid="{00000000-0006-0000-0100-000076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xr:uid="{00000000-0006-0000-0100-000077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xr:uid="{00000000-0006-0000-0100-00007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xr:uid="{00000000-0006-0000-0100-000079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xr:uid="{00000000-0006-0000-0100-00007A00000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xr:uid="{00000000-0006-0000-0100-00007B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xr:uid="{00000000-0006-0000-0100-00007C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xr:uid="{00000000-0006-0000-0100-00007D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xr:uid="{00000000-0006-0000-0100-00007E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xr:uid="{00000000-0006-0000-0100-00007F00000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xr:uid="{00000000-0006-0000-0100-000080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xr:uid="{00000000-0006-0000-0100-000081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xr:uid="{00000000-0006-0000-0100-000082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xr:uid="{00000000-0006-0000-0100-000083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xr:uid="{00000000-0006-0000-0100-00008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xr:uid="{00000000-0006-0000-0100-000085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xr:uid="{00000000-0006-0000-0100-000086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xr:uid="{00000000-0006-0000-0100-000087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xr:uid="{00000000-0006-0000-0100-00008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xr:uid="{00000000-0006-0000-0100-00008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xr:uid="{00000000-0006-0000-0100-00008A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xr:uid="{00000000-0006-0000-0100-00008B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xr:uid="{00000000-0006-0000-0100-00008C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xr:uid="{00000000-0006-0000-0100-00008D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xr:uid="{00000000-0006-0000-0100-00008E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xr:uid="{00000000-0006-0000-0100-00008F00000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xr:uid="{00000000-0006-0000-0100-000090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xr:uid="{00000000-0006-0000-0100-000091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xr:uid="{00000000-0006-0000-0100-000092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xr:uid="{00000000-0006-0000-0100-000093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xr:uid="{00000000-0006-0000-0100-00009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xr:uid="{00000000-0006-0000-0100-000095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xr:uid="{00000000-0006-0000-0100-000096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xr:uid="{00000000-0006-0000-0100-00009700000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xr:uid="{00000000-0006-0000-0100-000098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xr:uid="{00000000-0006-0000-0100-00009900000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xr:uid="{00000000-0006-0000-0100-00009A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xr:uid="{00000000-0006-0000-0100-00009B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xr:uid="{00000000-0006-0000-0100-00009C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xr:uid="{00000000-0006-0000-0100-00009D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xr:uid="{00000000-0006-0000-0100-00009E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xr:uid="{00000000-0006-0000-0100-00009F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xr:uid="{00000000-0006-0000-0100-0000A0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xr:uid="{00000000-0006-0000-0100-0000A1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xr:uid="{EB5723BF-0673-426F-90FF-88D6E9A89A5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xr:uid="{3E1CDD9B-7181-45D0-9A9B-01C09216A79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xr:uid="{00000000-0006-0000-0100-0000A200000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xr:uid="{00000000-0006-0000-0100-0000A3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xr:uid="{00000000-0006-0000-0100-0000A4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xr:uid="{00000000-0006-0000-0100-0000A5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xr:uid="{00000000-0006-0000-0100-0000A6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xr:uid="{00000000-0006-0000-0100-0000A7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xr:uid="{00000000-0006-0000-0100-0000A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xr:uid="{00000000-0006-0000-0100-0000A9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xr:uid="{00000000-0006-0000-0100-0000AA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xr:uid="{00000000-0006-0000-0100-0000AB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xr:uid="{00000000-0006-0000-0100-0000AC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xr:uid="{00000000-0006-0000-0100-0000AD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xr:uid="{00000000-0006-0000-0100-0000AE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xr:uid="{00000000-0006-0000-0100-0000AF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xr:uid="{00000000-0006-0000-0100-0000B0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xr:uid="{00000000-0006-0000-0100-0000B1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xr:uid="{00000000-0006-0000-0100-0000B2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xr:uid="{00000000-0006-0000-0100-0000B3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xr:uid="{00000000-0006-0000-0100-0000B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xr:uid="{00000000-0006-0000-0100-0000B5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xr:uid="{00000000-0006-0000-0100-0000B6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xr:uid="{00000000-0006-0000-0100-0000B7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xr:uid="{00000000-0006-0000-0100-0000B8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xr:uid="{00000000-0006-0000-0100-0000B9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xr:uid="{00000000-0006-0000-0100-0000BA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xr:uid="{00000000-0006-0000-0100-0000BB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xr:uid="{00000000-0006-0000-0100-0000BC00000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xr:uid="{00000000-0006-0000-0100-0000BD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xr:uid="{00000000-0006-0000-0100-0000BE00000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xr:uid="{00000000-0006-0000-0100-0000BF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xr:uid="{00000000-0006-0000-0100-0000C0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xr:uid="{00000000-0006-0000-0100-0000C1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xr:uid="{00000000-0006-0000-0100-0000C200000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xr:uid="{00000000-0006-0000-0100-0000C3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xr:uid="{00000000-0006-0000-0100-0000C4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xr:uid="{00000000-0006-0000-0100-0000C5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xr:uid="{00000000-0006-0000-0100-0000C6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xr:uid="{00000000-0006-0000-0100-0000C7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xr:uid="{00000000-0006-0000-0100-0000C8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xr:uid="{00000000-0006-0000-0100-0000C9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xr:uid="{00000000-0006-0000-0100-0000CA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xr:uid="{00000000-0006-0000-0100-0000CB00000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xr:uid="{00000000-0006-0000-0100-0000CC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xr:uid="{00000000-0006-0000-0100-0000CD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xr:uid="{00000000-0006-0000-0100-0000CE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xr:uid="{00000000-0006-0000-0100-0000CF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xr:uid="{00000000-0006-0000-0100-0000D0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xr:uid="{00000000-0006-0000-0100-0000D1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xr:uid="{00000000-0006-0000-0100-0000D200000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xr:uid="{00000000-0006-0000-0100-0000D300000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xr:uid="{00000000-0006-0000-0100-0000D4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xr:uid="{00000000-0006-0000-0100-0000D5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xr:uid="{00000000-0006-0000-0100-0000D6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xr:uid="{00000000-0006-0000-0100-0000D700000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xr:uid="{00000000-0006-0000-0100-0000D800000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xr:uid="{00000000-0006-0000-0100-0000D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xr:uid="{00000000-0006-0000-0100-0000DA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xr:uid="{00000000-0006-0000-0100-0000DB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xr:uid="{00000000-0006-0000-0100-0000DC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xr:uid="{00000000-0006-0000-0100-0000D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xr:uid="{00000000-0006-0000-0100-0000DE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xr:uid="{00000000-0006-0000-0100-0000DF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xr:uid="{00000000-0006-0000-0100-0000E0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xr:uid="{00000000-0006-0000-0100-0000E1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xr:uid="{00000000-0006-0000-0100-0000E2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xr:uid="{C1CCC90C-AEF1-4DF0-8828-70B14677B28D}">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xr:uid="{1AB416AB-B19B-4E75-B466-7831A9102BB9}">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xr:uid="{00000000-0006-0000-0100-0000E3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xr:uid="{00000000-0006-0000-0100-0000E4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xr:uid="{00000000-0006-0000-0100-0000E5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xr:uid="{00000000-0006-0000-0100-0000E6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xr:uid="{00000000-0006-0000-0100-0000E7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xr:uid="{00000000-0006-0000-0100-0000E8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xr:uid="{00000000-0006-0000-0100-0000E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xr:uid="{00000000-0006-0000-0100-0000EA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xr:uid="{00000000-0006-0000-0100-0000EB00000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xr:uid="{00000000-0006-0000-0100-0000EC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xr:uid="{00000000-0006-0000-0100-0000E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xr:uid="{00000000-0006-0000-0100-0000EE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xr:uid="{00000000-0006-0000-0100-0000EF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xr:uid="{00000000-0006-0000-0100-0000F0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xr:uid="{00000000-0006-0000-0100-0000F100000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xr:uid="{00000000-0006-0000-0100-0000F2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xr:uid="{00000000-0006-0000-0100-0000F3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xr:uid="{00000000-0006-0000-0100-0000F4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xr:uid="{00000000-0006-0000-0100-0000F5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xr:uid="{00000000-0006-0000-0100-0000F6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xr:uid="{00000000-0006-0000-0100-0000F7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xr:uid="{00000000-0006-0000-0100-0000F8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xr:uid="{00000000-0006-0000-0100-0000F9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xr:uid="{00000000-0006-0000-0100-0000FA00000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xr:uid="{00000000-0006-0000-0100-0000FB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xr:uid="{00000000-0006-0000-0100-0000FC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xr:uid="{00000000-0006-0000-0100-0000FD00000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xr:uid="{00000000-0006-0000-0100-0000FE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xr:uid="{00000000-0006-0000-0100-0000FF00000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xr:uid="{00000000-0006-0000-0100-00000001000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xr:uid="{00000000-0006-0000-0100-00000101000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xr:uid="{00000000-0006-0000-0100-00000201000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xr:uid="{00000000-0006-0000-0100-000003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xr:uid="{00000000-0006-0000-0100-000004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xr:uid="{00000000-0006-0000-0100-000005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xr:uid="{00000000-0006-0000-0100-000006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xr:uid="{00000000-0006-0000-0100-000007010000}">
      <text>
        <r>
          <rPr>
            <sz val="9"/>
            <color indexed="81"/>
            <rFont val="Segoe UI"/>
            <family val="2"/>
          </rPr>
          <t>PT- R$ 17,3 milhões de atraso referente a acordo comercial
Eng- R$ 17.3 million referring Commercial discution</t>
        </r>
      </text>
    </comment>
    <comment ref="Y118" authorId="1" shapeId="0" xr:uid="{00000000-0006-0000-0100-000008010000}">
      <text>
        <r>
          <rPr>
            <sz val="9"/>
            <color indexed="81"/>
            <rFont val="Segoe UI"/>
            <family val="2"/>
          </rPr>
          <t>PT- R$ 39,5 milhões de atraso referente a acordo comercial
Eng- R$ 39.5 million referring Commercial discussion</t>
        </r>
      </text>
    </comment>
    <comment ref="Z118" authorId="1" shapeId="0" xr:uid="{00000000-0006-0000-0100-000009010000}">
      <text>
        <r>
          <rPr>
            <sz val="9"/>
            <color indexed="81"/>
            <rFont val="Segoe UI"/>
            <family val="2"/>
          </rPr>
          <t>PT- R$ 56,8 milhões de atraso referente a acordo comercial
Eng- R$ 56.8 million referring Commercial discussion</t>
        </r>
      </text>
    </comment>
    <comment ref="AA118" authorId="1" shapeId="0" xr:uid="{00000000-0006-0000-0100-00000A010000}">
      <text>
        <r>
          <rPr>
            <sz val="9"/>
            <color indexed="81"/>
            <rFont val="Segoe UI"/>
            <family val="2"/>
          </rPr>
          <t>PT- R$ 56,8 milhões de atraso referente a acordo comercial
Eng- R$ 56.8 million referring Commercial discussion</t>
        </r>
      </text>
    </comment>
    <comment ref="AB118" authorId="1" shapeId="0" xr:uid="{00000000-0006-0000-0100-00000B010000}">
      <text>
        <r>
          <rPr>
            <sz val="9"/>
            <color indexed="81"/>
            <rFont val="Segoe UI"/>
            <family val="2"/>
          </rPr>
          <t xml:space="preserve">PT- R$ 43,9 milhões de atraso referente a acordo comercial
Eng- R$ 43.9 million referring Commercial discussion
</t>
        </r>
      </text>
    </comment>
    <comment ref="AC118" authorId="1" shapeId="0" xr:uid="{00000000-0006-0000-0100-00000C010000}">
      <text>
        <r>
          <rPr>
            <sz val="9"/>
            <color indexed="81"/>
            <rFont val="Segoe UI"/>
            <family val="2"/>
          </rPr>
          <t xml:space="preserve">PT- R$ 21 milhões de atraso referente a acordo comercial
Eng- R$ 21 million referring Commercial discution
</t>
        </r>
      </text>
    </comment>
    <comment ref="X119" authorId="1" shapeId="0" xr:uid="{00000000-0006-0000-0100-00000D010000}">
      <text>
        <r>
          <rPr>
            <sz val="9"/>
            <color indexed="81"/>
            <rFont val="Segoe UI"/>
            <family val="2"/>
          </rPr>
          <t xml:space="preserve">PT- 5 dias de aumento referente a acordo comercial pendente
Eng- 5 days referring pending Commercial discution
</t>
        </r>
      </text>
    </comment>
    <comment ref="Y119" authorId="1" shapeId="0" xr:uid="{00000000-0006-0000-0100-00000E010000}">
      <text>
        <r>
          <rPr>
            <sz val="9"/>
            <color indexed="81"/>
            <rFont val="Segoe UI"/>
            <family val="2"/>
          </rPr>
          <t xml:space="preserve">PT- 12 dias de aumento referente a acordo comercial pendente
Eng- 12 days referring pending Commercial discussion
</t>
        </r>
      </text>
    </comment>
    <comment ref="Z119" authorId="1" shapeId="0" xr:uid="{00000000-0006-0000-0100-00000F010000}">
      <text>
        <r>
          <rPr>
            <sz val="9"/>
            <color indexed="81"/>
            <rFont val="Segoe UI"/>
            <family val="2"/>
          </rPr>
          <t xml:space="preserve">PT- 13 dias de aumento referente a acordo comercial pendente
Eng- 13 days referring pending Commercial discussion
</t>
        </r>
      </text>
    </comment>
    <comment ref="AA119" authorId="1" shapeId="0" xr:uid="{00000000-0006-0000-0100-000010010000}">
      <text>
        <r>
          <rPr>
            <sz val="9"/>
            <color indexed="81"/>
            <rFont val="Segoe UI"/>
            <family val="2"/>
          </rPr>
          <t xml:space="preserve">PT- 16 dias de aumento referente a acordo comercial pendente
Eng- 16 days referring pending Commercial discussion
</t>
        </r>
      </text>
    </comment>
    <comment ref="AB119" authorId="1" shapeId="0" xr:uid="{00000000-0006-0000-0100-000011010000}">
      <text>
        <r>
          <rPr>
            <sz val="9"/>
            <color indexed="81"/>
            <rFont val="Segoe UI"/>
            <family val="2"/>
          </rPr>
          <t xml:space="preserve">PT- 13 dias de aumento referente a acordo comercial pendente
Eng- 13 days referring pending Commercial discussion
</t>
        </r>
      </text>
    </comment>
    <comment ref="AC119" authorId="1" shapeId="0" xr:uid="{00000000-0006-0000-0100-000012010000}">
      <text>
        <r>
          <rPr>
            <sz val="9"/>
            <color indexed="81"/>
            <rFont val="Segoe UI"/>
            <family val="2"/>
          </rPr>
          <t xml:space="preserve">PT- 5 dias de aumento referente a acordo comercial pendente
Eng- 5 days referring pending Commercial discussion
</t>
        </r>
      </text>
    </comment>
    <comment ref="X124" authorId="0" shapeId="0" xr:uid="{00000000-0006-0000-0100-000013010000}">
      <text>
        <r>
          <rPr>
            <sz val="9"/>
            <color indexed="81"/>
            <rFont val="Segoe UI"/>
            <family val="2"/>
          </rPr>
          <t xml:space="preserve">PT- R$ 6 milhões retidos referente a acordo comercial
Eng- R$ 6 million retained referring to Commercial discution
</t>
        </r>
      </text>
    </comment>
    <comment ref="Y124" authorId="0" shapeId="0" xr:uid="{00000000-0006-0000-0100-000014010000}">
      <text>
        <r>
          <rPr>
            <sz val="9"/>
            <color indexed="81"/>
            <rFont val="Segoe UI"/>
            <family val="2"/>
          </rPr>
          <t>PT- R$ 13,2  milhões retidos referente a acordo comercial
Eng- R$ 13,2 million retained referring to Commercial discussion</t>
        </r>
      </text>
    </comment>
    <comment ref="Z124" authorId="0" shapeId="0" xr:uid="{00000000-0006-0000-0100-000015010000}">
      <text>
        <r>
          <rPr>
            <sz val="9"/>
            <color indexed="81"/>
            <rFont val="Segoe UI"/>
            <family val="2"/>
          </rPr>
          <t>PT- R$ 19,8  milhões retidos referente a acordo comercial
Eng- R$ 19,8 million retained referring to Commercial discussion</t>
        </r>
      </text>
    </comment>
    <comment ref="AA124" authorId="0" shapeId="0" xr:uid="{00000000-0006-0000-0100-000016010000}">
      <text>
        <r>
          <rPr>
            <sz val="9"/>
            <color indexed="81"/>
            <rFont val="Segoe UI"/>
            <family val="2"/>
          </rPr>
          <t>PT- R$ 19,8  milhões retidos referente a acordo comercial
Eng- R$ 19,8 million retained referring to Commercial discussion</t>
        </r>
      </text>
    </comment>
    <comment ref="AB124" authorId="0" shapeId="0" xr:uid="{00000000-0006-0000-0100-000017010000}">
      <text>
        <r>
          <rPr>
            <sz val="9"/>
            <color indexed="81"/>
            <rFont val="Segoe UI"/>
            <family val="2"/>
          </rPr>
          <t xml:space="preserve">PT- R$ 15 milhões retidos referente a acordo comercial
Eng- R$ 15 million retained referring to Commercial discussion
</t>
        </r>
      </text>
    </comment>
    <comment ref="AC124" authorId="0" shapeId="0" xr:uid="{00000000-0006-0000-0100-000018010000}">
      <text>
        <r>
          <rPr>
            <sz val="9"/>
            <color indexed="81"/>
            <rFont val="Segoe UI"/>
            <family val="2"/>
          </rPr>
          <t>PT- R$ 7,5 milhões retidos referente a acordo comercial
Eng- R$ 7.5 million retained referring to Commercial discussion</t>
        </r>
      </text>
    </comment>
    <comment ref="X125" authorId="0" shapeId="0" xr:uid="{00000000-0006-0000-0100-000019010000}">
      <text>
        <r>
          <rPr>
            <sz val="9"/>
            <color indexed="81"/>
            <rFont val="Segoe UI"/>
            <family val="2"/>
          </rPr>
          <t xml:space="preserve">PT- 3 dias de aumento referente a acordo comercial pendente
Eng- 3 days referring pending Commercial discution
</t>
        </r>
      </text>
    </comment>
    <comment ref="Y125" authorId="0" shapeId="0" xr:uid="{00000000-0006-0000-0100-00001A010000}">
      <text>
        <r>
          <rPr>
            <sz val="9"/>
            <color indexed="81"/>
            <rFont val="Segoe UI"/>
            <family val="2"/>
          </rPr>
          <t>PT- 6 dias de aumento referente a acordo comercial pendente
Eng- 6 days referring pending Commercial discussion</t>
        </r>
      </text>
    </comment>
    <comment ref="Z125" authorId="0" shapeId="0" xr:uid="{00000000-0006-0000-0100-00001B010000}">
      <text>
        <r>
          <rPr>
            <sz val="9"/>
            <color indexed="81"/>
            <rFont val="Segoe UI"/>
            <family val="2"/>
          </rPr>
          <t>PT- 7 dias de aumento referente a acordo comercial pendente
Eng- 7 days referring pending Commercial discussion</t>
        </r>
      </text>
    </comment>
    <comment ref="AA125" authorId="0" shapeId="0" xr:uid="{00000000-0006-0000-0100-00001C010000}">
      <text>
        <r>
          <rPr>
            <sz val="9"/>
            <color indexed="81"/>
            <rFont val="Segoe UI"/>
            <family val="2"/>
          </rPr>
          <t>PT- 9 dias de aumento referente a acordo comercial pendente
Eng- 9 days referring pending Commercial discussion</t>
        </r>
      </text>
    </comment>
    <comment ref="AB125" authorId="0" shapeId="0" xr:uid="{00000000-0006-0000-0100-00001D010000}">
      <text>
        <r>
          <rPr>
            <sz val="9"/>
            <color indexed="81"/>
            <rFont val="Segoe UI"/>
            <family val="2"/>
          </rPr>
          <t>PT- 7 dias de aumento referente a acordo comercial pendente
Eng- 7 days referring pending Commercial discussion</t>
        </r>
      </text>
    </comment>
    <comment ref="AC125" authorId="0" shapeId="0" xr:uid="{00000000-0006-0000-0100-00001E01000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Felipe Silva</author>
    <author>Ian Nunes</author>
  </authors>
  <commentList>
    <comment ref="AF12" authorId="0" shapeId="0" xr:uid="{00000000-0006-0000-0300-00000100000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xr:uid="{00000000-0006-0000-03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xr:uid="{00000000-0006-0000-03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xr:uid="{00000000-0006-0000-0300-00000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xr:uid="{00000000-0006-0000-0300-00000500000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xr:uid="{00000000-0006-0000-0300-000006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xr:uid="{00000000-0006-0000-0300-00000700000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xr:uid="{00000000-0006-0000-0300-000008000000}">
      <text>
        <r>
          <rPr>
            <sz val="9"/>
            <color indexed="81"/>
            <rFont val="Segoe UI"/>
            <family val="2"/>
          </rPr>
          <t>PT - Ganho de R$ 5,86 milhões da disputa do FUNDAF
EN - Fundaf dispute gain of R$ 5,860 thousand</t>
        </r>
      </text>
    </comment>
    <comment ref="AW25" authorId="3" shapeId="0" xr:uid="{00000000-0006-0000-0300-000009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xr:uid="{00000000-0006-0000-0300-00000A000000}">
      <text>
        <r>
          <rPr>
            <sz val="9"/>
            <color indexed="81"/>
            <rFont val="Segoe UI"/>
            <family val="2"/>
          </rPr>
          <t>PT - Baixa de R$ 5,7 milhões de contas a receber da antiga controlada Direct
EN - Write-off of account receivables from Direct Express amounting  R$ 5.7 million</t>
        </r>
      </text>
    </comment>
    <comment ref="AH26" authorId="4" shapeId="0" xr:uid="{00000000-0006-0000-0300-00000B000000}">
      <text>
        <r>
          <rPr>
            <sz val="9"/>
            <color indexed="81"/>
            <rFont val="Segoe UI"/>
            <family val="2"/>
          </rPr>
          <t>PT - Baixa de R$ 5,7 milhões de contas a receber da antiga controlada Direct
EN - Write-off of account receivables from Direct Express amounting  R$ 5.7 million</t>
        </r>
      </text>
    </comment>
    <comment ref="AO26" authorId="1" shapeId="0" xr:uid="{00000000-0006-0000-03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xr:uid="{00000000-0006-0000-0300-00000D00000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xr:uid="{00000000-0006-0000-0300-00000E000000}">
      <text>
        <r>
          <rPr>
            <sz val="9"/>
            <color indexed="81"/>
            <rFont val="Segoe UI"/>
            <family val="2"/>
          </rPr>
          <t>PT - Nova dívida res 4.131 em USD 100% swapada
Eng - New USD debt, 100% swapped</t>
        </r>
      </text>
    </comment>
    <comment ref="AF48" authorId="0" shapeId="0" xr:uid="{00000000-0006-0000-0300-00000F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xr:uid="{00000000-0006-0000-0300-000010000000}">
      <text>
        <r>
          <rPr>
            <sz val="9"/>
            <color indexed="81"/>
            <rFont val="Segoe UI"/>
            <family val="2"/>
          </rPr>
          <t>PT - R$1,9 milhões do Fundaf
EN - R$1.9 million from Fundaf dispute</t>
        </r>
      </text>
    </comment>
    <comment ref="AH51" authorId="0" shapeId="0" xr:uid="{00000000-0006-0000-0300-00001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xr:uid="{00000000-0006-0000-0300-000012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xr:uid="{00000000-0006-0000-0300-00001300000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xr:uid="{00000000-0006-0000-0300-00001400000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xr:uid="{00000000-0006-0000-0300-000015000000}">
      <text>
        <r>
          <rPr>
            <sz val="9"/>
            <color indexed="81"/>
            <rFont val="Segoe UI"/>
            <family val="2"/>
          </rPr>
          <t>PT - Diferido Retificação LALUR 2014 R$ 5,1 M
EN - Deffered LALUR rectification amounting R$ 5.1 million</t>
        </r>
      </text>
    </comment>
    <comment ref="AF66" authorId="0" shapeId="0" xr:uid="{00000000-0006-0000-0300-000016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xr:uid="{00000000-0006-0000-0300-000017000000}">
      <text>
        <r>
          <rPr>
            <sz val="9"/>
            <color indexed="81"/>
            <rFont val="Segoe UI"/>
            <family val="2"/>
          </rPr>
          <t>PT- Contingência cívil da ex controlada Direct Express de - R$ 14,5 milhões
Eng - Civil contingency of the former subsidiary Direct Express - R$ 14.5 million;</t>
        </r>
      </text>
    </comment>
    <comment ref="AO66" authorId="1" shapeId="0" xr:uid="{00000000-0006-0000-0300-00001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xr:uid="{00000000-0006-0000-0300-000019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xr:uid="{00000000-0006-0000-0300-00001A000000}">
      <text>
        <r>
          <rPr>
            <sz val="9"/>
            <color indexed="81"/>
            <rFont val="Segoe UI"/>
            <family val="2"/>
          </rPr>
          <t>PT- Contingência cívil da ex controlada Direct Express de - R$ 14,5 milhões
Eng - Civil contingency of the former subsidiary Direct Express - R$ 14.5 million;</t>
        </r>
      </text>
    </comment>
    <comment ref="AO67" authorId="1" shapeId="0" xr:uid="{00000000-0006-0000-0300-00001B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Ian Nunes</author>
    <author>William Estrela Dantas dos Santos</author>
    <author>Felipe Silva</author>
    <author>Felipe Augusto Fogaça da Silva</author>
  </authors>
  <commentList>
    <comment ref="AC9" authorId="0" shapeId="0" xr:uid="{00000000-0006-0000-0400-000001000000}">
      <text>
        <r>
          <rPr>
            <sz val="9"/>
            <color indexed="81"/>
            <rFont val="Segoe UI"/>
            <family val="2"/>
          </rPr>
          <t>PT - Crédito de R$ 9,8 milhões por ganho de causa contra o recolhimento do Fundaf
EN - R$ 9.8 million credit from Fundaf dispute gain</t>
        </r>
      </text>
    </comment>
    <comment ref="AH9" authorId="1" shapeId="0" xr:uid="{00000000-0006-0000-0400-000002000000}">
      <text>
        <r>
          <rPr>
            <sz val="9"/>
            <color indexed="81"/>
            <rFont val="Segoe UI"/>
            <family val="2"/>
          </rPr>
          <t>PT - Denúncia espontânea imposto ICMS R$ 5,252 M
Eng - Spontaneous denouncement on fiscal payment R$ 5.252 M</t>
        </r>
      </text>
    </comment>
    <comment ref="AI9" authorId="1" shapeId="0" xr:uid="{00000000-0006-0000-04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xr:uid="{00000000-0006-0000-0400-00000400000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xr:uid="{00000000-0006-0000-04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xr:uid="{00000000-0006-0000-0400-000006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xr:uid="{00000000-0006-0000-04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xr:uid="{00000000-0006-0000-0400-000008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xr:uid="{00000000-0006-0000-0400-00000900000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xr:uid="{00000000-0006-0000-0400-00000A00000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xr:uid="{00000000-0006-0000-0400-00000B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xr:uid="{00000000-0006-0000-0400-00000C00000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xr:uid="{00000000-0006-0000-0400-00000D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xr:uid="{00000000-0006-0000-0400-00000E00000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xr:uid="{00000000-0006-0000-0400-00000F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xr:uid="{00000000-0006-0000-0400-000010000000}">
      <text>
        <r>
          <rPr>
            <sz val="9"/>
            <color indexed="81"/>
            <rFont val="Segoe UI"/>
            <family val="2"/>
          </rPr>
          <t>PT- Custos de sucumbência de processo judicial de operação descontinuada: R$2,0M
Eng - Defeat legal fee for discontinued operation: R$ 2.0M</t>
        </r>
      </text>
    </comment>
    <comment ref="AN17" authorId="3" shapeId="0" xr:uid="{00000000-0006-0000-0400-000011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xr:uid="{00000000-0006-0000-0400-00001200000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xr:uid="{00000000-0006-0000-0400-000013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xr:uid="{00000000-0006-0000-0400-00001400000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xr:uid="{00000000-0006-0000-0400-000015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xr:uid="{00000000-0006-0000-0400-000016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xr:uid="{00000000-0006-0000-0400-00001700000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xr:uid="{00000000-0006-0000-0400-00001800000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xr:uid="{00000000-0006-0000-0400-00001900000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xr:uid="{00000000-0006-0000-0400-00001A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xr:uid="{00000000-0006-0000-0400-00001B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xr:uid="{00000000-0006-0000-0400-00001C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xr:uid="{00000000-0006-0000-0400-00001D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xr:uid="{00000000-0006-0000-0400-00001E00000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xr:uid="{00000000-0006-0000-0400-00001F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xr:uid="{00000000-0006-0000-0400-000020000000}">
      <text>
        <r>
          <rPr>
            <sz val="9"/>
            <color indexed="81"/>
            <rFont val="Segoe UI"/>
            <family val="2"/>
          </rPr>
          <t>PT- Contingência cívil da ex controlada Direct Express de - R$ 6,6 milhões
Eng - Civil contingency of the former subsidiary Direct Express - R$ 6.6 million;</t>
        </r>
      </text>
    </comment>
    <comment ref="AY18" authorId="5" shapeId="0" xr:uid="{00000000-0006-0000-0400-000021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xr:uid="{00000000-0006-0000-0400-000022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xr:uid="{00000000-0006-0000-0400-000023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xr:uid="{00000000-0006-0000-0400-000024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xr:uid="{00000000-0006-0000-0400-000025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xr:uid="{00000000-0006-0000-0400-000026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xr:uid="{00000000-0006-0000-0400-00002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xr:uid="{00000000-0006-0000-0400-000028000000}">
      <text>
        <r>
          <rPr>
            <sz val="9"/>
            <color indexed="81"/>
            <rFont val="Segoe UI"/>
            <family val="2"/>
          </rPr>
          <t xml:space="preserve">PT - Juros e multa denúncia espontânea TCE R$ 2,030 M
Eng - Fine and interest upon spontaneous denouncement TCE R$ 2.030 M </t>
        </r>
      </text>
    </comment>
    <comment ref="BE21" authorId="1" shapeId="0" xr:uid="{00000000-0006-0000-0400-000029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xr:uid="{00000000-0006-0000-0400-00002A00000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xr:uid="{00000000-0006-0000-0400-00002B00000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xr:uid="{00000000-0006-0000-0400-00002C00000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xr:uid="{00000000-0006-0000-0400-00002D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xr:uid="{00000000-0006-0000-0400-00002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xr:uid="{00000000-0006-0000-0400-00002F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xr:uid="{00000000-0006-0000-0400-000030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xr:uid="{00000000-0006-0000-0400-000031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xr:uid="{00000000-0006-0000-0400-000032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xr:uid="{00000000-0006-0000-0400-00003300000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xr:uid="{00000000-0006-0000-0400-000034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xr:uid="{00000000-0006-0000-0400-00003500000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xr:uid="{00000000-0006-0000-0400-000036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xr:uid="{00000000-0006-0000-0400-000037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xr:uid="{00000000-0006-0000-0400-00003800000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xr:uid="{00000000-0006-0000-0500-00000100000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xr:uid="{00000000-0006-0000-0500-000002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xr:uid="{00000000-0006-0000-0500-000003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xr:uid="{00000000-0006-0000-0500-00000400000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xr:uid="{00000000-0006-0000-0500-000005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xr:uid="{00000000-0006-0000-0500-000006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xr:uid="{00000000-0006-0000-0500-00000700000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xr:uid="{00000000-0006-0000-0500-000008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xr:uid="{00000000-0006-0000-0500-00000900000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xr:uid="{00000000-0006-0000-0500-00000A00000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xr:uid="{00000000-0006-0000-0500-00000B00000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xr:uid="{00000000-0006-0000-0500-00000C000000}">
      <text>
        <r>
          <rPr>
            <sz val="9"/>
            <color indexed="81"/>
            <rFont val="Segoe UI"/>
            <family val="2"/>
          </rPr>
          <t>PT- Contingência cívil da ex controlada Direct Express de - R$ 14,5 milhões
Eng - Civil contingency of the former subsidiary Direct Express - R$ 14.5 million;</t>
        </r>
      </text>
    </comment>
    <comment ref="AG14" authorId="0" shapeId="0" xr:uid="{00000000-0006-0000-0500-00000D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xr:uid="{00000000-0006-0000-0500-00000E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xr:uid="{00000000-0006-0000-0500-00000F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xr:uid="{00000000-0006-0000-0500-00001000000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xr:uid="{00000000-0006-0000-0500-000011000000}">
      <text>
        <r>
          <rPr>
            <sz val="9"/>
            <color indexed="81"/>
            <rFont val="Segoe UI"/>
            <family val="2"/>
          </rPr>
          <t>PT- Contingência cívil da ex controlada Direct Express de - R$ 6,6 milhões
Eng - Civil contingency of the former subsidiary Direct Express - R$ 6.6 million;</t>
        </r>
      </text>
    </comment>
    <comment ref="AT14" authorId="0" shapeId="0" xr:uid="{00000000-0006-0000-0500-00001200000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xr:uid="{00000000-0006-0000-0500-000013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xr:uid="{00000000-0006-0000-0500-000014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xr:uid="{00000000-0006-0000-05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xr:uid="{00000000-0006-0000-0500-000016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xr:uid="{00000000-0006-0000-05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xr:uid="{00000000-0006-0000-0500-000018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xr:uid="{00000000-0006-0000-0500-00001900000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xr:uid="{00000000-0006-0000-0500-00001A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xr:uid="{00000000-0006-0000-0500-00001B00000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xr:uid="{00000000-0006-0000-0500-00001C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xr:uid="{00000000-0006-0000-0500-00001D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xr:uid="{00000000-0006-0000-0500-00001E00000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xr:uid="{00000000-0006-0000-0500-00001F00000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xr:uid="{00000000-0006-0000-0500-000020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xr:uid="{00000000-0006-0000-0500-00002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xr:uid="{00000000-0006-0000-0500-000022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xr:uid="{00000000-0006-0000-0500-000023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xr:uid="{00000000-0006-0000-0500-000024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xr:uid="{00000000-0006-0000-0500-00002500000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xr:uid="{00000000-0006-0000-0500-00002600000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xr:uid="{00000000-0006-0000-0500-000027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xr:uid="{00000000-0006-0000-05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Ian Nunes</author>
    <author>Heloise fernandes Sanchez</author>
    <author>Felipe Silva</author>
  </authors>
  <commentList>
    <comment ref="AC11" authorId="0" shapeId="0" xr:uid="{00000000-0006-0000-0600-000001000000}">
      <text>
        <r>
          <rPr>
            <sz val="9"/>
            <color indexed="81"/>
            <rFont val="Segoe UI"/>
            <family val="2"/>
          </rPr>
          <t xml:space="preserve">PT - Denúncia espontânea imposto ICMS R$ 5,252 M
Eng - Spontaneous denouncement on fiscal payment R$ 5.252 M
</t>
        </r>
      </text>
    </comment>
    <comment ref="AD11" authorId="0" shapeId="0" xr:uid="{00000000-0006-0000-0600-00000200000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xr:uid="{00000000-0006-0000-0600-000003000000}">
      <text>
        <r>
          <rPr>
            <sz val="9"/>
            <color indexed="81"/>
            <rFont val="Segoe UI"/>
            <family val="2"/>
          </rPr>
          <t>PT - Crédito de R$ 9,8 milhões por ganho de causa contra o recolhimento do Fundaf
EN  - Credit of R $ 9.8 million from gain of cause against the Fundaf payment</t>
        </r>
      </text>
    </comment>
    <comment ref="P13" authorId="2" shapeId="0" xr:uid="{00000000-0006-0000-0600-00000400000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xr:uid="{00000000-0006-0000-0600-00000500000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xr:uid="{00000000-0006-0000-0600-00000600000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xr:uid="{00000000-0006-0000-06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xr:uid="{00000000-0006-0000-0600-00000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xr:uid="{00000000-0006-0000-0600-000009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xr:uid="{00000000-0006-0000-0600-00000A00000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xr:uid="{00000000-0006-0000-0600-00000B00000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xr:uid="{00000000-0006-0000-0600-00000C00000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xr:uid="{00000000-0006-0000-0600-00000D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xr:uid="{00000000-0006-0000-0600-00000E000000}">
      <text>
        <r>
          <rPr>
            <sz val="9"/>
            <color indexed="81"/>
            <rFont val="Segoe UI"/>
            <family val="2"/>
          </rPr>
          <t>PT- Custos de sucumbência de processo judicial de operação descontinuada: R$2,9M
Eng - Defeat legal fee for discontinued operation: R$ 2.9M</t>
        </r>
      </text>
    </comment>
    <comment ref="AG15" authorId="0" shapeId="0" xr:uid="{00000000-0006-0000-0600-00000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xr:uid="{00000000-0006-0000-0600-000010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xr:uid="{00000000-0006-0000-0600-000011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xr:uid="{00000000-0006-0000-0600-000012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xr:uid="{00000000-0006-0000-0600-000013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xr:uid="{00000000-0006-0000-0600-000014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xr:uid="{00000000-0006-0000-06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xr:uid="{00000000-0006-0000-0600-000016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Z21" authorId="2" shapeId="0" xr:uid="{00000000-0006-0000-06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xr:uid="{00000000-0006-0000-0600-00001800000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xr:uid="{00000000-0006-0000-0600-000019000000}">
      <text>
        <r>
          <rPr>
            <sz val="9"/>
            <color indexed="81"/>
            <rFont val="Segoe UI"/>
            <family val="2"/>
          </rPr>
          <t>PT - Menção na nota 14 de Depósitos judiciais e provisão para demandas judiciais
EN - Mention on note 14 - judicial deposits and legal provisions</t>
        </r>
      </text>
    </comment>
    <comment ref="X30" authorId="1" shapeId="0" xr:uid="{00000000-0006-0000-0600-00001A000000}">
      <text>
        <r>
          <rPr>
            <sz val="9"/>
            <color indexed="81"/>
            <rFont val="Segoe UI"/>
            <family val="2"/>
          </rPr>
          <t>PT - Menção ao crédito na nota 20 - Receita líquida dos serviços prestados 
EN - Mention to credit in note 20 - Net revenue from services rendered</t>
        </r>
      </text>
    </comment>
    <comment ref="V41" authorId="2" shapeId="0" xr:uid="{00000000-0006-0000-0600-00001B00000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xr:uid="{00000000-0006-0000-0600-00001C00000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xr:uid="{00000000-0006-0000-0600-00001D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xr:uid="{00000000-0006-0000-0600-00001E000000}">
      <text>
        <r>
          <rPr>
            <sz val="9"/>
            <color indexed="81"/>
            <rFont val="Segoe UI"/>
            <family val="2"/>
          </rPr>
          <t xml:space="preserve">PT - Juros e multa denúncia espontânea TCE R$ 2,030 M
Eng - Fine and interest upon spontaneous denouncement TCE R$ 2.030 M
</t>
        </r>
      </text>
    </comment>
    <comment ref="AG41" authorId="0" shapeId="0" xr:uid="{00000000-0006-0000-0600-00001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xr:uid="{00000000-0006-0000-0600-000020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xr:uid="{00000000-0006-0000-0600-000021000000}">
      <text>
        <r>
          <rPr>
            <sz val="9"/>
            <color indexed="81"/>
            <rFont val="Segoe UI"/>
            <family val="2"/>
          </rPr>
          <t>PT - Pagamento de IR sobre o ganho de causa Fundaf R$ 1,9 milhão
EN - Payment of income tax on the gain from the Fundaf's dispute, amounting R$ 1.9 million</t>
        </r>
      </text>
    </comment>
    <comment ref="Z44" authorId="2" shapeId="0" xr:uid="{00000000-0006-0000-0600-00002200000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xr:uid="{00000000-0006-0000-0600-000023000000}">
      <text>
        <r>
          <rPr>
            <sz val="9"/>
            <color indexed="81"/>
            <rFont val="Segoe UI"/>
            <family val="2"/>
          </rPr>
          <t xml:space="preserve">PT - IR sobre crédito de PIS COFINS: -R$ 0,4 M
</t>
        </r>
      </text>
    </comment>
    <comment ref="AG44" authorId="0" shapeId="0" xr:uid="{00000000-0006-0000-0600-00002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xr:uid="{00000000-0006-0000-0700-00000100000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xr:uid="{00000000-0006-0000-0700-000002000000}">
      <text>
        <r>
          <rPr>
            <sz val="9"/>
            <color indexed="81"/>
            <rFont val="Segoe UI"/>
            <family val="2"/>
          </rPr>
          <t xml:space="preserve">PT - Denúncia espontânea imposto ICMS R$ 5,252 M
Eng - Spontaneous denouncement on fiscal payment R$ 5.252 M
</t>
        </r>
      </text>
    </comment>
    <comment ref="AD9" authorId="0" shapeId="0" xr:uid="{00000000-0006-0000-07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xr:uid="{00000000-0006-0000-0700-000004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xr:uid="{00000000-0006-0000-07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xr:uid="{00000000-0006-0000-0700-00000600000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xr:uid="{00000000-0006-0000-0700-00000700000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xr:uid="{00000000-0006-0000-0700-000008000000}">
      <text>
        <r>
          <rPr>
            <sz val="9"/>
            <color indexed="81"/>
            <rFont val="Segoe UI"/>
            <family val="2"/>
          </rPr>
          <t>PT - Crédito de R$ 2,7 milhões relacionado ao recolhimento de INSS sobre verbas indenizatórias.
EN -  Cedit of 2.7 million related to the colection from INSS</t>
        </r>
      </text>
    </comment>
    <comment ref="Z11" authorId="1" shapeId="0" xr:uid="{00000000-0006-0000-0700-000009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xr:uid="{00000000-0006-0000-0700-00000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xr:uid="{00000000-0006-0000-0700-00000B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xr:uid="{00000000-0006-0000-0700-00000C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xr:uid="{00000000-0006-0000-0700-00000D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xr:uid="{00000000-0006-0000-0700-00000E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xr:uid="{00000000-0006-0000-0700-00000F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xr:uid="{00000000-0006-0000-0700-000010000000}">
      <text>
        <r>
          <rPr>
            <sz val="10"/>
            <rFont val="Arial"/>
            <family val="2"/>
          </rPr>
          <t xml:space="preserve">PT - Baixa no valo de R$ 5,7 milhões referente a contas a receber da Direct
EN - Write off of Direct account receivable amounting R$ 5.7 million </t>
        </r>
      </text>
    </comment>
    <comment ref="Z13" authorId="1" shapeId="0" xr:uid="{00000000-0006-0000-0700-000011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xr:uid="{00000000-0006-0000-0700-00001200000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xr:uid="{00000000-0006-0000-0700-00001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xr:uid="{00000000-0006-0000-0700-00001400000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xr:uid="{00000000-0006-0000-0700-000015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xr:uid="{00000000-0006-0000-0700-000016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xr:uid="{00000000-0006-0000-0700-000017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xr:uid="{00000000-0006-0000-0700-00001800000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xr:uid="{00000000-0006-0000-0700-000019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xr:uid="{00000000-0006-0000-0700-00001A000000}">
      <text>
        <r>
          <rPr>
            <sz val="9"/>
            <color indexed="81"/>
            <rFont val="Segoe UI"/>
            <family val="2"/>
          </rPr>
          <t>PT- Contingência cívil da ex controlada Direct Express de - R$ 6,6 milhões
Eng - Civil contingency of the former subsidiary Direct Express - R$ 6.6 million;</t>
        </r>
      </text>
    </comment>
    <comment ref="AT13" authorId="0" shapeId="0" xr:uid="{00000000-0006-0000-0700-00001B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xr:uid="{00000000-0006-0000-0700-00001C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xr:uid="{00000000-0006-0000-0700-00001D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xr:uid="{00000000-0006-0000-0700-00001E00000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xr:uid="{00000000-0006-0000-0700-00001F000000}">
      <text>
        <r>
          <rPr>
            <sz val="9"/>
            <color indexed="81"/>
            <rFont val="Segoe UI"/>
            <family val="2"/>
          </rPr>
          <t>PT - Menção na nota 14 de Depósitos judiciais e provisão para demandas judiciais
EN - Mention on note 14 - judicial deposits and legal provisions</t>
        </r>
      </text>
    </comment>
    <comment ref="N40" authorId="1" shapeId="0" xr:uid="{00000000-0006-0000-0700-000020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xr:uid="{00000000-0006-0000-0700-000021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xr:uid="{00000000-0006-0000-0700-000022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xr:uid="{00000000-0006-0000-0700-000023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xr:uid="{00000000-0006-0000-0700-000024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xr:uid="{00000000-0006-0000-0700-000025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xr:uid="{00000000-0006-0000-0700-000026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xr:uid="{00000000-0006-0000-0700-000027000000}">
      <text>
        <r>
          <rPr>
            <sz val="9"/>
            <color indexed="81"/>
            <rFont val="Segoe UI"/>
            <family val="2"/>
          </rPr>
          <t>PT - Juros e multa denúncia espontânea TCE R$ 2,030 M
Eng - Fine and interest upon spontaneous denouncement TCE R$ 2.030 M</t>
        </r>
      </text>
    </comment>
    <comment ref="AG40" authorId="0" shapeId="0" xr:uid="{00000000-0006-0000-07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xr:uid="{00000000-0006-0000-0700-000029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xr:uid="{00000000-0006-0000-0700-00002A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xr:uid="{00000000-0006-0000-0700-00002B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xr:uid="{00000000-0006-0000-0700-00002C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xr:uid="{00000000-0006-0000-0700-00002D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xr:uid="{00000000-0006-0000-0700-00002E00000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xr:uid="{00000000-0006-0000-0700-00002F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xr:uid="{00000000-0006-0000-0700-000030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xr:uid="{00000000-0006-0000-0700-00003100000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Rodolpho Magdaloni Agria</author>
    <author>Ian Nunes Costa e Costa</author>
  </authors>
  <commentList>
    <comment ref="W11" authorId="0" shapeId="0" xr:uid="{00000000-0006-0000-0800-00000100000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xr:uid="{00000000-0006-0000-0800-000002000000}">
      <text>
        <r>
          <rPr>
            <sz val="9"/>
            <color indexed="81"/>
            <rFont val="Segoe UI"/>
            <family val="2"/>
          </rPr>
          <t>PT - Contingência cívil da ex controlada Direct Express de R$ 16,9 milhões.
EN - Tax contingency of the former subsidiary Direct Express of R $ 16.9 million</t>
        </r>
      </text>
    </comment>
    <comment ref="R28" authorId="2" shapeId="0" xr:uid="{00000000-0006-0000-0800-000003000000}">
      <text>
        <r>
          <rPr>
            <b/>
            <sz val="9"/>
            <color indexed="81"/>
            <rFont val="Segoe UI"/>
            <family val="2"/>
          </rPr>
          <t>Ian Nunes Costa e Costa:</t>
        </r>
        <r>
          <rPr>
            <sz val="9"/>
            <color indexed="81"/>
            <rFont val="Segoe UI"/>
            <family val="2"/>
          </rPr>
          <t xml:space="preserve">
</t>
        </r>
      </text>
    </comment>
    <comment ref="U28" authorId="2" shapeId="0" xr:uid="{00000000-0006-0000-0800-000004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xr:uid="{00000000-0006-0000-0800-00000500000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xr:uid="{00000000-0006-0000-0800-000006000000}">
      <text>
        <r>
          <rPr>
            <sz val="9"/>
            <color indexed="81"/>
            <rFont val="Segoe UI"/>
            <family val="2"/>
          </rPr>
          <t>PT - Ganho de causa Fundaf R$ 13,7 mi
EN - Fundaf Dispute gain (R$ 13.7 million)</t>
        </r>
      </text>
    </comment>
    <comment ref="M49" authorId="1" shapeId="0" xr:uid="{00000000-0006-0000-0800-00000700000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xr:uid="{00000000-0006-0000-0800-00000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xr:uid="{00000000-0006-0000-0800-00000900000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xr:uid="{00000000-0006-0000-0800-00000A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O19" authorId="0" shapeId="0" xr:uid="{00000000-0006-0000-0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xr:uid="{00000000-0006-0000-0900-00000200000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xr:uid="{00000000-0006-0000-0900-000003000000}">
      <text>
        <r>
          <rPr>
            <sz val="9"/>
            <color indexed="81"/>
            <rFont val="Segoe UI"/>
            <family val="2"/>
          </rPr>
          <t xml:space="preserve">
</t>
        </r>
      </text>
    </comment>
    <comment ref="Q30" authorId="0" shapeId="0" xr:uid="{00000000-0006-0000-0900-000004000000}">
      <text>
        <r>
          <rPr>
            <sz val="9"/>
            <color indexed="81"/>
            <rFont val="Segoe UI"/>
            <family val="2"/>
          </rPr>
          <t>PT -Crédito de PIS/COFINS resultou num ganho de R$ 29,2 milhões
EN - PIS/COFINS tax credit recognition in the amount of R$ 29.2 million</t>
        </r>
      </text>
    </comment>
    <comment ref="O31" authorId="0" shapeId="0" xr:uid="{00000000-0006-0000-0900-000005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G25" authorId="0" shapeId="0" xr:uid="{00000000-0006-0000-0B00-000001000000}">
      <text>
        <r>
          <rPr>
            <sz val="9"/>
            <color indexed="81"/>
            <rFont val="Segoe UI"/>
            <family val="2"/>
          </rPr>
          <t xml:space="preserve">PT: Sem considerar Crédito de PIS/Cofins, ROE Seria de 26,3%.
Eng: Not considering Pis/Cofins tax credit RoE would be 26.3%
</t>
        </r>
      </text>
    </comment>
    <comment ref="AH25" authorId="0" shapeId="0" xr:uid="{00000000-0006-0000-0B00-000002000000}">
      <text>
        <r>
          <rPr>
            <sz val="9"/>
            <color indexed="81"/>
            <rFont val="Segoe UI"/>
            <family val="2"/>
          </rPr>
          <t xml:space="preserve">PT: Sem considerar Crédito de PIS/Cofins, ROE Seria de 27,9%.
Eng: Not considering Pis/Cofins tax credit RoE would be 27.9%
</t>
        </r>
      </text>
    </comment>
    <comment ref="AI25" authorId="0" shapeId="0" xr:uid="{00000000-0006-0000-0B00-000003000000}">
      <text>
        <r>
          <rPr>
            <sz val="9"/>
            <color indexed="81"/>
            <rFont val="Segoe UI"/>
            <family val="2"/>
          </rPr>
          <t>PT: Sem considerar Crédito de PIS/Cofins, ROE Seria de 25,8%.
Eng: Not considering Pis/Cofins tax credit RoE would be 25.8%</t>
        </r>
      </text>
    </comment>
    <comment ref="AJ25" authorId="0" shapeId="0" xr:uid="{00000000-0006-0000-0B00-000004000000}">
      <text>
        <r>
          <rPr>
            <sz val="9"/>
            <color indexed="81"/>
            <rFont val="Segoe UI"/>
            <family val="2"/>
          </rPr>
          <t>PT: Sem considerar Crédito de PIS/Cofins, ROE Seria de 19,7%.
Eng: Not considering Pis/Cofins tax credit RoE would be 19.7%</t>
        </r>
      </text>
    </comment>
    <comment ref="AG26" authorId="0" shapeId="0" xr:uid="{00000000-0006-0000-0B00-000005000000}">
      <text>
        <r>
          <rPr>
            <sz val="9"/>
            <color indexed="81"/>
            <rFont val="Segoe UI"/>
            <family val="2"/>
          </rPr>
          <t>PT: Sem considerar Crédito de PIS/Cofins, ROIC Seria de 29,5%.
Eng: Not considering Pis/Cofins tax credit Roic would be 29.5%</t>
        </r>
      </text>
    </comment>
    <comment ref="AH26" authorId="1" shapeId="0" xr:uid="{00000000-0006-0000-0B00-000006000000}">
      <text>
        <r>
          <rPr>
            <sz val="9"/>
            <color indexed="81"/>
            <rFont val="Segoe UI"/>
            <family val="2"/>
          </rPr>
          <t>PT: Sem considerar Crédito de PIS/Cofins, ROIC Seria de 29,4%.
Eng: Not considering Pis/Cofins tax credit Roic would be 29.4%</t>
        </r>
      </text>
    </comment>
    <comment ref="AI26" authorId="0" shapeId="0" xr:uid="{00000000-0006-0000-0B00-000007000000}">
      <text>
        <r>
          <rPr>
            <sz val="9"/>
            <color indexed="81"/>
            <rFont val="Segoe UI"/>
            <family val="2"/>
          </rPr>
          <t>PT: Sem considerar Crédito de PIS/Cofins, ROIC Seria de 26,9%.
Eng: Not considering Pis/Cofins tax credit Roic would be 26.9%</t>
        </r>
      </text>
    </comment>
    <comment ref="AJ26" authorId="0" shapeId="0" xr:uid="{00000000-0006-0000-0B00-00000800000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T3" authorId="0" shapeId="0" xr:uid="{00000000-0006-0000-0E00-000001000000}">
      <text>
        <r>
          <rPr>
            <sz val="9"/>
            <color indexed="81"/>
            <rFont val="Segoe UI"/>
            <family val="2"/>
          </rPr>
          <t xml:space="preserve">Fonte: Source: http://www.anfavea.com.br/estatisticas.html
</t>
        </r>
      </text>
    </comment>
    <comment ref="AO3" authorId="0" shapeId="0" xr:uid="{00000000-0006-0000-0E00-000002000000}">
      <text>
        <r>
          <rPr>
            <sz val="9"/>
            <color indexed="81"/>
            <rFont val="Segoe UI"/>
            <family val="2"/>
          </rPr>
          <t xml:space="preserve">http://www3.fenabrave.org.br:8082/plus/modulos/listas/index.php?tac=indices-e-numeros&amp;idtipo=2&amp;layout=indices-e-numeros
</t>
        </r>
      </text>
    </comment>
    <comment ref="D4" authorId="0" shapeId="0" xr:uid="{00000000-0006-0000-0E00-000003000000}">
      <text>
        <r>
          <rPr>
            <sz val="9"/>
            <color indexed="81"/>
            <rFont val="Segoe UI"/>
            <family val="2"/>
          </rPr>
          <t xml:space="preserve">Fonte: Source: http://www.anfavea.com.br/estatisticas.html
</t>
        </r>
      </text>
    </comment>
    <comment ref="E4" authorId="0" shapeId="0" xr:uid="{00000000-0006-0000-0E00-000004000000}">
      <text>
        <r>
          <rPr>
            <sz val="9"/>
            <color indexed="81"/>
            <rFont val="Segoe UI"/>
            <family val="2"/>
          </rPr>
          <t xml:space="preserve">Fonte: Source: http://www.anfavea.com.br/estatisticas.html
</t>
        </r>
      </text>
    </comment>
    <comment ref="G4" authorId="0" shapeId="0" xr:uid="{00000000-0006-0000-0E00-000005000000}">
      <text>
        <r>
          <rPr>
            <sz val="9"/>
            <color indexed="81"/>
            <rFont val="Segoe UI"/>
            <family val="2"/>
          </rPr>
          <t>Fonte: Source: https://anfavea.com.br/site/coletiva-de-imprensa-2/</t>
        </r>
      </text>
    </comment>
    <comment ref="H4" authorId="0" shapeId="0" xr:uid="{00000000-0006-0000-0E00-000006000000}">
      <text>
        <r>
          <rPr>
            <sz val="9"/>
            <color indexed="81"/>
            <rFont val="Segoe UI"/>
            <family val="2"/>
          </rPr>
          <t xml:space="preserve">Fonte: Source: https://anfavea.com.br/site/coletiva-de-imprensa-2/
</t>
        </r>
      </text>
    </comment>
    <comment ref="I4" authorId="0" shapeId="0" xr:uid="{00000000-0006-0000-0E00-000007000000}">
      <text>
        <r>
          <rPr>
            <sz val="9"/>
            <color indexed="81"/>
            <rFont val="Segoe UI"/>
            <family val="2"/>
          </rPr>
          <t>Fonte: Source: https://anfavea.com.br/site/coletiva-de-imprensa-2/</t>
        </r>
      </text>
    </comment>
    <comment ref="K4" authorId="0" shapeId="0" xr:uid="{00000000-0006-0000-0E00-000008000000}">
      <text>
        <r>
          <rPr>
            <sz val="9"/>
            <color indexed="81"/>
            <rFont val="Segoe UI"/>
            <family val="2"/>
          </rPr>
          <t xml:space="preserve">Fonte: Source: http://www.anfavea.com.br/estatisticas.html
</t>
        </r>
      </text>
    </comment>
    <comment ref="L4" authorId="0" shapeId="0" xr:uid="{00000000-0006-0000-0E00-000009000000}">
      <text>
        <r>
          <rPr>
            <sz val="9"/>
            <color indexed="81"/>
            <rFont val="Segoe UI"/>
            <family val="2"/>
          </rPr>
          <t xml:space="preserve">Fonte: Source: http://www.anfavea.com.br/estatisticas.html
</t>
        </r>
      </text>
    </comment>
    <comment ref="N4" authorId="0" shapeId="0" xr:uid="{00000000-0006-0000-0E00-00000A000000}">
      <text>
        <r>
          <rPr>
            <sz val="9"/>
            <color indexed="81"/>
            <rFont val="Segoe UI"/>
            <family val="2"/>
          </rPr>
          <t xml:space="preserve">Fonte: Source: http://www3.fenabrave.org.br:8082/plus/modulos/listas/index.php?tac=indices-e-numeros&amp;idtipo=2&amp;layout=indices-e-numeros
</t>
        </r>
      </text>
    </comment>
    <comment ref="O4" authorId="0" shapeId="0" xr:uid="{00000000-0006-0000-0E00-00000B000000}">
      <text>
        <r>
          <rPr>
            <sz val="9"/>
            <color indexed="81"/>
            <rFont val="Segoe UI"/>
            <family val="2"/>
          </rPr>
          <t xml:space="preserve">http://www3.fenabrave.org.br:8082/plus/modulos/listas/index.php?tac=indices-e-numeros&amp;idtipo=2&amp;layout=indices-e-numeros
</t>
        </r>
      </text>
    </comment>
    <comment ref="Q4" authorId="0" shapeId="0" xr:uid="{00000000-0006-0000-0E00-00000C00000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P7" authorId="0" shapeId="0" xr:uid="{00000000-0006-0000-1000-000001000000}">
      <text>
        <r>
          <rPr>
            <sz val="10"/>
            <rFont val="Arial"/>
            <family val="2"/>
          </rPr>
          <t>NCE - Notas de crédito de exportação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200-000001000000}">
      <text>
        <r>
          <rPr>
            <sz val="10"/>
            <rFont val="Arial"/>
            <family val="2"/>
          </rPr>
          <t>NOTA DE CRÉDITO DE EXPORTAÇÃO
EXPORT CREDIT NOTES</t>
        </r>
      </text>
    </comment>
    <comment ref="Q16" authorId="0" shapeId="0" xr:uid="{00000000-0006-0000-1200-000002000000}">
      <text>
        <r>
          <rPr>
            <sz val="10"/>
            <rFont val="Arial"/>
            <family val="2"/>
          </rPr>
          <t>NOTA DE CRÉDITO DE EXPORTAÇÃO
EXPORT CREDIT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9" authorId="0" shapeId="0" xr:uid="{00000000-0006-0000-1400-00000100000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R10" authorId="0" shapeId="0" xr:uid="{00000000-0006-0000-15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11" authorId="0" shapeId="0" xr:uid="{00000000-0006-0000-16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Z6" authorId="0" shapeId="0" xr:uid="{00000000-0006-0000-1700-000001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xr:uid="{00000000-0006-0000-1700-000002000000}">
      <text>
        <r>
          <rPr>
            <sz val="9"/>
            <color indexed="81"/>
            <rFont val="Segoe UI"/>
            <family val="2"/>
          </rPr>
          <t>PT - Baixa de R$ 5,7 milhões de contas a receber da antiga controlada Direct
EN - Write-off of account receivables from Direct Express amounting  R$ 5.7 million</t>
        </r>
      </text>
    </comment>
    <comment ref="Q13" authorId="1" shapeId="0" xr:uid="{00000000-0006-0000-1700-000003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xr:uid="{00000000-0006-0000-1700-000004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xr:uid="{00000000-0006-0000-1700-000005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s>
  <commentList>
    <comment ref="S9" authorId="0" shapeId="0" xr:uid="{00000000-0006-0000-1800-00000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xr:uid="{00000000-0006-0000-1800-000002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xr:uid="{00000000-0006-0000-1800-000003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xr:uid="{00000000-0006-0000-1800-000004000000}">
      <text>
        <r>
          <rPr>
            <sz val="10"/>
            <rFont val="Arial"/>
            <family val="2"/>
          </rPr>
          <t>PT - Retificação LALUR 2014 (R$ 10,9 mi)
EN - 2014 LALUR rectification (R$ 10,9 mi)</t>
        </r>
      </text>
    </comment>
    <comment ref="Q12" authorId="0" shapeId="0" xr:uid="{00000000-0006-0000-1800-000005000000}">
      <text>
        <r>
          <rPr>
            <sz val="9"/>
            <color indexed="81"/>
            <rFont val="Segoe UI"/>
            <family val="2"/>
          </rPr>
          <t>PT - Ganho de causa do FUNDAF
EN - FUNDAF dispute gain</t>
        </r>
      </text>
    </comment>
    <comment ref="S22" authorId="0" shapeId="0" xr:uid="{00000000-0006-0000-1800-000006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xr:uid="{00000000-0006-0000-1800-000007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xr:uid="{00000000-0006-0000-1800-000008000000}">
      <text>
        <r>
          <rPr>
            <sz val="10"/>
            <rFont val="Arial"/>
            <family val="2"/>
          </rPr>
          <t>PT - Retificação LALUR 2014 (R$ 10,9 mi)
EN - 2014 LALUR rectification (R$ 10,9 mi)</t>
        </r>
      </text>
    </comment>
    <comment ref="S37" authorId="0" shapeId="0" xr:uid="{00000000-0006-0000-1800-000009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xr:uid="{00000000-0006-0000-1800-00000A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F143" authorId="0" shapeId="0" xr:uid="{00000000-0006-0000-1A00-00000100000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xr:uid="{00000000-0006-0000-1A00-00000200000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E00-000001000000}">
      <text>
        <r>
          <rPr>
            <sz val="10"/>
            <rFont val="Arial"/>
            <family val="2"/>
          </rPr>
          <t>PT - NCE - Nota de crédito de exportação
EN - Export credit note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BH31" authorId="0" shapeId="0" xr:uid="{00000000-0006-0000-1F00-00000100000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8" authorId="0" shapeId="0" xr:uid="{00000000-0006-0000-2000-000001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xr:uid="{00000000-0006-0000-2000-000002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xr:uid="{00000000-0006-0000-2000-000003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s>
  <commentList>
    <comment ref="T7" authorId="0" shapeId="0" xr:uid="{00000000-0006-0000-2100-00000100000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xr:uid="{00000000-0006-0000-2100-00000200000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xr:uid="{00000000-0006-0000-2100-000003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xr:uid="{00000000-0006-0000-2100-000004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xr:uid="{00000000-0006-0000-2100-00000500000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xr:uid="{00000000-0006-0000-2100-000006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xr:uid="{00000000-0006-0000-2100-000007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xr:uid="{00000000-0006-0000-2100-000008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xr:uid="{00000000-0006-0000-2100-00000900000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xr:uid="{00000000-0006-0000-2100-00000A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xr:uid="{00000000-0006-0000-2100-00000B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xr:uid="{00000000-0006-0000-21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xr:uid="{00000000-0006-0000-2100-00000D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xr:uid="{00000000-0006-0000-2100-00000E00000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xr:uid="{00000000-0006-0000-2100-00000F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xr:uid="{00000000-0006-0000-2100-000010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xr:uid="{00000000-0006-0000-2100-000011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xr:uid="{00000000-0006-0000-2100-000012000000}">
      <text>
        <r>
          <rPr>
            <sz val="9"/>
            <color indexed="81"/>
            <rFont val="Segoe UI"/>
            <family val="2"/>
          </rPr>
          <t>PT- Contingência cívil da ex controlada Direct Express de - R$ 6,6 milhões
Eng - Civil contingency of the former subsidiary Direct Express - R$ 6.6 million;</t>
        </r>
      </text>
    </comment>
    <comment ref="AC90" authorId="1" shapeId="0" xr:uid="{00000000-0006-0000-2100-00001300000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xr:uid="{00000000-0006-0000-2100-00001400000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xr:uid="{00000000-0006-0000-2100-00001500000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xr:uid="{00000000-0006-0000-2100-000016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s>
  <commentList>
    <comment ref="N11" authorId="0" shapeId="0" xr:uid="{00000000-0006-0000-2200-00000100000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xr:uid="{00000000-0006-0000-2200-00000200000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xr:uid="{00000000-0006-0000-2200-00000300000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Ian Nunes</author>
    <author>Rodolpho Magdaloni Agria</author>
    <author>Felipe Augusto Fogaça da Silva</author>
    <author>Ian Nunes Costa e Costa</author>
    <author>Felipe Silva</author>
  </authors>
  <commentList>
    <comment ref="N8" authorId="0" shapeId="0" xr:uid="{00000000-0006-0000-2500-000001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xr:uid="{00000000-0006-0000-2500-000002000000}">
      <text>
        <r>
          <rPr>
            <sz val="9"/>
            <color indexed="81"/>
            <rFont val="Segoe UI"/>
            <family val="2"/>
          </rPr>
          <t>PT - Contingência cívil da ex controlada Direct Express de R$ 15 milhões
EN - Civil contingency of the former subsidiary Direct Express of R $ 15 million</t>
        </r>
      </text>
    </comment>
    <comment ref="R9" authorId="1" shapeId="0" xr:uid="{00000000-0006-0000-2500-000003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xr:uid="{00000000-0006-0000-2500-00000400000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xr:uid="{00000000-0006-0000-2500-000005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xr:uid="{00000000-0006-0000-2500-000006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xr:uid="{00000000-0006-0000-2500-000007000000}">
      <text>
        <r>
          <rPr>
            <sz val="9"/>
            <color indexed="81"/>
            <rFont val="Segoe UI"/>
            <family val="2"/>
          </rPr>
          <t>PT- Créditos de PIS/ COFINS da controlada Catlog  - R$ 9,2 milhões
Eng - PIS/ COFINS tax credits from the subsidiary Catlog - R$ 9.2 million;</t>
        </r>
      </text>
    </comment>
    <comment ref="AH12" authorId="3" shapeId="0" xr:uid="{00000000-0006-0000-2500-000008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xr:uid="{00000000-0006-0000-2500-000009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xr:uid="{00000000-0006-0000-2500-00000A00000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xr:uid="{00000000-0006-0000-2500-00000B000000}">
      <text>
        <r>
          <rPr>
            <sz val="9"/>
            <color indexed="81"/>
            <rFont val="Segoe UI"/>
            <family val="2"/>
          </rPr>
          <t>PT - Baixa do ágio da Controlada Catlog
EN - controlled Catlog Goodwill impairment</t>
        </r>
      </text>
    </comment>
    <comment ref="P25" authorId="1" shapeId="0" xr:uid="{00000000-0006-0000-2500-00000C000000}">
      <text>
        <r>
          <rPr>
            <sz val="9"/>
            <color indexed="81"/>
            <rFont val="Segoe UI"/>
            <family val="2"/>
          </rPr>
          <t>PT - Contingência cívil da ex controlada Direct Express de R$ 15 milhões
EN - Civil contingency of the former subsidiary Direct Express of R $ 15 million</t>
        </r>
      </text>
    </comment>
    <comment ref="AK25" authorId="2" shapeId="0" xr:uid="{00000000-0006-0000-2500-00000D000000}">
      <text>
        <r>
          <rPr>
            <sz val="9"/>
            <color indexed="81"/>
            <rFont val="Segoe UI"/>
            <family val="2"/>
          </rPr>
          <t>PT- Contingência cívil da ex controlada Direct Express de - R$ 6,6 milhões
Eng - Civil contingency of the former subsidiary Direct Express - R$ 6.6 million;</t>
        </r>
      </text>
    </comment>
    <comment ref="Y26" authorId="3" shapeId="0" xr:uid="{00000000-0006-0000-2500-00000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xr:uid="{00000000-0006-0000-2500-00000F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xr:uid="{00000000-0006-0000-2500-000010000000}">
      <text>
        <r>
          <rPr>
            <sz val="9"/>
            <color indexed="81"/>
            <rFont val="Segoe UI"/>
            <family val="2"/>
          </rPr>
          <t>PT - Baixa do ágio da Controlada Catlog
EN - controlled Catlog Goodwill impairment</t>
        </r>
      </text>
    </comment>
    <comment ref="AF42" authorId="3" shapeId="0" xr:uid="{00000000-0006-0000-2500-000011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xr:uid="{00000000-0006-0000-2500-000012000000}">
      <text>
        <r>
          <rPr>
            <sz val="9"/>
            <color indexed="81"/>
            <rFont val="Segoe UI"/>
            <family val="2"/>
          </rPr>
          <t>PT- Créditos de PIS/ COFINS da controlada Catlog  - R$ 9,2 milhões
Eng - PIS/ COFINS tax credits from the subsidiary Catlog - R$ 9.2 million;</t>
        </r>
      </text>
    </comment>
    <comment ref="AH44" authorId="3" shapeId="0" xr:uid="{00000000-0006-0000-2500-000013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xr:uid="{00000000-0006-0000-2500-00001400000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AN7" authorId="0" shapeId="0" xr:uid="{00000000-0006-0000-2600-000001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xr:uid="{00000000-0006-0000-2600-000002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xr:uid="{00000000-0006-0000-2600-000003000000}">
      <text>
        <r>
          <rPr>
            <sz val="9"/>
            <color indexed="81"/>
            <rFont val="Segoe UI"/>
            <family val="2"/>
          </rPr>
          <t>Crédito de R$ 9,8 milhões por ganho de causa contra o recolhimento do Fundaf
EN - Credit of R $ 9.8 million due to gain of cause against the payment of Fundaf</t>
        </r>
      </text>
    </comment>
    <comment ref="AN14" authorId="0" shapeId="0" xr:uid="{00000000-0006-0000-2600-000004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xr:uid="{00000000-0006-0000-2600-00000500000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Y8" authorId="0" shapeId="0" xr:uid="{00000000-0006-0000-2700-000001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xr:uid="{00000000-0006-0000-2700-000002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xr:uid="{00000000-0006-0000-2700-000003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L7" authorId="0" shapeId="0" xr:uid="{00000000-0006-0000-2800-000001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xr:uid="{00000000-0006-0000-2800-000002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xr:uid="{00000000-0006-0000-2800-000003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xr:uid="{00000000-0006-0000-2800-000004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Felipe Augusto Fogaça da Silva</author>
  </authors>
  <commentList>
    <comment ref="P7" authorId="0" shapeId="0" xr:uid="{00000000-0006-0000-2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xr:uid="{00000000-0006-0000-29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xr:uid="{00000000-0006-0000-2900-00000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xr:uid="{00000000-0006-0000-2900-000004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xr:uid="{00000000-0006-0000-2900-00000500000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xr:uid="{00000000-0006-0000-2900-000006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xr:uid="{00000000-0006-0000-2900-00000700000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xr:uid="{00000000-0006-0000-2900-000008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xr:uid="{00000000-0006-0000-2900-00000900000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xr:uid="{00000000-0006-0000-2900-00000A000000}">
      <text>
        <r>
          <rPr>
            <sz val="9"/>
            <color indexed="81"/>
            <rFont val="Segoe UI"/>
            <family val="2"/>
          </rPr>
          <t xml:space="preserve">PT - Juros e multa denúncia espontânea TCE R$ 2,030 M
Eng - Fine and interest upon spontaneous denouncement TCE R$ 2.030 M
</t>
        </r>
      </text>
    </comment>
    <comment ref="Y20" authorId="1" shapeId="0" xr:uid="{00000000-0006-0000-2900-00000B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s>
  <commentList>
    <comment ref="AA6" authorId="0" shapeId="0" xr:uid="{00000000-0006-0000-2A00-00000100000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U22" authorId="0" shapeId="0" xr:uid="{00000000-0006-0000-2C00-00000100000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<sst xmlns="http://schemas.openxmlformats.org/spreadsheetml/2006/main" count="29593" uniqueCount="1638">
  <si>
    <t>4T13</t>
  </si>
  <si>
    <t>3T13</t>
  </si>
  <si>
    <t>2T13</t>
  </si>
  <si>
    <t>1T13</t>
  </si>
  <si>
    <t>4T12</t>
  </si>
  <si>
    <t>3T12</t>
  </si>
  <si>
    <t>2T12</t>
  </si>
  <si>
    <t>1T12</t>
  </si>
  <si>
    <t>EBITDA</t>
  </si>
  <si>
    <t>Empréstimos e financiamentos</t>
  </si>
  <si>
    <t>Debêntures</t>
  </si>
  <si>
    <t>Demais contas a pagar</t>
  </si>
  <si>
    <t>Partes relacionadas</t>
  </si>
  <si>
    <t>1T14</t>
  </si>
  <si>
    <t>Outros</t>
  </si>
  <si>
    <t>2T14</t>
  </si>
  <si>
    <t>1T11</t>
  </si>
  <si>
    <t>2T11</t>
  </si>
  <si>
    <t>3T11</t>
  </si>
  <si>
    <t>4T11</t>
  </si>
  <si>
    <t>CAPEX</t>
  </si>
  <si>
    <t>3T14</t>
  </si>
  <si>
    <t>TOTAL</t>
  </si>
  <si>
    <t>4T14</t>
  </si>
  <si>
    <t>1T15</t>
  </si>
  <si>
    <t>2T15</t>
  </si>
  <si>
    <t xml:space="preserve"> </t>
  </si>
  <si>
    <t>Consolidado</t>
  </si>
  <si>
    <t>Controladora</t>
  </si>
  <si>
    <t>CONSOLIDADO</t>
  </si>
  <si>
    <t>Terrenos</t>
  </si>
  <si>
    <t>Edifícios</t>
  </si>
  <si>
    <t>Computadores e periféricos</t>
  </si>
  <si>
    <t>Instalações</t>
  </si>
  <si>
    <t>Veículos</t>
  </si>
  <si>
    <t>Software</t>
  </si>
  <si>
    <t>Total</t>
  </si>
  <si>
    <t>Direct</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</si>
  <si>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</si>
  <si>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</si>
  <si>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</si>
  <si>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</si>
  <si>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</si>
  <si>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</si>
  <si>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</si>
  <si>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</si>
  <si>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</si>
  <si>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t>
  </si>
  <si>
    <t>Fornecedores e fretes a pagar</t>
  </si>
  <si>
    <t>Despesa</t>
  </si>
  <si>
    <t>Adições</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</si>
  <si>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</si>
  <si>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</si>
  <si>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</si>
  <si>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</si>
  <si>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</si>
  <si>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</si>
  <si>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Catlog Logística de Transportes S.A. (Catlog)</t>
  </si>
  <si>
    <t>Tegma Venezuela S.A. (TV)</t>
  </si>
  <si>
    <t>TCE</t>
  </si>
  <si>
    <t>TLI</t>
  </si>
  <si>
    <t>Niyati</t>
  </si>
  <si>
    <t>PDI</t>
  </si>
  <si>
    <t>Catlog</t>
  </si>
  <si>
    <t>Tegmax</t>
  </si>
  <si>
    <t>TGI</t>
  </si>
  <si>
    <t>TV</t>
  </si>
  <si>
    <t>Guriel</t>
  </si>
  <si>
    <t>Equivalência patrimonial</t>
  </si>
  <si>
    <t>Guriel Empreendimentos e Participações Ltda. (Guriel)</t>
  </si>
  <si>
    <t>Direct (Consolidado)</t>
  </si>
  <si>
    <t xml:space="preserve">     </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</si>
  <si>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</si>
  <si>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</si>
  <si>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</si>
  <si>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</si>
  <si>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</si>
  <si>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</si>
  <si>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</si>
  <si>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</si>
  <si>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 xml:space="preserve">      Nortev</t>
  </si>
  <si>
    <t xml:space="preserve">      Boni Amazon</t>
  </si>
  <si>
    <t>30/06/2014</t>
  </si>
  <si>
    <t xml:space="preserve">Finame </t>
  </si>
  <si>
    <t>INSS</t>
  </si>
  <si>
    <t>FGTS</t>
  </si>
  <si>
    <t>Subtotal</t>
  </si>
  <si>
    <t>Swap</t>
  </si>
  <si>
    <t>31/12/2014</t>
  </si>
  <si>
    <t>Juros recebidos sobre aplicações financerias</t>
  </si>
  <si>
    <t>Aquisição de controlada</t>
  </si>
  <si>
    <t>3T15</t>
  </si>
  <si>
    <t>4T15</t>
  </si>
  <si>
    <t>Dividendos</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</si>
  <si>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</si>
  <si>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</si>
  <si>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</si>
  <si>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</si>
  <si>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</si>
  <si>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</si>
  <si>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</si>
  <si>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</si>
  <si>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</si>
  <si>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</si>
  <si>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</si>
  <si>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</si>
  <si>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</si>
  <si>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</si>
  <si>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ROA</t>
  </si>
  <si>
    <t>ROE</t>
  </si>
  <si>
    <t>1T16</t>
  </si>
  <si>
    <t>GENERAL MOTORS</t>
  </si>
  <si>
    <t>VOLKSWAGEN</t>
  </si>
  <si>
    <t>TOYOTA</t>
  </si>
  <si>
    <t>RENAULT/NISSAN</t>
  </si>
  <si>
    <t>HONDA</t>
  </si>
  <si>
    <t>HYUNDAI</t>
  </si>
  <si>
    <t>TLV</t>
  </si>
  <si>
    <t>Tegma Logística de Veículos Ltda. (TLV)</t>
  </si>
  <si>
    <t>Fornecedores e fretes</t>
  </si>
  <si>
    <t>2011</t>
  </si>
  <si>
    <t>2010</t>
  </si>
  <si>
    <t>Indicadores TGMA3</t>
  </si>
  <si>
    <t>2T16</t>
  </si>
  <si>
    <t>3T16</t>
  </si>
  <si>
    <t>REFIS</t>
  </si>
  <si>
    <t>i</t>
  </si>
  <si>
    <t>4T16</t>
  </si>
  <si>
    <t>2007</t>
  </si>
  <si>
    <t>2008</t>
  </si>
  <si>
    <t>2009</t>
  </si>
  <si>
    <t>SANTANDER</t>
  </si>
  <si>
    <t>BRASIL PLURAL</t>
  </si>
  <si>
    <t>VOTORANTIM</t>
  </si>
  <si>
    <t>BAML</t>
  </si>
  <si>
    <t>BTG PACTUAL</t>
  </si>
  <si>
    <t>ITAÚ</t>
  </si>
  <si>
    <t>Custo</t>
  </si>
  <si>
    <t>Depreciação</t>
  </si>
  <si>
    <t>Dividendos a pagar</t>
  </si>
  <si>
    <t>1T17</t>
  </si>
  <si>
    <t>Contas a pagar - aquisição de controlada</t>
  </si>
  <si>
    <t>SAFRA</t>
  </si>
  <si>
    <t>2T17</t>
  </si>
  <si>
    <t>Provisão para perda de investimento</t>
  </si>
  <si>
    <t>3T17</t>
  </si>
  <si>
    <t>4T17</t>
  </si>
  <si>
    <t>Em 30 de setembro de 2017</t>
  </si>
  <si>
    <t>TLA</t>
  </si>
  <si>
    <t>Fiat FCA</t>
  </si>
  <si>
    <t>1T09</t>
  </si>
  <si>
    <t>2T09</t>
  </si>
  <si>
    <t>3T09</t>
  </si>
  <si>
    <t>4T09</t>
  </si>
  <si>
    <t>1T10</t>
  </si>
  <si>
    <t>2T10</t>
  </si>
  <si>
    <t>3T10</t>
  </si>
  <si>
    <t>4T10</t>
  </si>
  <si>
    <t>1T18</t>
  </si>
  <si>
    <t>2T18</t>
  </si>
  <si>
    <t>3T18</t>
  </si>
  <si>
    <t>4T18</t>
  </si>
  <si>
    <t>CDI +   %</t>
  </si>
  <si>
    <t>Cronograma de pagamento da dívida (PRINCIPAL)</t>
  </si>
  <si>
    <t>Consolidated balance sheet</t>
  </si>
  <si>
    <t>Assets</t>
  </si>
  <si>
    <t>Cash and equivalents</t>
  </si>
  <si>
    <t>Accounts receivable</t>
  </si>
  <si>
    <t>Related parties</t>
  </si>
  <si>
    <t>Inventories</t>
  </si>
  <si>
    <t>Taxes to recover</t>
  </si>
  <si>
    <t>Other receivables</t>
  </si>
  <si>
    <t>Prepaid expenses</t>
  </si>
  <si>
    <t>Assets of discontinued operations</t>
  </si>
  <si>
    <t>Deferred income tax and social contribution</t>
  </si>
  <si>
    <t>Dividends</t>
  </si>
  <si>
    <t>Fair value hedge</t>
  </si>
  <si>
    <t>Banking Investments</t>
  </si>
  <si>
    <t>Assets for sale</t>
  </si>
  <si>
    <t>Non-current assets</t>
  </si>
  <si>
    <t>Other accounts receivable</t>
  </si>
  <si>
    <t>Judicial deposits</t>
  </si>
  <si>
    <t>Investments</t>
  </si>
  <si>
    <t>Property and equipment</t>
  </si>
  <si>
    <t>Intangible assets</t>
  </si>
  <si>
    <t>Total assets</t>
  </si>
  <si>
    <t>Total liabilities and shareholders' equity</t>
  </si>
  <si>
    <t>Current Liabilities</t>
  </si>
  <si>
    <t>Loans and financing</t>
  </si>
  <si>
    <t>Bonds</t>
  </si>
  <si>
    <t>Suppliers</t>
  </si>
  <si>
    <t>Taxes payable</t>
  </si>
  <si>
    <t>Taxes payable in  installments</t>
  </si>
  <si>
    <t>Salaries and social charges</t>
  </si>
  <si>
    <t>Other accounts payable</t>
  </si>
  <si>
    <t>Acquisition of subsidiary</t>
  </si>
  <si>
    <t>Income tax and social contribution</t>
  </si>
  <si>
    <t>Dividends Payable</t>
  </si>
  <si>
    <t>Insurance and rents payable</t>
  </si>
  <si>
    <t>Option Call on Subsidiary</t>
  </si>
  <si>
    <t>Liabilities of discontinued operations</t>
  </si>
  <si>
    <t>Non-current liabilities</t>
  </si>
  <si>
    <t>Provision for overdraft liabilities</t>
  </si>
  <si>
    <t>Provision for contingencies and other liabilities</t>
  </si>
  <si>
    <t>Taxes payable in installments</t>
  </si>
  <si>
    <t>Acquisition of subsidiary - variable price</t>
  </si>
  <si>
    <t>Shareholders Equity</t>
  </si>
  <si>
    <t>Capital stock</t>
  </si>
  <si>
    <t>Capital reserve</t>
  </si>
  <si>
    <t>Profit reserve</t>
  </si>
  <si>
    <t>Retained earnings</t>
  </si>
  <si>
    <t>Treasury shares</t>
  </si>
  <si>
    <t>Assets valuation adjustment</t>
  </si>
  <si>
    <t>Minority interest</t>
  </si>
  <si>
    <t>(In R$ thousand)</t>
  </si>
  <si>
    <t>Consolidated income statement</t>
  </si>
  <si>
    <t>Gross revenue</t>
  </si>
  <si>
    <t>Automotive logistics</t>
  </si>
  <si>
    <t>Integrated logistics</t>
  </si>
  <si>
    <t>Taxes and deductions</t>
  </si>
  <si>
    <t>Net revenue</t>
  </si>
  <si>
    <t>Cost of services</t>
  </si>
  <si>
    <t>Personnel</t>
  </si>
  <si>
    <t>Freight</t>
  </si>
  <si>
    <t>Others</t>
  </si>
  <si>
    <t>Taxes credit (PIS and COFINS)</t>
  </si>
  <si>
    <t>Gross profit</t>
  </si>
  <si>
    <t>General and administrative expenses</t>
  </si>
  <si>
    <t>Other expenses and revenues</t>
  </si>
  <si>
    <t>Operating income</t>
  </si>
  <si>
    <t>Financial result</t>
  </si>
  <si>
    <t>Finalcial Debt</t>
  </si>
  <si>
    <t>Financial Revenue</t>
  </si>
  <si>
    <t>Equity</t>
  </si>
  <si>
    <t>Income before tax</t>
  </si>
  <si>
    <t>Income Tax</t>
  </si>
  <si>
    <t>Net income before discontinued operation</t>
  </si>
  <si>
    <t>Discontinued operation net income</t>
  </si>
  <si>
    <t xml:space="preserve">Extraordinary effects related to the Direct Express sale </t>
  </si>
  <si>
    <t>Net income</t>
  </si>
  <si>
    <t>² Informations adjusted from the Extraordinary effects related to the Direct Express sale , detailed in spreadsheet "Attachments"</t>
  </si>
  <si>
    <t>Automotive income statement</t>
  </si>
  <si>
    <t>Vehicle logistics</t>
  </si>
  <si>
    <t>Auto parts logistics</t>
  </si>
  <si>
    <t>Automotive auction</t>
  </si>
  <si>
    <t>(-) Cost of services*</t>
  </si>
  <si>
    <t>(-) General and administrative expenses*</t>
  </si>
  <si>
    <t xml:space="preserve">Subsidiary goodwill write-off </t>
  </si>
  <si>
    <t>Discontinued operation account receivables write-off</t>
  </si>
  <si>
    <t>Direct civil contingency</t>
  </si>
  <si>
    <t>Escrow account write-off</t>
  </si>
  <si>
    <t>Fundaf lawsuit success</t>
  </si>
  <si>
    <t>Variable Price</t>
  </si>
  <si>
    <t>(Gain)/loss on asset Sales</t>
  </si>
  <si>
    <t>Discontinued operations</t>
  </si>
  <si>
    <t>Rescission costs</t>
  </si>
  <si>
    <t>Other</t>
  </si>
  <si>
    <t>Accrual for labor contingencies</t>
  </si>
  <si>
    <t xml:space="preserve">Adjusted EBITDA </t>
  </si>
  <si>
    <t>Adjusted EBITDA Margin</t>
  </si>
  <si>
    <t>(-) Depreciation and amortization</t>
  </si>
  <si>
    <t>(-) Financial result</t>
  </si>
  <si>
    <t>(-) Equity</t>
  </si>
  <si>
    <t>(-) Income Tax</t>
  </si>
  <si>
    <t xml:space="preserve">Net income </t>
  </si>
  <si>
    <t>* without depreciation and amortization</t>
  </si>
  <si>
    <t>*Without depreciation and amortization</t>
  </si>
  <si>
    <t>Warehouse</t>
  </si>
  <si>
    <t>Industrial logistics</t>
  </si>
  <si>
    <t>Discontinuated operations</t>
  </si>
  <si>
    <t>Gross profit*</t>
  </si>
  <si>
    <t>Consolidated free cash flow statement</t>
  </si>
  <si>
    <t>Net cash generated by (used in) operating activities (as QFS)</t>
  </si>
  <si>
    <t>(-) Loss before income and social contribution taxes - discontinued operations</t>
  </si>
  <si>
    <t>(-) Changes in assets and liabilities - discontinued operations</t>
  </si>
  <si>
    <t>Loss (gains) on assets</t>
  </si>
  <si>
    <t>(-) Receivables transfered/spin-off from descontinued operations¹</t>
  </si>
  <si>
    <t>A - Net cash generated by (used in) operating activities (less discontinued op.)</t>
  </si>
  <si>
    <t>B - Acquisitions of fixed assetes</t>
  </si>
  <si>
    <t>Free cash flow (A + B)</t>
  </si>
  <si>
    <t>Consolidated statements of cash flow</t>
  </si>
  <si>
    <t>Depreciation and amortization</t>
  </si>
  <si>
    <t>Loss (gains) on disposal of assets</t>
  </si>
  <si>
    <t>Provision (reversal) for losses on assets</t>
  </si>
  <si>
    <t>Allowance for (reversal of) doubtful accounts</t>
  </si>
  <si>
    <t>Provission for loss of value on sales of controled company</t>
  </si>
  <si>
    <t>Equity pickup</t>
  </si>
  <si>
    <t>Financial charges on tax installments and notes payable</t>
  </si>
  <si>
    <t>Interest and exchange variation on unpaid loans, debentures and swap operations</t>
  </si>
  <si>
    <t>Interest on acquisition/stock option</t>
  </si>
  <si>
    <t>Interest on sale of investment</t>
  </si>
  <si>
    <t>Options granted</t>
  </si>
  <si>
    <t>Reversal (provision) for losses - assets</t>
  </si>
  <si>
    <t>Expenses (revenues) not affecting cash flows</t>
  </si>
  <si>
    <t>Taxes recoverable</t>
  </si>
  <si>
    <t>Other assets</t>
  </si>
  <si>
    <t>Trade accounts and freight payable</t>
  </si>
  <si>
    <t>Salaries and related charges</t>
  </si>
  <si>
    <t>Increase (decrease) in related parties</t>
  </si>
  <si>
    <t>Changes in assets and liabilities</t>
  </si>
  <si>
    <t>Interest paid on loans, financing and swaps</t>
  </si>
  <si>
    <t>Interest paid on debentures</t>
  </si>
  <si>
    <t>Interest paid on notes payable and tax installments</t>
  </si>
  <si>
    <t>Indemnities paied</t>
  </si>
  <si>
    <t>Income and social contribution taxes paid</t>
  </si>
  <si>
    <t>A - Net cash from operating activities</t>
  </si>
  <si>
    <t>Dividends received</t>
  </si>
  <si>
    <t>Acquisition of intangible assets</t>
  </si>
  <si>
    <t>Acquisition of property and equipment and intangible assets</t>
  </si>
  <si>
    <t>Proceeds from sale of assets</t>
  </si>
  <si>
    <t>Payment for acquisition of investments</t>
  </si>
  <si>
    <t>Sale value of investment</t>
  </si>
  <si>
    <t>Decrease (increase) in short-term investments</t>
  </si>
  <si>
    <t>Transfer of cash and cash equivalents</t>
  </si>
  <si>
    <t>Dividend paid</t>
  </si>
  <si>
    <t>Loans raised</t>
  </si>
  <si>
    <t>Loans, financing and debentures settled</t>
  </si>
  <si>
    <t>Swap operations</t>
  </si>
  <si>
    <t>Loss before income and social contribution taxes - discontinued operations</t>
  </si>
  <si>
    <t>Changes in assets and liabilities - discontinued operations</t>
  </si>
  <si>
    <t>D - Net cash generated from discontinued operations</t>
  </si>
  <si>
    <t>Cash variation (A + B + C + D)</t>
  </si>
  <si>
    <t>Cash and cash equivalents at beginning of period</t>
  </si>
  <si>
    <t>Cash and cash equivalents at end of period</t>
  </si>
  <si>
    <t xml:space="preserve">Gross sale of services, net </t>
  </si>
  <si>
    <t>Other income</t>
  </si>
  <si>
    <t>Revenues</t>
  </si>
  <si>
    <t>Cost of services provided</t>
  </si>
  <si>
    <t>Materials, energy, third-party services and other operating expenses</t>
  </si>
  <si>
    <t>Input products acquired from third parties</t>
  </si>
  <si>
    <t>Net value added produced by the Company</t>
  </si>
  <si>
    <t xml:space="preserve">Depreciation and amortization </t>
  </si>
  <si>
    <t>Gross value added</t>
  </si>
  <si>
    <t xml:space="preserve">Financial income </t>
  </si>
  <si>
    <t>Total value added to be distributed</t>
  </si>
  <si>
    <t>Personnel and related charges</t>
  </si>
  <si>
    <t>Payroll and related charges</t>
  </si>
  <si>
    <t>Key management personnel compensation</t>
  </si>
  <si>
    <t>Employees’ profit sharing</t>
  </si>
  <si>
    <t>Taxes, charges and contributions</t>
  </si>
  <si>
    <t>Federal</t>
  </si>
  <si>
    <t>State</t>
  </si>
  <si>
    <t>Local</t>
  </si>
  <si>
    <t xml:space="preserve">Financing agents </t>
  </si>
  <si>
    <t>Interest and exchange variations</t>
  </si>
  <si>
    <t>Rent</t>
  </si>
  <si>
    <t>Retained profits (losses)</t>
  </si>
  <si>
    <t>Value added distributed</t>
  </si>
  <si>
    <t>(consolidated, in thousand)</t>
  </si>
  <si>
    <t>Outsourced services</t>
  </si>
  <si>
    <t>(consolidated)</t>
  </si>
  <si>
    <t>Liquidity indexes</t>
  </si>
  <si>
    <t>Current liquidity</t>
  </si>
  <si>
    <t>Immediate liquidity</t>
  </si>
  <si>
    <t>General liquidity</t>
  </si>
  <si>
    <t>Debt indicators</t>
  </si>
  <si>
    <t>Gross debt</t>
  </si>
  <si>
    <t>Cash and Equivalents</t>
  </si>
  <si>
    <t>Net Debt</t>
  </si>
  <si>
    <t>Interest / Adj. EBITDA</t>
  </si>
  <si>
    <t>Gross debt / Adj. EBITDA</t>
  </si>
  <si>
    <t>Gross debt/ Equity</t>
  </si>
  <si>
    <t>Gross debt/ Market cap</t>
  </si>
  <si>
    <t>Ajusted EBITDA / Financial Result (&gt; 1,5)</t>
  </si>
  <si>
    <t>Net Debt / Ajusted EBITDA (&lt; 2,5)</t>
  </si>
  <si>
    <t>Profitability Index</t>
  </si>
  <si>
    <t>(consolidated in R$ thou)</t>
  </si>
  <si>
    <t>Daily volume traded</t>
  </si>
  <si>
    <t>Total volume trades</t>
  </si>
  <si>
    <t>Average quote</t>
  </si>
  <si>
    <t>Total shares</t>
  </si>
  <si>
    <t>2Q16</t>
  </si>
  <si>
    <t>3Q16</t>
  </si>
  <si>
    <t>4Q16</t>
  </si>
  <si>
    <t>1Q17</t>
  </si>
  <si>
    <t>2Q17</t>
  </si>
  <si>
    <t>3Q17</t>
  </si>
  <si>
    <t>Current debt</t>
  </si>
  <si>
    <t>(consolidated in R$ thousand)</t>
  </si>
  <si>
    <t>Average  revenue by Km  (Automotive division)</t>
  </si>
  <si>
    <t>Target price YE18</t>
  </si>
  <si>
    <t>Average</t>
  </si>
  <si>
    <t>2018 net revenue</t>
  </si>
  <si>
    <t xml:space="preserve">2018 EBITDA </t>
  </si>
  <si>
    <t>2018 net income</t>
  </si>
  <si>
    <t>2019 net revenue</t>
  </si>
  <si>
    <t xml:space="preserve">2019 EBITDA </t>
  </si>
  <si>
    <t>2019 net income</t>
  </si>
  <si>
    <t>Type</t>
  </si>
  <si>
    <t>Interest on capital</t>
  </si>
  <si>
    <t xml:space="preserve">Dividends </t>
  </si>
  <si>
    <t>Consolidated</t>
  </si>
  <si>
    <t>Debentures</t>
  </si>
  <si>
    <t>Accounts payable - subsidiary acquisition</t>
  </si>
  <si>
    <t>Dividends payable</t>
  </si>
  <si>
    <t>Loans and financings</t>
  </si>
  <si>
    <t>Insurance and rental payable</t>
  </si>
  <si>
    <t>Company</t>
  </si>
  <si>
    <t>Derivative transactions pegged to CDI</t>
  </si>
  <si>
    <t>Cash and cash equivalents</t>
  </si>
  <si>
    <t>Net exposure</t>
  </si>
  <si>
    <t>Controlled</t>
  </si>
  <si>
    <t>Total loans</t>
  </si>
  <si>
    <t>Derivatives - Swap</t>
  </si>
  <si>
    <t>Total equity</t>
  </si>
  <si>
    <t>Financial leverage ratio</t>
  </si>
  <si>
    <t>Cash at bank and on hand</t>
  </si>
  <si>
    <t>Short-term investments</t>
  </si>
  <si>
    <t>In Brazil</t>
  </si>
  <si>
    <t>Accounts receivable in Brazil</t>
  </si>
  <si>
    <t>Allowance for doubtful accounts</t>
  </si>
  <si>
    <t>Accounts receivable from sale of goods and services</t>
  </si>
  <si>
    <t>Days to receive</t>
  </si>
  <si>
    <t>Trade notes falling due</t>
  </si>
  <si>
    <t>Overdue up to 30 days</t>
  </si>
  <si>
    <t>Overdue from 31 to 90 days</t>
  </si>
  <si>
    <t>Overdue from 91 to 180 days</t>
  </si>
  <si>
    <t>Overdue for more than 180 days</t>
  </si>
  <si>
    <t>Account Receivable</t>
  </si>
  <si>
    <t>Opening balance</t>
  </si>
  <si>
    <t>Additions</t>
  </si>
  <si>
    <t>Reversals</t>
  </si>
  <si>
    <t>Transfer - discontinued operation</t>
  </si>
  <si>
    <t>Closing balance</t>
  </si>
  <si>
    <t>Claims recoverable</t>
  </si>
  <si>
    <t>Prepayment to employees</t>
  </si>
  <si>
    <t>Advances to suppliers</t>
  </si>
  <si>
    <t>Amount receivable - Escrow Account</t>
  </si>
  <si>
    <t>Recovery of expenses receivable</t>
  </si>
  <si>
    <t>Receivables</t>
  </si>
  <si>
    <t>Recovery of items lost, stolen and robbed</t>
  </si>
  <si>
    <t>Amount receivable from sale of Direct</t>
  </si>
  <si>
    <t>Current</t>
  </si>
  <si>
    <t>Noncurrent</t>
  </si>
  <si>
    <t>INSS recoverable</t>
  </si>
  <si>
    <t>IRRF on short-term investments</t>
  </si>
  <si>
    <t>ICMS recoverable</t>
  </si>
  <si>
    <t>IRRF on services and other</t>
  </si>
  <si>
    <t>PIS and Cofins</t>
  </si>
  <si>
    <t>IRPJ and CSLL</t>
  </si>
  <si>
    <t>Wholly-owned subsidiaries</t>
  </si>
  <si>
    <t>Proportional interest not consolidated</t>
  </si>
  <si>
    <t>Total investment in subsidiaries</t>
  </si>
  <si>
    <t>September 30, 2017</t>
  </si>
  <si>
    <t>June 30, 2017</t>
  </si>
  <si>
    <t>March 31, 2017</t>
  </si>
  <si>
    <t>December 31, 2016</t>
  </si>
  <si>
    <t>September 30, 2016</t>
  </si>
  <si>
    <t>June 30, 2016</t>
  </si>
  <si>
    <t>March 31, 2016</t>
  </si>
  <si>
    <t>September 30, 2015</t>
  </si>
  <si>
    <t>June 30, 2015</t>
  </si>
  <si>
    <t>March 31, 2015</t>
  </si>
  <si>
    <t>December 31, 2014</t>
  </si>
  <si>
    <t>September 30, 2014</t>
  </si>
  <si>
    <t>June 30, 2014</t>
  </si>
  <si>
    <t>March 31, 2014</t>
  </si>
  <si>
    <t>December 31, 2013</t>
  </si>
  <si>
    <t>Current assets</t>
  </si>
  <si>
    <t>Noncurrent assets</t>
  </si>
  <si>
    <t>Current liabilities</t>
  </si>
  <si>
    <t>Noncurrent liabilities</t>
  </si>
  <si>
    <t>Liabilities and equity</t>
  </si>
  <si>
    <t>Financial income, net</t>
  </si>
  <si>
    <t>Other income (expenses), net</t>
  </si>
  <si>
    <t>Income and social contribution taxes</t>
  </si>
  <si>
    <t>Net income (loss) for the period</t>
  </si>
  <si>
    <t>1Q13</t>
  </si>
  <si>
    <t>2Q13</t>
  </si>
  <si>
    <t>3Q13</t>
  </si>
  <si>
    <t>4Q13</t>
  </si>
  <si>
    <t>1Q14</t>
  </si>
  <si>
    <t>2Q14</t>
  </si>
  <si>
    <t>3Q14</t>
  </si>
  <si>
    <t>4Q14</t>
  </si>
  <si>
    <t>1Q15</t>
  </si>
  <si>
    <t>2Q15</t>
  </si>
  <si>
    <t>3Q15</t>
  </si>
  <si>
    <t>4Q15</t>
  </si>
  <si>
    <t>1Q16</t>
  </si>
  <si>
    <t>Goodwill paid on investment acquisition</t>
  </si>
  <si>
    <t>Project Implementation TLI</t>
  </si>
  <si>
    <t>Acquisition of Trans Commerce</t>
  </si>
  <si>
    <t>Aggregated portfolios</t>
  </si>
  <si>
    <t>Relationship with costumers</t>
  </si>
  <si>
    <t>Acquisition of Direct</t>
  </si>
  <si>
    <t>Trademarks and licenses</t>
  </si>
  <si>
    <t>Contractual customer relationships</t>
  </si>
  <si>
    <t>Software development costs</t>
  </si>
  <si>
    <t>Intangible asset paid on investment acquisition</t>
  </si>
  <si>
    <t>Net</t>
  </si>
  <si>
    <t>Total loans and financing</t>
  </si>
  <si>
    <t>(-) Current</t>
  </si>
  <si>
    <t>Total swap contracts</t>
  </si>
  <si>
    <t>Total debentures</t>
  </si>
  <si>
    <t>Loans and financing, net of swaps and debentures</t>
  </si>
  <si>
    <t>Vacation accrual</t>
  </si>
  <si>
    <t>Provision for bonuses and profit sharing</t>
  </si>
  <si>
    <t>13th monthly salary pay accrual</t>
  </si>
  <si>
    <t>Salaries payable</t>
  </si>
  <si>
    <t>Probable loss</t>
  </si>
  <si>
    <t>Possible loss</t>
  </si>
  <si>
    <t>Remote loss</t>
  </si>
  <si>
    <t>Subsidiaries</t>
  </si>
  <si>
    <t>Labor and social security</t>
  </si>
  <si>
    <t>Tax claims</t>
  </si>
  <si>
    <t>Civil</t>
  </si>
  <si>
    <t>Provisions for contingencies</t>
  </si>
  <si>
    <t>Possible risks</t>
  </si>
  <si>
    <t>Income before income and social contribution taxes</t>
  </si>
  <si>
    <t>Combined nominal rate - income and social contribution taxes</t>
  </si>
  <si>
    <t>Income and social contribution taxes at nominal rate</t>
  </si>
  <si>
    <t>Effect of income and social contribution taxes on permanent differences</t>
  </si>
  <si>
    <t>Equity income</t>
  </si>
  <si>
    <t>2014 yr LALUR correction</t>
  </si>
  <si>
    <t>Recognition of deferred on income and social contribution tax losses</t>
  </si>
  <si>
    <t>Written off deferred goodwill</t>
  </si>
  <si>
    <t>Loss on sale of investment</t>
  </si>
  <si>
    <t>Income and social contribution taxes in P&amp;L</t>
  </si>
  <si>
    <t>Deferred</t>
  </si>
  <si>
    <t>Effective Rate</t>
  </si>
  <si>
    <t>Income tax losses to offset</t>
  </si>
  <si>
    <t>Social contribution tax losses</t>
  </si>
  <si>
    <t>Adjust effective rate projection</t>
  </si>
  <si>
    <t>Temporary differences</t>
  </si>
  <si>
    <t>Provision for freight payable</t>
  </si>
  <si>
    <t>Provision for tolls</t>
  </si>
  <si>
    <t>Cut-off provision</t>
  </si>
  <si>
    <t>Provision for indemnifications</t>
  </si>
  <si>
    <t>Tax benefit from goodwill</t>
  </si>
  <si>
    <t>Amortization of tax goodwill</t>
  </si>
  <si>
    <t>Difference in depreciation rate</t>
  </si>
  <si>
    <t>Vehicles and cargo transportation</t>
  </si>
  <si>
    <t>Toll fees</t>
  </si>
  <si>
    <t>Insurance</t>
  </si>
  <si>
    <t>Data and voice communication</t>
  </si>
  <si>
    <t>Benefits</t>
  </si>
  <si>
    <t>Advisory services</t>
  </si>
  <si>
    <t>Sundry maintenance</t>
  </si>
  <si>
    <t>Fuel</t>
  </si>
  <si>
    <t>Indemnification payable</t>
  </si>
  <si>
    <t>Taxes and rates</t>
  </si>
  <si>
    <t>Surveillance</t>
  </si>
  <si>
    <t>Land acquisition installment</t>
  </si>
  <si>
    <t>Technical advisory/earthwork</t>
  </si>
  <si>
    <t>Recovery of expenses</t>
  </si>
  <si>
    <t>Inventory adjustment</t>
  </si>
  <si>
    <t>Gain on disposal of net PPE</t>
  </si>
  <si>
    <t>Loss from uncollectible accounts</t>
  </si>
  <si>
    <t>Set up of provision for contingencies and indemnification paid</t>
  </si>
  <si>
    <t>Provision for loss of investment</t>
  </si>
  <si>
    <t>Other revenues/(expenses), net</t>
  </si>
  <si>
    <t>Gross revenue from services</t>
  </si>
  <si>
    <t>Discounts, insurance and toll fees</t>
  </si>
  <si>
    <t>Revenue before taxes</t>
  </si>
  <si>
    <t>Taxes levied</t>
  </si>
  <si>
    <t>Net revenue from services</t>
  </si>
  <si>
    <t>Cost of services rendered</t>
  </si>
  <si>
    <t>Selling expenses</t>
  </si>
  <si>
    <t>Freight services – aggregated</t>
  </si>
  <si>
    <t>Salaries</t>
  </si>
  <si>
    <t>Social charges</t>
  </si>
  <si>
    <t>Employee benefits</t>
  </si>
  <si>
    <t>Rent and lease</t>
  </si>
  <si>
    <t>Maintenance</t>
  </si>
  <si>
    <t>Utilities</t>
  </si>
  <si>
    <t>Communications</t>
  </si>
  <si>
    <t>Fuel and lubricants</t>
  </si>
  <si>
    <t>Other personnel expenses</t>
  </si>
  <si>
    <t>Other general expenses</t>
  </si>
  <si>
    <t>Materials</t>
  </si>
  <si>
    <t>Contributions and donations</t>
  </si>
  <si>
    <t>Compensation for loss</t>
  </si>
  <si>
    <t>Travel expenses</t>
  </si>
  <si>
    <t>Severance costs</t>
  </si>
  <si>
    <t>Warehouse restructuring</t>
  </si>
  <si>
    <t>Contractual penalties</t>
  </si>
  <si>
    <t>Variable cost</t>
  </si>
  <si>
    <t>Labor Claims</t>
  </si>
  <si>
    <t>Interest receivable</t>
  </si>
  <si>
    <t>Exchange gains</t>
  </si>
  <si>
    <t>Gain on swap transaction</t>
  </si>
  <si>
    <t>Financial Income</t>
  </si>
  <si>
    <t>Interest on bank loans</t>
  </si>
  <si>
    <t>Banking expenses</t>
  </si>
  <si>
    <t>Exchange losses</t>
  </si>
  <si>
    <t>Interest payable</t>
  </si>
  <si>
    <t>Loss on swap transaction</t>
  </si>
  <si>
    <t>Other financial expenses</t>
  </si>
  <si>
    <t>Financial expenses</t>
  </si>
  <si>
    <t>Financial income (expenses), net</t>
  </si>
  <si>
    <t>Consolidated and Company</t>
  </si>
  <si>
    <t>Salaries and charges (Officers)</t>
  </si>
  <si>
    <t>Officers’ fees</t>
  </si>
  <si>
    <t>Stock options</t>
  </si>
  <si>
    <t>Profit sharing</t>
  </si>
  <si>
    <t>Within 1 year</t>
  </si>
  <si>
    <t>From 2 to 5 years</t>
  </si>
  <si>
    <t>Over 5 years</t>
  </si>
  <si>
    <t>Gross operating lease liabilities - minimum lease payments</t>
  </si>
  <si>
    <t>Balance sheet</t>
  </si>
  <si>
    <t>Current Assets</t>
  </si>
  <si>
    <t>Non-current Assets</t>
  </si>
  <si>
    <t>Total liabilities</t>
  </si>
  <si>
    <t>Amount p/ share (BRL)</t>
  </si>
  <si>
    <t>Amount (BRL Thou)</t>
  </si>
  <si>
    <t>Period</t>
  </si>
  <si>
    <t>Domestic Vehicles</t>
  </si>
  <si>
    <t>Domestic Sales</t>
  </si>
  <si>
    <t>Exports sales</t>
  </si>
  <si>
    <t>Total inventory</t>
  </si>
  <si>
    <t>Dealership inventory</t>
  </si>
  <si>
    <t>Factory inventory</t>
  </si>
  <si>
    <t>sales  used / new</t>
  </si>
  <si>
    <t>North</t>
  </si>
  <si>
    <t>Northeast</t>
  </si>
  <si>
    <t>CentralWest</t>
  </si>
  <si>
    <t>Southeast</t>
  </si>
  <si>
    <t>South</t>
  </si>
  <si>
    <t>Export/ production</t>
  </si>
  <si>
    <t>Import/ domestic sales</t>
  </si>
  <si>
    <t>From 1 to 2 years</t>
  </si>
  <si>
    <t>2013</t>
  </si>
  <si>
    <t>At December 31, 2012</t>
  </si>
  <si>
    <t>Increase in investments</t>
  </si>
  <si>
    <t>Transfer of capital deficiency</t>
  </si>
  <si>
    <t>Transfer - merger</t>
  </si>
  <si>
    <t>Call option in subsidiary</t>
  </si>
  <si>
    <t>At December 31, 2013</t>
  </si>
  <si>
    <t>Future capital contribution</t>
  </si>
  <si>
    <t>Merger</t>
  </si>
  <si>
    <t>At December 31, 2014</t>
  </si>
  <si>
    <t>At December 30, 2015</t>
  </si>
  <si>
    <t>At March 31, 2016</t>
  </si>
  <si>
    <t>At June 30, 2016</t>
  </si>
  <si>
    <t>At September 30, 2016</t>
  </si>
  <si>
    <t>Transfer to uncovered liability</t>
  </si>
  <si>
    <t>At December 31, 2016</t>
  </si>
  <si>
    <t>At March 31, 2017</t>
  </si>
  <si>
    <t>At June 30, 2017</t>
  </si>
  <si>
    <t>At September 30, 2017</t>
  </si>
  <si>
    <t>Land</t>
  </si>
  <si>
    <t>Buildings</t>
  </si>
  <si>
    <t>Computers and peripherals</t>
  </si>
  <si>
    <t>Facilities</t>
  </si>
  <si>
    <t>Vehicles</t>
  </si>
  <si>
    <t>Machinery and equipment/tools</t>
  </si>
  <si>
    <t>Leasehold improvements</t>
  </si>
  <si>
    <t>Construction in progress</t>
  </si>
  <si>
    <t>Intangible</t>
  </si>
  <si>
    <t>Addition</t>
  </si>
  <si>
    <t>Amortization</t>
  </si>
  <si>
    <t>Transfer</t>
  </si>
  <si>
    <t>Write-off</t>
  </si>
  <si>
    <t>Trade accounts receivable</t>
  </si>
  <si>
    <t>Derivative financial instruments - swap</t>
  </si>
  <si>
    <t>Deferred income and social contribution taxes</t>
  </si>
  <si>
    <t>Long-term receivables</t>
  </si>
  <si>
    <t>Property, plant and equipment</t>
  </si>
  <si>
    <t xml:space="preserve">Freight payable </t>
  </si>
  <si>
    <t>Trade accounts payable</t>
  </si>
  <si>
    <t>Tax installments</t>
  </si>
  <si>
    <t xml:space="preserve">Insurance and rental payable </t>
  </si>
  <si>
    <t>Total liabilities and equity</t>
  </si>
  <si>
    <t>Service revenue, net</t>
  </si>
  <si>
    <t>Gross loss</t>
  </si>
  <si>
    <t>Operating loss before financial income (expenses)and income and social contribution taxes</t>
  </si>
  <si>
    <t>Financial income</t>
  </si>
  <si>
    <t>Financial income (expenses)</t>
  </si>
  <si>
    <t>Loss before income and social contribution tax</t>
  </si>
  <si>
    <t>Income and social contributions taxes</t>
  </si>
  <si>
    <t>Net loss for the period</t>
  </si>
  <si>
    <t>Impairment loss</t>
  </si>
  <si>
    <t>Net loss for the period – discontinued operations</t>
  </si>
  <si>
    <t>Operating activities</t>
  </si>
  <si>
    <t>Investing activities</t>
  </si>
  <si>
    <t>Financing activities</t>
  </si>
  <si>
    <t>Net cash (used)</t>
  </si>
  <si>
    <t>Net assets - Direct</t>
  </si>
  <si>
    <t>Investment - reverse of goodwill</t>
  </si>
  <si>
    <t>Impairment of assets</t>
  </si>
  <si>
    <t>Total assets from discontinued operations</t>
  </si>
  <si>
    <t>Net liabilities -Direct</t>
  </si>
  <si>
    <t>Total liabilities from discontinued operation</t>
  </si>
  <si>
    <t>Net assets directly related to the group of discontinued operations</t>
  </si>
  <si>
    <t>Jan/2013 to Sep/2013</t>
  </si>
  <si>
    <t>Oct/2013 to Dec/2013</t>
  </si>
  <si>
    <t>Jan/2013 to Dec/2013</t>
  </si>
  <si>
    <t>Jan/2014 to Mar/2014</t>
  </si>
  <si>
    <t>Jan/2014 to Jun/2014</t>
  </si>
  <si>
    <t>Jul/2014 to Aug/2014</t>
  </si>
  <si>
    <t>Jan/2014 to Aug/2014</t>
  </si>
  <si>
    <t>Jan/2013 to Jun/2013</t>
  </si>
  <si>
    <t>At December 30, 2017</t>
  </si>
  <si>
    <t>4Q17</t>
  </si>
  <si>
    <t>Tegma Logística de Armazéns Ltda. (TLA)</t>
  </si>
  <si>
    <t>Redução de capital</t>
  </si>
  <si>
    <t>Capital reduction</t>
  </si>
  <si>
    <t>Interest on own capital</t>
  </si>
  <si>
    <t>Deffered from previous periods</t>
  </si>
  <si>
    <t>Contingencies changes</t>
  </si>
  <si>
    <t>Balance at beginning of period</t>
  </si>
  <si>
    <t>Constitution</t>
  </si>
  <si>
    <t>Tax liability transfer</t>
  </si>
  <si>
    <t>Judicial Write-off</t>
  </si>
  <si>
    <t>Payment</t>
  </si>
  <si>
    <t>Balance at end of period</t>
  </si>
  <si>
    <t xml:space="preserve">Total </t>
  </si>
  <si>
    <t>Capital</t>
  </si>
  <si>
    <t>Stock option granted</t>
  </si>
  <si>
    <t>Legal reserve</t>
  </si>
  <si>
    <t>Retained profit</t>
  </si>
  <si>
    <t>Treasury stock</t>
  </si>
  <si>
    <t>Retained earnings (accumulated losses)</t>
  </si>
  <si>
    <t>Non-controlling interest</t>
  </si>
  <si>
    <t>Net income for the year</t>
  </si>
  <si>
    <t>Dividends and Interest on Own Capital</t>
  </si>
  <si>
    <t>Acquisition of non-controlling interest</t>
  </si>
  <si>
    <t>Constitution of capital reserve</t>
  </si>
  <si>
    <t>Constitution of Legal Reserve</t>
  </si>
  <si>
    <t>Foreign exchange variation of investee located abroad</t>
  </si>
  <si>
    <t>Stock Option Plan</t>
  </si>
  <si>
    <t>Loss for the year</t>
  </si>
  <si>
    <t>Absorption of loss for the year</t>
  </si>
  <si>
    <t>Destination:</t>
  </si>
  <si>
    <t>Net income for the period</t>
  </si>
  <si>
    <t xml:space="preserve">Exchange variation of investee located abroad </t>
  </si>
  <si>
    <t>Stock option plan</t>
  </si>
  <si>
    <t>Allocation</t>
  </si>
  <si>
    <t>Set up of reserves</t>
  </si>
  <si>
    <t>Set up of legal reserves</t>
  </si>
  <si>
    <t>Direct compensation</t>
  </si>
  <si>
    <t>Benefits and allowances</t>
  </si>
  <si>
    <t>(+)Net debt</t>
  </si>
  <si>
    <t>(+)Shareholders' equity</t>
  </si>
  <si>
    <t>(-)Acquisition goodwill</t>
  </si>
  <si>
    <t>NOPAT TTM (A)</t>
  </si>
  <si>
    <t>ROIC (A/B)</t>
  </si>
  <si>
    <t>(consolidated, R$ million, except %)</t>
  </si>
  <si>
    <t>Provision for contingencies</t>
  </si>
  <si>
    <t>Loss/Gain on investment sale</t>
  </si>
  <si>
    <t>Interest receivables instalments (REFIS)</t>
  </si>
  <si>
    <t>Interest Payable instalments (REFIS)</t>
  </si>
  <si>
    <t>Lawsuits to be paid</t>
  </si>
  <si>
    <t>FUNDAF</t>
  </si>
  <si>
    <t>Deferred fiscal liabilities</t>
  </si>
  <si>
    <t>Deffered fiscal asset</t>
  </si>
  <si>
    <t>Extemporaneous tax credits</t>
  </si>
  <si>
    <t>Provision for loss on sales of subsidiaries</t>
  </si>
  <si>
    <t>Notes payable and tax instalments</t>
  </si>
  <si>
    <t>Other liabilities and tax recoverable</t>
  </si>
  <si>
    <t>Dividend and interest on capital paid</t>
  </si>
  <si>
    <t>HIPERLINKS</t>
  </si>
  <si>
    <t>Dividends and interest on capital</t>
  </si>
  <si>
    <t>2020 net revenue</t>
  </si>
  <si>
    <t xml:space="preserve">2020 EBITDA </t>
  </si>
  <si>
    <t>2020 net income</t>
  </si>
  <si>
    <t>At March 30, 2018</t>
  </si>
  <si>
    <t>1Q18</t>
  </si>
  <si>
    <t xml:space="preserve">Crédito PIS/COFINS </t>
  </si>
  <si>
    <t>2017</t>
  </si>
  <si>
    <t>Jan/18</t>
  </si>
  <si>
    <t xml:space="preserve">  Gestão de Desenvolvimento em Logística S.A. (“GDL”)</t>
  </si>
  <si>
    <t>Loss in goodwill withdraw</t>
  </si>
  <si>
    <t>Fair value in investment transfer</t>
  </si>
  <si>
    <t>Cash in Tegma Logistica Integrada SA</t>
  </si>
  <si>
    <t>*This indicator doesn´t reflect´s exactly the value charged for our clients because it includes revenues from other services, not only transport</t>
  </si>
  <si>
    <t>At June 30, 2018</t>
  </si>
  <si>
    <t>June 30, 2018</t>
  </si>
  <si>
    <t>GDL</t>
  </si>
  <si>
    <t>Reestruturação societária</t>
  </si>
  <si>
    <t>2Q18</t>
  </si>
  <si>
    <t>New operations</t>
  </si>
  <si>
    <t>IT</t>
  </si>
  <si>
    <t>Contract renewal</t>
  </si>
  <si>
    <t>Tegup Inovação e Tecnologia Ltda. (“Tegup”)</t>
  </si>
  <si>
    <t>Investment in Controlled Joint Venture</t>
  </si>
  <si>
    <t>Gestão de Desenvolvimento em Logística S.A. (“GDL”)</t>
  </si>
  <si>
    <t>Capital increase</t>
  </si>
  <si>
    <t>Aumento de capital</t>
  </si>
  <si>
    <t>Subsidiary Acquisition</t>
  </si>
  <si>
    <t>Tegup</t>
  </si>
  <si>
    <t>GDL (100%)</t>
  </si>
  <si>
    <t>Average revenue by Km  (Automotive division)</t>
  </si>
  <si>
    <t>Provision for former subsidiary loss</t>
  </si>
  <si>
    <t>PIS/COFINS tax adjustment</t>
  </si>
  <si>
    <t>Change provisions criteria</t>
  </si>
  <si>
    <t>Target price YE19</t>
  </si>
  <si>
    <t>3Q18</t>
  </si>
  <si>
    <t>September 30, 2018</t>
  </si>
  <si>
    <t>Em 30 de setembro de 2018</t>
  </si>
  <si>
    <t>On September 30, 2018</t>
  </si>
  <si>
    <t>RelOned Parties</t>
  </si>
  <si>
    <t>On June, 2018</t>
  </si>
  <si>
    <t>On March, 2018</t>
  </si>
  <si>
    <t>On December, 2017</t>
  </si>
  <si>
    <t>On June, 2017</t>
  </si>
  <si>
    <t>On March, 2017</t>
  </si>
  <si>
    <t>On December, 2016</t>
  </si>
  <si>
    <t>On September, 2016</t>
  </si>
  <si>
    <t>On June, 2016</t>
  </si>
  <si>
    <t>On March, 2016</t>
  </si>
  <si>
    <t>On December 2015</t>
  </si>
  <si>
    <t>On September, 2015</t>
  </si>
  <si>
    <t>Accounts payable - floOning price</t>
  </si>
  <si>
    <t>On June, 2015</t>
  </si>
  <si>
    <t>On March, 2015</t>
  </si>
  <si>
    <t>On December, 2014</t>
  </si>
  <si>
    <t>On September, 2014</t>
  </si>
  <si>
    <t>RelOned parties</t>
  </si>
  <si>
    <t>On June, 2014</t>
  </si>
  <si>
    <t>On March, 2014</t>
  </si>
  <si>
    <t>On December, 2013</t>
  </si>
  <si>
    <t>Cash to cash</t>
  </si>
  <si>
    <t>Consolidated income statement not considering GDL</t>
  </si>
  <si>
    <t>Integrated logistics income statement not considering GDL</t>
  </si>
  <si>
    <t>GDL Income statement</t>
  </si>
  <si>
    <t>(-) Expenses*</t>
  </si>
  <si>
    <t>Others*</t>
  </si>
  <si>
    <t>Cost of services*</t>
  </si>
  <si>
    <t>Jan/18 GDL Balance sheet</t>
  </si>
  <si>
    <t>Asset</t>
  </si>
  <si>
    <t>Total Assets</t>
  </si>
  <si>
    <t>Ttoal non current assets</t>
  </si>
  <si>
    <t>Total current Assets</t>
  </si>
  <si>
    <t>Liabilities ans equity</t>
  </si>
  <si>
    <t>Total current liabilities</t>
  </si>
  <si>
    <t>Total non current liabilities</t>
  </si>
  <si>
    <t>Retained earnings/losses</t>
  </si>
  <si>
    <t>Total Equity</t>
  </si>
  <si>
    <t>Total liabilities ans equity</t>
  </si>
  <si>
    <t>Accounts receivables</t>
  </si>
  <si>
    <t>Days receivables</t>
  </si>
  <si>
    <t>Accounts payable</t>
  </si>
  <si>
    <t>Days payable</t>
  </si>
  <si>
    <t xml:space="preserve">Spontaneous denunciation </t>
  </si>
  <si>
    <t>Derivatives results</t>
  </si>
  <si>
    <t>Equity reduction in subsidiaries</t>
  </si>
  <si>
    <t>Net income from financial instruments designated as hedge accounting</t>
  </si>
  <si>
    <t>Reccomendation</t>
  </si>
  <si>
    <t>Buy</t>
  </si>
  <si>
    <t>ELEVEN</t>
  </si>
  <si>
    <t>Outperform</t>
  </si>
  <si>
    <t>Neutral</t>
  </si>
  <si>
    <t>4Q18</t>
  </si>
  <si>
    <t>At December 30, 2018</t>
  </si>
  <si>
    <t>Compras e benfeitorias em terrenos</t>
  </si>
  <si>
    <t>Loans and financing in foreing currency</t>
  </si>
  <si>
    <t>Instrumento financeiros derivativos</t>
  </si>
  <si>
    <t>Derivatives</t>
  </si>
  <si>
    <t>Derivatives fair value</t>
  </si>
  <si>
    <t>NCE - Exports bill notes</t>
  </si>
  <si>
    <t>Direct sales</t>
  </si>
  <si>
    <t>1T19</t>
  </si>
  <si>
    <t>2T19</t>
  </si>
  <si>
    <t>3T19</t>
  </si>
  <si>
    <t>4T19</t>
  </si>
  <si>
    <t>Constituição/baixa ágio (GDL-TLI)</t>
  </si>
  <si>
    <t>(GDL/TLI) goodwill</t>
  </si>
  <si>
    <t>2021 net revenue</t>
  </si>
  <si>
    <t xml:space="preserve">2021 EBITDA </t>
  </si>
  <si>
    <t>2021 net income</t>
  </si>
  <si>
    <t>1Q19</t>
  </si>
  <si>
    <t>IFRS 16 ==&gt;</t>
  </si>
  <si>
    <t>On March 31, 2019</t>
  </si>
  <si>
    <t>Income from financial investments</t>
  </si>
  <si>
    <t>Interest on leasing</t>
  </si>
  <si>
    <t>Cia de Transportes e Armazéns Gerais</t>
  </si>
  <si>
    <t>Tech Cargo Plataforma de Transportes Ltda (Tech Cargo) (i)</t>
  </si>
  <si>
    <t>Tech Cargo</t>
  </si>
  <si>
    <t>Tech cargo</t>
  </si>
  <si>
    <t xml:space="preserve">Movimentações </t>
  </si>
  <si>
    <t>Baixas</t>
  </si>
  <si>
    <t>Right of use assets</t>
  </si>
  <si>
    <t>Lease liabilities</t>
  </si>
  <si>
    <t>Lease payments</t>
  </si>
  <si>
    <t>Interest paid on leasing</t>
  </si>
  <si>
    <t>Right of use assets amortization</t>
  </si>
  <si>
    <t>Indemnity asset</t>
  </si>
  <si>
    <t>On December 30, 2018</t>
  </si>
  <si>
    <t>Changes</t>
  </si>
  <si>
    <t>Real estate</t>
  </si>
  <si>
    <t>Machines and equipments</t>
  </si>
  <si>
    <t>Interest</t>
  </si>
  <si>
    <t>Principal paid</t>
  </si>
  <si>
    <t>Interest paid</t>
  </si>
  <si>
    <t>Balance with third parties</t>
  </si>
  <si>
    <t>Balance with related parties</t>
  </si>
  <si>
    <t xml:space="preserve">Indemnification asset
</t>
  </si>
  <si>
    <t>On December 31, 2012</t>
  </si>
  <si>
    <t>Exchange variOnion of investments</t>
  </si>
  <si>
    <t>On December 31, 2013</t>
  </si>
  <si>
    <t>On March 31, 2014</t>
  </si>
  <si>
    <t>Transfer to discontinued operOnions</t>
  </si>
  <si>
    <t>On June 30, 2014</t>
  </si>
  <si>
    <t>On September 30, 2014</t>
  </si>
  <si>
    <t>On December 31, 2014</t>
  </si>
  <si>
    <t>On March 31, 2015</t>
  </si>
  <si>
    <t>On June 30, 2015</t>
  </si>
  <si>
    <t>On September 30, 2015</t>
  </si>
  <si>
    <t>On March 31, 2016</t>
  </si>
  <si>
    <t>On June 30, 2016</t>
  </si>
  <si>
    <t>On September 30, 2016</t>
  </si>
  <si>
    <t>On December 31, 2016</t>
  </si>
  <si>
    <t>On March 31, 2017</t>
  </si>
  <si>
    <t>On June 30, 2017</t>
  </si>
  <si>
    <t>On September 30, 2017</t>
  </si>
  <si>
    <t>CorporOne reestructuring</t>
  </si>
  <si>
    <t>On June 30, 2018</t>
  </si>
  <si>
    <t>On December 31, 2015</t>
  </si>
  <si>
    <t>On December 31, 2017</t>
  </si>
  <si>
    <t>On March 31, 2018</t>
  </si>
  <si>
    <t>On December 31, 2018</t>
  </si>
  <si>
    <t>March 31, 2019</t>
  </si>
  <si>
    <t>December 31, 2018</t>
  </si>
  <si>
    <t>March 31, 2018</t>
  </si>
  <si>
    <t>December 31, 2017</t>
  </si>
  <si>
    <t>December 31, 2015</t>
  </si>
  <si>
    <t>Right of use amortization</t>
  </si>
  <si>
    <t>Rental costs (IAS 17)</t>
  </si>
  <si>
    <t>Amortization of the right of use (SG&amp;A)</t>
  </si>
  <si>
    <t>Consolidated Income Statement</t>
  </si>
  <si>
    <t>2Q19</t>
  </si>
  <si>
    <t>3Q19</t>
  </si>
  <si>
    <t>4Q19</t>
  </si>
  <si>
    <t>On June 30, 2019</t>
  </si>
  <si>
    <t>On Dezembro 31, 2018</t>
  </si>
  <si>
    <t>June 30, 2019</t>
  </si>
  <si>
    <t>3/30/19</t>
  </si>
  <si>
    <t>Interest on leasing IFRS 16</t>
  </si>
  <si>
    <t>CATLOG (100%)</t>
  </si>
  <si>
    <t>Cash flow</t>
  </si>
  <si>
    <t>Net cash from operating activities</t>
  </si>
  <si>
    <t>Net cash flow from financial activities</t>
  </si>
  <si>
    <t>C - Net cash flow from financial activities</t>
  </si>
  <si>
    <t>B - Net cash generated by investing activities</t>
  </si>
  <si>
    <t>Frete Rápido Desenvolvimento de Tecnologia Logística S.A.</t>
  </si>
  <si>
    <t>Adoção Inicial</t>
  </si>
  <si>
    <t>Initial formation</t>
  </si>
  <si>
    <t>Lowering</t>
  </si>
  <si>
    <t>Leasing</t>
  </si>
  <si>
    <t>Target price YE20</t>
  </si>
  <si>
    <t>Comprar</t>
  </si>
  <si>
    <t>Em 30 de setembro de 2019</t>
  </si>
  <si>
    <t>in September 30, 2019</t>
  </si>
  <si>
    <t>September 30, 2019</t>
  </si>
  <si>
    <t>On September 30, 2019</t>
  </si>
  <si>
    <t>Log auto</t>
  </si>
  <si>
    <t>Log Integ</t>
  </si>
  <si>
    <t>Consoli</t>
  </si>
  <si>
    <t>PIS/COFINS Tax credit impact on 3Q19 results</t>
  </si>
  <si>
    <t>PIS/COFINS tax credit</t>
  </si>
  <si>
    <t>PIS/COFINS tax base revision</t>
  </si>
  <si>
    <t>General and administrative expenses*</t>
  </si>
  <si>
    <t>Depreciation and amortization (COGS)</t>
  </si>
  <si>
    <t>Depreciation and amortization (SG&amp;A)</t>
  </si>
  <si>
    <t>Gross revenue deductions</t>
  </si>
  <si>
    <t>Expenses*</t>
  </si>
  <si>
    <t>Right of use of assets withdrawn</t>
  </si>
  <si>
    <t>Marketable securities</t>
  </si>
  <si>
    <t>Long-term assets</t>
  </si>
  <si>
    <t>Payment date</t>
  </si>
  <si>
    <t>3T19/3Q19</t>
  </si>
  <si>
    <t>1S19</t>
  </si>
  <si>
    <t>Approved on</t>
  </si>
  <si>
    <t>Last Date Prior to "EX"</t>
  </si>
  <si>
    <t>Related to</t>
  </si>
  <si>
    <t>TGMA3 Quote on approval date</t>
  </si>
  <si>
    <t>1S18</t>
  </si>
  <si>
    <t>3T18/3Q18</t>
  </si>
  <si>
    <t>Payout</t>
  </si>
  <si>
    <t>At December 30, 2019</t>
  </si>
  <si>
    <t>in december 30, 2019</t>
  </si>
  <si>
    <t>On December 30, 2019</t>
  </si>
  <si>
    <t>December 30, 2019</t>
  </si>
  <si>
    <t>Pacto operation investigation costs</t>
  </si>
  <si>
    <t>Reserve government grants</t>
  </si>
  <si>
    <t>Tax Incentive Reserve</t>
  </si>
  <si>
    <t>Incentivos fiscais</t>
  </si>
  <si>
    <t>Tax breaks</t>
  </si>
  <si>
    <t>INSS FAP Constitution</t>
  </si>
  <si>
    <t>Rabbot Serviços de Tecnologia Ltda</t>
  </si>
  <si>
    <t>Ganho (perda) por redução ao valor recuperável de contas a receber</t>
  </si>
  <si>
    <t>Funding</t>
  </si>
  <si>
    <t>Interest appropriated</t>
  </si>
  <si>
    <t>Principal payment</t>
  </si>
  <si>
    <t>Exchange variation</t>
  </si>
  <si>
    <t>Rabbot Serviços de Tecnologia S.A.</t>
  </si>
  <si>
    <t>Write-off of right of use (IFRS 16)</t>
  </si>
  <si>
    <t>Other comprehensive income</t>
  </si>
  <si>
    <t>Deferred taxes on hedge accounting</t>
  </si>
  <si>
    <t>1T20</t>
  </si>
  <si>
    <t>2T20</t>
  </si>
  <si>
    <t>4Q20</t>
  </si>
  <si>
    <t>At March 31, 2020</t>
  </si>
  <si>
    <t>1Q20</t>
  </si>
  <si>
    <t>In March 31, 2019</t>
  </si>
  <si>
    <t>On March 30, 2020</t>
  </si>
  <si>
    <t/>
  </si>
  <si>
    <t>IFRS16 effects</t>
  </si>
  <si>
    <t>C - Lease payments</t>
  </si>
  <si>
    <t>Maintenance &amp; General improvements</t>
  </si>
  <si>
    <t>Stork Express Logística de Emplacados Ltda (Stork)</t>
  </si>
  <si>
    <t>3T20</t>
  </si>
  <si>
    <t>4T20</t>
  </si>
  <si>
    <t>On March 31, 2020</t>
  </si>
  <si>
    <t>9M19</t>
  </si>
  <si>
    <t>9M18</t>
  </si>
  <si>
    <t>9M20</t>
  </si>
  <si>
    <t>1S20</t>
  </si>
  <si>
    <t>Furniture, fixtures and packages</t>
  </si>
  <si>
    <t>1Q09</t>
  </si>
  <si>
    <t>2Q09</t>
  </si>
  <si>
    <t>3Q09</t>
  </si>
  <si>
    <t>4Q09</t>
  </si>
  <si>
    <t>1Q10</t>
  </si>
  <si>
    <t>2Q10</t>
  </si>
  <si>
    <t>3Q10</t>
  </si>
  <si>
    <t>4Q10</t>
  </si>
  <si>
    <t>1Q11</t>
  </si>
  <si>
    <t>2Q11</t>
  </si>
  <si>
    <t>3Q11</t>
  </si>
  <si>
    <t>4Q11</t>
  </si>
  <si>
    <t>1Q12</t>
  </si>
  <si>
    <t>2Q12</t>
  </si>
  <si>
    <t>3Q12</t>
  </si>
  <si>
    <t>4Q12</t>
  </si>
  <si>
    <t>2Q20</t>
  </si>
  <si>
    <t>3Q20</t>
  </si>
  <si>
    <t>C</t>
  </si>
  <si>
    <t>On June 30, 2020</t>
  </si>
  <si>
    <t>March 31, 2020</t>
  </si>
  <si>
    <t>June 30, 2020</t>
  </si>
  <si>
    <t>31/06/2020</t>
  </si>
  <si>
    <t xml:space="preserve">              -   </t>
  </si>
  <si>
    <t>Change %</t>
  </si>
  <si>
    <t>Exports</t>
  </si>
  <si>
    <t>Mkt share Tegma %</t>
  </si>
  <si>
    <t>Imports</t>
  </si>
  <si>
    <t>Vehicles Production</t>
  </si>
  <si>
    <t>Automotive Market</t>
  </si>
  <si>
    <t>Investimentos F'!</t>
  </si>
  <si>
    <t>Investments F'!</t>
  </si>
  <si>
    <t>$17</t>
  </si>
  <si>
    <t>% EBT</t>
  </si>
  <si>
    <t>Income tax</t>
  </si>
  <si>
    <t>Expenses and financial result</t>
  </si>
  <si>
    <t>% Gross Revenue</t>
  </si>
  <si>
    <t>Cash change</t>
  </si>
  <si>
    <t>Other effects in cash</t>
  </si>
  <si>
    <t>DFC'!</t>
  </si>
  <si>
    <t>Cash Flow Stat'!</t>
  </si>
  <si>
    <t>Free cash flow to equity</t>
  </si>
  <si>
    <t>Debt borrowing</t>
  </si>
  <si>
    <t>Debt payment</t>
  </si>
  <si>
    <t>$5</t>
  </si>
  <si>
    <t>Financial Result</t>
  </si>
  <si>
    <t>Free cash flow to firm</t>
  </si>
  <si>
    <t>Working capital</t>
  </si>
  <si>
    <t>BP'!</t>
  </si>
  <si>
    <t>BalSheet'!</t>
  </si>
  <si>
    <t>Indicadores'!</t>
  </si>
  <si>
    <t>Qtrl Fig'!</t>
  </si>
  <si>
    <t>Adjusted EBITDA Margin ex-IFRS-16</t>
  </si>
  <si>
    <t>Adjusted EBITDA ex-IFRS 16 (a-b-c+d)</t>
  </si>
  <si>
    <t>Anexos'!</t>
  </si>
  <si>
    <t>Attachments'!</t>
  </si>
  <si>
    <t>(d) Rental costs (IFRS-16)</t>
  </si>
  <si>
    <t>Adjusted EBITDA (a-b-c)</t>
  </si>
  <si>
    <t>Operacional margin</t>
  </si>
  <si>
    <t>(c) Amortization IFRS 16</t>
  </si>
  <si>
    <t>LI'!</t>
  </si>
  <si>
    <t>IncSIntLog'!</t>
  </si>
  <si>
    <t>(b) Depreciation</t>
  </si>
  <si>
    <t>% Net revenue</t>
  </si>
  <si>
    <t>Income Statement Integrated Logistics Division</t>
  </si>
  <si>
    <t>Auto'!</t>
  </si>
  <si>
    <t>IncSAuto'!</t>
  </si>
  <si>
    <t>Vehicle Logistics</t>
  </si>
  <si>
    <t>Domestic Market</t>
  </si>
  <si>
    <t>Average Km</t>
  </si>
  <si>
    <t>Total Km</t>
  </si>
  <si>
    <t># Vehicles transported</t>
  </si>
  <si>
    <t>Income Statement Automotive Division</t>
  </si>
  <si>
    <t>DRE'!</t>
  </si>
  <si>
    <t>IncS'!</t>
  </si>
  <si>
    <t>(-) Financial Result</t>
  </si>
  <si>
    <t>Non-recurring</t>
  </si>
  <si>
    <t>2019</t>
  </si>
  <si>
    <t>2018</t>
  </si>
  <si>
    <t>4,131 Loan - foreing currency</t>
  </si>
  <si>
    <t>Sales</t>
  </si>
  <si>
    <t>Stork Express</t>
  </si>
  <si>
    <t>4,131 Loan - local currency</t>
  </si>
  <si>
    <t>On September 30, 2020</t>
  </si>
  <si>
    <t>September 30, 2020</t>
  </si>
  <si>
    <t>31/09/2020</t>
  </si>
  <si>
    <t>2T21</t>
  </si>
  <si>
    <t>3T21</t>
  </si>
  <si>
    <t>3T20/3Q20</t>
  </si>
  <si>
    <t>2022 net revenue</t>
  </si>
  <si>
    <t xml:space="preserve">2022 EBITDA </t>
  </si>
  <si>
    <t>2022 net income</t>
  </si>
  <si>
    <t>COVID- 19 =&gt;</t>
  </si>
  <si>
    <t>Target price YE21</t>
  </si>
  <si>
    <t>EV/EBITDA 18</t>
  </si>
  <si>
    <t>EV/EBITDA 19</t>
  </si>
  <si>
    <t>EV/EBITDA 20</t>
  </si>
  <si>
    <t>EV/EBITDA 21</t>
  </si>
  <si>
    <t>EV/EBITDA 22</t>
  </si>
  <si>
    <t>Price/Earnings 18</t>
  </si>
  <si>
    <t>Price/Earnings 19</t>
  </si>
  <si>
    <t>Price/Earnings 20</t>
  </si>
  <si>
    <t>Price/Earnings 21</t>
  </si>
  <si>
    <t>Price/Earnings 22</t>
  </si>
  <si>
    <t>EV/EBITDA (following yr)</t>
  </si>
  <si>
    <t>Price/Earnings (following yr)</t>
  </si>
  <si>
    <t>TGMA3 multiples (sell side estimates)</t>
  </si>
  <si>
    <t>Hold</t>
  </si>
  <si>
    <t>On December 30, 2020</t>
  </si>
  <si>
    <t>December 30, 2020</t>
  </si>
  <si>
    <t>CCB</t>
  </si>
  <si>
    <t>1T21</t>
  </si>
  <si>
    <t>4T21</t>
  </si>
  <si>
    <t>1Q21</t>
  </si>
  <si>
    <t>2Q21</t>
  </si>
  <si>
    <t>3Q21</t>
  </si>
  <si>
    <t>4Q21</t>
  </si>
  <si>
    <t>Aumento (Redução) de capital</t>
  </si>
  <si>
    <t>Capital increase (decrease)</t>
  </si>
  <si>
    <t>Constituição de controlada</t>
  </si>
  <si>
    <t>Subsidiary Constitution</t>
  </si>
  <si>
    <t>2020</t>
  </si>
  <si>
    <t>Capital employed (last 4 qtrs) (B)</t>
  </si>
  <si>
    <t>Frete Rápido (100%)</t>
  </si>
  <si>
    <t>Actuarial liabilities</t>
  </si>
  <si>
    <t>Constitution of actuarial liabilities</t>
  </si>
  <si>
    <t>Deferred taxes on actuarial liabilities</t>
  </si>
  <si>
    <t>On March 31, 2021</t>
  </si>
  <si>
    <t>March 31, 2021</t>
  </si>
  <si>
    <t>On  March 31, 2021</t>
  </si>
  <si>
    <t>Net Debt (Cash)</t>
  </si>
  <si>
    <t>Discontinued operation net income and Minority interest</t>
  </si>
  <si>
    <t>On June 30, 2021</t>
  </si>
  <si>
    <t>June 30, 2021</t>
  </si>
  <si>
    <t>On  June 30, 2021</t>
  </si>
  <si>
    <t>1S21</t>
  </si>
  <si>
    <t>9M21</t>
  </si>
  <si>
    <t>Logistics equipment purchases</t>
  </si>
  <si>
    <t>Actuarial Liability</t>
  </si>
  <si>
    <t xml:space="preserve">GDL Gestão de Desenvolvimento em Logística Participações S.A. </t>
  </si>
  <si>
    <t>(a) Operating income</t>
  </si>
  <si>
    <t>Adjusted EBITDA ex-IFRS 16 (a-b-c)</t>
  </si>
  <si>
    <t>Adjusted EBITDA (a-b)</t>
  </si>
  <si>
    <t>Cost of services (wo depre and amortiz; adj by non recurr events)</t>
  </si>
  <si>
    <t>Net revenue (adj by non recurr events)</t>
  </si>
  <si>
    <t>% Gross revenue (adj by non recurr events)</t>
  </si>
  <si>
    <t>Gross revenue deductions (adj by non recurr events)</t>
  </si>
  <si>
    <t>% Net revenue (wo depre and amortiz; adj by non recurr events)</t>
  </si>
  <si>
    <t>Gross profit (wo depre and amortiz; adj by non recurr events)</t>
  </si>
  <si>
    <t>Gross Margin (wo depre and amortiz; adj by non recurr events)</t>
  </si>
  <si>
    <t>Fixed costs (wo depre and amortiz; adj by non recurr events)</t>
  </si>
  <si>
    <t>2023 net revenue</t>
  </si>
  <si>
    <t xml:space="preserve">2023 EBITDA </t>
  </si>
  <si>
    <t>2023 net income</t>
  </si>
  <si>
    <t>On September 30, 2021</t>
  </si>
  <si>
    <t>September 30, 2021</t>
  </si>
  <si>
    <t>On  September 30, 2021</t>
  </si>
  <si>
    <t>Pagamento de debêntures</t>
  </si>
  <si>
    <t>Tender offer expenses</t>
  </si>
  <si>
    <t>Current income and social contribution taxes</t>
  </si>
  <si>
    <t>Overpaid current IRPJ/CSLL payments</t>
  </si>
  <si>
    <t>Target price YE22</t>
  </si>
  <si>
    <t>On December 31, 2021</t>
  </si>
  <si>
    <t>Investimento</t>
  </si>
  <si>
    <t>Ágio líquido</t>
  </si>
  <si>
    <t>December 31, 2021</t>
  </si>
  <si>
    <t>9/30/21</t>
  </si>
  <si>
    <t>On  December 31, 2021</t>
  </si>
  <si>
    <t>2021</t>
  </si>
  <si>
    <t>Gain on sale of equity investments</t>
  </si>
  <si>
    <t>1Q22</t>
  </si>
  <si>
    <t>1T22</t>
  </si>
  <si>
    <t>Gains on sale of investiment</t>
  </si>
  <si>
    <t>Disposal of investments</t>
  </si>
  <si>
    <t>Gain on disposal of investiment</t>
  </si>
  <si>
    <t>INSS FAP monetary restatement</t>
  </si>
  <si>
    <t>Payment of additional dividends</t>
  </si>
  <si>
    <t>2T22</t>
  </si>
  <si>
    <t>2Q22</t>
  </si>
  <si>
    <t>3T22</t>
  </si>
  <si>
    <t>3Q22</t>
  </si>
  <si>
    <t>4T22</t>
  </si>
  <si>
    <t>4Q22</t>
  </si>
  <si>
    <t xml:space="preserve"> Business combination proposal expenses</t>
  </si>
  <si>
    <t>9M22</t>
  </si>
  <si>
    <t>EV/EBITDA 23</t>
  </si>
  <si>
    <t>Price/Earnings 23</t>
  </si>
  <si>
    <t>On March 31, 2022</t>
  </si>
  <si>
    <t>March 31, 2022</t>
  </si>
  <si>
    <t>On  March 31, 2022</t>
  </si>
  <si>
    <t>Ex subsidiary Direct Express' civil contingency</t>
  </si>
  <si>
    <t>GDL Logística Integrada S.A.</t>
  </si>
  <si>
    <t>Adjusted EBITDA ex-IFRS 16</t>
  </si>
  <si>
    <t>1S22</t>
  </si>
  <si>
    <t>On June 30, 2022</t>
  </si>
  <si>
    <t>June 30, 2022</t>
  </si>
  <si>
    <t>Variable costs¹</t>
  </si>
  <si>
    <t>¹ Cost with freight, fuel, vehicles handling, PIS/COFINS tax credit</t>
  </si>
  <si>
    <t>1s20</t>
  </si>
  <si>
    <t>1s22</t>
  </si>
  <si>
    <t>Target price YE23</t>
  </si>
  <si>
    <t>Lucro Líquido</t>
  </si>
  <si>
    <t>Mês</t>
  </si>
  <si>
    <t>Ano</t>
  </si>
  <si>
    <t>2024 net revenue</t>
  </si>
  <si>
    <t xml:space="preserve">2024 EBITDA </t>
  </si>
  <si>
    <t>2024 net income</t>
  </si>
  <si>
    <t>ELEVEN RESEACH</t>
  </si>
  <si>
    <t>On September 30, 2022</t>
  </si>
  <si>
    <t>September 30, 2022</t>
  </si>
  <si>
    <t>Provisions for freight payable</t>
  </si>
  <si>
    <t>% Overdue &gt;180 days / Total</t>
  </si>
  <si>
    <t>Cash &amp; cash equivalents - Catlog Logística</t>
  </si>
  <si>
    <t>Acquisition of equity interest</t>
  </si>
  <si>
    <t>* Do not consider Depreciation &amp; Amortization</t>
  </si>
  <si>
    <t>(-) Equity pickup</t>
  </si>
  <si>
    <t>2022</t>
  </si>
  <si>
    <t>On December 31, 2022</t>
  </si>
  <si>
    <t>Catlog's tax credit</t>
  </si>
  <si>
    <t>December 31, 2022</t>
  </si>
  <si>
    <t>Expenses and non operational (w/o depre and amortiz; adj by non recurr events)</t>
  </si>
  <si>
    <t>1Q23</t>
  </si>
  <si>
    <t>Fastline Logística Automotiva Ltda.</t>
  </si>
  <si>
    <t xml:space="preserve">GDL Logística Integrada S.A. </t>
  </si>
  <si>
    <t>Economic Value Added (EVA)</t>
  </si>
  <si>
    <t>NOPAT (LTM)</t>
  </si>
  <si>
    <t>(-) Non-recurring events</t>
  </si>
  <si>
    <t>(=) Adjusted NOPAT (LTM) (A)</t>
  </si>
  <si>
    <t>EVA (WACC= 17%)</t>
  </si>
  <si>
    <t>EVA (WACC=12%)</t>
  </si>
  <si>
    <t>Note: Considers the WACC range used by sell-side analysts in their projections</t>
  </si>
  <si>
    <t>(=) Capital employed (last 4 qtrs) (B)</t>
  </si>
  <si>
    <t>1T23</t>
  </si>
  <si>
    <t>2T23</t>
  </si>
  <si>
    <t>2Q23</t>
  </si>
  <si>
    <t>3T23</t>
  </si>
  <si>
    <t>3Q23</t>
  </si>
  <si>
    <t>4T23</t>
  </si>
  <si>
    <t>4Q23</t>
  </si>
  <si>
    <t>Spontaneus Denouncement</t>
  </si>
  <si>
    <t>On March 31, 2023</t>
  </si>
  <si>
    <t>March 31, 2023</t>
  </si>
  <si>
    <t>EV/EBITDA 24</t>
  </si>
  <si>
    <t>Price/Earnings 24</t>
  </si>
  <si>
    <t>Grupo Itavema</t>
  </si>
  <si>
    <t>Fastcar Transporte de Veículos e cargas Ltda.</t>
  </si>
  <si>
    <t>Tegma Cargas Especiais Ltda</t>
  </si>
  <si>
    <t>Tegmax Comércio e serviço automotivos Ltda</t>
  </si>
  <si>
    <t>GDL Logística Integrada S/A</t>
  </si>
  <si>
    <t xml:space="preserve">Sinimbu Participações Societarias e Empreendimentos S.A. </t>
  </si>
  <si>
    <t>Fundação Otacilio Coser (vii)</t>
  </si>
  <si>
    <t>Oddone Consultoria Financeira</t>
  </si>
  <si>
    <t>Total Vehicles (a)</t>
  </si>
  <si>
    <t>Exports Vehicles</t>
  </si>
  <si>
    <t>Total Km (b)</t>
  </si>
  <si>
    <t>Domestic Km</t>
  </si>
  <si>
    <t>Exports Km</t>
  </si>
  <si>
    <t>Domestic Avg Km</t>
  </si>
  <si>
    <t>Exports Avg Km</t>
  </si>
  <si>
    <t>Tegma's Mkt Share</t>
  </si>
  <si>
    <t>1S23</t>
  </si>
  <si>
    <t>9M23</t>
  </si>
  <si>
    <t>On June 30, 2023</t>
  </si>
  <si>
    <t>June 30, 2023</t>
  </si>
  <si>
    <t>1s23</t>
  </si>
  <si>
    <t>------------------</t>
  </si>
  <si>
    <t>Exports  (ANFAVEA)</t>
  </si>
  <si>
    <t>Domestic Sales (ANFAVEA)</t>
  </si>
  <si>
    <t>-----------------</t>
  </si>
  <si>
    <t>Domestic Mkt share %</t>
  </si>
  <si>
    <t>Exports Mkt share  %</t>
  </si>
  <si>
    <t>Revenue per Km*</t>
  </si>
  <si>
    <t>Dividends from subsidiaries</t>
  </si>
  <si>
    <t>On September 30, 2023</t>
  </si>
  <si>
    <t>September 30, 2023</t>
  </si>
  <si>
    <t>Addicional dividends proposed</t>
  </si>
  <si>
    <t>Asset valuation adjustment</t>
  </si>
  <si>
    <t>Comprehensive income</t>
  </si>
  <si>
    <t>Leases</t>
  </si>
  <si>
    <t>From 2 to 16 years</t>
  </si>
  <si>
    <t>Total sources of capital</t>
  </si>
  <si>
    <t>Liabilities</t>
  </si>
  <si>
    <t>Transferências</t>
  </si>
  <si>
    <t>Financial investments</t>
  </si>
  <si>
    <t>Fiscal incentives</t>
  </si>
  <si>
    <t>Income tax losses</t>
  </si>
  <si>
    <t>Accounts receivable impairment</t>
  </si>
  <si>
    <t>Other financial revenues</t>
  </si>
  <si>
    <t>$11</t>
  </si>
  <si>
    <t>$12</t>
  </si>
  <si>
    <t>$13</t>
  </si>
  <si>
    <t>$14</t>
  </si>
  <si>
    <t>$15</t>
  </si>
  <si>
    <t>Div yield LTM</t>
  </si>
  <si>
    <t>Target price YE24</t>
  </si>
  <si>
    <t>1Q24</t>
  </si>
  <si>
    <t>1T24</t>
  </si>
  <si>
    <t>$16</t>
  </si>
  <si>
    <t>On December 31, 2023</t>
  </si>
  <si>
    <t>December 31, 2023</t>
  </si>
  <si>
    <t>2023</t>
  </si>
  <si>
    <t>Dividends Payed</t>
  </si>
  <si>
    <t>2T24</t>
  </si>
  <si>
    <t>3T24</t>
  </si>
  <si>
    <t>4T24</t>
  </si>
  <si>
    <t>2Q24</t>
  </si>
  <si>
    <t>3Q24</t>
  </si>
  <si>
    <t>4Q24</t>
  </si>
  <si>
    <t>P&amp;L</t>
  </si>
  <si>
    <t>Other Revenues &amp; Expenses</t>
  </si>
  <si>
    <t>Financial Results</t>
  </si>
  <si>
    <t>S&amp;A</t>
  </si>
  <si>
    <t>Equity Investments</t>
  </si>
  <si>
    <t>Right of use</t>
  </si>
  <si>
    <t>Rabbot</t>
  </si>
  <si>
    <t>1t23</t>
  </si>
  <si>
    <t>1S24</t>
  </si>
  <si>
    <t>9M24</t>
  </si>
  <si>
    <t>March 31, 2024</t>
  </si>
  <si>
    <t>On March 31, 2024</t>
  </si>
  <si>
    <t>1s24</t>
  </si>
  <si>
    <t>Intangible in process</t>
  </si>
  <si>
    <t>Paying in of capital</t>
  </si>
  <si>
    <t>BYD</t>
  </si>
  <si>
    <t>Quantity</t>
  </si>
  <si>
    <t>Final consumer</t>
  </si>
  <si>
    <t>Prodution</t>
  </si>
  <si>
    <t>Imported</t>
  </si>
  <si>
    <t>OTHER</t>
  </si>
  <si>
    <t>On June 30, 2024</t>
  </si>
  <si>
    <t>June 30, 2024</t>
  </si>
  <si>
    <t>2033-40</t>
  </si>
  <si>
    <t>Fastline Logística Automotiva Ltda. (FLL)</t>
  </si>
  <si>
    <t>Change in Equity</t>
  </si>
  <si>
    <t>----------------</t>
  </si>
  <si>
    <t>Ecommerce</t>
  </si>
  <si>
    <t>Accounting Value</t>
  </si>
  <si>
    <t>Financial Flow</t>
  </si>
  <si>
    <t>**</t>
  </si>
  <si>
    <t xml:space="preserve">** Consultar DFP e ITR / </t>
  </si>
  <si>
    <t>Outros/Others</t>
  </si>
  <si>
    <t>Other¹</t>
  </si>
  <si>
    <t>¹ Subsidiaries: Fastline Logística Automotiva Ltda, Tech Cargo Plataforma de Transportes Ltda e Tegmax Comércio e Serviços Automotivos Ltda</t>
  </si>
  <si>
    <t>Intangible (Software)</t>
  </si>
  <si>
    <t>Goodwill paid on investment acquisition - Nortev</t>
  </si>
  <si>
    <t>Goodwill paid on investment acquisition - Boni Amazon</t>
  </si>
  <si>
    <t>On September 30, 2024</t>
  </si>
  <si>
    <t>September 30, 2024</t>
  </si>
  <si>
    <t>31/06/2024</t>
  </si>
  <si>
    <t>On September30, 2024</t>
  </si>
  <si>
    <t>Shareholding acquisition</t>
  </si>
  <si>
    <t>Investments in subsidiaries</t>
  </si>
  <si>
    <t>2025 net revenue</t>
  </si>
  <si>
    <t xml:space="preserve">2025 EBITDA </t>
  </si>
  <si>
    <t>2025 net income</t>
  </si>
  <si>
    <t>Target price YE25</t>
  </si>
  <si>
    <t>2026 net revenue</t>
  </si>
  <si>
    <t xml:space="preserve">2026 EBITDA </t>
  </si>
  <si>
    <t>2026 net income</t>
  </si>
  <si>
    <t>On December 31, 2024</t>
  </si>
  <si>
    <t>EV/EBITDA 25</t>
  </si>
  <si>
    <t>Price/Earnings 25</t>
  </si>
  <si>
    <t>On December 30, 2024</t>
  </si>
  <si>
    <t>December 31, 2024</t>
  </si>
  <si>
    <t>2024</t>
  </si>
  <si>
    <t>1T25</t>
  </si>
  <si>
    <t>1Q25</t>
  </si>
  <si>
    <t>2T25</t>
  </si>
  <si>
    <t>2Q25</t>
  </si>
  <si>
    <t>3T25</t>
  </si>
  <si>
    <t>3Q25</t>
  </si>
  <si>
    <t>4T25</t>
  </si>
  <si>
    <t>4Q25</t>
  </si>
  <si>
    <t>Capital Transaction</t>
  </si>
  <si>
    <t>Foreign clients</t>
  </si>
  <si>
    <t>Transfers</t>
  </si>
  <si>
    <t>Activation</t>
  </si>
  <si>
    <t>Whiteoff</t>
  </si>
  <si>
    <t>#'BalSheet'!B5</t>
  </si>
  <si>
    <t>#'IncS'!B5</t>
  </si>
  <si>
    <t>#'IncSAuto'!B5</t>
  </si>
  <si>
    <t>#'IncSIntLog'!B5</t>
  </si>
  <si>
    <t>#'IncSCons'!B5</t>
  </si>
  <si>
    <t>#'Cash Flow Stat'!B5</t>
  </si>
  <si>
    <t>#'Value Added Stat'!B5</t>
  </si>
  <si>
    <t>#'Qtrl Fig'!B5</t>
  </si>
  <si>
    <t>#'Estimatives'!B5</t>
  </si>
  <si>
    <t>#'Dividends'!B5</t>
  </si>
  <si>
    <t>#'MktData'!B5</t>
  </si>
  <si>
    <t>#'Attachments'!B5</t>
  </si>
  <si>
    <t>#'Liquidity Risk'!B5</t>
  </si>
  <si>
    <t>#'Sensitivity Analysis 1'!B5</t>
  </si>
  <si>
    <t>#'Capital management'!B5</t>
  </si>
  <si>
    <t>#'Cash and Cash Equivalents'!B5</t>
  </si>
  <si>
    <t>#'Account Receivable'!B5</t>
  </si>
  <si>
    <t>#'Accounts Receivable Aging'!B5</t>
  </si>
  <si>
    <t>#'Accounts Receivable - ADA'!B5</t>
  </si>
  <si>
    <t>#'Other accounts receivable'!B5</t>
  </si>
  <si>
    <t>#'Taxes Recoverable'!B5</t>
  </si>
  <si>
    <t>#'Investments A'!B5</t>
  </si>
  <si>
    <t>#'Investments C'!B5</t>
  </si>
  <si>
    <t>#'Investments E'!B5</t>
  </si>
  <si>
    <t>#'Investments F'!B5</t>
  </si>
  <si>
    <t>#'Property and Equipment'!B5</t>
  </si>
  <si>
    <t>#'Intangible Assets'!B5</t>
  </si>
  <si>
    <t>#'Loans and Financing'!B5</t>
  </si>
  <si>
    <t>#'Salaries and Related Charges'!B5</t>
  </si>
  <si>
    <t>#'Legal risks'!B5</t>
  </si>
  <si>
    <t>#'Income and SCT'!B5</t>
  </si>
  <si>
    <t>#'Deferred income and taxes'!B5</t>
  </si>
  <si>
    <t>#'Other Accounts Payable'!B5</t>
  </si>
  <si>
    <t>#'Other Revenues (Expenses)'!B5</t>
  </si>
  <si>
    <t>#'Net Revenue'!B5</t>
  </si>
  <si>
    <t>#'Expenses by nature1'!B5</t>
  </si>
  <si>
    <t>#'Expenses by nature'!B5</t>
  </si>
  <si>
    <t>#'Financial result'!B5</t>
  </si>
  <si>
    <t>#'Management Compensation'!B5</t>
  </si>
  <si>
    <t>#'Operating Lease Commitments'!B5</t>
  </si>
  <si>
    <t>#'Related Parties'!B5</t>
  </si>
  <si>
    <t>#'Discontinued Operations'!B5</t>
  </si>
  <si>
    <t>#'Statments of changes in Equity'!B5</t>
  </si>
  <si>
    <t>Direct Express Acquisition ==&gt;</t>
  </si>
  <si>
    <t>&lt;== with Catlog and Tegma Venezuela</t>
  </si>
  <si>
    <t>Catlog e Tegma Venezuela in invest. ==&gt;</t>
  </si>
  <si>
    <t>&lt;== with Direct Express</t>
  </si>
  <si>
    <t>without Direct ==&gt;</t>
  </si>
  <si>
    <t>2014</t>
  </si>
  <si>
    <t>Profit Reserve</t>
  </si>
  <si>
    <t>without Direct Express ==&gt;</t>
  </si>
  <si>
    <t>Dec-16</t>
  </si>
  <si>
    <t>Feb-17</t>
  </si>
  <si>
    <t>Dec-17</t>
  </si>
  <si>
    <t>Feb-18</t>
  </si>
  <si>
    <t>Dec-18</t>
  </si>
  <si>
    <t>Feb-19</t>
  </si>
  <si>
    <t>Jun-19</t>
  </si>
  <si>
    <t>Dec-19</t>
  </si>
  <si>
    <t>Jun-20</t>
  </si>
  <si>
    <t>Jul-20</t>
  </si>
  <si>
    <t>Aug-20</t>
  </si>
  <si>
    <t>Jul-21</t>
  </si>
  <si>
    <t>Apr-21</t>
  </si>
  <si>
    <t>Mar-22</t>
  </si>
  <si>
    <t>Apr-22</t>
  </si>
  <si>
    <t>Jul-23</t>
  </si>
  <si>
    <t>Aug-23</t>
  </si>
  <si>
    <t>Apr-24</t>
  </si>
  <si>
    <t>Jan-25</t>
  </si>
  <si>
    <t>Jan-26</t>
  </si>
  <si>
    <t>Jan-27</t>
  </si>
  <si>
    <t>Jan-28</t>
  </si>
  <si>
    <t>Jan-29</t>
  </si>
  <si>
    <t>Jan-30</t>
  </si>
  <si>
    <t>Jan-31</t>
  </si>
  <si>
    <t>Jan-32</t>
  </si>
  <si>
    <t>11/6/17</t>
  </si>
  <si>
    <t>8/4/17</t>
  </si>
  <si>
    <t>4/28/17</t>
  </si>
  <si>
    <t>8/31/15</t>
  </si>
  <si>
    <t>4/29/14</t>
  </si>
  <si>
    <t>11/12/13</t>
  </si>
  <si>
    <t>8/16/13</t>
  </si>
  <si>
    <t>4/30/13</t>
  </si>
  <si>
    <t>11/8/12</t>
  </si>
  <si>
    <t>8/17/12</t>
  </si>
  <si>
    <t>4/10/12</t>
  </si>
  <si>
    <t>11/8/11</t>
  </si>
  <si>
    <t>8/11/11</t>
  </si>
  <si>
    <t>4/4/11</t>
  </si>
  <si>
    <t>11/4/10</t>
  </si>
  <si>
    <t>8/4/10</t>
  </si>
  <si>
    <t>4/20/10</t>
  </si>
  <si>
    <t>10/28/09</t>
  </si>
  <si>
    <t>8/13/09</t>
  </si>
  <si>
    <t>4/30/09</t>
  </si>
  <si>
    <t>3/9/09</t>
  </si>
  <si>
    <t>10/13/08</t>
  </si>
  <si>
    <t>8/27/08</t>
  </si>
  <si>
    <t>4/23/08</t>
  </si>
  <si>
    <t>3/17/08</t>
  </si>
  <si>
    <t>11/9/07</t>
  </si>
  <si>
    <t>8/10/07</t>
  </si>
  <si>
    <t>Jun-16</t>
  </si>
  <si>
    <t>Jul-16</t>
  </si>
  <si>
    <t>Aug-16</t>
  </si>
  <si>
    <t>Sep-16</t>
  </si>
  <si>
    <t>Oct-16</t>
  </si>
  <si>
    <t>Nov-16</t>
  </si>
  <si>
    <t>Jan-17</t>
  </si>
  <si>
    <t>Mar-17</t>
  </si>
  <si>
    <t>Apr-17</t>
  </si>
  <si>
    <t>May-17</t>
  </si>
  <si>
    <t>Jun-17</t>
  </si>
  <si>
    <t>Jul-17</t>
  </si>
  <si>
    <t>Aug-17</t>
  </si>
  <si>
    <t>Sep-17</t>
  </si>
  <si>
    <t>Oct-17</t>
  </si>
  <si>
    <t>Nov-17</t>
  </si>
  <si>
    <t>Jan-18</t>
  </si>
  <si>
    <t>Mar-18</t>
  </si>
  <si>
    <t>Apr-18</t>
  </si>
  <si>
    <t>May-18</t>
  </si>
  <si>
    <t>Jun-18</t>
  </si>
  <si>
    <t>Jul-18</t>
  </si>
  <si>
    <t>Aug-18</t>
  </si>
  <si>
    <t>Sep-18</t>
  </si>
  <si>
    <t>Oct-18</t>
  </si>
  <si>
    <t>Nov-18</t>
  </si>
  <si>
    <t>Jan-19</t>
  </si>
  <si>
    <t>Mar-19</t>
  </si>
  <si>
    <t>Apr-19</t>
  </si>
  <si>
    <t>May-19</t>
  </si>
  <si>
    <t>Jul-19</t>
  </si>
  <si>
    <t>Aug-19</t>
  </si>
  <si>
    <t>Sep-19</t>
  </si>
  <si>
    <t>Oct-19</t>
  </si>
  <si>
    <t>Nov-19</t>
  </si>
  <si>
    <t>Jan-20</t>
  </si>
  <si>
    <t>Feb-20</t>
  </si>
  <si>
    <t>Mar-20</t>
  </si>
  <si>
    <t>Apr-20</t>
  </si>
  <si>
    <t>May-20</t>
  </si>
  <si>
    <t>Sep-20</t>
  </si>
  <si>
    <t>Oct-20</t>
  </si>
  <si>
    <t>Nov-20</t>
  </si>
  <si>
    <t>Dec-20</t>
  </si>
  <si>
    <t>Jan-21</t>
  </si>
  <si>
    <t>Feb-21</t>
  </si>
  <si>
    <t>Mar-21</t>
  </si>
  <si>
    <t>May-21</t>
  </si>
  <si>
    <t>Jun-21</t>
  </si>
  <si>
    <t>Aug-21</t>
  </si>
  <si>
    <t>Sep-21</t>
  </si>
  <si>
    <t>Oct-21</t>
  </si>
  <si>
    <t>Nov-21</t>
  </si>
  <si>
    <t>Dec-21</t>
  </si>
  <si>
    <t>Jan-22</t>
  </si>
  <si>
    <t>Feb-22</t>
  </si>
  <si>
    <t>May-22</t>
  </si>
  <si>
    <t>Jun-22</t>
  </si>
  <si>
    <t>Jul-22</t>
  </si>
  <si>
    <t>Aug-22</t>
  </si>
  <si>
    <t>Sep-22</t>
  </si>
  <si>
    <t>Oct-22</t>
  </si>
  <si>
    <t>Nov-22</t>
  </si>
  <si>
    <t>Dec-22</t>
  </si>
  <si>
    <t>Jan-23</t>
  </si>
  <si>
    <t>Net goodwill</t>
  </si>
  <si>
    <t>Accumulated net revenue</t>
  </si>
  <si>
    <t>Gross income</t>
  </si>
  <si>
    <t>Operating income (loss)</t>
  </si>
  <si>
    <t>Net income (loss)</t>
  </si>
  <si>
    <t>Mar-13</t>
  </si>
  <si>
    <t>Jun-13</t>
  </si>
  <si>
    <t>Sep-13</t>
  </si>
  <si>
    <t>Dec-13</t>
  </si>
  <si>
    <t>Mar-14</t>
  </si>
  <si>
    <t>Jun-14</t>
  </si>
  <si>
    <t>Sep-14</t>
  </si>
  <si>
    <t>Dec-14</t>
  </si>
  <si>
    <t>Mar-15</t>
  </si>
  <si>
    <t>Jun-15</t>
  </si>
  <si>
    <t>Sep-15</t>
  </si>
  <si>
    <t>Dec-15</t>
  </si>
  <si>
    <t>Mar-16</t>
  </si>
  <si>
    <t>Mar-23</t>
  </si>
  <si>
    <t>Jun-23</t>
  </si>
  <si>
    <t>Sep-23</t>
  </si>
  <si>
    <t>Dec-23</t>
  </si>
  <si>
    <t>Mar-24</t>
  </si>
  <si>
    <t>Jun-24</t>
  </si>
  <si>
    <t>Sep-24</t>
  </si>
  <si>
    <t>3/31/14</t>
  </si>
  <si>
    <t>6/30/14</t>
  </si>
  <si>
    <t>9/30/14</t>
  </si>
  <si>
    <t>12/31/14</t>
  </si>
  <si>
    <t>3/31/15</t>
  </si>
  <si>
    <t>6/30/15</t>
  </si>
  <si>
    <t>9/30/15</t>
  </si>
  <si>
    <t>12/30/15</t>
  </si>
  <si>
    <t>3/31/16</t>
  </si>
  <si>
    <t>6/30/16</t>
  </si>
  <si>
    <t>9/30/16</t>
  </si>
  <si>
    <t>12/31/16</t>
  </si>
  <si>
    <t>3/31/17</t>
  </si>
  <si>
    <t>6/30/17</t>
  </si>
  <si>
    <t>9/30/17</t>
  </si>
  <si>
    <t>12/31/17</t>
  </si>
  <si>
    <t>3/30/18</t>
  </si>
  <si>
    <t>6/30/18</t>
  </si>
  <si>
    <t>9/30/18</t>
  </si>
  <si>
    <t>12/30/18</t>
  </si>
  <si>
    <t>6/30/19</t>
  </si>
  <si>
    <t>9/30/19</t>
  </si>
  <si>
    <t>12/30/19</t>
  </si>
  <si>
    <t>3/31/20</t>
  </si>
  <si>
    <t>12/30/20</t>
  </si>
  <si>
    <t>3/31/21</t>
  </si>
  <si>
    <t>6/30/21</t>
  </si>
  <si>
    <t>12/31/21</t>
  </si>
  <si>
    <t>3/31/22</t>
  </si>
  <si>
    <t>6/30/22</t>
  </si>
  <si>
    <t>9/30/22</t>
  </si>
  <si>
    <t>12/31/22</t>
  </si>
  <si>
    <t>3/31/23</t>
  </si>
  <si>
    <t>6/30/23</t>
  </si>
  <si>
    <t>9/30/23</t>
  </si>
  <si>
    <t>12/31/23</t>
  </si>
  <si>
    <t>3/31/24</t>
  </si>
  <si>
    <t>9/30/24</t>
  </si>
  <si>
    <t>12/31/24</t>
  </si>
  <si>
    <t>12/31/15</t>
  </si>
  <si>
    <t>12/30/17</t>
  </si>
  <si>
    <t>3/31/19</t>
  </si>
  <si>
    <t>3/30/21</t>
  </si>
  <si>
    <t>6/30/24</t>
  </si>
  <si>
    <t>8/31/14</t>
  </si>
  <si>
    <t>Sales (Domestic &amp; Exports)</t>
  </si>
  <si>
    <t>Inventory</t>
  </si>
  <si>
    <t>Production and sales of imported vehicles</t>
  </si>
  <si>
    <t>Sales category</t>
  </si>
  <si>
    <t>Used cars sales</t>
  </si>
  <si>
    <t>Market Sales per brand</t>
  </si>
  <si>
    <t>Market share Car assemblers</t>
  </si>
  <si>
    <t>Sales by region</t>
  </si>
  <si>
    <t>Mkt share by region</t>
  </si>
  <si>
    <t>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</si>
</sst>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4" formatCode="_-* #,##0_-;\-* #,##0_-;_-* &quot;-&quot;??_-;_-@_-"/>
    <numFmt numFmtId="175" formatCode="#,##0_ ;\-#,##0\ "/>
    <numFmt numFmtId="176" formatCode="[$-416]mmm\-yy;@"/>
    <numFmt numFmtId="177" formatCode="@&quot;¹&quot;"/>
    <numFmt numFmtId="178" formatCode="#,##0;\(#,##0\);"/>
    <numFmt numFmtId="179" formatCode="dd/mm/yy;@"/>
    <numFmt numFmtId="180" formatCode="#,##0.000"/>
    <numFmt numFmtId="181" formatCode="0.0"/>
    <numFmt numFmtId="182" formatCode="#,##0.0"/>
    <numFmt numFmtId="183" formatCode="d/m/yy;@"/>
    <numFmt numFmtId="184" formatCode="0.000%"/>
    <numFmt numFmtId="185" formatCode="#,##0.00;\(#,##0.00\);\-"/>
    <numFmt numFmtId="186" formatCode="_([$€]* #,##0.0000000000_);_([$€]* \(#,##0.0000000000\);_([$€]* &quot;-&quot;??_);_(@_)"/>
    <numFmt numFmtId="187" formatCode="[$-416]d\-mmm\-yy;@"/>
    <numFmt numFmtId="188" formatCode="_([$€]* #,##0.000_);_([$€]* \(#,##0.000\);_([$€]* &quot;-&quot;??_);_(@_)"/>
    <numFmt numFmtId="189" formatCode="[$-416]yyyy;@"/>
    <numFmt numFmtId="190" formatCode="_([$€]* #,##0_);_([$€]* \(#,##0\);_([$€]* &quot;-&quot;??_);_(@_)"/>
  </numFmts>
  <fonts count="18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i/>
      <sz val="8"/>
      <color theme="1"/>
      <name val="Times New Roman"/>
      <family val="1"/>
    </font>
    <font>
      <sz val="9"/>
      <color theme="1"/>
      <name val="Times New Roman"/>
      <family val="1"/>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theme="0"/>
      </left>
      <right style="thin">
        <color theme="0"/>
      </right>
      <top/>
      <bottom style="thin">
        <color indexed="64"/>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70">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7"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5" fontId="59" fillId="35" borderId="0" xfId="0" applyFont="1" applyFill="1" applyAlignment="1">
      <alignment horizontal="left" vertical="center"/>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8"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4"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9"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80"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6" fontId="29" fillId="34" borderId="0" xfId="0" applyNumberFormat="1" applyFont="1" applyFill="1" applyAlignment="1">
      <alignment horizontal="center" vertical="center"/>
    </xf>
    <xf numFmtId="181"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6"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1"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1"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2" fontId="31" fillId="35" borderId="0" xfId="4" applyNumberFormat="1" applyFont="1" applyFill="1" applyBorder="1" applyAlignment="1">
      <alignment horizontal="center" vertical="center" wrapText="1"/>
    </xf>
    <xf numFmtId="182"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3" fontId="113" fillId="37" borderId="43" xfId="0" applyNumberFormat="1" applyFont="1" applyFill="1" applyBorder="1" applyAlignment="1">
      <alignment horizontal="center" wrapText="1"/>
    </xf>
    <xf numFmtId="183"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6" fontId="61" fillId="34" borderId="0" xfId="0" applyNumberFormat="1" applyFont="1" applyFill="1" applyAlignment="1">
      <alignment horizontal="center" vertical="center"/>
    </xf>
    <xf numFmtId="181" fontId="33" fillId="35" borderId="0" xfId="0" applyNumberFormat="1" applyFont="1" applyFill="1" applyAlignment="1">
      <alignment horizontal="center" vertical="center"/>
    </xf>
    <xf numFmtId="181"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1"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6" fontId="33" fillId="0" borderId="0" xfId="467" applyNumberFormat="1" applyFont="1" applyAlignment="1">
      <alignment horizontal="center" wrapText="1"/>
    </xf>
    <xf numFmtId="0" fontId="33" fillId="0" borderId="0" xfId="467" applyFont="1" applyAlignment="1">
      <alignment horizontal="center" vertical="center" wrapText="1"/>
    </xf>
    <xf numFmtId="176"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6"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2"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2"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2"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2"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2"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2"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6"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6"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5" fontId="33" fillId="42" borderId="0" xfId="469" applyNumberFormat="1" applyFont="1" applyFill="1" applyBorder="1" applyAlignment="1">
      <alignment horizontal="center"/>
    </xf>
    <xf numFmtId="175" fontId="33" fillId="42" borderId="63" xfId="469" applyNumberFormat="1" applyFont="1" applyFill="1" applyBorder="1" applyAlignment="1">
      <alignment horizontal="center"/>
    </xf>
    <xf numFmtId="175" fontId="33" fillId="42" borderId="64" xfId="469" applyNumberFormat="1" applyFont="1" applyFill="1" applyBorder="1" applyAlignment="1">
      <alignment horizontal="center"/>
    </xf>
    <xf numFmtId="176"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6" fontId="29" fillId="34" borderId="30" xfId="0" applyNumberFormat="1" applyFont="1" applyFill="1" applyBorder="1" applyAlignment="1">
      <alignment horizontal="center" vertical="center"/>
    </xf>
    <xf numFmtId="176"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6"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4" fontId="0" fillId="0" borderId="0" xfId="0" applyNumberFormat="1" applyProtection="1">
      <protection locked="0"/>
    </xf>
    <xf numFmtId="0" fontId="30" fillId="2" borderId="0" xfId="3" applyFont="1" applyFill="1" applyProtection="1">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7"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5" fontId="59" fillId="35" borderId="0" xfId="0" applyFont="1" applyFill="1" applyAlignment="1" applyProtection="1">
      <alignment horizontal="left" vertical="center"/>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0" fontId="98" fillId="0" borderId="0" xfId="3" applyFont="1" applyProtection="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29" fillId="0" borderId="0" xfId="3" applyFont="1" applyProtection="1">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3"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2"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5" fontId="33" fillId="42" borderId="63" xfId="469" applyNumberFormat="1" applyFont="1" applyFill="1" applyBorder="1" applyAlignment="1" applyProtection="1">
      <alignment horizontal="center"/>
    </xf>
    <xf numFmtId="175" fontId="33" fillId="42" borderId="0" xfId="469" applyNumberFormat="1" applyFont="1" applyFill="1" applyBorder="1" applyAlignment="1" applyProtection="1">
      <alignment horizontal="center"/>
    </xf>
    <xf numFmtId="175" fontId="33" fillId="42" borderId="64" xfId="469" applyNumberFormat="1" applyFont="1" applyFill="1" applyBorder="1" applyAlignment="1" applyProtection="1">
      <alignment horizontal="center"/>
    </xf>
    <xf numFmtId="182"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165" fontId="97" fillId="35" borderId="0" xfId="83" applyNumberFormat="1" applyFont="1" applyFill="1" applyBorder="1" applyAlignment="1" applyProtection="1">
      <alignment horizontal="left" vertical="center"/>
      <protection locked="0"/>
    </xf>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49" fontId="29" fillId="34" borderId="66" xfId="0" applyNumberFormat="1" applyFont="1" applyFill="1" applyBorder="1" applyAlignment="1">
      <alignment horizontal="center" vertical="center"/>
    </xf>
    <xf numFmtId="166" fontId="29" fillId="36" borderId="66" xfId="4" applyNumberFormat="1" applyFont="1" applyFill="1" applyBorder="1" applyAlignment="1">
      <alignment horizontal="center" vertical="center" wrapText="1"/>
    </xf>
    <xf numFmtId="166" fontId="29" fillId="35" borderId="66" xfId="4" applyNumberFormat="1" applyFont="1" applyFill="1" applyBorder="1" applyAlignment="1">
      <alignment horizontal="center" vertical="center" wrapText="1"/>
    </xf>
    <xf numFmtId="166" fontId="30" fillId="35" borderId="66" xfId="4" applyNumberFormat="1" applyFont="1" applyFill="1" applyBorder="1" applyAlignment="1">
      <alignment horizontal="center" vertical="center" wrapText="1"/>
    </xf>
    <xf numFmtId="167" fontId="31" fillId="2" borderId="66" xfId="1" applyNumberFormat="1" applyFont="1" applyFill="1" applyBorder="1" applyAlignment="1">
      <alignment horizontal="center" vertical="center" wrapText="1"/>
    </xf>
    <xf numFmtId="166" fontId="29" fillId="36" borderId="65" xfId="4" applyNumberFormat="1" applyFont="1" applyFill="1" applyBorder="1" applyAlignment="1">
      <alignment horizontal="center" vertic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5" fontId="147" fillId="2" borderId="0" xfId="0" applyNumberFormat="1" applyFont="1" applyFill="1"/>
    <xf numFmtId="4" fontId="96" fillId="2" borderId="0" xfId="0" applyNumberFormat="1" applyFont="1" applyFill="1" applyAlignment="1">
      <alignment horizontal="right"/>
    </xf>
    <xf numFmtId="0" fontId="29" fillId="34" borderId="0" xfId="87" applyFont="1" applyFill="1" applyAlignment="1">
      <alignment horizontal="left" vertical="center"/>
    </xf>
    <xf numFmtId="166" fontId="30" fillId="0" borderId="0" xfId="86" applyNumberFormat="1" applyFont="1"/>
    <xf numFmtId="4" fontId="30" fillId="0" borderId="0" xfId="86" applyNumberFormat="1" applyFont="1"/>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2" fontId="33" fillId="0" borderId="0" xfId="467" applyNumberFormat="1" applyFont="1" applyAlignment="1">
      <alignment horizontal="center"/>
    </xf>
    <xf numFmtId="182" fontId="33" fillId="0" borderId="64" xfId="467" applyNumberFormat="1" applyFont="1" applyBorder="1" applyAlignment="1">
      <alignment horizontal="center"/>
    </xf>
    <xf numFmtId="182" fontId="33" fillId="40" borderId="0" xfId="467" applyNumberFormat="1" applyFont="1" applyFill="1" applyAlignment="1">
      <alignment horizontal="center"/>
    </xf>
    <xf numFmtId="182" fontId="33" fillId="40" borderId="64" xfId="467" applyNumberFormat="1" applyFont="1" applyFill="1" applyBorder="1" applyAlignment="1">
      <alignment horizontal="center"/>
    </xf>
    <xf numFmtId="182" fontId="33" fillId="41" borderId="0" xfId="467" applyNumberFormat="1" applyFont="1" applyFill="1" applyAlignment="1">
      <alignment horizontal="center"/>
    </xf>
    <xf numFmtId="182" fontId="33" fillId="41" borderId="64" xfId="467" applyNumberFormat="1" applyFont="1" applyFill="1" applyBorder="1" applyAlignment="1">
      <alignment horizontal="center"/>
    </xf>
    <xf numFmtId="182" fontId="33" fillId="46" borderId="0" xfId="467" applyNumberFormat="1" applyFont="1" applyFill="1" applyAlignment="1">
      <alignment horizontal="center"/>
    </xf>
    <xf numFmtId="182"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5" fontId="72" fillId="2" borderId="0" xfId="0" applyNumberFormat="1" applyFont="1" applyFill="1" applyAlignment="1">
      <alignment horizontal="center"/>
    </xf>
    <xf numFmtId="183"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1" fontId="105" fillId="35" borderId="0" xfId="0" applyNumberFormat="1" applyFont="1" applyFill="1" applyAlignment="1">
      <alignment horizontal="center" vertical="center"/>
    </xf>
    <xf numFmtId="182" fontId="30" fillId="35" borderId="0" xfId="4" applyNumberFormat="1" applyFont="1" applyFill="1" applyBorder="1" applyAlignment="1">
      <alignment horizontal="center" vertical="center" wrapText="1"/>
    </xf>
    <xf numFmtId="182"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0" fontId="54" fillId="0" borderId="0" xfId="86" applyFont="1" applyAlignment="1">
      <alignment horizontal="center"/>
    </xf>
    <xf numFmtId="4" fontId="30" fillId="0" borderId="0" xfId="0" applyNumberFormat="1" applyFont="1"/>
    <xf numFmtId="3" fontId="148" fillId="35" borderId="0" xfId="0" applyNumberFormat="1" applyFont="1" applyFill="1" applyAlignment="1">
      <alignment horizontal="center" vertical="center"/>
    </xf>
    <xf numFmtId="182" fontId="148" fillId="35" borderId="0" xfId="0" applyNumberFormat="1" applyFont="1" applyFill="1" applyAlignment="1">
      <alignment horizontal="center" vertical="center"/>
    </xf>
    <xf numFmtId="182"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2" fontId="33" fillId="47" borderId="0" xfId="467" applyNumberFormat="1" applyFont="1" applyFill="1" applyAlignment="1">
      <alignment horizontal="center"/>
    </xf>
    <xf numFmtId="182"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8" fontId="30" fillId="0" borderId="0" xfId="89" applyNumberFormat="1" applyFont="1" applyBorder="1" applyProtection="1">
      <protection locked="0"/>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4" fontId="30" fillId="0" borderId="0" xfId="89" applyFont="1" applyBorder="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0" fontId="98" fillId="0" borderId="0" xfId="86" applyFont="1"/>
    <xf numFmtId="165" fontId="98" fillId="35" borderId="0" xfId="0" applyFont="1" applyFill="1" applyAlignment="1" applyProtection="1">
      <alignment horizontal="left" vertical="center" indent="1"/>
      <protection locked="0"/>
    </xf>
    <xf numFmtId="166" fontId="98" fillId="35" borderId="66" xfId="4" applyNumberFormat="1" applyFont="1" applyFill="1" applyBorder="1" applyAlignment="1">
      <alignment horizontal="center" vertical="center" wrapText="1"/>
    </xf>
    <xf numFmtId="166" fontId="100" fillId="35" borderId="66" xfId="4"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4" fontId="30" fillId="0" borderId="0" xfId="3" applyNumberFormat="1" applyFont="1" applyProtection="1">
      <protection locked="0"/>
    </xf>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0" fontId="29" fillId="34" borderId="14" xfId="0" applyNumberFormat="1" applyFont="1" applyFill="1" applyBorder="1" applyAlignment="1" applyProtection="1">
      <alignment horizontal="center" vertical="center"/>
      <protection locked="0"/>
    </xf>
    <xf numFmtId="182" fontId="148" fillId="35" borderId="0" xfId="0" applyNumberFormat="1" applyFont="1" applyFill="1" applyAlignment="1">
      <alignment horizontal="left" vertical="center"/>
    </xf>
    <xf numFmtId="49" fontId="29" fillId="34" borderId="12" xfId="0" applyNumberFormat="1" applyFont="1" applyFill="1" applyBorder="1" applyAlignment="1" applyProtection="1">
      <alignment horizontal="center" vertical="center"/>
      <protection locked="0"/>
    </xf>
    <xf numFmtId="166" fontId="29" fillId="36" borderId="12" xfId="4" applyNumberFormat="1" applyFont="1" applyFill="1" applyBorder="1" applyAlignment="1" applyProtection="1">
      <alignment horizontal="center" vertical="center" wrapText="1"/>
      <protection locked="0"/>
    </xf>
    <xf numFmtId="166" fontId="30" fillId="35" borderId="12" xfId="4" applyNumberFormat="1" applyFont="1" applyFill="1" applyBorder="1" applyAlignment="1" applyProtection="1">
      <alignment horizontal="center" vertical="center" wrapText="1"/>
      <protection locked="0"/>
    </xf>
    <xf numFmtId="166" fontId="29" fillId="35" borderId="12" xfId="4" applyNumberFormat="1" applyFont="1" applyFill="1" applyBorder="1" applyAlignment="1" applyProtection="1">
      <alignment horizontal="center" vertical="center" wrapText="1"/>
      <protection locked="0"/>
    </xf>
    <xf numFmtId="166" fontId="29" fillId="36" borderId="69" xfId="4" applyNumberFormat="1" applyFont="1" applyFill="1" applyBorder="1" applyAlignment="1" applyProtection="1">
      <alignment horizontal="center" vertical="center" wrapText="1"/>
      <protection locked="0"/>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wrapText="1"/>
    </xf>
    <xf numFmtId="184" fontId="113" fillId="37" borderId="47" xfId="0" applyNumberFormat="1" applyFont="1" applyFill="1" applyBorder="1" applyAlignment="1">
      <alignment horizontal="center" wrapText="1"/>
    </xf>
    <xf numFmtId="184" fontId="113" fillId="37" borderId="50" xfId="0" applyNumberFormat="1" applyFont="1" applyFill="1" applyBorder="1" applyAlignment="1">
      <alignment horizontal="center" wrapText="1"/>
    </xf>
    <xf numFmtId="184" fontId="113" fillId="37" borderId="54" xfId="0" applyNumberFormat="1" applyFont="1" applyFill="1" applyBorder="1" applyAlignment="1">
      <alignment horizontal="center" wrapText="1"/>
    </xf>
    <xf numFmtId="184" fontId="113" fillId="37" borderId="58" xfId="0" applyNumberFormat="1" applyFont="1" applyFill="1" applyBorder="1" applyAlignment="1">
      <alignment horizontal="center" wrapText="1"/>
    </xf>
    <xf numFmtId="184" fontId="113" fillId="37" borderId="41" xfId="0" applyNumberFormat="1" applyFont="1" applyFill="1" applyBorder="1" applyAlignment="1">
      <alignment horizontal="center" vertical="center" wrapText="1"/>
    </xf>
    <xf numFmtId="183"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1" fontId="30" fillId="35" borderId="29" xfId="0" applyNumberFormat="1" applyFont="1" applyFill="1" applyBorder="1" applyAlignment="1">
      <alignment horizontal="center" vertical="center"/>
    </xf>
    <xf numFmtId="182"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3"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6"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2" fontId="98" fillId="35" borderId="14" xfId="0" applyNumberFormat="1" applyFont="1" applyFill="1" applyBorder="1" applyAlignment="1">
      <alignment horizontal="center" vertical="center"/>
    </xf>
    <xf numFmtId="182" fontId="98" fillId="35" borderId="0" xfId="0" applyNumberFormat="1" applyFont="1" applyFill="1" applyAlignment="1">
      <alignment horizontal="center" vertical="center"/>
    </xf>
    <xf numFmtId="182" fontId="105" fillId="35" borderId="0" xfId="0" applyNumberFormat="1" applyFont="1" applyFill="1" applyAlignment="1">
      <alignment horizontal="center" vertical="center"/>
    </xf>
    <xf numFmtId="182" fontId="98" fillId="35" borderId="30" xfId="0" applyNumberFormat="1" applyFont="1" applyFill="1" applyBorder="1" applyAlignment="1">
      <alignment horizontal="center" vertical="center"/>
    </xf>
    <xf numFmtId="182" fontId="98" fillId="35" borderId="29" xfId="0" applyNumberFormat="1" applyFont="1" applyFill="1" applyBorder="1" applyAlignment="1">
      <alignment horizontal="center" vertical="center"/>
    </xf>
    <xf numFmtId="182"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1" xfId="0" applyFont="1" applyFill="1" applyBorder="1" applyAlignment="1" applyProtection="1">
      <alignment horizontal="left" vertical="center"/>
      <protection locked="0"/>
    </xf>
    <xf numFmtId="185" fontId="29" fillId="35" borderId="67" xfId="830" applyNumberFormat="1" applyFont="1" applyFill="1" applyBorder="1" applyAlignment="1">
      <alignment horizontal="center" vertical="center" wrapText="1"/>
    </xf>
    <xf numFmtId="185" fontId="29" fillId="0" borderId="67" xfId="830" applyNumberFormat="1" applyFont="1" applyFill="1" applyBorder="1" applyAlignment="1">
      <alignment horizontal="center" vertical="center" wrapText="1"/>
    </xf>
    <xf numFmtId="165" fontId="59" fillId="35" borderId="70"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7"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6" fontId="29" fillId="34" borderId="15" xfId="0" applyNumberFormat="1" applyFont="1" applyFill="1" applyBorder="1" applyAlignment="1">
      <alignment horizontal="center" vertical="center"/>
    </xf>
    <xf numFmtId="182"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2"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2"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2" fontId="33" fillId="35" borderId="0" xfId="0" applyNumberFormat="1" applyFont="1" applyFill="1" applyAlignment="1">
      <alignment horizontal="center" vertical="center"/>
    </xf>
    <xf numFmtId="182" fontId="33" fillId="35" borderId="14" xfId="0" applyNumberFormat="1" applyFont="1" applyFill="1" applyBorder="1" applyAlignment="1">
      <alignment horizontal="center" vertical="center"/>
    </xf>
    <xf numFmtId="182" fontId="29" fillId="35" borderId="0" xfId="4" applyNumberFormat="1" applyFont="1" applyFill="1" applyBorder="1" applyAlignment="1">
      <alignment horizontal="center" vertical="center" wrapText="1"/>
    </xf>
    <xf numFmtId="182"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2" fontId="33" fillId="48" borderId="0" xfId="467" applyNumberFormat="1" applyFont="1" applyFill="1" applyAlignment="1">
      <alignment horizontal="center"/>
    </xf>
    <xf numFmtId="182"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5" fontId="165" fillId="2" borderId="0" xfId="0" applyFont="1" applyFill="1" applyAlignment="1">
      <alignment horizontal="right" wrapText="1"/>
    </xf>
    <xf numFmtId="167" fontId="0" fillId="0" borderId="0" xfId="1" applyNumberFormat="1" applyFont="1"/>
    <xf numFmtId="165" fontId="166" fillId="0" borderId="0" xfId="0" applyFont="1"/>
    <xf numFmtId="165" fontId="167" fillId="0" borderId="0" xfId="0" applyFont="1"/>
    <xf numFmtId="185"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5" fontId="171" fillId="0" borderId="0" xfId="0" applyNumberFormat="1" applyFont="1"/>
    <xf numFmtId="182"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65" fontId="172" fillId="0" borderId="0" xfId="0" applyFont="1"/>
    <xf numFmtId="165" fontId="122" fillId="0" borderId="0" xfId="0" applyFont="1"/>
    <xf numFmtId="165" fontId="61" fillId="0" borderId="0" xfId="0" applyFont="1"/>
    <xf numFmtId="165" fontId="173" fillId="0" borderId="0" xfId="0" applyFont="1"/>
    <xf numFmtId="165" fontId="33" fillId="0" borderId="0" xfId="0" quotePrefix="1" applyFont="1"/>
    <xf numFmtId="188"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2" fontId="33" fillId="49" borderId="0" xfId="467" applyNumberFormat="1" applyFont="1" applyFill="1" applyAlignment="1">
      <alignment horizontal="center"/>
    </xf>
    <xf numFmtId="182"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4"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5" fillId="0" borderId="0" xfId="0" applyFont="1"/>
    <xf numFmtId="165" fontId="176" fillId="0" borderId="0" xfId="0" applyFont="1"/>
    <xf numFmtId="165" fontId="177" fillId="0" borderId="0" xfId="0" applyFont="1"/>
    <xf numFmtId="165" fontId="30" fillId="0" borderId="0" xfId="0" quotePrefix="1" applyFont="1"/>
    <xf numFmtId="175" fontId="113" fillId="37" borderId="39" xfId="0" applyNumberFormat="1" applyFont="1" applyFill="1" applyBorder="1" applyAlignment="1">
      <alignment horizontal="center" wrapText="1"/>
    </xf>
    <xf numFmtId="175" fontId="113" fillId="37" borderId="43" xfId="0" applyNumberFormat="1" applyFont="1" applyFill="1" applyBorder="1" applyAlignment="1">
      <alignment horizontal="center" wrapText="1"/>
    </xf>
    <xf numFmtId="175" fontId="112" fillId="37" borderId="39" xfId="0" applyNumberFormat="1" applyFont="1" applyFill="1" applyBorder="1" applyAlignment="1">
      <alignment horizontal="center" vertical="center" wrapText="1"/>
    </xf>
    <xf numFmtId="175" fontId="113" fillId="37" borderId="49" xfId="0" applyNumberFormat="1" applyFont="1" applyFill="1" applyBorder="1" applyAlignment="1">
      <alignment horizontal="center" wrapText="1"/>
    </xf>
    <xf numFmtId="175" fontId="113" fillId="37" borderId="52" xfId="0" applyNumberFormat="1" applyFont="1" applyFill="1" applyBorder="1" applyAlignment="1">
      <alignment horizontal="center" wrapText="1"/>
    </xf>
    <xf numFmtId="175"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8"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5"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3" fontId="29" fillId="0" borderId="39" xfId="0" applyNumberFormat="1" applyFont="1" applyBorder="1"/>
    <xf numFmtId="165" fontId="112" fillId="37" borderId="42" xfId="0" applyFont="1" applyFill="1" applyBorder="1" applyAlignment="1">
      <alignment horizontal="center" wrapText="1"/>
    </xf>
    <xf numFmtId="183"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5"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4" fontId="112" fillId="37" borderId="45" xfId="0" applyNumberFormat="1" applyFont="1" applyFill="1" applyBorder="1" applyAlignment="1">
      <alignment horizontal="center" wrapText="1"/>
    </xf>
    <xf numFmtId="183"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4"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9" fillId="0" borderId="0" xfId="0" applyFont="1" applyAlignment="1">
      <alignment horizontal="left" indent="1"/>
    </xf>
    <xf numFmtId="168" fontId="179" fillId="0" borderId="0" xfId="89" applyNumberFormat="1" applyFont="1" applyFill="1"/>
    <xf numFmtId="0" fontId="180" fillId="0" borderId="0" xfId="466" applyFont="1" applyAlignment="1">
      <alignment horizontal="center"/>
    </xf>
    <xf numFmtId="0" fontId="180" fillId="2" borderId="0" xfId="466" applyFont="1" applyFill="1" applyAlignment="1">
      <alignment horizontal="center"/>
    </xf>
    <xf numFmtId="183" fontId="141" fillId="0" borderId="0" xfId="466" applyNumberFormat="1" applyFont="1"/>
    <xf numFmtId="183" fontId="141" fillId="0" borderId="0" xfId="466" applyNumberFormat="1" applyFont="1" applyAlignment="1">
      <alignment horizontal="center"/>
    </xf>
    <xf numFmtId="183" fontId="141" fillId="2" borderId="0" xfId="466" applyNumberFormat="1" applyFont="1" applyFill="1"/>
    <xf numFmtId="183" fontId="141" fillId="2" borderId="15" xfId="466" applyNumberFormat="1" applyFont="1" applyFill="1" applyBorder="1"/>
    <xf numFmtId="0" fontId="180" fillId="0" borderId="0" xfId="466" applyFont="1"/>
    <xf numFmtId="1" fontId="180" fillId="0" borderId="0" xfId="466" applyNumberFormat="1" applyFont="1"/>
    <xf numFmtId="1" fontId="180" fillId="0" borderId="0" xfId="466" applyNumberFormat="1" applyFont="1" applyAlignment="1">
      <alignment horizontal="center"/>
    </xf>
    <xf numFmtId="3" fontId="180"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1"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3"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81" fillId="0" borderId="0" xfId="0" applyFont="1"/>
    <xf numFmtId="166" fontId="181"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5" fontId="113" fillId="0" borderId="43" xfId="0" applyNumberFormat="1" applyFont="1" applyBorder="1" applyAlignment="1">
      <alignment horizontal="center" wrapText="1"/>
    </xf>
    <xf numFmtId="49" fontId="108" fillId="0" borderId="0" xfId="466" applyNumberFormat="1" applyFont="1"/>
    <xf numFmtId="49" fontId="180"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2" xfId="0" applyNumberFormat="1" applyFont="1" applyFill="1" applyBorder="1" applyAlignment="1">
      <alignment horizontal="left" vertical="center"/>
    </xf>
    <xf numFmtId="49" fontId="29" fillId="2" borderId="73" xfId="0" applyNumberFormat="1" applyFont="1" applyFill="1" applyBorder="1" applyAlignment="1">
      <alignment horizontal="center" vertical="center"/>
    </xf>
    <xf numFmtId="165" fontId="60" fillId="35" borderId="74" xfId="0" applyFont="1" applyFill="1" applyBorder="1" applyAlignment="1" applyProtection="1">
      <alignment horizontal="left" vertical="center" indent="1"/>
      <protection locked="0"/>
    </xf>
    <xf numFmtId="165" fontId="160" fillId="35" borderId="74" xfId="0" applyFont="1" applyFill="1" applyBorder="1" applyAlignment="1" applyProtection="1">
      <alignment horizontal="left" vertical="center"/>
      <protection locked="0"/>
    </xf>
    <xf numFmtId="165" fontId="59" fillId="36" borderId="75" xfId="0" applyFont="1" applyFill="1" applyBorder="1" applyAlignment="1" applyProtection="1">
      <alignment vertical="center"/>
      <protection locked="0"/>
    </xf>
    <xf numFmtId="166" fontId="29" fillId="0" borderId="76" xfId="830" applyNumberFormat="1" applyFont="1" applyFill="1" applyBorder="1" applyAlignment="1">
      <alignment horizontal="center" vertical="center" wrapText="1"/>
    </xf>
    <xf numFmtId="166" fontId="29" fillId="36" borderId="76"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9"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2"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8"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9" fontId="148" fillId="0" borderId="0" xfId="3" applyNumberFormat="1" applyFont="1" applyProtection="1">
      <protection locked="0"/>
    </xf>
    <xf numFmtId="165" fontId="183" fillId="0" borderId="0" xfId="0" applyFont="1"/>
    <xf numFmtId="164" fontId="148" fillId="0" borderId="0" xfId="89" applyFont="1" applyAlignment="1">
      <alignment horizontal="right"/>
    </xf>
    <xf numFmtId="9" fontId="30" fillId="0" borderId="0" xfId="0" applyNumberFormat="1" applyFont="1" applyAlignment="1">
      <alignment horizontal="center"/>
    </xf>
    <xf numFmtId="165" fontId="184" fillId="0" borderId="0" xfId="0" applyFont="1"/>
    <xf numFmtId="9" fontId="105" fillId="2" borderId="0" xfId="3" applyNumberFormat="1" applyFont="1" applyFill="1" applyProtection="1">
      <protection locked="0"/>
    </xf>
    <xf numFmtId="182" fontId="31" fillId="0" borderId="0" xfId="830" applyNumberFormat="1" applyFont="1" applyFill="1" applyBorder="1" applyAlignment="1">
      <alignment horizontal="center" vertical="center" wrapText="1"/>
    </xf>
    <xf numFmtId="165" fontId="94" fillId="2" borderId="0" xfId="0" applyFont="1" applyFill="1"/>
    <xf numFmtId="3" fontId="33" fillId="35" borderId="65" xfId="4" applyNumberFormat="1" applyFont="1" applyFill="1" applyBorder="1" applyAlignment="1">
      <alignment horizontal="center" wrapText="1"/>
    </xf>
    <xf numFmtId="0" fontId="94" fillId="2" borderId="0" xfId="93" applyFont="1" applyFill="1" applyAlignment="1">
      <alignment vertical="center"/>
    </xf>
    <xf numFmtId="3" fontId="33" fillId="0" borderId="0" xfId="0" applyNumberFormat="1" applyFont="1" applyAlignment="1">
      <alignment horizontal="center"/>
    </xf>
    <xf numFmtId="10" fontId="29" fillId="35" borderId="33" xfId="4" applyNumberFormat="1" applyFont="1" applyFill="1" applyBorder="1" applyAlignment="1">
      <alignment horizontal="center" wrapText="1"/>
    </xf>
    <xf numFmtId="190" fontId="0" fillId="0" borderId="0" xfId="0" applyNumberFormat="1"/>
    <xf numFmtId="49" fontId="29" fillId="2" borderId="82" xfId="0" applyNumberFormat="1" applyFont="1" applyFill="1" applyBorder="1" applyAlignment="1">
      <alignment horizontal="center" vertical="center"/>
    </xf>
    <xf numFmtId="166" fontId="30" fillId="35" borderId="77" xfId="830" applyNumberFormat="1" applyFont="1" applyFill="1" applyBorder="1" applyAlignment="1">
      <alignment horizontal="center" vertical="center" wrapText="1"/>
    </xf>
    <xf numFmtId="167" fontId="158" fillId="35" borderId="77" xfId="830" applyNumberFormat="1" applyFont="1" applyFill="1" applyBorder="1" applyAlignment="1">
      <alignment horizontal="center" vertical="center" wrapText="1"/>
    </xf>
    <xf numFmtId="166" fontId="29" fillId="36" borderId="78" xfId="830" applyNumberFormat="1" applyFont="1" applyFill="1" applyBorder="1" applyAlignment="1">
      <alignment horizontal="center" vertical="center" wrapText="1"/>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6" fontId="29" fillId="36" borderId="15" xfId="142" applyNumberFormat="1" applyFont="1" applyFill="1" applyBorder="1" applyAlignment="1">
      <alignment horizontal="center" vertical="center" wrapText="1"/>
    </xf>
    <xf numFmtId="167" fontId="31" fillId="35" borderId="15" xfId="830" applyNumberFormat="1" applyFont="1" applyFill="1" applyBorder="1" applyAlignment="1">
      <alignment horizontal="center" vertical="center" wrapText="1"/>
    </xf>
    <xf numFmtId="166" fontId="30" fillId="35" borderId="15" xfId="142" applyNumberFormat="1" applyFont="1" applyFill="1" applyBorder="1" applyAlignment="1">
      <alignment horizontal="center" vertical="center" wrapText="1"/>
    </xf>
    <xf numFmtId="165" fontId="30" fillId="0" borderId="26" xfId="0" applyFont="1" applyBorder="1" applyAlignment="1">
      <alignment horizontal="center"/>
    </xf>
    <xf numFmtId="166" fontId="29" fillId="36" borderId="33" xfId="142" applyNumberFormat="1" applyFont="1" applyFill="1" applyBorder="1" applyAlignment="1">
      <alignment horizontal="center" vertical="center" wrapText="1"/>
    </xf>
    <xf numFmtId="180" fontId="153" fillId="0" borderId="0" xfId="0" applyNumberFormat="1" applyFont="1"/>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84" fontId="113" fillId="37" borderId="81"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80"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49" fontId="29" fillId="34" borderId="14" xfId="0" applyNumberFormat="1" applyFont="1" applyFill="1" applyBorder="1" applyAlignment="1">
      <alignment horizontal="center" vertical="center"/>
    </xf>
    <xf numFmtId="49" fontId="29" fillId="34" borderId="0" xfId="0" applyNumberFormat="1" applyFont="1" applyFill="1" applyAlignment="1">
      <alignment horizontal="center" vertical="center"/>
    </xf>
    <xf numFmtId="49" fontId="29" fillId="34" borderId="15" xfId="0" applyNumberFormat="1" applyFont="1" applyFill="1" applyBorder="1" applyAlignment="1">
      <alignment horizontal="center" vertical="center"/>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xr:uid="{00000000-0005-0000-0000-000000000000}"/>
    <cellStyle name="20% - Ênfase1 2 2" xfId="156" xr:uid="{00000000-0005-0000-0000-000001000000}"/>
    <cellStyle name="20% - Ênfase1 2 2 2" xfId="425" xr:uid="{00000000-0005-0000-0000-000002000000}"/>
    <cellStyle name="20% - Ênfase1 2 2 2 2" xfId="844" xr:uid="{00000000-0005-0000-0000-000003000000}"/>
    <cellStyle name="20% - Ênfase1 2 2 3" xfId="241" xr:uid="{00000000-0005-0000-0000-000004000000}"/>
    <cellStyle name="20% - Ênfase1 2 2 3 2" xfId="660" xr:uid="{00000000-0005-0000-0000-000005000000}"/>
    <cellStyle name="20% - Ênfase1 2 2 4" xfId="575" xr:uid="{00000000-0005-0000-0000-000006000000}"/>
    <cellStyle name="20% - Ênfase1 2 3" xfId="111" xr:uid="{00000000-0005-0000-0000-000007000000}"/>
    <cellStyle name="20% - Ênfase1 2 3 2" xfId="380" xr:uid="{00000000-0005-0000-0000-000008000000}"/>
    <cellStyle name="20% - Ênfase1 2 3 2 2" xfId="799" xr:uid="{00000000-0005-0000-0000-000009000000}"/>
    <cellStyle name="20% - Ênfase1 2 3 3" xfId="287" xr:uid="{00000000-0005-0000-0000-00000A000000}"/>
    <cellStyle name="20% - Ênfase1 2 3 3 2" xfId="706" xr:uid="{00000000-0005-0000-0000-00000B000000}"/>
    <cellStyle name="20% - Ênfase1 2 3 4" xfId="530" xr:uid="{00000000-0005-0000-0000-00000C000000}"/>
    <cellStyle name="20% - Ênfase1 2 4" xfId="338" xr:uid="{00000000-0005-0000-0000-00000D000000}"/>
    <cellStyle name="20% - Ênfase1 2 4 2" xfId="757" xr:uid="{00000000-0005-0000-0000-00000E000000}"/>
    <cellStyle name="20% - Ênfase1 2 5" xfId="200" xr:uid="{00000000-0005-0000-0000-00000F000000}"/>
    <cellStyle name="20% - Ênfase1 2 5 2" xfId="619" xr:uid="{00000000-0005-0000-0000-000010000000}"/>
    <cellStyle name="20% - Ênfase1 2 6" xfId="484" xr:uid="{00000000-0005-0000-0000-000011000000}"/>
    <cellStyle name="20% - Ênfase2 2" xfId="30" xr:uid="{00000000-0005-0000-0000-000012000000}"/>
    <cellStyle name="20% - Ênfase2 2 2" xfId="157" xr:uid="{00000000-0005-0000-0000-000013000000}"/>
    <cellStyle name="20% - Ênfase2 2 2 2" xfId="426" xr:uid="{00000000-0005-0000-0000-000014000000}"/>
    <cellStyle name="20% - Ênfase2 2 2 2 2" xfId="845" xr:uid="{00000000-0005-0000-0000-000015000000}"/>
    <cellStyle name="20% - Ênfase2 2 2 3" xfId="242" xr:uid="{00000000-0005-0000-0000-000016000000}"/>
    <cellStyle name="20% - Ênfase2 2 2 3 2" xfId="661" xr:uid="{00000000-0005-0000-0000-000017000000}"/>
    <cellStyle name="20% - Ênfase2 2 2 4" xfId="576" xr:uid="{00000000-0005-0000-0000-000018000000}"/>
    <cellStyle name="20% - Ênfase2 2 3" xfId="112" xr:uid="{00000000-0005-0000-0000-000019000000}"/>
    <cellStyle name="20% - Ênfase2 2 3 2" xfId="381" xr:uid="{00000000-0005-0000-0000-00001A000000}"/>
    <cellStyle name="20% - Ênfase2 2 3 2 2" xfId="800" xr:uid="{00000000-0005-0000-0000-00001B000000}"/>
    <cellStyle name="20% - Ênfase2 2 3 3" xfId="288" xr:uid="{00000000-0005-0000-0000-00001C000000}"/>
    <cellStyle name="20% - Ênfase2 2 3 3 2" xfId="707" xr:uid="{00000000-0005-0000-0000-00001D000000}"/>
    <cellStyle name="20% - Ênfase2 2 3 4" xfId="531" xr:uid="{00000000-0005-0000-0000-00001E000000}"/>
    <cellStyle name="20% - Ênfase2 2 4" xfId="339" xr:uid="{00000000-0005-0000-0000-00001F000000}"/>
    <cellStyle name="20% - Ênfase2 2 4 2" xfId="758" xr:uid="{00000000-0005-0000-0000-000020000000}"/>
    <cellStyle name="20% - Ênfase2 2 5" xfId="201" xr:uid="{00000000-0005-0000-0000-000021000000}"/>
    <cellStyle name="20% - Ênfase2 2 5 2" xfId="620" xr:uid="{00000000-0005-0000-0000-000022000000}"/>
    <cellStyle name="20% - Ênfase2 2 6" xfId="485" xr:uid="{00000000-0005-0000-0000-000023000000}"/>
    <cellStyle name="20% - Ênfase3 2" xfId="31" xr:uid="{00000000-0005-0000-0000-000024000000}"/>
    <cellStyle name="20% - Ênfase3 2 2" xfId="158" xr:uid="{00000000-0005-0000-0000-000025000000}"/>
    <cellStyle name="20% - Ênfase3 2 2 2" xfId="427" xr:uid="{00000000-0005-0000-0000-000026000000}"/>
    <cellStyle name="20% - Ênfase3 2 2 2 2" xfId="846" xr:uid="{00000000-0005-0000-0000-000027000000}"/>
    <cellStyle name="20% - Ênfase3 2 2 3" xfId="243" xr:uid="{00000000-0005-0000-0000-000028000000}"/>
    <cellStyle name="20% - Ênfase3 2 2 3 2" xfId="662" xr:uid="{00000000-0005-0000-0000-000029000000}"/>
    <cellStyle name="20% - Ênfase3 2 2 4" xfId="577" xr:uid="{00000000-0005-0000-0000-00002A000000}"/>
    <cellStyle name="20% - Ênfase3 2 3" xfId="113" xr:uid="{00000000-0005-0000-0000-00002B000000}"/>
    <cellStyle name="20% - Ênfase3 2 3 2" xfId="382" xr:uid="{00000000-0005-0000-0000-00002C000000}"/>
    <cellStyle name="20% - Ênfase3 2 3 2 2" xfId="801" xr:uid="{00000000-0005-0000-0000-00002D000000}"/>
    <cellStyle name="20% - Ênfase3 2 3 3" xfId="289" xr:uid="{00000000-0005-0000-0000-00002E000000}"/>
    <cellStyle name="20% - Ênfase3 2 3 3 2" xfId="708" xr:uid="{00000000-0005-0000-0000-00002F000000}"/>
    <cellStyle name="20% - Ênfase3 2 3 4" xfId="532" xr:uid="{00000000-0005-0000-0000-000030000000}"/>
    <cellStyle name="20% - Ênfase3 2 4" xfId="340" xr:uid="{00000000-0005-0000-0000-000031000000}"/>
    <cellStyle name="20% - Ênfase3 2 4 2" xfId="759" xr:uid="{00000000-0005-0000-0000-000032000000}"/>
    <cellStyle name="20% - Ênfase3 2 5" xfId="202" xr:uid="{00000000-0005-0000-0000-000033000000}"/>
    <cellStyle name="20% - Ênfase3 2 5 2" xfId="621" xr:uid="{00000000-0005-0000-0000-000034000000}"/>
    <cellStyle name="20% - Ênfase3 2 6" xfId="486" xr:uid="{00000000-0005-0000-0000-000035000000}"/>
    <cellStyle name="20% - Ênfase4 2" xfId="32" xr:uid="{00000000-0005-0000-0000-000036000000}"/>
    <cellStyle name="20% - Ênfase4 2 2" xfId="159" xr:uid="{00000000-0005-0000-0000-000037000000}"/>
    <cellStyle name="20% - Ênfase4 2 2 2" xfId="428" xr:uid="{00000000-0005-0000-0000-000038000000}"/>
    <cellStyle name="20% - Ênfase4 2 2 2 2" xfId="847" xr:uid="{00000000-0005-0000-0000-000039000000}"/>
    <cellStyle name="20% - Ênfase4 2 2 3" xfId="244" xr:uid="{00000000-0005-0000-0000-00003A000000}"/>
    <cellStyle name="20% - Ênfase4 2 2 3 2" xfId="663" xr:uid="{00000000-0005-0000-0000-00003B000000}"/>
    <cellStyle name="20% - Ênfase4 2 2 4" xfId="578" xr:uid="{00000000-0005-0000-0000-00003C000000}"/>
    <cellStyle name="20% - Ênfase4 2 3" xfId="114" xr:uid="{00000000-0005-0000-0000-00003D000000}"/>
    <cellStyle name="20% - Ênfase4 2 3 2" xfId="383" xr:uid="{00000000-0005-0000-0000-00003E000000}"/>
    <cellStyle name="20% - Ênfase4 2 3 2 2" xfId="802" xr:uid="{00000000-0005-0000-0000-00003F000000}"/>
    <cellStyle name="20% - Ênfase4 2 3 3" xfId="290" xr:uid="{00000000-0005-0000-0000-000040000000}"/>
    <cellStyle name="20% - Ênfase4 2 3 3 2" xfId="709" xr:uid="{00000000-0005-0000-0000-000041000000}"/>
    <cellStyle name="20% - Ênfase4 2 3 4" xfId="533" xr:uid="{00000000-0005-0000-0000-000042000000}"/>
    <cellStyle name="20% - Ênfase4 2 4" xfId="341" xr:uid="{00000000-0005-0000-0000-000043000000}"/>
    <cellStyle name="20% - Ênfase4 2 4 2" xfId="760" xr:uid="{00000000-0005-0000-0000-000044000000}"/>
    <cellStyle name="20% - Ênfase4 2 5" xfId="203" xr:uid="{00000000-0005-0000-0000-000045000000}"/>
    <cellStyle name="20% - Ênfase4 2 5 2" xfId="622" xr:uid="{00000000-0005-0000-0000-000046000000}"/>
    <cellStyle name="20% - Ênfase4 2 6" xfId="487" xr:uid="{00000000-0005-0000-0000-000047000000}"/>
    <cellStyle name="20% - Ênfase5 2" xfId="33" xr:uid="{00000000-0005-0000-0000-000048000000}"/>
    <cellStyle name="20% - Ênfase5 2 2" xfId="160" xr:uid="{00000000-0005-0000-0000-000049000000}"/>
    <cellStyle name="20% - Ênfase5 2 2 2" xfId="429" xr:uid="{00000000-0005-0000-0000-00004A000000}"/>
    <cellStyle name="20% - Ênfase5 2 2 2 2" xfId="848" xr:uid="{00000000-0005-0000-0000-00004B000000}"/>
    <cellStyle name="20% - Ênfase5 2 2 3" xfId="245" xr:uid="{00000000-0005-0000-0000-00004C000000}"/>
    <cellStyle name="20% - Ênfase5 2 2 3 2" xfId="664" xr:uid="{00000000-0005-0000-0000-00004D000000}"/>
    <cellStyle name="20% - Ênfase5 2 2 4" xfId="579" xr:uid="{00000000-0005-0000-0000-00004E000000}"/>
    <cellStyle name="20% - Ênfase5 2 3" xfId="115" xr:uid="{00000000-0005-0000-0000-00004F000000}"/>
    <cellStyle name="20% - Ênfase5 2 3 2" xfId="384" xr:uid="{00000000-0005-0000-0000-000050000000}"/>
    <cellStyle name="20% - Ênfase5 2 3 2 2" xfId="803" xr:uid="{00000000-0005-0000-0000-000051000000}"/>
    <cellStyle name="20% - Ênfase5 2 3 3" xfId="291" xr:uid="{00000000-0005-0000-0000-000052000000}"/>
    <cellStyle name="20% - Ênfase5 2 3 3 2" xfId="710" xr:uid="{00000000-0005-0000-0000-000053000000}"/>
    <cellStyle name="20% - Ênfase5 2 3 4" xfId="534" xr:uid="{00000000-0005-0000-0000-000054000000}"/>
    <cellStyle name="20% - Ênfase5 2 4" xfId="342" xr:uid="{00000000-0005-0000-0000-000055000000}"/>
    <cellStyle name="20% - Ênfase5 2 4 2" xfId="761" xr:uid="{00000000-0005-0000-0000-000056000000}"/>
    <cellStyle name="20% - Ênfase5 2 5" xfId="204" xr:uid="{00000000-0005-0000-0000-000057000000}"/>
    <cellStyle name="20% - Ênfase5 2 5 2" xfId="623" xr:uid="{00000000-0005-0000-0000-000058000000}"/>
    <cellStyle name="20% - Ênfase5 2 6" xfId="488" xr:uid="{00000000-0005-0000-0000-000059000000}"/>
    <cellStyle name="20% - Ênfase6 2" xfId="34" xr:uid="{00000000-0005-0000-0000-00005A000000}"/>
    <cellStyle name="20% - Ênfase6 2 2" xfId="161" xr:uid="{00000000-0005-0000-0000-00005B000000}"/>
    <cellStyle name="20% - Ênfase6 2 2 2" xfId="430" xr:uid="{00000000-0005-0000-0000-00005C000000}"/>
    <cellStyle name="20% - Ênfase6 2 2 2 2" xfId="849" xr:uid="{00000000-0005-0000-0000-00005D000000}"/>
    <cellStyle name="20% - Ênfase6 2 2 3" xfId="246" xr:uid="{00000000-0005-0000-0000-00005E000000}"/>
    <cellStyle name="20% - Ênfase6 2 2 3 2" xfId="665" xr:uid="{00000000-0005-0000-0000-00005F000000}"/>
    <cellStyle name="20% - Ênfase6 2 2 4" xfId="580" xr:uid="{00000000-0005-0000-0000-000060000000}"/>
    <cellStyle name="20% - Ênfase6 2 3" xfId="116" xr:uid="{00000000-0005-0000-0000-000061000000}"/>
    <cellStyle name="20% - Ênfase6 2 3 2" xfId="385" xr:uid="{00000000-0005-0000-0000-000062000000}"/>
    <cellStyle name="20% - Ênfase6 2 3 2 2" xfId="804" xr:uid="{00000000-0005-0000-0000-000063000000}"/>
    <cellStyle name="20% - Ênfase6 2 3 3" xfId="292" xr:uid="{00000000-0005-0000-0000-000064000000}"/>
    <cellStyle name="20% - Ênfase6 2 3 3 2" xfId="711" xr:uid="{00000000-0005-0000-0000-000065000000}"/>
    <cellStyle name="20% - Ênfase6 2 3 4" xfId="535" xr:uid="{00000000-0005-0000-0000-000066000000}"/>
    <cellStyle name="20% - Ênfase6 2 4" xfId="343" xr:uid="{00000000-0005-0000-0000-000067000000}"/>
    <cellStyle name="20% - Ênfase6 2 4 2" xfId="762" xr:uid="{00000000-0005-0000-0000-000068000000}"/>
    <cellStyle name="20% - Ênfase6 2 5" xfId="205" xr:uid="{00000000-0005-0000-0000-000069000000}"/>
    <cellStyle name="20% - Ênfase6 2 5 2" xfId="624" xr:uid="{00000000-0005-0000-0000-00006A000000}"/>
    <cellStyle name="20% - Ênfase6 2 6" xfId="489" xr:uid="{00000000-0005-0000-0000-00006B000000}"/>
    <cellStyle name="40% - Ênfase1 2" xfId="35" xr:uid="{00000000-0005-0000-0000-00006C000000}"/>
    <cellStyle name="40% - Ênfase1 2 2" xfId="162" xr:uid="{00000000-0005-0000-0000-00006D000000}"/>
    <cellStyle name="40% - Ênfase1 2 2 2" xfId="431" xr:uid="{00000000-0005-0000-0000-00006E000000}"/>
    <cellStyle name="40% - Ênfase1 2 2 2 2" xfId="850" xr:uid="{00000000-0005-0000-0000-00006F000000}"/>
    <cellStyle name="40% - Ênfase1 2 2 3" xfId="247" xr:uid="{00000000-0005-0000-0000-000070000000}"/>
    <cellStyle name="40% - Ênfase1 2 2 3 2" xfId="666" xr:uid="{00000000-0005-0000-0000-000071000000}"/>
    <cellStyle name="40% - Ênfase1 2 2 4" xfId="581" xr:uid="{00000000-0005-0000-0000-000072000000}"/>
    <cellStyle name="40% - Ênfase1 2 3" xfId="117" xr:uid="{00000000-0005-0000-0000-000073000000}"/>
    <cellStyle name="40% - Ênfase1 2 3 2" xfId="386" xr:uid="{00000000-0005-0000-0000-000074000000}"/>
    <cellStyle name="40% - Ênfase1 2 3 2 2" xfId="805" xr:uid="{00000000-0005-0000-0000-000075000000}"/>
    <cellStyle name="40% - Ênfase1 2 3 3" xfId="293" xr:uid="{00000000-0005-0000-0000-000076000000}"/>
    <cellStyle name="40% - Ênfase1 2 3 3 2" xfId="712" xr:uid="{00000000-0005-0000-0000-000077000000}"/>
    <cellStyle name="40% - Ênfase1 2 3 4" xfId="536" xr:uid="{00000000-0005-0000-0000-000078000000}"/>
    <cellStyle name="40% - Ênfase1 2 4" xfId="344" xr:uid="{00000000-0005-0000-0000-000079000000}"/>
    <cellStyle name="40% - Ênfase1 2 4 2" xfId="763" xr:uid="{00000000-0005-0000-0000-00007A000000}"/>
    <cellStyle name="40% - Ênfase1 2 5" xfId="206" xr:uid="{00000000-0005-0000-0000-00007B000000}"/>
    <cellStyle name="40% - Ênfase1 2 5 2" xfId="625" xr:uid="{00000000-0005-0000-0000-00007C000000}"/>
    <cellStyle name="40% - Ênfase1 2 6" xfId="490" xr:uid="{00000000-0005-0000-0000-00007D000000}"/>
    <cellStyle name="40% - Ênfase2 2" xfId="36" xr:uid="{00000000-0005-0000-0000-00007E000000}"/>
    <cellStyle name="40% - Ênfase2 2 2" xfId="163" xr:uid="{00000000-0005-0000-0000-00007F000000}"/>
    <cellStyle name="40% - Ênfase2 2 2 2" xfId="432" xr:uid="{00000000-0005-0000-0000-000080000000}"/>
    <cellStyle name="40% - Ênfase2 2 2 2 2" xfId="851" xr:uid="{00000000-0005-0000-0000-000081000000}"/>
    <cellStyle name="40% - Ênfase2 2 2 3" xfId="248" xr:uid="{00000000-0005-0000-0000-000082000000}"/>
    <cellStyle name="40% - Ênfase2 2 2 3 2" xfId="667" xr:uid="{00000000-0005-0000-0000-000083000000}"/>
    <cellStyle name="40% - Ênfase2 2 2 4" xfId="582" xr:uid="{00000000-0005-0000-0000-000084000000}"/>
    <cellStyle name="40% - Ênfase2 2 3" xfId="118" xr:uid="{00000000-0005-0000-0000-000085000000}"/>
    <cellStyle name="40% - Ênfase2 2 3 2" xfId="387" xr:uid="{00000000-0005-0000-0000-000086000000}"/>
    <cellStyle name="40% - Ênfase2 2 3 2 2" xfId="806" xr:uid="{00000000-0005-0000-0000-000087000000}"/>
    <cellStyle name="40% - Ênfase2 2 3 3" xfId="294" xr:uid="{00000000-0005-0000-0000-000088000000}"/>
    <cellStyle name="40% - Ênfase2 2 3 3 2" xfId="713" xr:uid="{00000000-0005-0000-0000-000089000000}"/>
    <cellStyle name="40% - Ênfase2 2 3 4" xfId="537" xr:uid="{00000000-0005-0000-0000-00008A000000}"/>
    <cellStyle name="40% - Ênfase2 2 4" xfId="345" xr:uid="{00000000-0005-0000-0000-00008B000000}"/>
    <cellStyle name="40% - Ênfase2 2 4 2" xfId="764" xr:uid="{00000000-0005-0000-0000-00008C000000}"/>
    <cellStyle name="40% - Ênfase2 2 5" xfId="207" xr:uid="{00000000-0005-0000-0000-00008D000000}"/>
    <cellStyle name="40% - Ênfase2 2 5 2" xfId="626" xr:uid="{00000000-0005-0000-0000-00008E000000}"/>
    <cellStyle name="40% - Ênfase2 2 6" xfId="491" xr:uid="{00000000-0005-0000-0000-00008F000000}"/>
    <cellStyle name="40% - Ênfase3 2" xfId="37" xr:uid="{00000000-0005-0000-0000-000090000000}"/>
    <cellStyle name="40% - Ênfase3 2 2" xfId="164" xr:uid="{00000000-0005-0000-0000-000091000000}"/>
    <cellStyle name="40% - Ênfase3 2 2 2" xfId="433" xr:uid="{00000000-0005-0000-0000-000092000000}"/>
    <cellStyle name="40% - Ênfase3 2 2 2 2" xfId="852" xr:uid="{00000000-0005-0000-0000-000093000000}"/>
    <cellStyle name="40% - Ênfase3 2 2 3" xfId="249" xr:uid="{00000000-0005-0000-0000-000094000000}"/>
    <cellStyle name="40% - Ênfase3 2 2 3 2" xfId="668" xr:uid="{00000000-0005-0000-0000-000095000000}"/>
    <cellStyle name="40% - Ênfase3 2 2 4" xfId="583" xr:uid="{00000000-0005-0000-0000-000096000000}"/>
    <cellStyle name="40% - Ênfase3 2 3" xfId="119" xr:uid="{00000000-0005-0000-0000-000097000000}"/>
    <cellStyle name="40% - Ênfase3 2 3 2" xfId="388" xr:uid="{00000000-0005-0000-0000-000098000000}"/>
    <cellStyle name="40% - Ênfase3 2 3 2 2" xfId="807" xr:uid="{00000000-0005-0000-0000-000099000000}"/>
    <cellStyle name="40% - Ênfase3 2 3 3" xfId="295" xr:uid="{00000000-0005-0000-0000-00009A000000}"/>
    <cellStyle name="40% - Ênfase3 2 3 3 2" xfId="714" xr:uid="{00000000-0005-0000-0000-00009B000000}"/>
    <cellStyle name="40% - Ênfase3 2 3 4" xfId="538" xr:uid="{00000000-0005-0000-0000-00009C000000}"/>
    <cellStyle name="40% - Ênfase3 2 4" xfId="346" xr:uid="{00000000-0005-0000-0000-00009D000000}"/>
    <cellStyle name="40% - Ênfase3 2 4 2" xfId="765" xr:uid="{00000000-0005-0000-0000-00009E000000}"/>
    <cellStyle name="40% - Ênfase3 2 5" xfId="208" xr:uid="{00000000-0005-0000-0000-00009F000000}"/>
    <cellStyle name="40% - Ênfase3 2 5 2" xfId="627" xr:uid="{00000000-0005-0000-0000-0000A0000000}"/>
    <cellStyle name="40% - Ênfase3 2 6" xfId="492" xr:uid="{00000000-0005-0000-0000-0000A1000000}"/>
    <cellStyle name="40% - Ênfase4 2" xfId="38" xr:uid="{00000000-0005-0000-0000-0000A2000000}"/>
    <cellStyle name="40% - Ênfase4 2 2" xfId="165" xr:uid="{00000000-0005-0000-0000-0000A3000000}"/>
    <cellStyle name="40% - Ênfase4 2 2 2" xfId="434" xr:uid="{00000000-0005-0000-0000-0000A4000000}"/>
    <cellStyle name="40% - Ênfase4 2 2 2 2" xfId="853" xr:uid="{00000000-0005-0000-0000-0000A5000000}"/>
    <cellStyle name="40% - Ênfase4 2 2 3" xfId="250" xr:uid="{00000000-0005-0000-0000-0000A6000000}"/>
    <cellStyle name="40% - Ênfase4 2 2 3 2" xfId="669" xr:uid="{00000000-0005-0000-0000-0000A7000000}"/>
    <cellStyle name="40% - Ênfase4 2 2 4" xfId="584" xr:uid="{00000000-0005-0000-0000-0000A8000000}"/>
    <cellStyle name="40% - Ênfase4 2 3" xfId="120" xr:uid="{00000000-0005-0000-0000-0000A9000000}"/>
    <cellStyle name="40% - Ênfase4 2 3 2" xfId="389" xr:uid="{00000000-0005-0000-0000-0000AA000000}"/>
    <cellStyle name="40% - Ênfase4 2 3 2 2" xfId="808" xr:uid="{00000000-0005-0000-0000-0000AB000000}"/>
    <cellStyle name="40% - Ênfase4 2 3 3" xfId="296" xr:uid="{00000000-0005-0000-0000-0000AC000000}"/>
    <cellStyle name="40% - Ênfase4 2 3 3 2" xfId="715" xr:uid="{00000000-0005-0000-0000-0000AD000000}"/>
    <cellStyle name="40% - Ênfase4 2 3 4" xfId="539" xr:uid="{00000000-0005-0000-0000-0000AE000000}"/>
    <cellStyle name="40% - Ênfase4 2 4" xfId="347" xr:uid="{00000000-0005-0000-0000-0000AF000000}"/>
    <cellStyle name="40% - Ênfase4 2 4 2" xfId="766" xr:uid="{00000000-0005-0000-0000-0000B0000000}"/>
    <cellStyle name="40% - Ênfase4 2 5" xfId="209" xr:uid="{00000000-0005-0000-0000-0000B1000000}"/>
    <cellStyle name="40% - Ênfase4 2 5 2" xfId="628" xr:uid="{00000000-0005-0000-0000-0000B2000000}"/>
    <cellStyle name="40% - Ênfase4 2 6" xfId="493" xr:uid="{00000000-0005-0000-0000-0000B3000000}"/>
    <cellStyle name="40% - Ênfase5 2" xfId="39" xr:uid="{00000000-0005-0000-0000-0000B4000000}"/>
    <cellStyle name="40% - Ênfase5 2 2" xfId="166" xr:uid="{00000000-0005-0000-0000-0000B5000000}"/>
    <cellStyle name="40% - Ênfase5 2 2 2" xfId="435" xr:uid="{00000000-0005-0000-0000-0000B6000000}"/>
    <cellStyle name="40% - Ênfase5 2 2 2 2" xfId="854" xr:uid="{00000000-0005-0000-0000-0000B7000000}"/>
    <cellStyle name="40% - Ênfase5 2 2 3" xfId="251" xr:uid="{00000000-0005-0000-0000-0000B8000000}"/>
    <cellStyle name="40% - Ênfase5 2 2 3 2" xfId="670" xr:uid="{00000000-0005-0000-0000-0000B9000000}"/>
    <cellStyle name="40% - Ênfase5 2 2 4" xfId="585" xr:uid="{00000000-0005-0000-0000-0000BA000000}"/>
    <cellStyle name="40% - Ênfase5 2 3" xfId="121" xr:uid="{00000000-0005-0000-0000-0000BB000000}"/>
    <cellStyle name="40% - Ênfase5 2 3 2" xfId="390" xr:uid="{00000000-0005-0000-0000-0000BC000000}"/>
    <cellStyle name="40% - Ênfase5 2 3 2 2" xfId="809" xr:uid="{00000000-0005-0000-0000-0000BD000000}"/>
    <cellStyle name="40% - Ênfase5 2 3 3" xfId="297" xr:uid="{00000000-0005-0000-0000-0000BE000000}"/>
    <cellStyle name="40% - Ênfase5 2 3 3 2" xfId="716" xr:uid="{00000000-0005-0000-0000-0000BF000000}"/>
    <cellStyle name="40% - Ênfase5 2 3 4" xfId="540" xr:uid="{00000000-0005-0000-0000-0000C0000000}"/>
    <cellStyle name="40% - Ênfase5 2 4" xfId="348" xr:uid="{00000000-0005-0000-0000-0000C1000000}"/>
    <cellStyle name="40% - Ênfase5 2 4 2" xfId="767" xr:uid="{00000000-0005-0000-0000-0000C2000000}"/>
    <cellStyle name="40% - Ênfase5 2 5" xfId="210" xr:uid="{00000000-0005-0000-0000-0000C3000000}"/>
    <cellStyle name="40% - Ênfase5 2 5 2" xfId="629" xr:uid="{00000000-0005-0000-0000-0000C4000000}"/>
    <cellStyle name="40% - Ênfase5 2 6" xfId="494" xr:uid="{00000000-0005-0000-0000-0000C5000000}"/>
    <cellStyle name="40% - Ênfase6 2" xfId="40" xr:uid="{00000000-0005-0000-0000-0000C6000000}"/>
    <cellStyle name="40% - Ênfase6 2 2" xfId="167" xr:uid="{00000000-0005-0000-0000-0000C7000000}"/>
    <cellStyle name="40% - Ênfase6 2 2 2" xfId="436" xr:uid="{00000000-0005-0000-0000-0000C8000000}"/>
    <cellStyle name="40% - Ênfase6 2 2 2 2" xfId="855" xr:uid="{00000000-0005-0000-0000-0000C9000000}"/>
    <cellStyle name="40% - Ênfase6 2 2 3" xfId="252" xr:uid="{00000000-0005-0000-0000-0000CA000000}"/>
    <cellStyle name="40% - Ênfase6 2 2 3 2" xfId="671" xr:uid="{00000000-0005-0000-0000-0000CB000000}"/>
    <cellStyle name="40% - Ênfase6 2 2 4" xfId="586" xr:uid="{00000000-0005-0000-0000-0000CC000000}"/>
    <cellStyle name="40% - Ênfase6 2 3" xfId="122" xr:uid="{00000000-0005-0000-0000-0000CD000000}"/>
    <cellStyle name="40% - Ênfase6 2 3 2" xfId="391" xr:uid="{00000000-0005-0000-0000-0000CE000000}"/>
    <cellStyle name="40% - Ênfase6 2 3 2 2" xfId="810" xr:uid="{00000000-0005-0000-0000-0000CF000000}"/>
    <cellStyle name="40% - Ênfase6 2 3 3" xfId="298" xr:uid="{00000000-0005-0000-0000-0000D0000000}"/>
    <cellStyle name="40% - Ênfase6 2 3 3 2" xfId="717" xr:uid="{00000000-0005-0000-0000-0000D1000000}"/>
    <cellStyle name="40% - Ênfase6 2 3 4" xfId="541" xr:uid="{00000000-0005-0000-0000-0000D2000000}"/>
    <cellStyle name="40% - Ênfase6 2 4" xfId="349" xr:uid="{00000000-0005-0000-0000-0000D3000000}"/>
    <cellStyle name="40% - Ênfase6 2 4 2" xfId="768" xr:uid="{00000000-0005-0000-0000-0000D4000000}"/>
    <cellStyle name="40% - Ênfase6 2 5" xfId="211" xr:uid="{00000000-0005-0000-0000-0000D5000000}"/>
    <cellStyle name="40% - Ênfase6 2 5 2" xfId="630" xr:uid="{00000000-0005-0000-0000-0000D6000000}"/>
    <cellStyle name="40% - Ênfase6 2 6" xfId="495" xr:uid="{00000000-0005-0000-0000-0000D7000000}"/>
    <cellStyle name="60% - Ênfase1 2" xfId="41" xr:uid="{00000000-0005-0000-0000-0000D8000000}"/>
    <cellStyle name="60% - Ênfase2 2" xfId="42" xr:uid="{00000000-0005-0000-0000-0000D9000000}"/>
    <cellStyle name="60% - Ênfase3 2" xfId="43" xr:uid="{00000000-0005-0000-0000-0000DA000000}"/>
    <cellStyle name="60% - Ênfase4 2" xfId="44" xr:uid="{00000000-0005-0000-0000-0000DB000000}"/>
    <cellStyle name="60% - Ênfase5 2" xfId="45" xr:uid="{00000000-0005-0000-0000-0000DC000000}"/>
    <cellStyle name="60% - Ênfase6 2" xfId="46" xr:uid="{00000000-0005-0000-0000-0000DD000000}"/>
    <cellStyle name="Bom 2" xfId="57" xr:uid="{00000000-0005-0000-0000-0000DE000000}"/>
    <cellStyle name="Cálculo 2" xfId="54" xr:uid="{00000000-0005-0000-0000-0000DF000000}"/>
    <cellStyle name="Célula de Verificação 2" xfId="55" xr:uid="{00000000-0005-0000-0000-0000E0000000}"/>
    <cellStyle name="Célula Vinculada 2" xfId="63" xr:uid="{00000000-0005-0000-0000-0000E1000000}"/>
    <cellStyle name="Ênfase1 2" xfId="47" xr:uid="{00000000-0005-0000-0000-0000E2000000}"/>
    <cellStyle name="Ênfase2 2" xfId="48" xr:uid="{00000000-0005-0000-0000-0000E3000000}"/>
    <cellStyle name="Ênfase3 2" xfId="49" xr:uid="{00000000-0005-0000-0000-0000E4000000}"/>
    <cellStyle name="Ênfase4 2" xfId="50" xr:uid="{00000000-0005-0000-0000-0000E5000000}"/>
    <cellStyle name="Ênfase5 2" xfId="51" xr:uid="{00000000-0005-0000-0000-0000E6000000}"/>
    <cellStyle name="Ênfase6 2" xfId="52" xr:uid="{00000000-0005-0000-0000-0000E7000000}"/>
    <cellStyle name="Entrada 2" xfId="62" xr:uid="{00000000-0005-0000-0000-0000E8000000}"/>
    <cellStyle name="Hiperlink" xfId="83" builtinId="8"/>
    <cellStyle name="Incorreto 2" xfId="53" xr:uid="{00000000-0005-0000-0000-0000EA000000}"/>
    <cellStyle name="Moeda 2" xfId="79" xr:uid="{00000000-0005-0000-0000-0000EB000000}"/>
    <cellStyle name="Moeda 2 2" xfId="174" xr:uid="{00000000-0005-0000-0000-0000EC000000}"/>
    <cellStyle name="Moeda 2 2 2" xfId="443" xr:uid="{00000000-0005-0000-0000-0000ED000000}"/>
    <cellStyle name="Moeda 2 2 2 2" xfId="862" xr:uid="{00000000-0005-0000-0000-0000EE000000}"/>
    <cellStyle name="Moeda 2 2 3" xfId="259" xr:uid="{00000000-0005-0000-0000-0000EF000000}"/>
    <cellStyle name="Moeda 2 2 3 2" xfId="678" xr:uid="{00000000-0005-0000-0000-0000F0000000}"/>
    <cellStyle name="Moeda 2 2 4" xfId="593" xr:uid="{00000000-0005-0000-0000-0000F1000000}"/>
    <cellStyle name="Moeda 2 3" xfId="129" xr:uid="{00000000-0005-0000-0000-0000F2000000}"/>
    <cellStyle name="Moeda 2 3 2" xfId="398" xr:uid="{00000000-0005-0000-0000-0000F3000000}"/>
    <cellStyle name="Moeda 2 3 2 2" xfId="817" xr:uid="{00000000-0005-0000-0000-0000F4000000}"/>
    <cellStyle name="Moeda 2 3 3" xfId="305" xr:uid="{00000000-0005-0000-0000-0000F5000000}"/>
    <cellStyle name="Moeda 2 3 3 2" xfId="724" xr:uid="{00000000-0005-0000-0000-0000F6000000}"/>
    <cellStyle name="Moeda 2 3 4" xfId="548" xr:uid="{00000000-0005-0000-0000-0000F7000000}"/>
    <cellStyle name="Moeda 2 4" xfId="356" xr:uid="{00000000-0005-0000-0000-0000F8000000}"/>
    <cellStyle name="Moeda 2 4 2" xfId="775" xr:uid="{00000000-0005-0000-0000-0000F9000000}"/>
    <cellStyle name="Moeda 2 5" xfId="218" xr:uid="{00000000-0005-0000-0000-0000FA000000}"/>
    <cellStyle name="Moeda 2 5 2" xfId="637" xr:uid="{00000000-0005-0000-0000-0000FB000000}"/>
    <cellStyle name="Moeda 2 6" xfId="502" xr:uid="{00000000-0005-0000-0000-0000FC000000}"/>
    <cellStyle name="Neutra 2" xfId="64" xr:uid="{00000000-0005-0000-0000-0000FD000000}"/>
    <cellStyle name="Normal" xfId="0" builtinId="0"/>
    <cellStyle name="Normal 10" xfId="93" xr:uid="{00000000-0005-0000-0000-0000FF000000}"/>
    <cellStyle name="Normal 10 2" xfId="184" xr:uid="{00000000-0005-0000-0000-000000010000}"/>
    <cellStyle name="Normal 10 2 2" xfId="453" xr:uid="{00000000-0005-0000-0000-000001010000}"/>
    <cellStyle name="Normal 10 2 2 2" xfId="872" xr:uid="{00000000-0005-0000-0000-000002010000}"/>
    <cellStyle name="Normal 10 2 3" xfId="269" xr:uid="{00000000-0005-0000-0000-000003010000}"/>
    <cellStyle name="Normal 10 2 3 2" xfId="688" xr:uid="{00000000-0005-0000-0000-000004010000}"/>
    <cellStyle name="Normal 10 2 4" xfId="603" xr:uid="{00000000-0005-0000-0000-000005010000}"/>
    <cellStyle name="Normal 10 3" xfId="139" xr:uid="{00000000-0005-0000-0000-000006010000}"/>
    <cellStyle name="Normal 10 3 2" xfId="408" xr:uid="{00000000-0005-0000-0000-000007010000}"/>
    <cellStyle name="Normal 10 3 2 2" xfId="827" xr:uid="{00000000-0005-0000-0000-000008010000}"/>
    <cellStyle name="Normal 10 3 3" xfId="315" xr:uid="{00000000-0005-0000-0000-000009010000}"/>
    <cellStyle name="Normal 10 3 3 2" xfId="734" xr:uid="{00000000-0005-0000-0000-00000A010000}"/>
    <cellStyle name="Normal 10 3 4" xfId="558" xr:uid="{00000000-0005-0000-0000-00000B010000}"/>
    <cellStyle name="Normal 10 4" xfId="362" xr:uid="{00000000-0005-0000-0000-00000C010000}"/>
    <cellStyle name="Normal 10 4 2" xfId="781" xr:uid="{00000000-0005-0000-0000-00000D010000}"/>
    <cellStyle name="Normal 10 5" xfId="224" xr:uid="{00000000-0005-0000-0000-00000E010000}"/>
    <cellStyle name="Normal 10 5 2" xfId="643" xr:uid="{00000000-0005-0000-0000-00000F010000}"/>
    <cellStyle name="Normal 10 6" xfId="512" xr:uid="{00000000-0005-0000-0000-000010010000}"/>
    <cellStyle name="Normal 11" xfId="466" xr:uid="{00000000-0005-0000-0000-000011010000}"/>
    <cellStyle name="Normal 11 2" xfId="885" xr:uid="{00000000-0005-0000-0000-000012010000}"/>
    <cellStyle name="Normal 114" xfId="74" xr:uid="{00000000-0005-0000-0000-000013010000}"/>
    <cellStyle name="Normal 114 2" xfId="171" xr:uid="{00000000-0005-0000-0000-000014010000}"/>
    <cellStyle name="Normal 114 2 2" xfId="440" xr:uid="{00000000-0005-0000-0000-000015010000}"/>
    <cellStyle name="Normal 114 2 2 2" xfId="859" xr:uid="{00000000-0005-0000-0000-000016010000}"/>
    <cellStyle name="Normal 114 2 3" xfId="256" xr:uid="{00000000-0005-0000-0000-000017010000}"/>
    <cellStyle name="Normal 114 2 3 2" xfId="675" xr:uid="{00000000-0005-0000-0000-000018010000}"/>
    <cellStyle name="Normal 114 2 4" xfId="590" xr:uid="{00000000-0005-0000-0000-000019010000}"/>
    <cellStyle name="Normal 114 3" xfId="126" xr:uid="{00000000-0005-0000-0000-00001A010000}"/>
    <cellStyle name="Normal 114 3 2" xfId="395" xr:uid="{00000000-0005-0000-0000-00001B010000}"/>
    <cellStyle name="Normal 114 3 2 2" xfId="814" xr:uid="{00000000-0005-0000-0000-00001C010000}"/>
    <cellStyle name="Normal 114 3 3" xfId="302" xr:uid="{00000000-0005-0000-0000-00001D010000}"/>
    <cellStyle name="Normal 114 3 3 2" xfId="721" xr:uid="{00000000-0005-0000-0000-00001E010000}"/>
    <cellStyle name="Normal 114 3 4" xfId="545" xr:uid="{00000000-0005-0000-0000-00001F010000}"/>
    <cellStyle name="Normal 114 4" xfId="353" xr:uid="{00000000-0005-0000-0000-000020010000}"/>
    <cellStyle name="Normal 114 4 2" xfId="772" xr:uid="{00000000-0005-0000-0000-000021010000}"/>
    <cellStyle name="Normal 114 5" xfId="215" xr:uid="{00000000-0005-0000-0000-000022010000}"/>
    <cellStyle name="Normal 114 5 2" xfId="634" xr:uid="{00000000-0005-0000-0000-000023010000}"/>
    <cellStyle name="Normal 114 6" xfId="499" xr:uid="{00000000-0005-0000-0000-000024010000}"/>
    <cellStyle name="Normal 12" xfId="467" xr:uid="{00000000-0005-0000-0000-000025010000}"/>
    <cellStyle name="Normal 12 2" xfId="886" xr:uid="{00000000-0005-0000-0000-000026010000}"/>
    <cellStyle name="Normal 13" xfId="891" xr:uid="{00000000-0005-0000-0000-000027010000}"/>
    <cellStyle name="Normal 14" xfId="898" xr:uid="{00000000-0005-0000-0000-000028010000}"/>
    <cellStyle name="Normal 15" xfId="905" xr:uid="{00000000-0005-0000-0000-000029010000}"/>
    <cellStyle name="Normal 16" xfId="907" xr:uid="{00000000-0005-0000-0000-00002A010000}"/>
    <cellStyle name="Normal 17" xfId="908" xr:uid="{00000000-0005-0000-0000-00002B010000}"/>
    <cellStyle name="Normal 18" xfId="934" xr:uid="{00000000-0005-0000-0000-00002C010000}"/>
    <cellStyle name="Normal 19" xfId="936" xr:uid="{00000000-0005-0000-0000-00002D010000}"/>
    <cellStyle name="Normal 2" xfId="3" xr:uid="{00000000-0005-0000-0000-00002E010000}"/>
    <cellStyle name="Normal 2 2" xfId="7" xr:uid="{00000000-0005-0000-0000-00002F010000}"/>
    <cellStyle name="Normal 2 2 2" xfId="21" xr:uid="{00000000-0005-0000-0000-000030010000}"/>
    <cellStyle name="Normal 2 2 2 2 2 12" xfId="85" xr:uid="{00000000-0005-0000-0000-000031010000}"/>
    <cellStyle name="Normal 2 2 4" xfId="25" xr:uid="{00000000-0005-0000-0000-000032010000}"/>
    <cellStyle name="Normal 2 2 5" xfId="26" xr:uid="{00000000-0005-0000-0000-000033010000}"/>
    <cellStyle name="Normal 2 3" xfId="73" xr:uid="{00000000-0005-0000-0000-000034010000}"/>
    <cellStyle name="Normal 20" xfId="938" xr:uid="{00000000-0005-0000-0000-000035010000}"/>
    <cellStyle name="Normal 21" xfId="996" xr:uid="{00000000-0005-0000-0000-000036010000}"/>
    <cellStyle name="Normal 22" xfId="1054" xr:uid="{00000000-0005-0000-0000-000037010000}"/>
    <cellStyle name="Normal 3" xfId="12" xr:uid="{00000000-0005-0000-0000-000038010000}"/>
    <cellStyle name="Normal 3 10" xfId="889" xr:uid="{00000000-0005-0000-0000-000039010000}"/>
    <cellStyle name="Normal 3 2" xfId="15" xr:uid="{00000000-0005-0000-0000-00003A010000}"/>
    <cellStyle name="Normal 3 2 2" xfId="77" xr:uid="{00000000-0005-0000-0000-00003B010000}"/>
    <cellStyle name="Normal 3 2 3" xfId="149" xr:uid="{00000000-0005-0000-0000-00003C010000}"/>
    <cellStyle name="Normal 3 2 3 2" xfId="418" xr:uid="{00000000-0005-0000-0000-00003D010000}"/>
    <cellStyle name="Normal 3 2 3 2 2" xfId="837" xr:uid="{00000000-0005-0000-0000-00003E010000}"/>
    <cellStyle name="Normal 3 2 3 3" xfId="234" xr:uid="{00000000-0005-0000-0000-00003F010000}"/>
    <cellStyle name="Normal 3 2 3 3 2" xfId="653" xr:uid="{00000000-0005-0000-0000-000040010000}"/>
    <cellStyle name="Normal 3 2 3 4" xfId="568" xr:uid="{00000000-0005-0000-0000-000041010000}"/>
    <cellStyle name="Normal 3 2 4" xfId="104" xr:uid="{00000000-0005-0000-0000-000042010000}"/>
    <cellStyle name="Normal 3 2 4 2" xfId="373" xr:uid="{00000000-0005-0000-0000-000043010000}"/>
    <cellStyle name="Normal 3 2 4 2 2" xfId="792" xr:uid="{00000000-0005-0000-0000-000044010000}"/>
    <cellStyle name="Normal 3 2 4 3" xfId="280" xr:uid="{00000000-0005-0000-0000-000045010000}"/>
    <cellStyle name="Normal 3 2 4 3 2" xfId="699" xr:uid="{00000000-0005-0000-0000-000046010000}"/>
    <cellStyle name="Normal 3 2 4 4" xfId="523" xr:uid="{00000000-0005-0000-0000-000047010000}"/>
    <cellStyle name="Normal 3 2 5" xfId="332" xr:uid="{00000000-0005-0000-0000-000048010000}"/>
    <cellStyle name="Normal 3 2 5 2" xfId="751" xr:uid="{00000000-0005-0000-0000-000049010000}"/>
    <cellStyle name="Normal 3 2 6" xfId="194" xr:uid="{00000000-0005-0000-0000-00004A010000}"/>
    <cellStyle name="Normal 3 2 6 2" xfId="613" xr:uid="{00000000-0005-0000-0000-00004B010000}"/>
    <cellStyle name="Normal 3 2 7" xfId="477" xr:uid="{00000000-0005-0000-0000-00004C010000}"/>
    <cellStyle name="Normal 3 3" xfId="23" xr:uid="{00000000-0005-0000-0000-00004D010000}"/>
    <cellStyle name="Normal 3 3 2" xfId="155" xr:uid="{00000000-0005-0000-0000-00004E010000}"/>
    <cellStyle name="Normal 3 3 2 2" xfId="424" xr:uid="{00000000-0005-0000-0000-00004F010000}"/>
    <cellStyle name="Normal 3 3 2 2 2" xfId="843" xr:uid="{00000000-0005-0000-0000-000050010000}"/>
    <cellStyle name="Normal 3 3 2 3" xfId="240" xr:uid="{00000000-0005-0000-0000-000051010000}"/>
    <cellStyle name="Normal 3 3 2 3 2" xfId="659" xr:uid="{00000000-0005-0000-0000-000052010000}"/>
    <cellStyle name="Normal 3 3 2 4" xfId="574" xr:uid="{00000000-0005-0000-0000-000053010000}"/>
    <cellStyle name="Normal 3 3 3" xfId="110" xr:uid="{00000000-0005-0000-0000-000054010000}"/>
    <cellStyle name="Normal 3 3 3 2" xfId="379" xr:uid="{00000000-0005-0000-0000-000055010000}"/>
    <cellStyle name="Normal 3 3 3 2 2" xfId="798" xr:uid="{00000000-0005-0000-0000-000056010000}"/>
    <cellStyle name="Normal 3 3 3 3" xfId="286" xr:uid="{00000000-0005-0000-0000-000057010000}"/>
    <cellStyle name="Normal 3 3 3 3 2" xfId="705" xr:uid="{00000000-0005-0000-0000-000058010000}"/>
    <cellStyle name="Normal 3 3 3 4" xfId="529" xr:uid="{00000000-0005-0000-0000-000059010000}"/>
    <cellStyle name="Normal 3 3 4" xfId="337" xr:uid="{00000000-0005-0000-0000-00005A010000}"/>
    <cellStyle name="Normal 3 3 4 2" xfId="756" xr:uid="{00000000-0005-0000-0000-00005B010000}"/>
    <cellStyle name="Normal 3 3 5" xfId="199" xr:uid="{00000000-0005-0000-0000-00005C010000}"/>
    <cellStyle name="Normal 3 3 5 2" xfId="618" xr:uid="{00000000-0005-0000-0000-00005D010000}"/>
    <cellStyle name="Normal 3 3 6" xfId="483" xr:uid="{00000000-0005-0000-0000-00005E010000}"/>
    <cellStyle name="Normal 3 4" xfId="86" xr:uid="{00000000-0005-0000-0000-00005F010000}"/>
    <cellStyle name="Normal 3 4 2" xfId="178" xr:uid="{00000000-0005-0000-0000-000060010000}"/>
    <cellStyle name="Normal 3 4 2 2" xfId="447" xr:uid="{00000000-0005-0000-0000-000061010000}"/>
    <cellStyle name="Normal 3 4 2 2 2" xfId="866" xr:uid="{00000000-0005-0000-0000-000062010000}"/>
    <cellStyle name="Normal 3 4 2 3" xfId="263" xr:uid="{00000000-0005-0000-0000-000063010000}"/>
    <cellStyle name="Normal 3 4 2 3 2" xfId="682" xr:uid="{00000000-0005-0000-0000-000064010000}"/>
    <cellStyle name="Normal 3 4 2 4" xfId="597" xr:uid="{00000000-0005-0000-0000-000065010000}"/>
    <cellStyle name="Normal 3 4 3" xfId="133" xr:uid="{00000000-0005-0000-0000-000066010000}"/>
    <cellStyle name="Normal 3 4 3 2" xfId="402" xr:uid="{00000000-0005-0000-0000-000067010000}"/>
    <cellStyle name="Normal 3 4 3 2 2" xfId="821" xr:uid="{00000000-0005-0000-0000-000068010000}"/>
    <cellStyle name="Normal 3 4 3 3" xfId="309" xr:uid="{00000000-0005-0000-0000-000069010000}"/>
    <cellStyle name="Normal 3 4 3 3 2" xfId="728" xr:uid="{00000000-0005-0000-0000-00006A010000}"/>
    <cellStyle name="Normal 3 4 3 4" xfId="552" xr:uid="{00000000-0005-0000-0000-00006B010000}"/>
    <cellStyle name="Normal 3 4 4" xfId="360" xr:uid="{00000000-0005-0000-0000-00006C010000}"/>
    <cellStyle name="Normal 3 4 4 2" xfId="779" xr:uid="{00000000-0005-0000-0000-00006D010000}"/>
    <cellStyle name="Normal 3 4 5" xfId="222" xr:uid="{00000000-0005-0000-0000-00006E010000}"/>
    <cellStyle name="Normal 3 4 5 2" xfId="641" xr:uid="{00000000-0005-0000-0000-00006F010000}"/>
    <cellStyle name="Normal 3 4 6" xfId="506" xr:uid="{00000000-0005-0000-0000-000070010000}"/>
    <cellStyle name="Normal 3 5" xfId="146" xr:uid="{00000000-0005-0000-0000-000071010000}"/>
    <cellStyle name="Normal 3 5 2" xfId="415" xr:uid="{00000000-0005-0000-0000-000072010000}"/>
    <cellStyle name="Normal 3 5 2 2" xfId="834" xr:uid="{00000000-0005-0000-0000-000073010000}"/>
    <cellStyle name="Normal 3 5 3" xfId="231" xr:uid="{00000000-0005-0000-0000-000074010000}"/>
    <cellStyle name="Normal 3 5 3 2" xfId="650" xr:uid="{00000000-0005-0000-0000-000075010000}"/>
    <cellStyle name="Normal 3 5 4" xfId="565" xr:uid="{00000000-0005-0000-0000-000076010000}"/>
    <cellStyle name="Normal 3 6" xfId="101" xr:uid="{00000000-0005-0000-0000-000077010000}"/>
    <cellStyle name="Normal 3 6 2" xfId="370" xr:uid="{00000000-0005-0000-0000-000078010000}"/>
    <cellStyle name="Normal 3 6 2 2" xfId="789" xr:uid="{00000000-0005-0000-0000-000079010000}"/>
    <cellStyle name="Normal 3 6 3" xfId="277" xr:uid="{00000000-0005-0000-0000-00007A010000}"/>
    <cellStyle name="Normal 3 6 3 2" xfId="696" xr:uid="{00000000-0005-0000-0000-00007B010000}"/>
    <cellStyle name="Normal 3 6 4" xfId="520" xr:uid="{00000000-0005-0000-0000-00007C010000}"/>
    <cellStyle name="Normal 3 7" xfId="329" xr:uid="{00000000-0005-0000-0000-00007D010000}"/>
    <cellStyle name="Normal 3 7 2" xfId="748" xr:uid="{00000000-0005-0000-0000-00007E010000}"/>
    <cellStyle name="Normal 3 8" xfId="191" xr:uid="{00000000-0005-0000-0000-00007F010000}"/>
    <cellStyle name="Normal 3 8 2" xfId="610" xr:uid="{00000000-0005-0000-0000-000080010000}"/>
    <cellStyle name="Normal 3 9" xfId="474" xr:uid="{00000000-0005-0000-0000-000081010000}"/>
    <cellStyle name="Normal 4" xfId="16" xr:uid="{00000000-0005-0000-0000-000082010000}"/>
    <cellStyle name="Normal 4 2" xfId="24" xr:uid="{00000000-0005-0000-0000-000083010000}"/>
    <cellStyle name="Normal 4 3" xfId="150" xr:uid="{00000000-0005-0000-0000-000084010000}"/>
    <cellStyle name="Normal 4 3 2" xfId="419" xr:uid="{00000000-0005-0000-0000-000085010000}"/>
    <cellStyle name="Normal 4 3 2 2" xfId="838" xr:uid="{00000000-0005-0000-0000-000086010000}"/>
    <cellStyle name="Normal 4 3 3" xfId="235" xr:uid="{00000000-0005-0000-0000-000087010000}"/>
    <cellStyle name="Normal 4 3 3 2" xfId="654" xr:uid="{00000000-0005-0000-0000-000088010000}"/>
    <cellStyle name="Normal 4 3 4" xfId="569" xr:uid="{00000000-0005-0000-0000-000089010000}"/>
    <cellStyle name="Normal 4 4" xfId="105" xr:uid="{00000000-0005-0000-0000-00008A010000}"/>
    <cellStyle name="Normal 4 4 2" xfId="374" xr:uid="{00000000-0005-0000-0000-00008B010000}"/>
    <cellStyle name="Normal 4 4 2 2" xfId="793" xr:uid="{00000000-0005-0000-0000-00008C010000}"/>
    <cellStyle name="Normal 4 4 3" xfId="281" xr:uid="{00000000-0005-0000-0000-00008D010000}"/>
    <cellStyle name="Normal 4 4 3 2" xfId="700" xr:uid="{00000000-0005-0000-0000-00008E010000}"/>
    <cellStyle name="Normal 4 4 4" xfId="524" xr:uid="{00000000-0005-0000-0000-00008F010000}"/>
    <cellStyle name="Normal 4 5" xfId="333" xr:uid="{00000000-0005-0000-0000-000090010000}"/>
    <cellStyle name="Normal 4 5 2" xfId="752" xr:uid="{00000000-0005-0000-0000-000091010000}"/>
    <cellStyle name="Normal 4 6" xfId="195" xr:uid="{00000000-0005-0000-0000-000092010000}"/>
    <cellStyle name="Normal 4 6 2" xfId="614" xr:uid="{00000000-0005-0000-0000-000093010000}"/>
    <cellStyle name="Normal 4 7" xfId="478" xr:uid="{00000000-0005-0000-0000-000094010000}"/>
    <cellStyle name="Normal 5" xfId="18" xr:uid="{00000000-0005-0000-0000-000095010000}"/>
    <cellStyle name="Normal 5 2" xfId="152" xr:uid="{00000000-0005-0000-0000-000096010000}"/>
    <cellStyle name="Normal 5 2 2" xfId="421" xr:uid="{00000000-0005-0000-0000-000097010000}"/>
    <cellStyle name="Normal 5 2 2 2" xfId="840" xr:uid="{00000000-0005-0000-0000-000098010000}"/>
    <cellStyle name="Normal 5 2 3" xfId="237" xr:uid="{00000000-0005-0000-0000-000099010000}"/>
    <cellStyle name="Normal 5 2 3 2" xfId="656" xr:uid="{00000000-0005-0000-0000-00009A010000}"/>
    <cellStyle name="Normal 5 2 4" xfId="571" xr:uid="{00000000-0005-0000-0000-00009B010000}"/>
    <cellStyle name="Normal 5 3" xfId="107" xr:uid="{00000000-0005-0000-0000-00009C010000}"/>
    <cellStyle name="Normal 5 3 2" xfId="376" xr:uid="{00000000-0005-0000-0000-00009D010000}"/>
    <cellStyle name="Normal 5 3 2 2" xfId="795" xr:uid="{00000000-0005-0000-0000-00009E010000}"/>
    <cellStyle name="Normal 5 3 3" xfId="283" xr:uid="{00000000-0005-0000-0000-00009F010000}"/>
    <cellStyle name="Normal 5 3 3 2" xfId="702" xr:uid="{00000000-0005-0000-0000-0000A0010000}"/>
    <cellStyle name="Normal 5 3 4" xfId="526" xr:uid="{00000000-0005-0000-0000-0000A1010000}"/>
    <cellStyle name="Normal 5 4" xfId="334" xr:uid="{00000000-0005-0000-0000-0000A2010000}"/>
    <cellStyle name="Normal 5 4 2" xfId="753" xr:uid="{00000000-0005-0000-0000-0000A3010000}"/>
    <cellStyle name="Normal 5 5" xfId="196" xr:uid="{00000000-0005-0000-0000-0000A4010000}"/>
    <cellStyle name="Normal 5 5 2" xfId="615" xr:uid="{00000000-0005-0000-0000-0000A5010000}"/>
    <cellStyle name="Normal 5 6" xfId="480" xr:uid="{00000000-0005-0000-0000-0000A6010000}"/>
    <cellStyle name="Normal 6" xfId="27" xr:uid="{00000000-0005-0000-0000-0000A7010000}"/>
    <cellStyle name="Normal 7" xfId="82" xr:uid="{00000000-0005-0000-0000-0000A8010000}"/>
    <cellStyle name="Normal 7 2" xfId="176" xr:uid="{00000000-0005-0000-0000-0000A9010000}"/>
    <cellStyle name="Normal 7 2 2" xfId="445" xr:uid="{00000000-0005-0000-0000-0000AA010000}"/>
    <cellStyle name="Normal 7 2 2 2" xfId="864" xr:uid="{00000000-0005-0000-0000-0000AB010000}"/>
    <cellStyle name="Normal 7 2 3" xfId="261" xr:uid="{00000000-0005-0000-0000-0000AC010000}"/>
    <cellStyle name="Normal 7 2 3 2" xfId="680" xr:uid="{00000000-0005-0000-0000-0000AD010000}"/>
    <cellStyle name="Normal 7 2 4" xfId="595" xr:uid="{00000000-0005-0000-0000-0000AE010000}"/>
    <cellStyle name="Normal 7 3" xfId="131" xr:uid="{00000000-0005-0000-0000-0000AF010000}"/>
    <cellStyle name="Normal 7 3 2" xfId="400" xr:uid="{00000000-0005-0000-0000-0000B0010000}"/>
    <cellStyle name="Normal 7 3 2 2" xfId="819" xr:uid="{00000000-0005-0000-0000-0000B1010000}"/>
    <cellStyle name="Normal 7 3 3" xfId="307" xr:uid="{00000000-0005-0000-0000-0000B2010000}"/>
    <cellStyle name="Normal 7 3 3 2" xfId="726" xr:uid="{00000000-0005-0000-0000-0000B3010000}"/>
    <cellStyle name="Normal 7 3 4" xfId="550" xr:uid="{00000000-0005-0000-0000-0000B4010000}"/>
    <cellStyle name="Normal 7 4" xfId="358" xr:uid="{00000000-0005-0000-0000-0000B5010000}"/>
    <cellStyle name="Normal 7 4 2" xfId="777" xr:uid="{00000000-0005-0000-0000-0000B6010000}"/>
    <cellStyle name="Normal 7 5" xfId="220" xr:uid="{00000000-0005-0000-0000-0000B7010000}"/>
    <cellStyle name="Normal 7 5 2" xfId="639" xr:uid="{00000000-0005-0000-0000-0000B8010000}"/>
    <cellStyle name="Normal 7 6" xfId="504" xr:uid="{00000000-0005-0000-0000-0000B9010000}"/>
    <cellStyle name="Normal 8" xfId="84" xr:uid="{00000000-0005-0000-0000-0000BA010000}"/>
    <cellStyle name="Normal 8 2" xfId="177" xr:uid="{00000000-0005-0000-0000-0000BB010000}"/>
    <cellStyle name="Normal 8 2 2" xfId="446" xr:uid="{00000000-0005-0000-0000-0000BC010000}"/>
    <cellStyle name="Normal 8 2 2 2" xfId="865" xr:uid="{00000000-0005-0000-0000-0000BD010000}"/>
    <cellStyle name="Normal 8 2 3" xfId="262" xr:uid="{00000000-0005-0000-0000-0000BE010000}"/>
    <cellStyle name="Normal 8 2 3 2" xfId="681" xr:uid="{00000000-0005-0000-0000-0000BF010000}"/>
    <cellStyle name="Normal 8 2 4" xfId="596" xr:uid="{00000000-0005-0000-0000-0000C0010000}"/>
    <cellStyle name="Normal 8 3" xfId="132" xr:uid="{00000000-0005-0000-0000-0000C1010000}"/>
    <cellStyle name="Normal 8 3 2" xfId="401" xr:uid="{00000000-0005-0000-0000-0000C2010000}"/>
    <cellStyle name="Normal 8 3 2 2" xfId="820" xr:uid="{00000000-0005-0000-0000-0000C3010000}"/>
    <cellStyle name="Normal 8 3 3" xfId="308" xr:uid="{00000000-0005-0000-0000-0000C4010000}"/>
    <cellStyle name="Normal 8 3 3 2" xfId="727" xr:uid="{00000000-0005-0000-0000-0000C5010000}"/>
    <cellStyle name="Normal 8 3 4" xfId="551" xr:uid="{00000000-0005-0000-0000-0000C6010000}"/>
    <cellStyle name="Normal 8 4" xfId="359" xr:uid="{00000000-0005-0000-0000-0000C7010000}"/>
    <cellStyle name="Normal 8 4 2" xfId="778" xr:uid="{00000000-0005-0000-0000-0000C8010000}"/>
    <cellStyle name="Normal 8 5" xfId="221" xr:uid="{00000000-0005-0000-0000-0000C9010000}"/>
    <cellStyle name="Normal 8 5 2" xfId="640" xr:uid="{00000000-0005-0000-0000-0000CA010000}"/>
    <cellStyle name="Normal 8 6" xfId="505" xr:uid="{00000000-0005-0000-0000-0000CB010000}"/>
    <cellStyle name="Normal 9" xfId="87" xr:uid="{00000000-0005-0000-0000-0000CC010000}"/>
    <cellStyle name="Normal_9_Rentab. por Cliente - Veiculos" xfId="6" xr:uid="{00000000-0005-0000-0000-0000CD010000}"/>
    <cellStyle name="Normal_9_Rentab. por Cliente - Veiculos 2" xfId="2" xr:uid="{00000000-0005-0000-0000-0000CE010000}"/>
    <cellStyle name="Nota 2" xfId="65" xr:uid="{00000000-0005-0000-0000-0000D0010000}"/>
    <cellStyle name="Porcentagem" xfId="1" builtinId="5"/>
    <cellStyle name="Porcentagem 10" xfId="1004" xr:uid="{00000000-0005-0000-0000-0000D2010000}"/>
    <cellStyle name="Porcentagem 11" xfId="1062" xr:uid="{00000000-0005-0000-0000-0000D3010000}"/>
    <cellStyle name="Porcentagem 2" xfId="5" xr:uid="{00000000-0005-0000-0000-0000D4010000}"/>
    <cellStyle name="Porcentagem 2 2" xfId="10" xr:uid="{00000000-0005-0000-0000-0000D5010000}"/>
    <cellStyle name="Porcentagem 2 3" xfId="75" xr:uid="{00000000-0005-0000-0000-0000D6010000}"/>
    <cellStyle name="Porcentagem 3" xfId="11" xr:uid="{00000000-0005-0000-0000-0000D7010000}"/>
    <cellStyle name="Porcentagem 3 2" xfId="72" xr:uid="{00000000-0005-0000-0000-0000D8010000}"/>
    <cellStyle name="Porcentagem 3 3" xfId="145" xr:uid="{00000000-0005-0000-0000-0000D9010000}"/>
    <cellStyle name="Porcentagem 3 3 2" xfId="414" xr:uid="{00000000-0005-0000-0000-0000DA010000}"/>
    <cellStyle name="Porcentagem 3 3 2 2" xfId="833" xr:uid="{00000000-0005-0000-0000-0000DB010000}"/>
    <cellStyle name="Porcentagem 3 3 3" xfId="230" xr:uid="{00000000-0005-0000-0000-0000DC010000}"/>
    <cellStyle name="Porcentagem 3 3 3 2" xfId="649" xr:uid="{00000000-0005-0000-0000-0000DD010000}"/>
    <cellStyle name="Porcentagem 3 3 4" xfId="564" xr:uid="{00000000-0005-0000-0000-0000DE010000}"/>
    <cellStyle name="Porcentagem 3 4" xfId="100" xr:uid="{00000000-0005-0000-0000-0000DF010000}"/>
    <cellStyle name="Porcentagem 3 4 2" xfId="369" xr:uid="{00000000-0005-0000-0000-0000E0010000}"/>
    <cellStyle name="Porcentagem 3 4 2 2" xfId="788" xr:uid="{00000000-0005-0000-0000-0000E1010000}"/>
    <cellStyle name="Porcentagem 3 4 3" xfId="276" xr:uid="{00000000-0005-0000-0000-0000E2010000}"/>
    <cellStyle name="Porcentagem 3 4 3 2" xfId="695" xr:uid="{00000000-0005-0000-0000-0000E3010000}"/>
    <cellStyle name="Porcentagem 3 4 4" xfId="519" xr:uid="{00000000-0005-0000-0000-0000E4010000}"/>
    <cellStyle name="Porcentagem 3 5" xfId="328" xr:uid="{00000000-0005-0000-0000-0000E5010000}"/>
    <cellStyle name="Porcentagem 3 5 2" xfId="747" xr:uid="{00000000-0005-0000-0000-0000E6010000}"/>
    <cellStyle name="Porcentagem 3 6" xfId="190" xr:uid="{00000000-0005-0000-0000-0000E7010000}"/>
    <cellStyle name="Porcentagem 3 6 2" xfId="609" xr:uid="{00000000-0005-0000-0000-0000E8010000}"/>
    <cellStyle name="Porcentagem 3 7" xfId="473" xr:uid="{00000000-0005-0000-0000-0000E9010000}"/>
    <cellStyle name="Porcentagem 4" xfId="14" xr:uid="{00000000-0005-0000-0000-0000EA010000}"/>
    <cellStyle name="Porcentagem 4 2" xfId="148" xr:uid="{00000000-0005-0000-0000-0000EB010000}"/>
    <cellStyle name="Porcentagem 4 2 2" xfId="417" xr:uid="{00000000-0005-0000-0000-0000EC010000}"/>
    <cellStyle name="Porcentagem 4 2 2 2" xfId="836" xr:uid="{00000000-0005-0000-0000-0000ED010000}"/>
    <cellStyle name="Porcentagem 4 2 3" xfId="233" xr:uid="{00000000-0005-0000-0000-0000EE010000}"/>
    <cellStyle name="Porcentagem 4 2 3 2" xfId="652" xr:uid="{00000000-0005-0000-0000-0000EF010000}"/>
    <cellStyle name="Porcentagem 4 2 4" xfId="567" xr:uid="{00000000-0005-0000-0000-0000F0010000}"/>
    <cellStyle name="Porcentagem 4 3" xfId="103" xr:uid="{00000000-0005-0000-0000-0000F1010000}"/>
    <cellStyle name="Porcentagem 4 3 2" xfId="372" xr:uid="{00000000-0005-0000-0000-0000F2010000}"/>
    <cellStyle name="Porcentagem 4 3 2 2" xfId="791" xr:uid="{00000000-0005-0000-0000-0000F3010000}"/>
    <cellStyle name="Porcentagem 4 3 3" xfId="279" xr:uid="{00000000-0005-0000-0000-0000F4010000}"/>
    <cellStyle name="Porcentagem 4 3 3 2" xfId="698" xr:uid="{00000000-0005-0000-0000-0000F5010000}"/>
    <cellStyle name="Porcentagem 4 3 4" xfId="522" xr:uid="{00000000-0005-0000-0000-0000F6010000}"/>
    <cellStyle name="Porcentagem 4 4" xfId="331" xr:uid="{00000000-0005-0000-0000-0000F7010000}"/>
    <cellStyle name="Porcentagem 4 4 2" xfId="750" xr:uid="{00000000-0005-0000-0000-0000F8010000}"/>
    <cellStyle name="Porcentagem 4 5" xfId="193" xr:uid="{00000000-0005-0000-0000-0000F9010000}"/>
    <cellStyle name="Porcentagem 4 5 2" xfId="612" xr:uid="{00000000-0005-0000-0000-0000FA010000}"/>
    <cellStyle name="Porcentagem 4 6" xfId="476" xr:uid="{00000000-0005-0000-0000-0000FB010000}"/>
    <cellStyle name="Porcentagem 5" xfId="20" xr:uid="{00000000-0005-0000-0000-0000FC010000}"/>
    <cellStyle name="Porcentagem 5 2" xfId="154" xr:uid="{00000000-0005-0000-0000-0000FD010000}"/>
    <cellStyle name="Porcentagem 5 2 2" xfId="423" xr:uid="{00000000-0005-0000-0000-0000FE010000}"/>
    <cellStyle name="Porcentagem 5 2 2 2" xfId="842" xr:uid="{00000000-0005-0000-0000-0000FF010000}"/>
    <cellStyle name="Porcentagem 5 2 3" xfId="239" xr:uid="{00000000-0005-0000-0000-000000020000}"/>
    <cellStyle name="Porcentagem 5 2 3 2" xfId="658" xr:uid="{00000000-0005-0000-0000-000001020000}"/>
    <cellStyle name="Porcentagem 5 2 4" xfId="573" xr:uid="{00000000-0005-0000-0000-000002020000}"/>
    <cellStyle name="Porcentagem 5 3" xfId="109" xr:uid="{00000000-0005-0000-0000-000003020000}"/>
    <cellStyle name="Porcentagem 5 3 2" xfId="378" xr:uid="{00000000-0005-0000-0000-000004020000}"/>
    <cellStyle name="Porcentagem 5 3 2 2" xfId="797" xr:uid="{00000000-0005-0000-0000-000005020000}"/>
    <cellStyle name="Porcentagem 5 3 3" xfId="285" xr:uid="{00000000-0005-0000-0000-000006020000}"/>
    <cellStyle name="Porcentagem 5 3 3 2" xfId="704" xr:uid="{00000000-0005-0000-0000-000007020000}"/>
    <cellStyle name="Porcentagem 5 3 4" xfId="528" xr:uid="{00000000-0005-0000-0000-000008020000}"/>
    <cellStyle name="Porcentagem 5 4" xfId="336" xr:uid="{00000000-0005-0000-0000-000009020000}"/>
    <cellStyle name="Porcentagem 5 4 2" xfId="755" xr:uid="{00000000-0005-0000-0000-00000A020000}"/>
    <cellStyle name="Porcentagem 5 5" xfId="198" xr:uid="{00000000-0005-0000-0000-00000B020000}"/>
    <cellStyle name="Porcentagem 5 5 2" xfId="617" xr:uid="{00000000-0005-0000-0000-00000C020000}"/>
    <cellStyle name="Porcentagem 5 6" xfId="482" xr:uid="{00000000-0005-0000-0000-00000D020000}"/>
    <cellStyle name="Porcentagem 6" xfId="96" xr:uid="{00000000-0005-0000-0000-00000E020000}"/>
    <cellStyle name="Porcentagem 6 2" xfId="187" xr:uid="{00000000-0005-0000-0000-00000F020000}"/>
    <cellStyle name="Porcentagem 6 2 2" xfId="456" xr:uid="{00000000-0005-0000-0000-000010020000}"/>
    <cellStyle name="Porcentagem 6 2 2 2" xfId="875" xr:uid="{00000000-0005-0000-0000-000011020000}"/>
    <cellStyle name="Porcentagem 6 2 3" xfId="325" xr:uid="{00000000-0005-0000-0000-000012020000}"/>
    <cellStyle name="Porcentagem 6 2 3 2" xfId="744" xr:uid="{00000000-0005-0000-0000-000013020000}"/>
    <cellStyle name="Porcentagem 6 2 4" xfId="606" xr:uid="{00000000-0005-0000-0000-000014020000}"/>
    <cellStyle name="Porcentagem 6 3" xfId="365" xr:uid="{00000000-0005-0000-0000-000015020000}"/>
    <cellStyle name="Porcentagem 6 3 2" xfId="784" xr:uid="{00000000-0005-0000-0000-000016020000}"/>
    <cellStyle name="Porcentagem 6 4" xfId="272" xr:uid="{00000000-0005-0000-0000-000017020000}"/>
    <cellStyle name="Porcentagem 6 4 2" xfId="691" xr:uid="{00000000-0005-0000-0000-000018020000}"/>
    <cellStyle name="Porcentagem 6 5" xfId="515" xr:uid="{00000000-0005-0000-0000-000019020000}"/>
    <cellStyle name="Porcentagem 7" xfId="468" xr:uid="{00000000-0005-0000-0000-00001A020000}"/>
    <cellStyle name="Porcentagem 7 2" xfId="887" xr:uid="{00000000-0005-0000-0000-00001B020000}"/>
    <cellStyle name="Porcentagem 8" xfId="916" xr:uid="{00000000-0005-0000-0000-00001C020000}"/>
    <cellStyle name="Porcentagem 9" xfId="946" xr:uid="{00000000-0005-0000-0000-00001D020000}"/>
    <cellStyle name="Saída 2" xfId="66" xr:uid="{00000000-0005-0000-0000-00001E020000}"/>
    <cellStyle name="Separador de milhares 10" xfId="90" xr:uid="{00000000-0005-0000-0000-00001F020000}"/>
    <cellStyle name="Separador de milhares 10 2" xfId="181" xr:uid="{00000000-0005-0000-0000-000020020000}"/>
    <cellStyle name="Separador de milhares 10 2 2" xfId="321" xr:uid="{00000000-0005-0000-0000-000021020000}"/>
    <cellStyle name="Separador de milhares 10 2 2 2" xfId="461" xr:uid="{00000000-0005-0000-0000-000022020000}"/>
    <cellStyle name="Separador de milhares 10 2 2 2 2" xfId="880" xr:uid="{00000000-0005-0000-0000-000023020000}"/>
    <cellStyle name="Separador de milhares 10 2 2 3" xfId="740" xr:uid="{00000000-0005-0000-0000-000024020000}"/>
    <cellStyle name="Separador de milhares 10 2 3" xfId="450" xr:uid="{00000000-0005-0000-0000-000025020000}"/>
    <cellStyle name="Separador de milhares 10 2 3 2" xfId="869" xr:uid="{00000000-0005-0000-0000-000026020000}"/>
    <cellStyle name="Separador de milhares 10 2 4" xfId="266" xr:uid="{00000000-0005-0000-0000-000027020000}"/>
    <cellStyle name="Separador de milhares 10 2 4 2" xfId="685" xr:uid="{00000000-0005-0000-0000-000028020000}"/>
    <cellStyle name="Separador de milhares 10 2 5" xfId="600" xr:uid="{00000000-0005-0000-0000-000029020000}"/>
    <cellStyle name="Separador de milhares 10 3" xfId="136" xr:uid="{00000000-0005-0000-0000-00002A020000}"/>
    <cellStyle name="Separador de milhares 10 3 2" xfId="405" xr:uid="{00000000-0005-0000-0000-00002B020000}"/>
    <cellStyle name="Separador de milhares 10 3 2 2" xfId="824" xr:uid="{00000000-0005-0000-0000-00002C020000}"/>
    <cellStyle name="Separador de milhares 10 3 3" xfId="312" xr:uid="{00000000-0005-0000-0000-00002D020000}"/>
    <cellStyle name="Separador de milhares 10 3 3 2" xfId="731" xr:uid="{00000000-0005-0000-0000-00002E020000}"/>
    <cellStyle name="Separador de milhares 10 3 4" xfId="555" xr:uid="{00000000-0005-0000-0000-00002F020000}"/>
    <cellStyle name="Separador de milhares 10 4" xfId="509" xr:uid="{00000000-0005-0000-0000-000030020000}"/>
    <cellStyle name="Separador de milhares 2" xfId="8" xr:uid="{00000000-0005-0000-0000-000031020000}"/>
    <cellStyle name="Separador de milhares 2 2" xfId="22" xr:uid="{00000000-0005-0000-0000-000032020000}"/>
    <cellStyle name="Separador de milhares 2 3" xfId="80" xr:uid="{00000000-0005-0000-0000-000033020000}"/>
    <cellStyle name="Separador de milhares 2 4" xfId="76" xr:uid="{00000000-0005-0000-0000-000034020000}"/>
    <cellStyle name="Separador de milhares 2 4 2" xfId="172" xr:uid="{00000000-0005-0000-0000-000035020000}"/>
    <cellStyle name="Separador de milhares 2 4 2 2" xfId="441" xr:uid="{00000000-0005-0000-0000-000036020000}"/>
    <cellStyle name="Separador de milhares 2 4 2 2 2" xfId="860" xr:uid="{00000000-0005-0000-0000-000037020000}"/>
    <cellStyle name="Separador de milhares 2 4 2 3" xfId="257" xr:uid="{00000000-0005-0000-0000-000038020000}"/>
    <cellStyle name="Separador de milhares 2 4 2 3 2" xfId="676" xr:uid="{00000000-0005-0000-0000-000039020000}"/>
    <cellStyle name="Separador de milhares 2 4 2 4" xfId="591" xr:uid="{00000000-0005-0000-0000-00003A020000}"/>
    <cellStyle name="Separador de milhares 2 4 3" xfId="127" xr:uid="{00000000-0005-0000-0000-00003B020000}"/>
    <cellStyle name="Separador de milhares 2 4 3 2" xfId="396" xr:uid="{00000000-0005-0000-0000-00003C020000}"/>
    <cellStyle name="Separador de milhares 2 4 3 2 2" xfId="815" xr:uid="{00000000-0005-0000-0000-00003D020000}"/>
    <cellStyle name="Separador de milhares 2 4 3 3" xfId="303" xr:uid="{00000000-0005-0000-0000-00003E020000}"/>
    <cellStyle name="Separador de milhares 2 4 3 3 2" xfId="722" xr:uid="{00000000-0005-0000-0000-00003F020000}"/>
    <cellStyle name="Separador de milhares 2 4 3 4" xfId="546" xr:uid="{00000000-0005-0000-0000-000040020000}"/>
    <cellStyle name="Separador de milhares 2 4 4" xfId="354" xr:uid="{00000000-0005-0000-0000-000041020000}"/>
    <cellStyle name="Separador de milhares 2 4 4 2" xfId="773" xr:uid="{00000000-0005-0000-0000-000042020000}"/>
    <cellStyle name="Separador de milhares 2 4 5" xfId="216" xr:uid="{00000000-0005-0000-0000-000043020000}"/>
    <cellStyle name="Separador de milhares 2 4 5 2" xfId="635" xr:uid="{00000000-0005-0000-0000-000044020000}"/>
    <cellStyle name="Separador de milhares 2 4 6" xfId="500" xr:uid="{00000000-0005-0000-0000-000045020000}"/>
    <cellStyle name="Separador de milhares 2 5" xfId="143" xr:uid="{00000000-0005-0000-0000-000046020000}"/>
    <cellStyle name="Separador de milhares 2 5 2" xfId="318" xr:uid="{00000000-0005-0000-0000-000047020000}"/>
    <cellStyle name="Separador de milhares 2 5 2 2" xfId="458" xr:uid="{00000000-0005-0000-0000-000048020000}"/>
    <cellStyle name="Separador de milhares 2 5 2 2 2" xfId="877" xr:uid="{00000000-0005-0000-0000-000049020000}"/>
    <cellStyle name="Separador de milhares 2 5 2 3" xfId="737" xr:uid="{00000000-0005-0000-0000-00004A020000}"/>
    <cellStyle name="Separador de milhares 2 5 3" xfId="412" xr:uid="{00000000-0005-0000-0000-00004B020000}"/>
    <cellStyle name="Separador de milhares 2 5 3 2" xfId="831" xr:uid="{00000000-0005-0000-0000-00004C020000}"/>
    <cellStyle name="Separador de milhares 2 5 4" xfId="228" xr:uid="{00000000-0005-0000-0000-00004D020000}"/>
    <cellStyle name="Separador de milhares 2 5 4 2" xfId="647" xr:uid="{00000000-0005-0000-0000-00004E020000}"/>
    <cellStyle name="Separador de milhares 2 5 5" xfId="562" xr:uid="{00000000-0005-0000-0000-00004F020000}"/>
    <cellStyle name="Separador de milhares 2 6" xfId="98" xr:uid="{00000000-0005-0000-0000-000050020000}"/>
    <cellStyle name="Separador de milhares 2 6 2" xfId="367" xr:uid="{00000000-0005-0000-0000-000051020000}"/>
    <cellStyle name="Separador de milhares 2 6 2 2" xfId="786" xr:uid="{00000000-0005-0000-0000-000052020000}"/>
    <cellStyle name="Separador de milhares 2 6 3" xfId="274" xr:uid="{00000000-0005-0000-0000-000053020000}"/>
    <cellStyle name="Separador de milhares 2 6 3 2" xfId="693" xr:uid="{00000000-0005-0000-0000-000054020000}"/>
    <cellStyle name="Separador de milhares 2 6 4" xfId="517" xr:uid="{00000000-0005-0000-0000-000055020000}"/>
    <cellStyle name="Separador de milhares 2 7" xfId="471" xr:uid="{00000000-0005-0000-0000-000056020000}"/>
    <cellStyle name="Separador de milhares 25" xfId="71" xr:uid="{00000000-0005-0000-0000-000057020000}"/>
    <cellStyle name="Separador de milhares 25 2" xfId="170" xr:uid="{00000000-0005-0000-0000-000058020000}"/>
    <cellStyle name="Separador de milhares 25 2 2" xfId="439" xr:uid="{00000000-0005-0000-0000-000059020000}"/>
    <cellStyle name="Separador de milhares 25 2 2 2" xfId="858" xr:uid="{00000000-0005-0000-0000-00005A020000}"/>
    <cellStyle name="Separador de milhares 25 2 3" xfId="255" xr:uid="{00000000-0005-0000-0000-00005B020000}"/>
    <cellStyle name="Separador de milhares 25 2 3 2" xfId="674" xr:uid="{00000000-0005-0000-0000-00005C020000}"/>
    <cellStyle name="Separador de milhares 25 2 4" xfId="589" xr:uid="{00000000-0005-0000-0000-00005D020000}"/>
    <cellStyle name="Separador de milhares 25 3" xfId="125" xr:uid="{00000000-0005-0000-0000-00005E020000}"/>
    <cellStyle name="Separador de milhares 25 3 2" xfId="394" xr:uid="{00000000-0005-0000-0000-00005F020000}"/>
    <cellStyle name="Separador de milhares 25 3 2 2" xfId="813" xr:uid="{00000000-0005-0000-0000-000060020000}"/>
    <cellStyle name="Separador de milhares 25 3 3" xfId="301" xr:uid="{00000000-0005-0000-0000-000061020000}"/>
    <cellStyle name="Separador de milhares 25 3 3 2" xfId="720" xr:uid="{00000000-0005-0000-0000-000062020000}"/>
    <cellStyle name="Separador de milhares 25 3 4" xfId="544" xr:uid="{00000000-0005-0000-0000-000063020000}"/>
    <cellStyle name="Separador de milhares 25 4" xfId="352" xr:uid="{00000000-0005-0000-0000-000064020000}"/>
    <cellStyle name="Separador de milhares 25 4 2" xfId="771" xr:uid="{00000000-0005-0000-0000-000065020000}"/>
    <cellStyle name="Separador de milhares 25 5" xfId="214" xr:uid="{00000000-0005-0000-0000-000066020000}"/>
    <cellStyle name="Separador de milhares 25 5 2" xfId="633" xr:uid="{00000000-0005-0000-0000-000067020000}"/>
    <cellStyle name="Separador de milhares 25 6" xfId="498" xr:uid="{00000000-0005-0000-0000-000068020000}"/>
    <cellStyle name="Separador de milhares 3" xfId="70" xr:uid="{00000000-0005-0000-0000-000069020000}"/>
    <cellStyle name="Separador de milhares 3 2" xfId="169" xr:uid="{00000000-0005-0000-0000-00006A020000}"/>
    <cellStyle name="Separador de milhares 3 2 2" xfId="438" xr:uid="{00000000-0005-0000-0000-00006B020000}"/>
    <cellStyle name="Separador de milhares 3 2 2 2" xfId="857" xr:uid="{00000000-0005-0000-0000-00006C020000}"/>
    <cellStyle name="Separador de milhares 3 2 3" xfId="254" xr:uid="{00000000-0005-0000-0000-00006D020000}"/>
    <cellStyle name="Separador de milhares 3 2 3 2" xfId="673" xr:uid="{00000000-0005-0000-0000-00006E020000}"/>
    <cellStyle name="Separador de milhares 3 2 4" xfId="588" xr:uid="{00000000-0005-0000-0000-00006F020000}"/>
    <cellStyle name="Separador de milhares 3 3" xfId="124" xr:uid="{00000000-0005-0000-0000-000070020000}"/>
    <cellStyle name="Separador de milhares 3 3 2" xfId="393" xr:uid="{00000000-0005-0000-0000-000071020000}"/>
    <cellStyle name="Separador de milhares 3 3 2 2" xfId="812" xr:uid="{00000000-0005-0000-0000-000072020000}"/>
    <cellStyle name="Separador de milhares 3 3 3" xfId="300" xr:uid="{00000000-0005-0000-0000-000073020000}"/>
    <cellStyle name="Separador de milhares 3 3 3 2" xfId="719" xr:uid="{00000000-0005-0000-0000-000074020000}"/>
    <cellStyle name="Separador de milhares 3 3 4" xfId="543" xr:uid="{00000000-0005-0000-0000-000075020000}"/>
    <cellStyle name="Separador de milhares 3 4" xfId="351" xr:uid="{00000000-0005-0000-0000-000076020000}"/>
    <cellStyle name="Separador de milhares 3 4 2" xfId="770" xr:uid="{00000000-0005-0000-0000-000077020000}"/>
    <cellStyle name="Separador de milhares 3 5" xfId="213" xr:uid="{00000000-0005-0000-0000-000078020000}"/>
    <cellStyle name="Separador de milhares 3 5 2" xfId="632" xr:uid="{00000000-0005-0000-0000-000079020000}"/>
    <cellStyle name="Separador de milhares 3 6" xfId="497" xr:uid="{00000000-0005-0000-0000-00007A020000}"/>
    <cellStyle name="Texto de Aviso 2" xfId="69" xr:uid="{00000000-0005-0000-0000-00007B020000}"/>
    <cellStyle name="Texto Explicativo 2" xfId="56" xr:uid="{00000000-0005-0000-0000-00007C020000}"/>
    <cellStyle name="Título 1 2" xfId="58" xr:uid="{00000000-0005-0000-0000-00007D020000}"/>
    <cellStyle name="Título 2 2" xfId="59" xr:uid="{00000000-0005-0000-0000-00007E020000}"/>
    <cellStyle name="Título 3 2" xfId="60" xr:uid="{00000000-0005-0000-0000-00007F020000}"/>
    <cellStyle name="Título 4 2" xfId="61" xr:uid="{00000000-0005-0000-0000-000080020000}"/>
    <cellStyle name="Título 5" xfId="28" xr:uid="{00000000-0005-0000-0000-000081020000}"/>
    <cellStyle name="Total 2" xfId="68" xr:uid="{00000000-0005-0000-0000-000082020000}"/>
    <cellStyle name="Vírgula" xfId="89" builtinId="3"/>
    <cellStyle name="Vírgula 10" xfId="361" xr:uid="{00000000-0005-0000-0000-000084020000}"/>
    <cellStyle name="Vírgula 10 2" xfId="780" xr:uid="{00000000-0005-0000-0000-000085020000}"/>
    <cellStyle name="Vírgula 10 2 2" xfId="974" xr:uid="{00000000-0005-0000-0000-000086020000}"/>
    <cellStyle name="Vírgula 10 2 3" xfId="1032" xr:uid="{00000000-0005-0000-0000-000087020000}"/>
    <cellStyle name="Vírgula 10 2 4" xfId="1090" xr:uid="{00000000-0005-0000-0000-000088020000}"/>
    <cellStyle name="Vírgula 10 3" xfId="917" xr:uid="{00000000-0005-0000-0000-000089020000}"/>
    <cellStyle name="Vírgula 10 4" xfId="947" xr:uid="{00000000-0005-0000-0000-00008A020000}"/>
    <cellStyle name="Vírgula 10 5" xfId="1005" xr:uid="{00000000-0005-0000-0000-00008B020000}"/>
    <cellStyle name="Vírgula 10 6" xfId="1063" xr:uid="{00000000-0005-0000-0000-00008C020000}"/>
    <cellStyle name="Vírgula 11" xfId="223" xr:uid="{00000000-0005-0000-0000-00008D020000}"/>
    <cellStyle name="Vírgula 11 2" xfId="642" xr:uid="{00000000-0005-0000-0000-00008E020000}"/>
    <cellStyle name="Vírgula 11 2 2" xfId="983" xr:uid="{00000000-0005-0000-0000-00008F020000}"/>
    <cellStyle name="Vírgula 11 2 3" xfId="1041" xr:uid="{00000000-0005-0000-0000-000090020000}"/>
    <cellStyle name="Vírgula 11 2 4" xfId="1099" xr:uid="{00000000-0005-0000-0000-000091020000}"/>
    <cellStyle name="Vírgula 11 3" xfId="926" xr:uid="{00000000-0005-0000-0000-000092020000}"/>
    <cellStyle name="Vírgula 11 4" xfId="956" xr:uid="{00000000-0005-0000-0000-000093020000}"/>
    <cellStyle name="Vírgula 11 5" xfId="1014" xr:uid="{00000000-0005-0000-0000-000094020000}"/>
    <cellStyle name="Vírgula 11 6" xfId="1072" xr:uid="{00000000-0005-0000-0000-000095020000}"/>
    <cellStyle name="Vírgula 12" xfId="469" xr:uid="{00000000-0005-0000-0000-000096020000}"/>
    <cellStyle name="Vírgula 12 2" xfId="888" xr:uid="{00000000-0005-0000-0000-000097020000}"/>
    <cellStyle name="Vírgula 12 2 2" xfId="984" xr:uid="{00000000-0005-0000-0000-000098020000}"/>
    <cellStyle name="Vírgula 12 2 3" xfId="1042" xr:uid="{00000000-0005-0000-0000-000099020000}"/>
    <cellStyle name="Vírgula 12 2 4" xfId="1100" xr:uid="{00000000-0005-0000-0000-00009A020000}"/>
    <cellStyle name="Vírgula 12 3" xfId="927" xr:uid="{00000000-0005-0000-0000-00009B020000}"/>
    <cellStyle name="Vírgula 12 4" xfId="957" xr:uid="{00000000-0005-0000-0000-00009C020000}"/>
    <cellStyle name="Vírgula 12 5" xfId="1015" xr:uid="{00000000-0005-0000-0000-00009D020000}"/>
    <cellStyle name="Vírgula 12 6" xfId="1073" xr:uid="{00000000-0005-0000-0000-00009E020000}"/>
    <cellStyle name="Vírgula 13" xfId="508" xr:uid="{00000000-0005-0000-0000-00009F020000}"/>
    <cellStyle name="Vírgula 13 2" xfId="928" xr:uid="{00000000-0005-0000-0000-0000A0020000}"/>
    <cellStyle name="Vírgula 13 2 2" xfId="985" xr:uid="{00000000-0005-0000-0000-0000A1020000}"/>
    <cellStyle name="Vírgula 13 2 3" xfId="1043" xr:uid="{00000000-0005-0000-0000-0000A2020000}"/>
    <cellStyle name="Vírgula 13 2 4" xfId="1101" xr:uid="{00000000-0005-0000-0000-0000A3020000}"/>
    <cellStyle name="Vírgula 13 3" xfId="958" xr:uid="{00000000-0005-0000-0000-0000A4020000}"/>
    <cellStyle name="Vírgula 13 4" xfId="1016" xr:uid="{00000000-0005-0000-0000-0000A5020000}"/>
    <cellStyle name="Vírgula 13 5" xfId="1074" xr:uid="{00000000-0005-0000-0000-0000A6020000}"/>
    <cellStyle name="Vírgula 14" xfId="892" xr:uid="{00000000-0005-0000-0000-0000A7020000}"/>
    <cellStyle name="Vírgula 14 2" xfId="929" xr:uid="{00000000-0005-0000-0000-0000A8020000}"/>
    <cellStyle name="Vírgula 14 2 2" xfId="986" xr:uid="{00000000-0005-0000-0000-0000A9020000}"/>
    <cellStyle name="Vírgula 14 2 3" xfId="1044" xr:uid="{00000000-0005-0000-0000-0000AA020000}"/>
    <cellStyle name="Vírgula 14 2 4" xfId="1102" xr:uid="{00000000-0005-0000-0000-0000AB020000}"/>
    <cellStyle name="Vírgula 14 3" xfId="959" xr:uid="{00000000-0005-0000-0000-0000AC020000}"/>
    <cellStyle name="Vírgula 14 4" xfId="1017" xr:uid="{00000000-0005-0000-0000-0000AD020000}"/>
    <cellStyle name="Vírgula 14 5" xfId="1075" xr:uid="{00000000-0005-0000-0000-0000AE020000}"/>
    <cellStyle name="Vírgula 15" xfId="899" xr:uid="{00000000-0005-0000-0000-0000AF020000}"/>
    <cellStyle name="Vírgula 15 2" xfId="930" xr:uid="{00000000-0005-0000-0000-0000B0020000}"/>
    <cellStyle name="Vírgula 15 2 2" xfId="987" xr:uid="{00000000-0005-0000-0000-0000B1020000}"/>
    <cellStyle name="Vírgula 15 2 3" xfId="1045" xr:uid="{00000000-0005-0000-0000-0000B2020000}"/>
    <cellStyle name="Vírgula 15 2 4" xfId="1103" xr:uid="{00000000-0005-0000-0000-0000B3020000}"/>
    <cellStyle name="Vírgula 15 3" xfId="960" xr:uid="{00000000-0005-0000-0000-0000B4020000}"/>
    <cellStyle name="Vírgula 15 4" xfId="1018" xr:uid="{00000000-0005-0000-0000-0000B5020000}"/>
    <cellStyle name="Vírgula 15 5" xfId="1076" xr:uid="{00000000-0005-0000-0000-0000B6020000}"/>
    <cellStyle name="Vírgula 16" xfId="906" xr:uid="{00000000-0005-0000-0000-0000B7020000}"/>
    <cellStyle name="Vírgula 16 2" xfId="931" xr:uid="{00000000-0005-0000-0000-0000B8020000}"/>
    <cellStyle name="Vírgula 16 2 2" xfId="988" xr:uid="{00000000-0005-0000-0000-0000B9020000}"/>
    <cellStyle name="Vírgula 16 2 3" xfId="1046" xr:uid="{00000000-0005-0000-0000-0000BA020000}"/>
    <cellStyle name="Vírgula 16 2 4" xfId="1104" xr:uid="{00000000-0005-0000-0000-0000BB020000}"/>
    <cellStyle name="Vírgula 16 3" xfId="961" xr:uid="{00000000-0005-0000-0000-0000BC020000}"/>
    <cellStyle name="Vírgula 16 4" xfId="1019" xr:uid="{00000000-0005-0000-0000-0000BD020000}"/>
    <cellStyle name="Vírgula 16 5" xfId="1077" xr:uid="{00000000-0005-0000-0000-0000BE020000}"/>
    <cellStyle name="Vírgula 17" xfId="91" xr:uid="{00000000-0005-0000-0000-0000BF020000}"/>
    <cellStyle name="Vírgula 17 2" xfId="182" xr:uid="{00000000-0005-0000-0000-0000C0020000}"/>
    <cellStyle name="Vírgula 17 2 2" xfId="322" xr:uid="{00000000-0005-0000-0000-0000C1020000}"/>
    <cellStyle name="Vírgula 17 2 2 2" xfId="462" xr:uid="{00000000-0005-0000-0000-0000C2020000}"/>
    <cellStyle name="Vírgula 17 2 2 2 2" xfId="881" xr:uid="{00000000-0005-0000-0000-0000C3020000}"/>
    <cellStyle name="Vírgula 17 2 2 3" xfId="741" xr:uid="{00000000-0005-0000-0000-0000C4020000}"/>
    <cellStyle name="Vírgula 17 2 3" xfId="451" xr:uid="{00000000-0005-0000-0000-0000C5020000}"/>
    <cellStyle name="Vírgula 17 2 3 2" xfId="870" xr:uid="{00000000-0005-0000-0000-0000C6020000}"/>
    <cellStyle name="Vírgula 17 2 4" xfId="267" xr:uid="{00000000-0005-0000-0000-0000C7020000}"/>
    <cellStyle name="Vírgula 17 2 4 2" xfId="686" xr:uid="{00000000-0005-0000-0000-0000C8020000}"/>
    <cellStyle name="Vírgula 17 2 5" xfId="601" xr:uid="{00000000-0005-0000-0000-0000C9020000}"/>
    <cellStyle name="Vírgula 17 2 6" xfId="989" xr:uid="{00000000-0005-0000-0000-0000CA020000}"/>
    <cellStyle name="Vírgula 17 2 7" xfId="1047" xr:uid="{00000000-0005-0000-0000-0000CB020000}"/>
    <cellStyle name="Vírgula 17 2 8" xfId="1105" xr:uid="{00000000-0005-0000-0000-0000CC020000}"/>
    <cellStyle name="Vírgula 17 3" xfId="137" xr:uid="{00000000-0005-0000-0000-0000CD020000}"/>
    <cellStyle name="Vírgula 17 3 2" xfId="406" xr:uid="{00000000-0005-0000-0000-0000CE020000}"/>
    <cellStyle name="Vírgula 17 3 2 2" xfId="825" xr:uid="{00000000-0005-0000-0000-0000CF020000}"/>
    <cellStyle name="Vírgula 17 3 3" xfId="313" xr:uid="{00000000-0005-0000-0000-0000D0020000}"/>
    <cellStyle name="Vírgula 17 3 3 2" xfId="732" xr:uid="{00000000-0005-0000-0000-0000D1020000}"/>
    <cellStyle name="Vírgula 17 3 4" xfId="556" xr:uid="{00000000-0005-0000-0000-0000D2020000}"/>
    <cellStyle name="Vírgula 17 4" xfId="510" xr:uid="{00000000-0005-0000-0000-0000D3020000}"/>
    <cellStyle name="Vírgula 17 5" xfId="932" xr:uid="{00000000-0005-0000-0000-0000D4020000}"/>
    <cellStyle name="Vírgula 17 6" xfId="962" xr:uid="{00000000-0005-0000-0000-0000D5020000}"/>
    <cellStyle name="Vírgula 17 7" xfId="1020" xr:uid="{00000000-0005-0000-0000-0000D6020000}"/>
    <cellStyle name="Vírgula 17 8" xfId="1078" xr:uid="{00000000-0005-0000-0000-0000D7020000}"/>
    <cellStyle name="Vírgula 18" xfId="933" xr:uid="{00000000-0005-0000-0000-0000D8020000}"/>
    <cellStyle name="Vírgula 18 2" xfId="990" xr:uid="{00000000-0005-0000-0000-0000D9020000}"/>
    <cellStyle name="Vírgula 18 2 2" xfId="1048" xr:uid="{00000000-0005-0000-0000-0000DA020000}"/>
    <cellStyle name="Vírgula 18 2 3" xfId="1106" xr:uid="{00000000-0005-0000-0000-0000DB020000}"/>
    <cellStyle name="Vírgula 18 3" xfId="963" xr:uid="{00000000-0005-0000-0000-0000DC020000}"/>
    <cellStyle name="Vírgula 18 4" xfId="1021" xr:uid="{00000000-0005-0000-0000-0000DD020000}"/>
    <cellStyle name="Vírgula 18 5" xfId="1079" xr:uid="{00000000-0005-0000-0000-0000DE020000}"/>
    <cellStyle name="Vírgula 19" xfId="909" xr:uid="{00000000-0005-0000-0000-0000DF020000}"/>
    <cellStyle name="Vírgula 19 2" xfId="991" xr:uid="{00000000-0005-0000-0000-0000E0020000}"/>
    <cellStyle name="Vírgula 19 2 2" xfId="1049" xr:uid="{00000000-0005-0000-0000-0000E1020000}"/>
    <cellStyle name="Vírgula 19 2 3" xfId="1107" xr:uid="{00000000-0005-0000-0000-0000E2020000}"/>
    <cellStyle name="Vírgula 19 3" xfId="964" xr:uid="{00000000-0005-0000-0000-0000E3020000}"/>
    <cellStyle name="Vírgula 19 4" xfId="1022" xr:uid="{00000000-0005-0000-0000-0000E4020000}"/>
    <cellStyle name="Vírgula 19 5" xfId="1080" xr:uid="{00000000-0005-0000-0000-0000E5020000}"/>
    <cellStyle name="Vírgula 2" xfId="4" xr:uid="{00000000-0005-0000-0000-0000E6020000}"/>
    <cellStyle name="Vírgula 2 10" xfId="890" xr:uid="{00000000-0005-0000-0000-0000E7020000}"/>
    <cellStyle name="Vírgula 2 11" xfId="894" xr:uid="{00000000-0005-0000-0000-0000E8020000}"/>
    <cellStyle name="Vírgula 2 12" xfId="901" xr:uid="{00000000-0005-0000-0000-0000E9020000}"/>
    <cellStyle name="Vírgula 2 13" xfId="911" xr:uid="{00000000-0005-0000-0000-0000EA020000}"/>
    <cellStyle name="Vírgula 2 14" xfId="941" xr:uid="{00000000-0005-0000-0000-0000EB020000}"/>
    <cellStyle name="Vírgula 2 15" xfId="999" xr:uid="{00000000-0005-0000-0000-0000EC020000}"/>
    <cellStyle name="Vírgula 2 16" xfId="1057" xr:uid="{00000000-0005-0000-0000-0000ED020000}"/>
    <cellStyle name="Vírgula 2 2" xfId="67" xr:uid="{00000000-0005-0000-0000-0000EE020000}"/>
    <cellStyle name="Vírgula 2 2 10" xfId="1065" xr:uid="{00000000-0005-0000-0000-0000EF020000}"/>
    <cellStyle name="Vírgula 2 2 2" xfId="168" xr:uid="{00000000-0005-0000-0000-0000F0020000}"/>
    <cellStyle name="Vírgula 2 2 2 2" xfId="437" xr:uid="{00000000-0005-0000-0000-0000F1020000}"/>
    <cellStyle name="Vírgula 2 2 2 2 2" xfId="856" xr:uid="{00000000-0005-0000-0000-0000F2020000}"/>
    <cellStyle name="Vírgula 2 2 2 3" xfId="253" xr:uid="{00000000-0005-0000-0000-0000F3020000}"/>
    <cellStyle name="Vírgula 2 2 2 3 2" xfId="672" xr:uid="{00000000-0005-0000-0000-0000F4020000}"/>
    <cellStyle name="Vírgula 2 2 2 4" xfId="587" xr:uid="{00000000-0005-0000-0000-0000F5020000}"/>
    <cellStyle name="Vírgula 2 2 2 5" xfId="976" xr:uid="{00000000-0005-0000-0000-0000F6020000}"/>
    <cellStyle name="Vírgula 2 2 2 6" xfId="1034" xr:uid="{00000000-0005-0000-0000-0000F7020000}"/>
    <cellStyle name="Vírgula 2 2 2 7" xfId="1092" xr:uid="{00000000-0005-0000-0000-0000F8020000}"/>
    <cellStyle name="Vírgula 2 2 3" xfId="123" xr:uid="{00000000-0005-0000-0000-0000F9020000}"/>
    <cellStyle name="Vírgula 2 2 3 2" xfId="392" xr:uid="{00000000-0005-0000-0000-0000FA020000}"/>
    <cellStyle name="Vírgula 2 2 3 2 2" xfId="811" xr:uid="{00000000-0005-0000-0000-0000FB020000}"/>
    <cellStyle name="Vírgula 2 2 3 3" xfId="299" xr:uid="{00000000-0005-0000-0000-0000FC020000}"/>
    <cellStyle name="Vírgula 2 2 3 3 2" xfId="718" xr:uid="{00000000-0005-0000-0000-0000FD020000}"/>
    <cellStyle name="Vírgula 2 2 3 4" xfId="542" xr:uid="{00000000-0005-0000-0000-0000FE020000}"/>
    <cellStyle name="Vírgula 2 2 4" xfId="350" xr:uid="{00000000-0005-0000-0000-0000FF020000}"/>
    <cellStyle name="Vírgula 2 2 4 2" xfId="769" xr:uid="{00000000-0005-0000-0000-000000030000}"/>
    <cellStyle name="Vírgula 2 2 5" xfId="212" xr:uid="{00000000-0005-0000-0000-000001030000}"/>
    <cellStyle name="Vírgula 2 2 5 2" xfId="631" xr:uid="{00000000-0005-0000-0000-000002030000}"/>
    <cellStyle name="Vírgula 2 2 6" xfId="496" xr:uid="{00000000-0005-0000-0000-000003030000}"/>
    <cellStyle name="Vírgula 2 2 7" xfId="919" xr:uid="{00000000-0005-0000-0000-000004030000}"/>
    <cellStyle name="Vírgula 2 2 8" xfId="949" xr:uid="{00000000-0005-0000-0000-000005030000}"/>
    <cellStyle name="Vírgula 2 2 9" xfId="1007" xr:uid="{00000000-0005-0000-0000-000006030000}"/>
    <cellStyle name="Vírgula 2 3" xfId="88" xr:uid="{00000000-0005-0000-0000-000007030000}"/>
    <cellStyle name="Vírgula 2 3 2" xfId="179" xr:uid="{00000000-0005-0000-0000-000008030000}"/>
    <cellStyle name="Vírgula 2 3 2 2" xfId="320" xr:uid="{00000000-0005-0000-0000-000009030000}"/>
    <cellStyle name="Vírgula 2 3 2 2 2" xfId="460" xr:uid="{00000000-0005-0000-0000-00000A030000}"/>
    <cellStyle name="Vírgula 2 3 2 2 2 2" xfId="879" xr:uid="{00000000-0005-0000-0000-00000B030000}"/>
    <cellStyle name="Vírgula 2 3 2 2 3" xfId="739" xr:uid="{00000000-0005-0000-0000-00000C030000}"/>
    <cellStyle name="Vírgula 2 3 2 3" xfId="448" xr:uid="{00000000-0005-0000-0000-00000D030000}"/>
    <cellStyle name="Vírgula 2 3 2 3 2" xfId="867" xr:uid="{00000000-0005-0000-0000-00000E030000}"/>
    <cellStyle name="Vírgula 2 3 2 4" xfId="264" xr:uid="{00000000-0005-0000-0000-00000F030000}"/>
    <cellStyle name="Vírgula 2 3 2 4 2" xfId="683" xr:uid="{00000000-0005-0000-0000-000010030000}"/>
    <cellStyle name="Vírgula 2 3 2 5" xfId="598" xr:uid="{00000000-0005-0000-0000-000011030000}"/>
    <cellStyle name="Vírgula 2 3 3" xfId="134" xr:uid="{00000000-0005-0000-0000-000012030000}"/>
    <cellStyle name="Vírgula 2 3 3 2" xfId="403" xr:uid="{00000000-0005-0000-0000-000013030000}"/>
    <cellStyle name="Vírgula 2 3 3 2 2" xfId="822" xr:uid="{00000000-0005-0000-0000-000014030000}"/>
    <cellStyle name="Vírgula 2 3 3 3" xfId="310" xr:uid="{00000000-0005-0000-0000-000015030000}"/>
    <cellStyle name="Vírgula 2 3 3 3 2" xfId="729" xr:uid="{00000000-0005-0000-0000-000016030000}"/>
    <cellStyle name="Vírgula 2 3 3 4" xfId="553" xr:uid="{00000000-0005-0000-0000-000017030000}"/>
    <cellStyle name="Vírgula 2 3 4" xfId="507" xr:uid="{00000000-0005-0000-0000-000018030000}"/>
    <cellStyle name="Vírgula 2 3 5" xfId="969" xr:uid="{00000000-0005-0000-0000-000019030000}"/>
    <cellStyle name="Vírgula 2 3 6" xfId="1027" xr:uid="{00000000-0005-0000-0000-00001A030000}"/>
    <cellStyle name="Vírgula 2 3 7" xfId="1085" xr:uid="{00000000-0005-0000-0000-00001B030000}"/>
    <cellStyle name="Vírgula 2 4" xfId="94" xr:uid="{00000000-0005-0000-0000-00001C030000}"/>
    <cellStyle name="Vírgula 2 4 2" xfId="185" xr:uid="{00000000-0005-0000-0000-00001D030000}"/>
    <cellStyle name="Vírgula 2 4 2 2" xfId="454" xr:uid="{00000000-0005-0000-0000-00001E030000}"/>
    <cellStyle name="Vírgula 2 4 2 2 2" xfId="873" xr:uid="{00000000-0005-0000-0000-00001F030000}"/>
    <cellStyle name="Vírgula 2 4 2 3" xfId="270" xr:uid="{00000000-0005-0000-0000-000020030000}"/>
    <cellStyle name="Vírgula 2 4 2 3 2" xfId="689" xr:uid="{00000000-0005-0000-0000-000021030000}"/>
    <cellStyle name="Vírgula 2 4 2 4" xfId="604" xr:uid="{00000000-0005-0000-0000-000022030000}"/>
    <cellStyle name="Vírgula 2 4 3" xfId="140" xr:uid="{00000000-0005-0000-0000-000023030000}"/>
    <cellStyle name="Vírgula 2 4 3 2" xfId="409" xr:uid="{00000000-0005-0000-0000-000024030000}"/>
    <cellStyle name="Vírgula 2 4 3 2 2" xfId="828" xr:uid="{00000000-0005-0000-0000-000025030000}"/>
    <cellStyle name="Vírgula 2 4 3 3" xfId="316" xr:uid="{00000000-0005-0000-0000-000026030000}"/>
    <cellStyle name="Vírgula 2 4 3 3 2" xfId="735" xr:uid="{00000000-0005-0000-0000-000027030000}"/>
    <cellStyle name="Vírgula 2 4 3 4" xfId="559" xr:uid="{00000000-0005-0000-0000-000028030000}"/>
    <cellStyle name="Vírgula 2 4 4" xfId="363" xr:uid="{00000000-0005-0000-0000-000029030000}"/>
    <cellStyle name="Vírgula 2 4 4 2" xfId="782" xr:uid="{00000000-0005-0000-0000-00002A030000}"/>
    <cellStyle name="Vírgula 2 4 5" xfId="225" xr:uid="{00000000-0005-0000-0000-00002B030000}"/>
    <cellStyle name="Vírgula 2 4 5 2" xfId="644" xr:uid="{00000000-0005-0000-0000-00002C030000}"/>
    <cellStyle name="Vírgula 2 4 6" xfId="513" xr:uid="{00000000-0005-0000-0000-00002D030000}"/>
    <cellStyle name="Vírgula 2 5" xfId="142" xr:uid="{00000000-0005-0000-0000-00002E030000}"/>
    <cellStyle name="Vírgula 2 5 2" xfId="411" xr:uid="{00000000-0005-0000-0000-00002F030000}"/>
    <cellStyle name="Vírgula 2 5 2 2" xfId="830" xr:uid="{00000000-0005-0000-0000-000030030000}"/>
    <cellStyle name="Vírgula 2 5 3" xfId="227" xr:uid="{00000000-0005-0000-0000-000031030000}"/>
    <cellStyle name="Vírgula 2 5 3 2" xfId="646" xr:uid="{00000000-0005-0000-0000-000032030000}"/>
    <cellStyle name="Vírgula 2 5 4" xfId="561" xr:uid="{00000000-0005-0000-0000-000033030000}"/>
    <cellStyle name="Vírgula 2 6" xfId="97" xr:uid="{00000000-0005-0000-0000-000034030000}"/>
    <cellStyle name="Vírgula 2 6 2" xfId="366" xr:uid="{00000000-0005-0000-0000-000035030000}"/>
    <cellStyle name="Vírgula 2 6 2 2" xfId="785" xr:uid="{00000000-0005-0000-0000-000036030000}"/>
    <cellStyle name="Vírgula 2 6 3" xfId="273" xr:uid="{00000000-0005-0000-0000-000037030000}"/>
    <cellStyle name="Vírgula 2 6 3 2" xfId="692" xr:uid="{00000000-0005-0000-0000-000038030000}"/>
    <cellStyle name="Vírgula 2 6 4" xfId="516" xr:uid="{00000000-0005-0000-0000-000039030000}"/>
    <cellStyle name="Vírgula 2 7" xfId="326" xr:uid="{00000000-0005-0000-0000-00003A030000}"/>
    <cellStyle name="Vírgula 2 7 2" xfId="745" xr:uid="{00000000-0005-0000-0000-00003B030000}"/>
    <cellStyle name="Vírgula 2 8" xfId="188" xr:uid="{00000000-0005-0000-0000-00003C030000}"/>
    <cellStyle name="Vírgula 2 8 2" xfId="607" xr:uid="{00000000-0005-0000-0000-00003D030000}"/>
    <cellStyle name="Vírgula 2 9" xfId="470" xr:uid="{00000000-0005-0000-0000-00003E030000}"/>
    <cellStyle name="Vírgula 20" xfId="935" xr:uid="{00000000-0005-0000-0000-00003F030000}"/>
    <cellStyle name="Vírgula 20 2" xfId="992" xr:uid="{00000000-0005-0000-0000-000040030000}"/>
    <cellStyle name="Vírgula 20 2 2" xfId="1050" xr:uid="{00000000-0005-0000-0000-000041030000}"/>
    <cellStyle name="Vírgula 20 2 3" xfId="1108" xr:uid="{00000000-0005-0000-0000-000042030000}"/>
    <cellStyle name="Vírgula 20 3" xfId="965" xr:uid="{00000000-0005-0000-0000-000043030000}"/>
    <cellStyle name="Vírgula 20 4" xfId="1023" xr:uid="{00000000-0005-0000-0000-000044030000}"/>
    <cellStyle name="Vírgula 20 5" xfId="1081" xr:uid="{00000000-0005-0000-0000-000045030000}"/>
    <cellStyle name="Vírgula 21" xfId="937" xr:uid="{00000000-0005-0000-0000-000046030000}"/>
    <cellStyle name="Vírgula 21 2" xfId="993" xr:uid="{00000000-0005-0000-0000-000047030000}"/>
    <cellStyle name="Vírgula 21 2 2" xfId="1051" xr:uid="{00000000-0005-0000-0000-000048030000}"/>
    <cellStyle name="Vírgula 21 2 3" xfId="1109" xr:uid="{00000000-0005-0000-0000-000049030000}"/>
    <cellStyle name="Vírgula 21 3" xfId="966" xr:uid="{00000000-0005-0000-0000-00004A030000}"/>
    <cellStyle name="Vírgula 21 4" xfId="1024" xr:uid="{00000000-0005-0000-0000-00004B030000}"/>
    <cellStyle name="Vírgula 21 5" xfId="1082" xr:uid="{00000000-0005-0000-0000-00004C030000}"/>
    <cellStyle name="Vírgula 22" xfId="967" xr:uid="{00000000-0005-0000-0000-00004D030000}"/>
    <cellStyle name="Vírgula 22 2" xfId="1025" xr:uid="{00000000-0005-0000-0000-00004E030000}"/>
    <cellStyle name="Vírgula 22 3" xfId="1083" xr:uid="{00000000-0005-0000-0000-00004F030000}"/>
    <cellStyle name="Vírgula 23" xfId="994" xr:uid="{00000000-0005-0000-0000-000050030000}"/>
    <cellStyle name="Vírgula 23 2" xfId="1052" xr:uid="{00000000-0005-0000-0000-000051030000}"/>
    <cellStyle name="Vírgula 23 3" xfId="1110" xr:uid="{00000000-0005-0000-0000-000052030000}"/>
    <cellStyle name="Vírgula 24" xfId="995" xr:uid="{00000000-0005-0000-0000-000053030000}"/>
    <cellStyle name="Vírgula 24 2" xfId="1053" xr:uid="{00000000-0005-0000-0000-000054030000}"/>
    <cellStyle name="Vírgula 24 3" xfId="1111" xr:uid="{00000000-0005-0000-0000-000055030000}"/>
    <cellStyle name="Vírgula 25" xfId="939" xr:uid="{00000000-0005-0000-0000-000056030000}"/>
    <cellStyle name="Vírgula 26" xfId="997" xr:uid="{00000000-0005-0000-0000-000057030000}"/>
    <cellStyle name="Vírgula 27" xfId="1055" xr:uid="{00000000-0005-0000-0000-000058030000}"/>
    <cellStyle name="Vírgula 3" xfId="9" xr:uid="{00000000-0005-0000-0000-000059030000}"/>
    <cellStyle name="Vírgula 3 10" xfId="902" xr:uid="{00000000-0005-0000-0000-00005A030000}"/>
    <cellStyle name="Vírgula 3 11" xfId="912" xr:uid="{00000000-0005-0000-0000-00005B030000}"/>
    <cellStyle name="Vírgula 3 12" xfId="942" xr:uid="{00000000-0005-0000-0000-00005C030000}"/>
    <cellStyle name="Vírgula 3 13" xfId="1000" xr:uid="{00000000-0005-0000-0000-00005D030000}"/>
    <cellStyle name="Vírgula 3 14" xfId="1058" xr:uid="{00000000-0005-0000-0000-00005E030000}"/>
    <cellStyle name="Vírgula 3 2" xfId="78" xr:uid="{00000000-0005-0000-0000-00005F030000}"/>
    <cellStyle name="Vírgula 3 2 10" xfId="1066" xr:uid="{00000000-0005-0000-0000-000060030000}"/>
    <cellStyle name="Vírgula 3 2 2" xfId="173" xr:uid="{00000000-0005-0000-0000-000061030000}"/>
    <cellStyle name="Vírgula 3 2 2 2" xfId="442" xr:uid="{00000000-0005-0000-0000-000062030000}"/>
    <cellStyle name="Vírgula 3 2 2 2 2" xfId="861" xr:uid="{00000000-0005-0000-0000-000063030000}"/>
    <cellStyle name="Vírgula 3 2 2 3" xfId="258" xr:uid="{00000000-0005-0000-0000-000064030000}"/>
    <cellStyle name="Vírgula 3 2 2 3 2" xfId="677" xr:uid="{00000000-0005-0000-0000-000065030000}"/>
    <cellStyle name="Vírgula 3 2 2 4" xfId="592" xr:uid="{00000000-0005-0000-0000-000066030000}"/>
    <cellStyle name="Vírgula 3 2 2 5" xfId="977" xr:uid="{00000000-0005-0000-0000-000067030000}"/>
    <cellStyle name="Vírgula 3 2 2 6" xfId="1035" xr:uid="{00000000-0005-0000-0000-000068030000}"/>
    <cellStyle name="Vírgula 3 2 2 7" xfId="1093" xr:uid="{00000000-0005-0000-0000-000069030000}"/>
    <cellStyle name="Vírgula 3 2 3" xfId="128" xr:uid="{00000000-0005-0000-0000-00006A030000}"/>
    <cellStyle name="Vírgula 3 2 3 2" xfId="397" xr:uid="{00000000-0005-0000-0000-00006B030000}"/>
    <cellStyle name="Vírgula 3 2 3 2 2" xfId="816" xr:uid="{00000000-0005-0000-0000-00006C030000}"/>
    <cellStyle name="Vírgula 3 2 3 3" xfId="304" xr:uid="{00000000-0005-0000-0000-00006D030000}"/>
    <cellStyle name="Vírgula 3 2 3 3 2" xfId="723" xr:uid="{00000000-0005-0000-0000-00006E030000}"/>
    <cellStyle name="Vírgula 3 2 3 4" xfId="547" xr:uid="{00000000-0005-0000-0000-00006F030000}"/>
    <cellStyle name="Vírgula 3 2 4" xfId="355" xr:uid="{00000000-0005-0000-0000-000070030000}"/>
    <cellStyle name="Vírgula 3 2 4 2" xfId="774" xr:uid="{00000000-0005-0000-0000-000071030000}"/>
    <cellStyle name="Vírgula 3 2 5" xfId="217" xr:uid="{00000000-0005-0000-0000-000072030000}"/>
    <cellStyle name="Vírgula 3 2 5 2" xfId="636" xr:uid="{00000000-0005-0000-0000-000073030000}"/>
    <cellStyle name="Vírgula 3 2 6" xfId="501" xr:uid="{00000000-0005-0000-0000-000074030000}"/>
    <cellStyle name="Vírgula 3 2 7" xfId="920" xr:uid="{00000000-0005-0000-0000-000075030000}"/>
    <cellStyle name="Vírgula 3 2 8" xfId="950" xr:uid="{00000000-0005-0000-0000-000076030000}"/>
    <cellStyle name="Vírgula 3 2 9" xfId="1008" xr:uid="{00000000-0005-0000-0000-000077030000}"/>
    <cellStyle name="Vírgula 3 3" xfId="95" xr:uid="{00000000-0005-0000-0000-000078030000}"/>
    <cellStyle name="Vírgula 3 3 2" xfId="186" xr:uid="{00000000-0005-0000-0000-000079030000}"/>
    <cellStyle name="Vírgula 3 3 2 2" xfId="324" xr:uid="{00000000-0005-0000-0000-00007A030000}"/>
    <cellStyle name="Vírgula 3 3 2 2 2" xfId="464" xr:uid="{00000000-0005-0000-0000-00007B030000}"/>
    <cellStyle name="Vírgula 3 3 2 2 2 2" xfId="883" xr:uid="{00000000-0005-0000-0000-00007C030000}"/>
    <cellStyle name="Vírgula 3 3 2 2 3" xfId="743" xr:uid="{00000000-0005-0000-0000-00007D030000}"/>
    <cellStyle name="Vírgula 3 3 2 3" xfId="455" xr:uid="{00000000-0005-0000-0000-00007E030000}"/>
    <cellStyle name="Vírgula 3 3 2 3 2" xfId="874" xr:uid="{00000000-0005-0000-0000-00007F030000}"/>
    <cellStyle name="Vírgula 3 3 2 4" xfId="271" xr:uid="{00000000-0005-0000-0000-000080030000}"/>
    <cellStyle name="Vírgula 3 3 2 4 2" xfId="690" xr:uid="{00000000-0005-0000-0000-000081030000}"/>
    <cellStyle name="Vírgula 3 3 2 5" xfId="605" xr:uid="{00000000-0005-0000-0000-000082030000}"/>
    <cellStyle name="Vírgula 3 3 3" xfId="141" xr:uid="{00000000-0005-0000-0000-000083030000}"/>
    <cellStyle name="Vírgula 3 3 3 2" xfId="410" xr:uid="{00000000-0005-0000-0000-000084030000}"/>
    <cellStyle name="Vírgula 3 3 3 2 2" xfId="829" xr:uid="{00000000-0005-0000-0000-000085030000}"/>
    <cellStyle name="Vírgula 3 3 3 3" xfId="317" xr:uid="{00000000-0005-0000-0000-000086030000}"/>
    <cellStyle name="Vírgula 3 3 3 3 2" xfId="736" xr:uid="{00000000-0005-0000-0000-000087030000}"/>
    <cellStyle name="Vírgula 3 3 3 4" xfId="560" xr:uid="{00000000-0005-0000-0000-000088030000}"/>
    <cellStyle name="Vírgula 3 3 4" xfId="364" xr:uid="{00000000-0005-0000-0000-000089030000}"/>
    <cellStyle name="Vírgula 3 3 4 2" xfId="465" xr:uid="{00000000-0005-0000-0000-00008A030000}"/>
    <cellStyle name="Vírgula 3 3 4 2 2" xfId="884" xr:uid="{00000000-0005-0000-0000-00008B030000}"/>
    <cellStyle name="Vírgula 3 3 4 3" xfId="783" xr:uid="{00000000-0005-0000-0000-00008C030000}"/>
    <cellStyle name="Vírgula 3 3 5" xfId="226" xr:uid="{00000000-0005-0000-0000-00008D030000}"/>
    <cellStyle name="Vírgula 3 3 5 2" xfId="457" xr:uid="{00000000-0005-0000-0000-00008E030000}"/>
    <cellStyle name="Vírgula 3 3 5 2 2" xfId="876" xr:uid="{00000000-0005-0000-0000-00008F030000}"/>
    <cellStyle name="Vírgula 3 3 5 3" xfId="645" xr:uid="{00000000-0005-0000-0000-000090030000}"/>
    <cellStyle name="Vírgula 3 3 6" xfId="514" xr:uid="{00000000-0005-0000-0000-000091030000}"/>
    <cellStyle name="Vírgula 3 3 7" xfId="970" xr:uid="{00000000-0005-0000-0000-000092030000}"/>
    <cellStyle name="Vírgula 3 3 8" xfId="1028" xr:uid="{00000000-0005-0000-0000-000093030000}"/>
    <cellStyle name="Vírgula 3 3 9" xfId="1086" xr:uid="{00000000-0005-0000-0000-000094030000}"/>
    <cellStyle name="Vírgula 3 4" xfId="144" xr:uid="{00000000-0005-0000-0000-000095030000}"/>
    <cellStyle name="Vírgula 3 4 2" xfId="413" xr:uid="{00000000-0005-0000-0000-000096030000}"/>
    <cellStyle name="Vírgula 3 4 2 2" xfId="832" xr:uid="{00000000-0005-0000-0000-000097030000}"/>
    <cellStyle name="Vírgula 3 4 3" xfId="229" xr:uid="{00000000-0005-0000-0000-000098030000}"/>
    <cellStyle name="Vírgula 3 4 3 2" xfId="648" xr:uid="{00000000-0005-0000-0000-000099030000}"/>
    <cellStyle name="Vírgula 3 4 4" xfId="563" xr:uid="{00000000-0005-0000-0000-00009A030000}"/>
    <cellStyle name="Vírgula 3 5" xfId="99" xr:uid="{00000000-0005-0000-0000-00009B030000}"/>
    <cellStyle name="Vírgula 3 5 2" xfId="368" xr:uid="{00000000-0005-0000-0000-00009C030000}"/>
    <cellStyle name="Vírgula 3 5 2 2" xfId="787" xr:uid="{00000000-0005-0000-0000-00009D030000}"/>
    <cellStyle name="Vírgula 3 5 3" xfId="275" xr:uid="{00000000-0005-0000-0000-00009E030000}"/>
    <cellStyle name="Vírgula 3 5 3 2" xfId="694" xr:uid="{00000000-0005-0000-0000-00009F030000}"/>
    <cellStyle name="Vírgula 3 5 4" xfId="518" xr:uid="{00000000-0005-0000-0000-0000A0030000}"/>
    <cellStyle name="Vírgula 3 6" xfId="327" xr:uid="{00000000-0005-0000-0000-0000A1030000}"/>
    <cellStyle name="Vírgula 3 6 2" xfId="746" xr:uid="{00000000-0005-0000-0000-0000A2030000}"/>
    <cellStyle name="Vírgula 3 7" xfId="189" xr:uid="{00000000-0005-0000-0000-0000A3030000}"/>
    <cellStyle name="Vírgula 3 7 2" xfId="608" xr:uid="{00000000-0005-0000-0000-0000A4030000}"/>
    <cellStyle name="Vírgula 3 8" xfId="472" xr:uid="{00000000-0005-0000-0000-0000A5030000}"/>
    <cellStyle name="Vírgula 3 9" xfId="895" xr:uid="{00000000-0005-0000-0000-0000A6030000}"/>
    <cellStyle name="Vírgula 4" xfId="13" xr:uid="{00000000-0005-0000-0000-0000A7030000}"/>
    <cellStyle name="Vírgula 4 10" xfId="913" xr:uid="{00000000-0005-0000-0000-0000A8030000}"/>
    <cellStyle name="Vírgula 4 11" xfId="943" xr:uid="{00000000-0005-0000-0000-0000A9030000}"/>
    <cellStyle name="Vírgula 4 12" xfId="1001" xr:uid="{00000000-0005-0000-0000-0000AA030000}"/>
    <cellStyle name="Vírgula 4 13" xfId="1059" xr:uid="{00000000-0005-0000-0000-0000AB030000}"/>
    <cellStyle name="Vírgula 4 2" xfId="81" xr:uid="{00000000-0005-0000-0000-0000AC030000}"/>
    <cellStyle name="Vírgula 4 2 10" xfId="1067" xr:uid="{00000000-0005-0000-0000-0000AD030000}"/>
    <cellStyle name="Vírgula 4 2 2" xfId="175" xr:uid="{00000000-0005-0000-0000-0000AE030000}"/>
    <cellStyle name="Vírgula 4 2 2 2" xfId="444" xr:uid="{00000000-0005-0000-0000-0000AF030000}"/>
    <cellStyle name="Vírgula 4 2 2 2 2" xfId="863" xr:uid="{00000000-0005-0000-0000-0000B0030000}"/>
    <cellStyle name="Vírgula 4 2 2 3" xfId="260" xr:uid="{00000000-0005-0000-0000-0000B1030000}"/>
    <cellStyle name="Vírgula 4 2 2 3 2" xfId="679" xr:uid="{00000000-0005-0000-0000-0000B2030000}"/>
    <cellStyle name="Vírgula 4 2 2 4" xfId="594" xr:uid="{00000000-0005-0000-0000-0000B3030000}"/>
    <cellStyle name="Vírgula 4 2 2 5" xfId="978" xr:uid="{00000000-0005-0000-0000-0000B4030000}"/>
    <cellStyle name="Vírgula 4 2 2 6" xfId="1036" xr:uid="{00000000-0005-0000-0000-0000B5030000}"/>
    <cellStyle name="Vírgula 4 2 2 7" xfId="1094" xr:uid="{00000000-0005-0000-0000-0000B6030000}"/>
    <cellStyle name="Vírgula 4 2 3" xfId="130" xr:uid="{00000000-0005-0000-0000-0000B7030000}"/>
    <cellStyle name="Vírgula 4 2 3 2" xfId="399" xr:uid="{00000000-0005-0000-0000-0000B8030000}"/>
    <cellStyle name="Vírgula 4 2 3 2 2" xfId="818" xr:uid="{00000000-0005-0000-0000-0000B9030000}"/>
    <cellStyle name="Vírgula 4 2 3 3" xfId="306" xr:uid="{00000000-0005-0000-0000-0000BA030000}"/>
    <cellStyle name="Vírgula 4 2 3 3 2" xfId="725" xr:uid="{00000000-0005-0000-0000-0000BB030000}"/>
    <cellStyle name="Vírgula 4 2 3 4" xfId="549" xr:uid="{00000000-0005-0000-0000-0000BC030000}"/>
    <cellStyle name="Vírgula 4 2 4" xfId="357" xr:uid="{00000000-0005-0000-0000-0000BD030000}"/>
    <cellStyle name="Vírgula 4 2 4 2" xfId="776" xr:uid="{00000000-0005-0000-0000-0000BE030000}"/>
    <cellStyle name="Vírgula 4 2 5" xfId="219" xr:uid="{00000000-0005-0000-0000-0000BF030000}"/>
    <cellStyle name="Vírgula 4 2 5 2" xfId="638" xr:uid="{00000000-0005-0000-0000-0000C0030000}"/>
    <cellStyle name="Vírgula 4 2 6" xfId="503" xr:uid="{00000000-0005-0000-0000-0000C1030000}"/>
    <cellStyle name="Vírgula 4 2 7" xfId="921" xr:uid="{00000000-0005-0000-0000-0000C2030000}"/>
    <cellStyle name="Vírgula 4 2 8" xfId="951" xr:uid="{00000000-0005-0000-0000-0000C3030000}"/>
    <cellStyle name="Vírgula 4 2 9" xfId="1009" xr:uid="{00000000-0005-0000-0000-0000C4030000}"/>
    <cellStyle name="Vírgula 4 3" xfId="147" xr:uid="{00000000-0005-0000-0000-0000C5030000}"/>
    <cellStyle name="Vírgula 4 3 2" xfId="416" xr:uid="{00000000-0005-0000-0000-0000C6030000}"/>
    <cellStyle name="Vírgula 4 3 2 2" xfId="835" xr:uid="{00000000-0005-0000-0000-0000C7030000}"/>
    <cellStyle name="Vírgula 4 3 3" xfId="232" xr:uid="{00000000-0005-0000-0000-0000C8030000}"/>
    <cellStyle name="Vírgula 4 3 3 2" xfId="651" xr:uid="{00000000-0005-0000-0000-0000C9030000}"/>
    <cellStyle name="Vírgula 4 3 4" xfId="566" xr:uid="{00000000-0005-0000-0000-0000CA030000}"/>
    <cellStyle name="Vírgula 4 3 5" xfId="971" xr:uid="{00000000-0005-0000-0000-0000CB030000}"/>
    <cellStyle name="Vírgula 4 3 6" xfId="1029" xr:uid="{00000000-0005-0000-0000-0000CC030000}"/>
    <cellStyle name="Vírgula 4 3 7" xfId="1087" xr:uid="{00000000-0005-0000-0000-0000CD030000}"/>
    <cellStyle name="Vírgula 4 4" xfId="102" xr:uid="{00000000-0005-0000-0000-0000CE030000}"/>
    <cellStyle name="Vírgula 4 4 2" xfId="371" xr:uid="{00000000-0005-0000-0000-0000CF030000}"/>
    <cellStyle name="Vírgula 4 4 2 2" xfId="790" xr:uid="{00000000-0005-0000-0000-0000D0030000}"/>
    <cellStyle name="Vírgula 4 4 3" xfId="278" xr:uid="{00000000-0005-0000-0000-0000D1030000}"/>
    <cellStyle name="Vírgula 4 4 3 2" xfId="697" xr:uid="{00000000-0005-0000-0000-0000D2030000}"/>
    <cellStyle name="Vírgula 4 4 4" xfId="521" xr:uid="{00000000-0005-0000-0000-0000D3030000}"/>
    <cellStyle name="Vírgula 4 5" xfId="330" xr:uid="{00000000-0005-0000-0000-0000D4030000}"/>
    <cellStyle name="Vírgula 4 5 2" xfId="749" xr:uid="{00000000-0005-0000-0000-0000D5030000}"/>
    <cellStyle name="Vírgula 4 6" xfId="192" xr:uid="{00000000-0005-0000-0000-0000D6030000}"/>
    <cellStyle name="Vírgula 4 6 2" xfId="611" xr:uid="{00000000-0005-0000-0000-0000D7030000}"/>
    <cellStyle name="Vírgula 4 7" xfId="475" xr:uid="{00000000-0005-0000-0000-0000D8030000}"/>
    <cellStyle name="Vírgula 4 8" xfId="896" xr:uid="{00000000-0005-0000-0000-0000D9030000}"/>
    <cellStyle name="Vírgula 4 9" xfId="903" xr:uid="{00000000-0005-0000-0000-0000DA030000}"/>
    <cellStyle name="Vírgula 5" xfId="19" xr:uid="{00000000-0005-0000-0000-0000DB030000}"/>
    <cellStyle name="Vírgula 5 10" xfId="944" xr:uid="{00000000-0005-0000-0000-0000DC030000}"/>
    <cellStyle name="Vírgula 5 11" xfId="1002" xr:uid="{00000000-0005-0000-0000-0000DD030000}"/>
    <cellStyle name="Vírgula 5 12" xfId="1060" xr:uid="{00000000-0005-0000-0000-0000DE030000}"/>
    <cellStyle name="Vírgula 5 2" xfId="153" xr:uid="{00000000-0005-0000-0000-0000DF030000}"/>
    <cellStyle name="Vírgula 5 2 2" xfId="422" xr:uid="{00000000-0005-0000-0000-0000E0030000}"/>
    <cellStyle name="Vírgula 5 2 2 2" xfId="841" xr:uid="{00000000-0005-0000-0000-0000E1030000}"/>
    <cellStyle name="Vírgula 5 2 2 3" xfId="979" xr:uid="{00000000-0005-0000-0000-0000E2030000}"/>
    <cellStyle name="Vírgula 5 2 2 4" xfId="1037" xr:uid="{00000000-0005-0000-0000-0000E3030000}"/>
    <cellStyle name="Vírgula 5 2 2 5" xfId="1095" xr:uid="{00000000-0005-0000-0000-0000E4030000}"/>
    <cellStyle name="Vírgula 5 2 3" xfId="238" xr:uid="{00000000-0005-0000-0000-0000E5030000}"/>
    <cellStyle name="Vírgula 5 2 3 2" xfId="657" xr:uid="{00000000-0005-0000-0000-0000E6030000}"/>
    <cellStyle name="Vírgula 5 2 4" xfId="572" xr:uid="{00000000-0005-0000-0000-0000E7030000}"/>
    <cellStyle name="Vírgula 5 2 5" xfId="922" xr:uid="{00000000-0005-0000-0000-0000E8030000}"/>
    <cellStyle name="Vírgula 5 2 6" xfId="952" xr:uid="{00000000-0005-0000-0000-0000E9030000}"/>
    <cellStyle name="Vírgula 5 2 7" xfId="1010" xr:uid="{00000000-0005-0000-0000-0000EA030000}"/>
    <cellStyle name="Vírgula 5 2 8" xfId="1068" xr:uid="{00000000-0005-0000-0000-0000EB030000}"/>
    <cellStyle name="Vírgula 5 3" xfId="108" xr:uid="{00000000-0005-0000-0000-0000EC030000}"/>
    <cellStyle name="Vírgula 5 3 2" xfId="377" xr:uid="{00000000-0005-0000-0000-0000ED030000}"/>
    <cellStyle name="Vírgula 5 3 2 2" xfId="796" xr:uid="{00000000-0005-0000-0000-0000EE030000}"/>
    <cellStyle name="Vírgula 5 3 3" xfId="284" xr:uid="{00000000-0005-0000-0000-0000EF030000}"/>
    <cellStyle name="Vírgula 5 3 3 2" xfId="703" xr:uid="{00000000-0005-0000-0000-0000F0030000}"/>
    <cellStyle name="Vírgula 5 3 4" xfId="527" xr:uid="{00000000-0005-0000-0000-0000F1030000}"/>
    <cellStyle name="Vírgula 5 3 5" xfId="972" xr:uid="{00000000-0005-0000-0000-0000F2030000}"/>
    <cellStyle name="Vírgula 5 3 6" xfId="1030" xr:uid="{00000000-0005-0000-0000-0000F3030000}"/>
    <cellStyle name="Vírgula 5 3 7" xfId="1088" xr:uid="{00000000-0005-0000-0000-0000F4030000}"/>
    <cellStyle name="Vírgula 5 4" xfId="335" xr:uid="{00000000-0005-0000-0000-0000F5030000}"/>
    <cellStyle name="Vírgula 5 4 2" xfId="754" xr:uid="{00000000-0005-0000-0000-0000F6030000}"/>
    <cellStyle name="Vírgula 5 5" xfId="197" xr:uid="{00000000-0005-0000-0000-0000F7030000}"/>
    <cellStyle name="Vírgula 5 5 2" xfId="616" xr:uid="{00000000-0005-0000-0000-0000F8030000}"/>
    <cellStyle name="Vírgula 5 6" xfId="481" xr:uid="{00000000-0005-0000-0000-0000F9030000}"/>
    <cellStyle name="Vírgula 5 7" xfId="897" xr:uid="{00000000-0005-0000-0000-0000FA030000}"/>
    <cellStyle name="Vírgula 5 8" xfId="904" xr:uid="{00000000-0005-0000-0000-0000FB030000}"/>
    <cellStyle name="Vírgula 5 9" xfId="914" xr:uid="{00000000-0005-0000-0000-0000FC030000}"/>
    <cellStyle name="Vírgula 6" xfId="17" xr:uid="{00000000-0005-0000-0000-0000FD030000}"/>
    <cellStyle name="Vírgula 6 2" xfId="151" xr:uid="{00000000-0005-0000-0000-0000FE030000}"/>
    <cellStyle name="Vírgula 6 2 2" xfId="319" xr:uid="{00000000-0005-0000-0000-0000FF030000}"/>
    <cellStyle name="Vírgula 6 2 2 2" xfId="459" xr:uid="{00000000-0005-0000-0000-000000040000}"/>
    <cellStyle name="Vírgula 6 2 2 2 2" xfId="878" xr:uid="{00000000-0005-0000-0000-000001040000}"/>
    <cellStyle name="Vírgula 6 2 2 3" xfId="738" xr:uid="{00000000-0005-0000-0000-000002040000}"/>
    <cellStyle name="Vírgula 6 2 2 4" xfId="980" xr:uid="{00000000-0005-0000-0000-000003040000}"/>
    <cellStyle name="Vírgula 6 2 2 5" xfId="1038" xr:uid="{00000000-0005-0000-0000-000004040000}"/>
    <cellStyle name="Vírgula 6 2 2 6" xfId="1096" xr:uid="{00000000-0005-0000-0000-000005040000}"/>
    <cellStyle name="Vírgula 6 2 3" xfId="420" xr:uid="{00000000-0005-0000-0000-000006040000}"/>
    <cellStyle name="Vírgula 6 2 3 2" xfId="839" xr:uid="{00000000-0005-0000-0000-000007040000}"/>
    <cellStyle name="Vírgula 6 2 4" xfId="236" xr:uid="{00000000-0005-0000-0000-000008040000}"/>
    <cellStyle name="Vírgula 6 2 4 2" xfId="655" xr:uid="{00000000-0005-0000-0000-000009040000}"/>
    <cellStyle name="Vírgula 6 2 5" xfId="570" xr:uid="{00000000-0005-0000-0000-00000A040000}"/>
    <cellStyle name="Vírgula 6 2 6" xfId="923" xr:uid="{00000000-0005-0000-0000-00000B040000}"/>
    <cellStyle name="Vírgula 6 2 7" xfId="953" xr:uid="{00000000-0005-0000-0000-00000C040000}"/>
    <cellStyle name="Vírgula 6 2 8" xfId="1011" xr:uid="{00000000-0005-0000-0000-00000D040000}"/>
    <cellStyle name="Vírgula 6 2 9" xfId="1069" xr:uid="{00000000-0005-0000-0000-00000E040000}"/>
    <cellStyle name="Vírgula 6 3" xfId="106" xr:uid="{00000000-0005-0000-0000-00000F040000}"/>
    <cellStyle name="Vírgula 6 3 2" xfId="375" xr:uid="{00000000-0005-0000-0000-000010040000}"/>
    <cellStyle name="Vírgula 6 3 2 2" xfId="794" xr:uid="{00000000-0005-0000-0000-000011040000}"/>
    <cellStyle name="Vírgula 6 3 3" xfId="282" xr:uid="{00000000-0005-0000-0000-000012040000}"/>
    <cellStyle name="Vírgula 6 3 3 2" xfId="701" xr:uid="{00000000-0005-0000-0000-000013040000}"/>
    <cellStyle name="Vírgula 6 3 4" xfId="525" xr:uid="{00000000-0005-0000-0000-000014040000}"/>
    <cellStyle name="Vírgula 6 3 5" xfId="973" xr:uid="{00000000-0005-0000-0000-000015040000}"/>
    <cellStyle name="Vírgula 6 3 6" xfId="1031" xr:uid="{00000000-0005-0000-0000-000016040000}"/>
    <cellStyle name="Vírgula 6 3 7" xfId="1089" xr:uid="{00000000-0005-0000-0000-000017040000}"/>
    <cellStyle name="Vírgula 6 4" xfId="479" xr:uid="{00000000-0005-0000-0000-000018040000}"/>
    <cellStyle name="Vírgula 6 5" xfId="915" xr:uid="{00000000-0005-0000-0000-000019040000}"/>
    <cellStyle name="Vírgula 6 6" xfId="945" xr:uid="{00000000-0005-0000-0000-00001A040000}"/>
    <cellStyle name="Vírgula 6 7" xfId="1003" xr:uid="{00000000-0005-0000-0000-00001B040000}"/>
    <cellStyle name="Vírgula 6 8" xfId="1061" xr:uid="{00000000-0005-0000-0000-00001C040000}"/>
    <cellStyle name="Vírgula 7" xfId="92" xr:uid="{00000000-0005-0000-0000-00001D040000}"/>
    <cellStyle name="Vírgula 7 2" xfId="183" xr:uid="{00000000-0005-0000-0000-00001E040000}"/>
    <cellStyle name="Vírgula 7 2 2" xfId="323" xr:uid="{00000000-0005-0000-0000-00001F040000}"/>
    <cellStyle name="Vírgula 7 2 2 2" xfId="463" xr:uid="{00000000-0005-0000-0000-000020040000}"/>
    <cellStyle name="Vírgula 7 2 2 2 2" xfId="882" xr:uid="{00000000-0005-0000-0000-000021040000}"/>
    <cellStyle name="Vírgula 7 2 2 3" xfId="742" xr:uid="{00000000-0005-0000-0000-000022040000}"/>
    <cellStyle name="Vírgula 7 2 3" xfId="452" xr:uid="{00000000-0005-0000-0000-000023040000}"/>
    <cellStyle name="Vírgula 7 2 3 2" xfId="871" xr:uid="{00000000-0005-0000-0000-000024040000}"/>
    <cellStyle name="Vírgula 7 2 4" xfId="268" xr:uid="{00000000-0005-0000-0000-000025040000}"/>
    <cellStyle name="Vírgula 7 2 4 2" xfId="687" xr:uid="{00000000-0005-0000-0000-000026040000}"/>
    <cellStyle name="Vírgula 7 2 5" xfId="602" xr:uid="{00000000-0005-0000-0000-000027040000}"/>
    <cellStyle name="Vírgula 7 2 6" xfId="981" xr:uid="{00000000-0005-0000-0000-000028040000}"/>
    <cellStyle name="Vírgula 7 2 7" xfId="1039" xr:uid="{00000000-0005-0000-0000-000029040000}"/>
    <cellStyle name="Vírgula 7 2 8" xfId="1097" xr:uid="{00000000-0005-0000-0000-00002A040000}"/>
    <cellStyle name="Vírgula 7 3" xfId="138" xr:uid="{00000000-0005-0000-0000-00002B040000}"/>
    <cellStyle name="Vírgula 7 3 2" xfId="407" xr:uid="{00000000-0005-0000-0000-00002C040000}"/>
    <cellStyle name="Vírgula 7 3 2 2" xfId="826" xr:uid="{00000000-0005-0000-0000-00002D040000}"/>
    <cellStyle name="Vírgula 7 3 3" xfId="314" xr:uid="{00000000-0005-0000-0000-00002E040000}"/>
    <cellStyle name="Vírgula 7 3 3 2" xfId="733" xr:uid="{00000000-0005-0000-0000-00002F040000}"/>
    <cellStyle name="Vírgula 7 3 4" xfId="557" xr:uid="{00000000-0005-0000-0000-000030040000}"/>
    <cellStyle name="Vírgula 7 4" xfId="511" xr:uid="{00000000-0005-0000-0000-000031040000}"/>
    <cellStyle name="Vírgula 7 5" xfId="924" xr:uid="{00000000-0005-0000-0000-000032040000}"/>
    <cellStyle name="Vírgula 7 6" xfId="954" xr:uid="{00000000-0005-0000-0000-000033040000}"/>
    <cellStyle name="Vírgula 7 7" xfId="1012" xr:uid="{00000000-0005-0000-0000-000034040000}"/>
    <cellStyle name="Vírgula 7 8" xfId="1070" xr:uid="{00000000-0005-0000-0000-000035040000}"/>
    <cellStyle name="Vírgula 8" xfId="180" xr:uid="{00000000-0005-0000-0000-000036040000}"/>
    <cellStyle name="Vírgula 8 10" xfId="1056" xr:uid="{00000000-0005-0000-0000-000037040000}"/>
    <cellStyle name="Vírgula 8 2" xfId="449" xr:uid="{00000000-0005-0000-0000-000038040000}"/>
    <cellStyle name="Vírgula 8 2 2" xfId="868" xr:uid="{00000000-0005-0000-0000-000039040000}"/>
    <cellStyle name="Vírgula 8 2 2 2" xfId="975" xr:uid="{00000000-0005-0000-0000-00003A040000}"/>
    <cellStyle name="Vírgula 8 2 2 3" xfId="1033" xr:uid="{00000000-0005-0000-0000-00003B040000}"/>
    <cellStyle name="Vírgula 8 2 2 4" xfId="1091" xr:uid="{00000000-0005-0000-0000-00003C040000}"/>
    <cellStyle name="Vírgula 8 2 3" xfId="918" xr:uid="{00000000-0005-0000-0000-00003D040000}"/>
    <cellStyle name="Vírgula 8 2 4" xfId="948" xr:uid="{00000000-0005-0000-0000-00003E040000}"/>
    <cellStyle name="Vírgula 8 2 5" xfId="1006" xr:uid="{00000000-0005-0000-0000-00003F040000}"/>
    <cellStyle name="Vírgula 8 2 6" xfId="1064" xr:uid="{00000000-0005-0000-0000-000040040000}"/>
    <cellStyle name="Vírgula 8 3" xfId="265" xr:uid="{00000000-0005-0000-0000-000041040000}"/>
    <cellStyle name="Vírgula 8 3 2" xfId="684" xr:uid="{00000000-0005-0000-0000-000042040000}"/>
    <cellStyle name="Vírgula 8 3 3" xfId="968" xr:uid="{00000000-0005-0000-0000-000043040000}"/>
    <cellStyle name="Vírgula 8 3 4" xfId="1026" xr:uid="{00000000-0005-0000-0000-000044040000}"/>
    <cellStyle name="Vírgula 8 3 5" xfId="1084" xr:uid="{00000000-0005-0000-0000-000045040000}"/>
    <cellStyle name="Vírgula 8 4" xfId="599" xr:uid="{00000000-0005-0000-0000-000046040000}"/>
    <cellStyle name="Vírgula 8 5" xfId="893" xr:uid="{00000000-0005-0000-0000-000047040000}"/>
    <cellStyle name="Vírgula 8 6" xfId="900" xr:uid="{00000000-0005-0000-0000-000048040000}"/>
    <cellStyle name="Vírgula 8 7" xfId="910" xr:uid="{00000000-0005-0000-0000-000049040000}"/>
    <cellStyle name="Vírgula 8 8" xfId="940" xr:uid="{00000000-0005-0000-0000-00004A040000}"/>
    <cellStyle name="Vírgula 8 9" xfId="998" xr:uid="{00000000-0005-0000-0000-00004B040000}"/>
    <cellStyle name="Vírgula 9" xfId="135" xr:uid="{00000000-0005-0000-0000-00004C040000}"/>
    <cellStyle name="Vírgula 9 2" xfId="404" xr:uid="{00000000-0005-0000-0000-00004D040000}"/>
    <cellStyle name="Vírgula 9 2 2" xfId="823" xr:uid="{00000000-0005-0000-0000-00004E040000}"/>
    <cellStyle name="Vírgula 9 2 3" xfId="982" xr:uid="{00000000-0005-0000-0000-00004F040000}"/>
    <cellStyle name="Vírgula 9 2 4" xfId="1040" xr:uid="{00000000-0005-0000-0000-000050040000}"/>
    <cellStyle name="Vírgula 9 2 5" xfId="1098" xr:uid="{00000000-0005-0000-0000-000051040000}"/>
    <cellStyle name="Vírgula 9 3" xfId="311" xr:uid="{00000000-0005-0000-0000-000052040000}"/>
    <cellStyle name="Vírgula 9 3 2" xfId="730" xr:uid="{00000000-0005-0000-0000-000053040000}"/>
    <cellStyle name="Vírgula 9 4" xfId="554" xr:uid="{00000000-0005-0000-0000-000054040000}"/>
    <cellStyle name="Vírgula 9 5" xfId="925" xr:uid="{00000000-0005-0000-0000-000055040000}"/>
    <cellStyle name="Vírgula 9 6" xfId="955" xr:uid="{00000000-0005-0000-0000-000056040000}"/>
    <cellStyle name="Vírgula 9 7" xfId="1013" xr:uid="{00000000-0005-0000-0000-000057040000}"/>
    <cellStyle name="Vírgula 9 8" xfId="1071" xr:uid="{00000000-0005-0000-0000-000058040000}"/>
  </cellStyles>
  <dxfs count="13">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s>
  <tableStyles count="0" defaultTableStyle="TableStyleMedium2" defaultPivotStyle="PivotStyleLight16"/>
  <colors>
    <mruColors>
      <color rgb="FFFEF1E2"/>
      <color rgb="FFDCDCDC"/>
      <color rgb="FFF5F5F5"/>
      <color rgb="FF66FFFF"/>
      <color rgb="FFED7D31"/>
      <color rgb="FFF7931D"/>
      <color rgb="FFFAB766"/>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Quick Analysis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Income Statement</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Cash Flow Statements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Balance Sheet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Automotive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Integrated Logistics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Quarterly Figures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Consolidated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Market data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Historical Financials</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Quick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This spreadsheet considers income statement figures adjusted by non recurring events</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36</xdr:col>
      <xdr:colOff>438978</xdr:colOff>
      <xdr:row>0</xdr:row>
      <xdr:rowOff>70402</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9326" y="70402"/>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64</xdr:col>
      <xdr:colOff>495300</xdr:colOff>
      <xdr:row>0</xdr:row>
      <xdr:rowOff>63500</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87050" y="63500"/>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Balance sheet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90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60</xdr:col>
      <xdr:colOff>400050</xdr:colOff>
      <xdr:row>0</xdr:row>
      <xdr:rowOff>0</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57425" y="0"/>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57</xdr:col>
      <xdr:colOff>384175</xdr:colOff>
      <xdr:row>0</xdr:row>
      <xdr:rowOff>9525</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65550" y="9525"/>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Automotive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52</xdr:col>
      <xdr:colOff>304800</xdr:colOff>
      <xdr:row>0</xdr:row>
      <xdr:rowOff>123825</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4600" y="123825"/>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Integrated logistics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52</xdr:col>
      <xdr:colOff>388868</xdr:colOff>
      <xdr:row>1</xdr:row>
      <xdr:rowOff>19050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78968" y="11430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Consolidated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52</xdr:col>
      <xdr:colOff>523875</xdr:colOff>
      <xdr:row>0</xdr:row>
      <xdr:rowOff>57150</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04925" y="57150"/>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Statements of cash flow</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40</xdr:col>
      <xdr:colOff>508552</xdr:colOff>
      <xdr:row>0</xdr:row>
      <xdr:rowOff>47625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79002" y="476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Statements of value added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43</xdr:col>
      <xdr:colOff>371475</xdr:colOff>
      <xdr:row>0</xdr:row>
      <xdr:rowOff>57150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508575" y="571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Statments of chances in Equity </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Automotive Division Operational Data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52</xdr:col>
      <xdr:colOff>327576</xdr:colOff>
      <xdr:row>0</xdr:row>
      <xdr:rowOff>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60676" y="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Estimates (in R$ million)</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106</xdr:col>
      <xdr:colOff>240496</xdr:colOff>
      <xdr:row>0</xdr:row>
      <xdr:rowOff>44450</xdr:rowOff>
    </xdr:from>
    <xdr:ext cx="910080" cy="426118"/>
    <xdr:pic>
      <xdr:nvPicPr>
        <xdr:cNvPr id="3" name="Imagem 2">
          <a:extLst>
            <a:ext uri="{FF2B5EF4-FFF2-40B4-BE49-F238E27FC236}">
              <a16:creationId xmlns:a16="http://schemas.microsoft.com/office/drawing/2014/main" id="{54904E1F-690C-46B7-B29B-414BF51482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77396" y="44450"/>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Attachments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24</xdr:col>
      <xdr:colOff>492125</xdr:colOff>
      <xdr:row>0</xdr:row>
      <xdr:rowOff>120650</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13525" y="120650"/>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474345</xdr:colOff>
      <xdr:row>0</xdr:row>
      <xdr:rowOff>60960</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12985" y="60960"/>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Liquidity Risk</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Capital Management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466725</xdr:colOff>
      <xdr:row>0</xdr:row>
      <xdr:rowOff>47625</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4765" y="47625"/>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Cash and cash equivalents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447675</xdr:colOff>
      <xdr:row>0</xdr:row>
      <xdr:rowOff>64135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13775" y="6413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Trade account receivables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512445</xdr:colOff>
      <xdr:row>0</xdr:row>
      <xdr:rowOff>47625</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0665" y="47625"/>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Account receivable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272415</xdr:colOff>
      <xdr:row>0</xdr:row>
      <xdr:rowOff>83820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42075" y="8382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Accounts receivable - 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226695</xdr:colOff>
      <xdr:row>0</xdr:row>
      <xdr:rowOff>68580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87795" y="6858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Other accounts receivable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240030</xdr:colOff>
      <xdr:row>0</xdr:row>
      <xdr:rowOff>55245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83910" y="5524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Taxes Recoverable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215265</xdr:colOff>
      <xdr:row>0</xdr:row>
      <xdr:rowOff>146685</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14465" y="146685"/>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Investments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135</xdr:col>
      <xdr:colOff>314325</xdr:colOff>
      <xdr:row>0</xdr:row>
      <xdr:rowOff>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672025" y="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Investments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0085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9</xdr:col>
      <xdr:colOff>829235</xdr:colOff>
      <xdr:row>0</xdr:row>
      <xdr:rowOff>28575</xdr:rowOff>
    </xdr:from>
    <xdr:to>
      <xdr:col>17</xdr:col>
      <xdr:colOff>699970</xdr:colOff>
      <xdr:row>3</xdr:row>
      <xdr:rowOff>35593</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5264" y="28575"/>
          <a:ext cx="912882" cy="42163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Investments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93179"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7</xdr:col>
      <xdr:colOff>517663</xdr:colOff>
      <xdr:row>1</xdr:row>
      <xdr:rowOff>10354</xdr:rowOff>
    </xdr:from>
    <xdr:to>
      <xdr:col>9</xdr:col>
      <xdr:colOff>8518</xdr:colOff>
      <xdr:row>3</xdr:row>
      <xdr:rowOff>112622</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1467" y="103533"/>
          <a:ext cx="919605" cy="4335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Investments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513574</xdr:colOff>
      <xdr:row>0</xdr:row>
      <xdr:rowOff>0</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98649" y="0"/>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Additions to property and equipment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Net property balance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Loans and Financing</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445770</xdr:colOff>
      <xdr:row>0</xdr:row>
      <xdr:rowOff>53340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24390" y="5334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Intangible assets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178</xdr:col>
      <xdr:colOff>943295</xdr:colOff>
      <xdr:row>0</xdr:row>
      <xdr:rowOff>95091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068152" y="9509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Salaries and Related Charges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230505</xdr:colOff>
      <xdr:row>0</xdr:row>
      <xdr:rowOff>66675</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640145" y="66675"/>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Judicial deposits and provision for contingencies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374648</xdr:colOff>
      <xdr:row>0</xdr:row>
      <xdr:rowOff>56092</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19781" y="56092"/>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Income and social contributions taxes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40</xdr:col>
      <xdr:colOff>704850</xdr:colOff>
      <xdr:row>0</xdr:row>
      <xdr:rowOff>53340</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49230" y="53340"/>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Deferred income tax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529590</xdr:colOff>
      <xdr:row>0</xdr:row>
      <xdr:rowOff>47625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00590" y="4762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Other accounts payable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426720</xdr:colOff>
      <xdr:row>0</xdr:row>
      <xdr:rowOff>55245</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40420" y="55245"/>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Other revenues (expenses)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462915</xdr:colOff>
      <xdr:row>0</xdr:row>
      <xdr:rowOff>78105</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49155" y="78105"/>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Revenues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440055</xdr:colOff>
      <xdr:row>0</xdr:row>
      <xdr:rowOff>85725</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97495" y="85725"/>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672015</xdr:colOff>
      <xdr:row>0</xdr:row>
      <xdr:rowOff>51211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79535" y="512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508635</xdr:colOff>
      <xdr:row>1</xdr:row>
      <xdr:rowOff>15240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66075" y="10668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Financial result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470535</xdr:colOff>
      <xdr:row>0</xdr:row>
      <xdr:rowOff>81915</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2415" y="81915"/>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Key management personnel compensation</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426720</xdr:colOff>
      <xdr:row>1</xdr:row>
      <xdr:rowOff>45720</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7560" y="137160"/>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Operating lease commitments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Related Parties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200585</xdr:colOff>
      <xdr:row>0</xdr:row>
      <xdr:rowOff>82924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59110" y="8292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0373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0373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Right of Use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Lease liabilities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25</xdr:col>
      <xdr:colOff>453390</xdr:colOff>
      <xdr:row>0</xdr:row>
      <xdr:rowOff>36195</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68210" y="36195"/>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Discontinued operations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8515625" defaultRowHeight="15.75" x14ac:dyDescent="0.25"/>
  <cols>
    <col min="1" max="1" width="9" style="3" customWidth="1"/>
    <col min="2" max="2" width="51.28515625" style="3" customWidth="1"/>
    <col min="3" max="3" width="10.28515625" style="3" customWidth="1"/>
    <col min="4" max="4" width="16" style="3" customWidth="1"/>
    <col min="5" max="12" width="9.28515625" style="3"/>
    <col min="13" max="13" width="5.7109375" style="3" customWidth="1"/>
    <col min="14" max="50" width="9.28515625" style="3"/>
    <col min="51" max="51" width="36.28515625" style="3" bestFit="1" customWidth="1"/>
    <col min="52" max="78" width="9.28515625" style="3"/>
    <col min="79" max="79" width="12.28515625" style="3" bestFit="1" customWidth="1"/>
    <col min="80" max="80" width="40.7109375" style="3" bestFit="1" customWidth="1"/>
    <col min="81" max="81" width="63.5703125" style="3" bestFit="1" customWidth="1"/>
    <col min="82" max="82" width="24.28515625" style="3" bestFit="1" customWidth="1"/>
    <col min="83" max="83" width="38.7109375" style="3" bestFit="1" customWidth="1"/>
    <col min="84" max="84" width="16.28515625" style="3" bestFit="1" customWidth="1"/>
    <col min="85" max="85" width="32.28515625" style="3" bestFit="1" customWidth="1"/>
    <col min="86" max="86" width="24" style="3" bestFit="1" customWidth="1"/>
    <col min="87" max="16384" width="9.28515625" style="3"/>
  </cols>
  <sheetData>
    <row r="1" spans="1:78" x14ac:dyDescent="0.25">
      <c r="A1" s="5"/>
      <c r="B1" s="5"/>
      <c r="D1" s="4"/>
      <c r="E1" s="4"/>
      <c r="F1" s="4"/>
      <c r="G1" s="4"/>
      <c r="H1" s="4"/>
      <c r="I1" s="4"/>
      <c r="J1" s="4"/>
      <c r="K1" s="4"/>
      <c r="L1" s="4"/>
      <c r="M1" s="4"/>
      <c r="N1" s="4"/>
      <c r="O1" s="4"/>
      <c r="P1" s="4"/>
      <c r="Q1" s="471"/>
      <c r="T1" s="477"/>
      <c r="U1" s="570"/>
      <c r="AY1" s="637" t="s">
        <v>752</v>
      </c>
      <c r="BZ1" s="4"/>
    </row>
    <row r="2" spans="1:78" x14ac:dyDescent="0.25">
      <c r="B2" s="4"/>
      <c r="C2" s="4"/>
      <c r="D2" s="4"/>
      <c r="E2" s="4"/>
      <c r="F2" s="4"/>
      <c r="G2" s="4"/>
      <c r="H2" s="4"/>
      <c r="I2" s="4"/>
      <c r="J2" s="4"/>
      <c r="K2" s="4"/>
      <c r="L2" s="4"/>
      <c r="M2" s="4"/>
      <c r="N2" s="4"/>
      <c r="O2" s="470"/>
      <c r="P2" s="4"/>
      <c r="Q2" s="4"/>
      <c r="R2" s="477"/>
      <c r="S2" s="566"/>
      <c r="U2" s="571"/>
      <c r="AY2" s="638" t="s">
        <v>1389</v>
      </c>
    </row>
    <row r="3" spans="1:78" x14ac:dyDescent="0.25">
      <c r="B3" s="4"/>
      <c r="C3" s="4"/>
      <c r="D3" s="4"/>
      <c r="E3" s="4"/>
      <c r="F3" s="4"/>
      <c r="G3" s="4"/>
      <c r="H3" s="4"/>
      <c r="I3" s="4"/>
      <c r="J3" s="4"/>
      <c r="K3" s="4"/>
      <c r="L3" s="4"/>
      <c r="M3" s="4"/>
      <c r="N3" s="4"/>
      <c r="O3" s="470"/>
      <c r="P3" s="4"/>
      <c r="Q3" s="4"/>
      <c r="R3" s="477"/>
      <c r="S3" s="566"/>
      <c r="U3" s="571"/>
      <c r="AY3" s="638" t="s">
        <v>1390</v>
      </c>
    </row>
    <row r="4" spans="1:78" x14ac:dyDescent="0.25">
      <c r="A4" s="565"/>
      <c r="B4" s="5"/>
      <c r="D4" s="4"/>
      <c r="E4" s="4"/>
      <c r="F4" s="4"/>
      <c r="G4" s="4"/>
      <c r="H4" s="4"/>
      <c r="I4" s="4"/>
      <c r="J4" s="4"/>
      <c r="K4" s="4"/>
      <c r="L4" s="4"/>
      <c r="M4" s="4"/>
      <c r="N4" s="4"/>
      <c r="O4" s="4"/>
      <c r="P4" s="4"/>
      <c r="Q4" s="470"/>
      <c r="R4" s="4"/>
      <c r="S4" s="4"/>
      <c r="T4" s="477"/>
      <c r="U4" s="570"/>
      <c r="AY4" s="638" t="s">
        <v>1391</v>
      </c>
    </row>
    <row r="5" spans="1:78" ht="18.75" x14ac:dyDescent="0.25">
      <c r="B5" s="604"/>
      <c r="D5" s="4"/>
      <c r="E5" s="476"/>
      <c r="F5" s="4"/>
      <c r="G5" s="4"/>
      <c r="H5" s="4"/>
      <c r="I5" s="4"/>
      <c r="J5" s="4"/>
      <c r="K5" s="4"/>
      <c r="L5" s="4"/>
      <c r="M5" s="4"/>
      <c r="N5" s="4"/>
      <c r="O5" s="4"/>
      <c r="P5" s="4"/>
      <c r="Q5" s="470"/>
      <c r="R5" s="4"/>
      <c r="S5" s="4"/>
      <c r="T5" s="477"/>
      <c r="U5" s="570"/>
      <c r="AY5" s="638" t="s">
        <v>1392</v>
      </c>
    </row>
    <row r="6" spans="1:78" ht="18.75" x14ac:dyDescent="0.25">
      <c r="B6" s="605"/>
      <c r="D6" s="4"/>
      <c r="E6" s="4"/>
      <c r="F6" s="4"/>
      <c r="G6" s="4"/>
      <c r="H6" s="4"/>
      <c r="I6" s="4"/>
      <c r="J6" s="4"/>
      <c r="K6" s="4"/>
      <c r="L6" s="4"/>
      <c r="M6" s="4"/>
      <c r="N6" s="4"/>
      <c r="O6" s="4"/>
      <c r="P6" s="4"/>
      <c r="Q6" s="470"/>
      <c r="R6" s="4"/>
      <c r="S6" s="4"/>
      <c r="T6" s="477"/>
      <c r="U6" s="570"/>
      <c r="AY6" s="638" t="s">
        <v>1393</v>
      </c>
    </row>
    <row r="7" spans="1:78" x14ac:dyDescent="0.25">
      <c r="B7" s="606"/>
      <c r="D7" s="4"/>
      <c r="E7" s="4"/>
      <c r="F7" s="4"/>
      <c r="G7" s="4"/>
      <c r="H7" s="4"/>
      <c r="I7" s="4"/>
      <c r="J7" s="4"/>
      <c r="K7" s="4"/>
      <c r="L7" s="4"/>
      <c r="M7" s="4"/>
      <c r="N7" s="4"/>
      <c r="O7" s="4"/>
      <c r="P7" s="4"/>
      <c r="Q7" s="470"/>
      <c r="R7" s="4"/>
      <c r="S7" s="4"/>
      <c r="T7" s="477"/>
      <c r="U7" s="570"/>
      <c r="AY7" s="638" t="s">
        <v>1394</v>
      </c>
    </row>
    <row r="8" spans="1:78" x14ac:dyDescent="0.25">
      <c r="A8" s="5"/>
      <c r="B8" s="5"/>
      <c r="D8" s="4"/>
      <c r="E8" s="4"/>
      <c r="F8" s="4"/>
      <c r="G8" s="4"/>
      <c r="H8" s="4"/>
      <c r="I8" s="4"/>
      <c r="J8" s="4"/>
      <c r="K8" s="4"/>
      <c r="L8" s="4"/>
      <c r="M8" s="4"/>
      <c r="N8" s="4"/>
      <c r="O8" s="4"/>
      <c r="P8" s="4"/>
      <c r="Q8" s="4"/>
      <c r="R8" s="4"/>
      <c r="S8" s="4"/>
      <c r="T8" s="477"/>
      <c r="U8" s="570"/>
      <c r="AY8" s="638" t="s">
        <v>1395</v>
      </c>
    </row>
    <row r="9" spans="1:78" x14ac:dyDescent="0.25">
      <c r="A9" s="5"/>
      <c r="B9" s="5"/>
      <c r="D9" s="4"/>
      <c r="E9" s="4"/>
      <c r="F9" s="4"/>
      <c r="G9" s="4"/>
      <c r="H9" s="4"/>
      <c r="I9" s="4"/>
      <c r="J9" s="4"/>
      <c r="K9" s="4"/>
      <c r="L9" s="4"/>
      <c r="M9" s="4"/>
      <c r="N9" s="4"/>
      <c r="O9" s="4"/>
      <c r="P9" s="4"/>
      <c r="Q9" s="4"/>
      <c r="R9" s="4"/>
      <c r="S9" s="4"/>
      <c r="T9" s="477"/>
      <c r="U9" s="570"/>
      <c r="AY9" s="638" t="s">
        <v>1396</v>
      </c>
    </row>
    <row r="10" spans="1:78" x14ac:dyDescent="0.25">
      <c r="A10" s="5"/>
      <c r="B10" s="5"/>
      <c r="D10" s="4"/>
      <c r="E10" s="4"/>
      <c r="F10" s="4"/>
      <c r="G10" s="4"/>
      <c r="H10" s="4"/>
      <c r="I10" s="4"/>
      <c r="J10" s="4"/>
      <c r="K10" s="4"/>
      <c r="L10" s="4"/>
      <c r="M10" s="4"/>
      <c r="N10" s="4"/>
      <c r="O10" s="4"/>
      <c r="P10" s="4"/>
      <c r="Q10" s="471"/>
      <c r="R10" s="4"/>
      <c r="S10" s="4"/>
      <c r="T10" s="477"/>
      <c r="U10" s="570"/>
      <c r="AY10" s="638" t="s">
        <v>1397</v>
      </c>
    </row>
    <row r="11" spans="1:78" x14ac:dyDescent="0.25">
      <c r="A11" s="5"/>
      <c r="B11" s="19"/>
      <c r="D11" s="4"/>
      <c r="E11" s="4"/>
      <c r="F11" s="4"/>
      <c r="G11" s="4"/>
      <c r="H11" s="4"/>
      <c r="I11" s="4"/>
      <c r="J11" s="4"/>
      <c r="K11" s="4"/>
      <c r="L11" s="4"/>
      <c r="M11" s="4"/>
      <c r="N11" s="4"/>
      <c r="O11" s="4"/>
      <c r="P11" s="4"/>
      <c r="Q11" s="4"/>
      <c r="R11" s="4"/>
      <c r="S11" s="4"/>
      <c r="T11" s="477"/>
      <c r="U11" s="570"/>
      <c r="AY11" s="638" t="s">
        <v>1398</v>
      </c>
    </row>
    <row r="12" spans="1:78" x14ac:dyDescent="0.25">
      <c r="A12" s="5"/>
      <c r="B12" s="19"/>
      <c r="D12" s="4"/>
      <c r="E12" s="4"/>
      <c r="F12" s="4"/>
      <c r="G12" s="4"/>
      <c r="H12" s="4"/>
      <c r="I12" s="4"/>
      <c r="J12" s="4"/>
      <c r="K12" s="4"/>
      <c r="L12" s="4"/>
      <c r="M12" s="4"/>
      <c r="N12" s="4"/>
      <c r="O12" s="4"/>
      <c r="P12" s="4"/>
      <c r="Q12" s="4"/>
      <c r="R12" s="4"/>
      <c r="S12" s="4"/>
      <c r="T12" s="477"/>
      <c r="U12" s="570"/>
      <c r="AY12" s="638" t="s">
        <v>1399</v>
      </c>
    </row>
    <row r="13" spans="1:78" x14ac:dyDescent="0.25">
      <c r="A13" s="5"/>
      <c r="B13" s="19"/>
      <c r="D13" s="4"/>
      <c r="E13" s="4"/>
      <c r="F13" s="4"/>
      <c r="G13" s="4"/>
      <c r="H13" s="4"/>
      <c r="I13" s="4"/>
      <c r="J13" s="4"/>
      <c r="K13" s="4"/>
      <c r="L13" s="4"/>
      <c r="M13" s="4"/>
      <c r="N13" s="4"/>
      <c r="O13" s="4"/>
      <c r="P13" s="4"/>
      <c r="Q13" s="4"/>
      <c r="R13" s="4"/>
      <c r="S13" s="4"/>
      <c r="T13" s="477"/>
      <c r="U13" s="570"/>
      <c r="AY13" s="638" t="s">
        <v>1400</v>
      </c>
    </row>
    <row r="14" spans="1:78" x14ac:dyDescent="0.25">
      <c r="A14" s="5"/>
      <c r="B14" s="19"/>
      <c r="D14" s="4"/>
      <c r="E14" s="4"/>
      <c r="F14" s="4"/>
      <c r="G14" s="4"/>
      <c r="H14" s="4"/>
      <c r="I14" s="4"/>
      <c r="J14" s="4"/>
      <c r="K14" s="4"/>
      <c r="L14" s="4"/>
      <c r="M14" s="4"/>
      <c r="N14" s="4"/>
      <c r="O14" s="4"/>
      <c r="P14" s="4"/>
      <c r="Q14" s="4"/>
      <c r="R14" s="4"/>
      <c r="S14" s="4"/>
      <c r="T14" s="477"/>
      <c r="U14" s="570"/>
      <c r="AY14" s="638" t="s">
        <v>1401</v>
      </c>
    </row>
    <row r="15" spans="1:78" x14ac:dyDescent="0.25">
      <c r="A15" s="5"/>
      <c r="B15" s="19"/>
      <c r="D15" s="4"/>
      <c r="E15" s="4"/>
      <c r="F15" s="4"/>
      <c r="G15" s="4"/>
      <c r="H15" s="4"/>
      <c r="I15" s="4"/>
      <c r="J15" s="4"/>
      <c r="K15" s="4"/>
      <c r="L15" s="4"/>
      <c r="M15" s="4"/>
      <c r="N15" s="4"/>
      <c r="O15" s="4"/>
      <c r="P15" s="4"/>
      <c r="Q15" s="4"/>
      <c r="R15" s="4"/>
      <c r="S15" s="4"/>
      <c r="T15" s="477"/>
      <c r="U15" s="570"/>
      <c r="AY15" s="638" t="s">
        <v>1402</v>
      </c>
    </row>
    <row r="16" spans="1:78" x14ac:dyDescent="0.25">
      <c r="A16" s="5"/>
      <c r="B16" s="19"/>
      <c r="D16" s="4"/>
      <c r="E16" s="4"/>
      <c r="F16" s="4"/>
      <c r="G16" s="4"/>
      <c r="H16" s="4"/>
      <c r="I16" s="4"/>
      <c r="J16" s="4"/>
      <c r="K16" s="4"/>
      <c r="L16" s="4"/>
      <c r="M16" s="4"/>
      <c r="N16" s="4"/>
      <c r="O16" s="4"/>
      <c r="P16" s="4"/>
      <c r="Q16" s="4"/>
      <c r="R16" s="4"/>
      <c r="S16" s="4"/>
      <c r="T16" s="477"/>
      <c r="U16" s="570"/>
      <c r="AY16" s="638" t="s">
        <v>1403</v>
      </c>
    </row>
    <row r="17" spans="1:51" x14ac:dyDescent="0.25">
      <c r="A17" s="5"/>
      <c r="B17" s="6"/>
      <c r="D17" s="4"/>
      <c r="E17" s="4"/>
      <c r="F17" s="4"/>
      <c r="G17" s="4"/>
      <c r="H17" s="4"/>
      <c r="I17" s="4"/>
      <c r="J17" s="4"/>
      <c r="K17" s="4"/>
      <c r="L17" s="4"/>
      <c r="M17" s="4"/>
      <c r="N17" s="4"/>
      <c r="O17" s="4"/>
      <c r="P17" s="4"/>
      <c r="Q17" s="4"/>
      <c r="R17" s="4"/>
      <c r="S17" s="4"/>
      <c r="T17" s="477"/>
      <c r="U17" s="570"/>
      <c r="AY17" s="638" t="s">
        <v>1404</v>
      </c>
    </row>
    <row r="18" spans="1:51" x14ac:dyDescent="0.25">
      <c r="A18" s="5"/>
      <c r="B18" s="6"/>
      <c r="D18" s="4"/>
      <c r="E18" s="4"/>
      <c r="F18" s="4"/>
      <c r="G18" s="4"/>
      <c r="H18" s="4"/>
      <c r="I18" s="4"/>
      <c r="J18" s="4"/>
      <c r="K18" s="4"/>
      <c r="L18" s="4"/>
      <c r="M18" s="4"/>
      <c r="N18" s="4"/>
      <c r="O18" s="4"/>
      <c r="P18" s="4"/>
      <c r="Q18" s="4"/>
      <c r="R18" s="4"/>
      <c r="S18" s="4"/>
      <c r="T18" s="477"/>
      <c r="U18" s="570"/>
      <c r="AY18" s="638" t="s">
        <v>1405</v>
      </c>
    </row>
    <row r="19" spans="1:51" ht="25.5" customHeight="1" x14ac:dyDescent="0.25">
      <c r="A19" s="8"/>
      <c r="D19" s="4"/>
      <c r="E19" s="4"/>
      <c r="F19" s="4"/>
      <c r="G19" s="4"/>
      <c r="H19" s="4"/>
      <c r="I19" s="4"/>
      <c r="J19" s="4"/>
      <c r="K19" s="4"/>
      <c r="L19" s="4"/>
      <c r="M19" s="4"/>
      <c r="N19" s="4"/>
      <c r="O19" s="4"/>
      <c r="P19" s="4"/>
      <c r="Q19" s="4"/>
      <c r="R19" s="4"/>
      <c r="S19" s="4"/>
      <c r="T19" s="477"/>
      <c r="U19" s="570"/>
      <c r="AY19" s="638" t="s">
        <v>1406</v>
      </c>
    </row>
    <row r="20" spans="1:51" x14ac:dyDescent="0.25">
      <c r="A20" s="15"/>
      <c r="B20" s="7"/>
      <c r="J20" s="4"/>
      <c r="K20" s="4"/>
      <c r="L20" s="4"/>
      <c r="M20" s="4"/>
      <c r="N20" s="4"/>
      <c r="O20" s="4"/>
      <c r="P20" s="4"/>
      <c r="Q20" s="4"/>
      <c r="R20" s="4"/>
      <c r="S20" s="4"/>
      <c r="T20" s="477"/>
      <c r="U20" s="570"/>
      <c r="AY20" s="638" t="s">
        <v>1407</v>
      </c>
    </row>
    <row r="21" spans="1:51" x14ac:dyDescent="0.25">
      <c r="B21" s="7"/>
      <c r="G21" s="474"/>
      <c r="H21" s="474"/>
      <c r="I21" s="474"/>
      <c r="J21" s="475"/>
      <c r="K21" s="4"/>
      <c r="L21" s="4"/>
      <c r="M21" s="4"/>
      <c r="N21" s="4"/>
      <c r="O21" s="4"/>
      <c r="P21" s="4"/>
      <c r="Q21" s="4"/>
      <c r="R21" s="4"/>
      <c r="S21" s="4"/>
      <c r="T21" s="477"/>
      <c r="U21" s="570"/>
      <c r="AY21" s="638" t="s">
        <v>1408</v>
      </c>
    </row>
    <row r="22" spans="1:51" x14ac:dyDescent="0.25">
      <c r="A22" s="7"/>
      <c r="B22" s="7"/>
      <c r="G22" s="474"/>
      <c r="H22" s="474"/>
      <c r="I22" s="474"/>
      <c r="J22" s="475"/>
      <c r="K22" s="4"/>
      <c r="L22" s="4"/>
      <c r="M22" s="4"/>
      <c r="N22" s="4"/>
      <c r="O22" s="4"/>
      <c r="P22" s="4"/>
      <c r="Q22" s="4"/>
      <c r="R22" s="4"/>
      <c r="S22" s="4"/>
      <c r="T22" s="477"/>
      <c r="U22" s="570"/>
      <c r="AY22" s="638" t="s">
        <v>1409</v>
      </c>
    </row>
    <row r="23" spans="1:51" ht="17.25" customHeight="1" x14ac:dyDescent="0.25">
      <c r="G23" s="474"/>
      <c r="H23" s="474"/>
      <c r="I23" s="474"/>
      <c r="J23" s="475"/>
      <c r="K23" s="4"/>
      <c r="L23" s="4"/>
      <c r="M23" s="4"/>
      <c r="N23" s="4"/>
      <c r="O23" s="4"/>
      <c r="P23" s="4"/>
      <c r="Q23" s="4"/>
      <c r="R23" s="4"/>
      <c r="S23" s="4"/>
      <c r="T23" s="477"/>
      <c r="U23" s="570"/>
      <c r="AY23" s="638" t="s">
        <v>1410</v>
      </c>
    </row>
    <row r="24" spans="1:51" x14ac:dyDescent="0.25">
      <c r="G24" s="474"/>
      <c r="H24" s="474"/>
      <c r="I24" s="474"/>
      <c r="J24" s="475"/>
      <c r="K24" s="4"/>
      <c r="L24" s="4"/>
      <c r="M24" s="4"/>
      <c r="N24" s="4"/>
      <c r="O24" s="4"/>
      <c r="P24" s="4"/>
      <c r="Q24" s="4"/>
      <c r="R24" s="4"/>
      <c r="S24" s="4"/>
      <c r="T24" s="477"/>
      <c r="U24" s="570"/>
      <c r="AY24" s="638" t="s">
        <v>1411</v>
      </c>
    </row>
    <row r="25" spans="1:51" x14ac:dyDescent="0.25">
      <c r="G25" s="474"/>
      <c r="H25" s="474"/>
      <c r="I25" s="474"/>
      <c r="J25" s="474"/>
      <c r="T25" s="477"/>
      <c r="U25" s="570"/>
      <c r="AY25" s="638" t="s">
        <v>1412</v>
      </c>
    </row>
    <row r="26" spans="1:51" x14ac:dyDescent="0.25">
      <c r="G26" s="474"/>
      <c r="H26" s="474"/>
      <c r="I26" s="474"/>
      <c r="J26" s="474"/>
      <c r="T26" s="477"/>
      <c r="U26" s="570"/>
      <c r="AY26" s="638" t="s">
        <v>1413</v>
      </c>
    </row>
    <row r="27" spans="1:51" x14ac:dyDescent="0.25">
      <c r="G27" s="474"/>
      <c r="H27" s="474"/>
      <c r="I27" s="474"/>
      <c r="J27" s="474"/>
      <c r="T27" s="477"/>
      <c r="U27" s="570"/>
      <c r="AY27" s="638" t="s">
        <v>1414</v>
      </c>
    </row>
    <row r="28" spans="1:51" x14ac:dyDescent="0.25">
      <c r="G28" s="474"/>
      <c r="H28" s="474"/>
      <c r="I28" s="474"/>
      <c r="J28" s="474"/>
      <c r="T28" s="477"/>
      <c r="U28" s="570"/>
      <c r="AY28" s="638" t="s">
        <v>1415</v>
      </c>
    </row>
    <row r="29" spans="1:51" x14ac:dyDescent="0.25">
      <c r="G29" s="474"/>
      <c r="H29" s="474"/>
      <c r="I29" s="474"/>
      <c r="J29" s="474"/>
      <c r="T29" s="477"/>
      <c r="U29" s="570"/>
      <c r="AY29" s="638" t="s">
        <v>1416</v>
      </c>
    </row>
    <row r="30" spans="1:51" x14ac:dyDescent="0.25">
      <c r="G30" s="474"/>
      <c r="H30" s="474"/>
      <c r="I30" s="474"/>
      <c r="J30" s="474"/>
      <c r="T30" s="477"/>
      <c r="U30" s="570"/>
      <c r="AY30" s="638" t="s">
        <v>1417</v>
      </c>
    </row>
    <row r="31" spans="1:51" x14ac:dyDescent="0.25">
      <c r="G31" s="473"/>
      <c r="H31" s="473"/>
      <c r="I31" s="473"/>
      <c r="J31" s="473"/>
      <c r="K31" s="472"/>
      <c r="T31" s="477"/>
      <c r="U31" s="570"/>
      <c r="AY31" s="638" t="s">
        <v>1418</v>
      </c>
    </row>
    <row r="32" spans="1:51" x14ac:dyDescent="0.25">
      <c r="G32" s="473"/>
      <c r="H32" s="473"/>
      <c r="I32" s="473"/>
      <c r="J32" s="473"/>
      <c r="K32" s="472"/>
      <c r="T32" s="477"/>
      <c r="U32" s="570"/>
      <c r="AY32" s="638" t="s">
        <v>1419</v>
      </c>
    </row>
    <row r="33" spans="1:51" x14ac:dyDescent="0.25">
      <c r="A33" s="471"/>
      <c r="G33" s="473"/>
      <c r="H33" s="473"/>
      <c r="I33" s="473"/>
      <c r="J33" s="473"/>
      <c r="K33" s="472"/>
      <c r="T33" s="477"/>
      <c r="U33" s="570"/>
      <c r="AY33" s="638" t="s">
        <v>1420</v>
      </c>
    </row>
    <row r="34" spans="1:51" x14ac:dyDescent="0.25">
      <c r="G34" s="473"/>
      <c r="H34" s="473"/>
      <c r="I34" s="473"/>
      <c r="J34" s="473"/>
      <c r="K34" s="472"/>
      <c r="T34" s="477"/>
      <c r="U34" s="570"/>
      <c r="AY34" s="638" t="s">
        <v>1421</v>
      </c>
    </row>
    <row r="35" spans="1:51" x14ac:dyDescent="0.25">
      <c r="G35" s="473"/>
      <c r="H35" s="473"/>
      <c r="I35" s="473"/>
      <c r="J35" s="473"/>
      <c r="K35" s="472"/>
      <c r="T35" s="477"/>
      <c r="U35" s="570"/>
      <c r="AY35" s="638" t="s">
        <v>1422</v>
      </c>
    </row>
    <row r="36" spans="1:51" x14ac:dyDescent="0.25">
      <c r="G36" s="473"/>
      <c r="H36" s="473"/>
      <c r="I36" s="473"/>
      <c r="J36" s="473"/>
      <c r="K36" s="472"/>
      <c r="T36" s="477"/>
      <c r="U36" s="570"/>
      <c r="AY36" s="638" t="s">
        <v>1423</v>
      </c>
    </row>
    <row r="37" spans="1:51" x14ac:dyDescent="0.25">
      <c r="G37" s="473"/>
      <c r="H37" s="473"/>
      <c r="I37" s="473"/>
      <c r="J37" s="473"/>
      <c r="K37" s="472"/>
      <c r="T37" s="477"/>
      <c r="U37" s="570"/>
      <c r="AY37" s="638" t="s">
        <v>1424</v>
      </c>
    </row>
    <row r="38" spans="1:51" x14ac:dyDescent="0.25">
      <c r="G38" s="473"/>
      <c r="H38" s="473"/>
      <c r="I38" s="473"/>
      <c r="J38" s="473"/>
      <c r="K38" s="472"/>
      <c r="T38" s="477"/>
      <c r="U38" s="570"/>
      <c r="AY38" s="638" t="s">
        <v>1425</v>
      </c>
    </row>
    <row r="39" spans="1:51" x14ac:dyDescent="0.25">
      <c r="G39" s="473"/>
      <c r="H39" s="473"/>
      <c r="I39" s="473"/>
      <c r="J39" s="473"/>
      <c r="K39" s="472"/>
      <c r="T39" s="477"/>
      <c r="U39" s="570"/>
      <c r="AY39" s="638" t="s">
        <v>1426</v>
      </c>
    </row>
    <row r="40" spans="1:51" x14ac:dyDescent="0.25">
      <c r="G40" s="473"/>
      <c r="H40" s="473"/>
      <c r="I40" s="473"/>
      <c r="J40" s="473"/>
      <c r="K40" s="472"/>
      <c r="T40" s="477"/>
      <c r="U40" s="570"/>
      <c r="AY40" s="638" t="s">
        <v>1427</v>
      </c>
    </row>
    <row r="41" spans="1:51" x14ac:dyDescent="0.25">
      <c r="G41" s="473"/>
      <c r="H41" s="473"/>
      <c r="I41" s="473"/>
      <c r="J41" s="473"/>
      <c r="K41" s="472"/>
      <c r="T41" s="477"/>
      <c r="U41" s="570"/>
      <c r="AY41" s="638" t="s">
        <v>1428</v>
      </c>
    </row>
    <row r="42" spans="1:51" x14ac:dyDescent="0.25">
      <c r="G42" s="473"/>
      <c r="H42" s="473"/>
      <c r="I42" s="473"/>
      <c r="J42" s="473"/>
      <c r="K42" s="472"/>
      <c r="T42" s="477"/>
      <c r="U42" s="570"/>
      <c r="AY42" s="638" t="s">
        <v>1429</v>
      </c>
    </row>
    <row r="43" spans="1:51" x14ac:dyDescent="0.25">
      <c r="G43" s="473"/>
      <c r="H43" s="473"/>
      <c r="I43" s="473"/>
      <c r="J43" s="473"/>
      <c r="K43" s="472"/>
      <c r="AY43" s="638" t="s">
        <v>1430</v>
      </c>
    </row>
    <row r="44" spans="1:51" ht="16.5" thickBot="1" x14ac:dyDescent="0.3">
      <c r="G44" s="473"/>
      <c r="H44" s="473"/>
      <c r="I44" s="473"/>
      <c r="J44" s="473"/>
      <c r="K44" s="472"/>
      <c r="AY44" s="639" t="s">
        <v>1431</v>
      </c>
    </row>
    <row r="45" spans="1:51" x14ac:dyDescent="0.25">
      <c r="G45" s="473"/>
      <c r="H45" s="473"/>
      <c r="I45" s="473"/>
      <c r="J45" s="473"/>
      <c r="K45" s="472"/>
    </row>
    <row r="46" spans="1:51" x14ac:dyDescent="0.25">
      <c r="G46" s="473"/>
      <c r="H46" s="473"/>
      <c r="I46" s="473"/>
      <c r="J46" s="473"/>
      <c r="K46" s="472"/>
    </row>
    <row r="47" spans="1:51" x14ac:dyDescent="0.25">
      <c r="G47" s="473"/>
      <c r="H47" s="473"/>
      <c r="I47" s="473"/>
      <c r="J47" s="473"/>
      <c r="K47" s="472"/>
    </row>
    <row r="48" spans="1:51" x14ac:dyDescent="0.25">
      <c r="G48" s="473"/>
      <c r="H48" s="473"/>
      <c r="I48" s="473"/>
      <c r="J48" s="473"/>
      <c r="K48" s="472"/>
    </row>
    <row r="49" spans="7:11" x14ac:dyDescent="0.25">
      <c r="G49" s="473"/>
      <c r="H49" s="473"/>
      <c r="I49" s="473"/>
      <c r="J49" s="473"/>
      <c r="K49" s="472"/>
    </row>
    <row r="50" spans="7:11" x14ac:dyDescent="0.25">
      <c r="G50" s="473"/>
      <c r="H50" s="473"/>
      <c r="I50" s="473"/>
      <c r="J50" s="473"/>
      <c r="K50" s="472"/>
    </row>
    <row r="51" spans="7:11" x14ac:dyDescent="0.25">
      <c r="G51" s="473"/>
      <c r="H51" s="473"/>
      <c r="I51" s="473"/>
      <c r="J51" s="473"/>
      <c r="K51" s="472"/>
    </row>
    <row r="52" spans="7:11" x14ac:dyDescent="0.25">
      <c r="G52" s="473"/>
      <c r="H52" s="473"/>
      <c r="I52" s="473"/>
      <c r="J52" s="473"/>
      <c r="K52" s="472"/>
    </row>
    <row r="53" spans="7:11" x14ac:dyDescent="0.25">
      <c r="G53" s="473"/>
      <c r="H53" s="473"/>
      <c r="I53" s="473"/>
      <c r="J53" s="473"/>
      <c r="K53" s="472"/>
    </row>
    <row r="54" spans="7:11" x14ac:dyDescent="0.25">
      <c r="G54" s="473"/>
      <c r="H54" s="473"/>
      <c r="I54" s="473"/>
      <c r="J54" s="473"/>
      <c r="K54" s="472"/>
    </row>
    <row r="55" spans="7:11" x14ac:dyDescent="0.25">
      <c r="G55" s="473"/>
      <c r="H55" s="473"/>
      <c r="I55" s="473"/>
      <c r="J55" s="473"/>
      <c r="K55" s="472"/>
    </row>
    <row r="56" spans="7:11" x14ac:dyDescent="0.25">
      <c r="G56" s="473"/>
      <c r="H56" s="473"/>
      <c r="I56" s="473"/>
      <c r="J56" s="473"/>
      <c r="K56" s="472"/>
    </row>
    <row r="57" spans="7:11" x14ac:dyDescent="0.25">
      <c r="G57" s="473"/>
      <c r="H57" s="473"/>
      <c r="I57" s="473"/>
      <c r="J57" s="473"/>
      <c r="K57" s="472"/>
    </row>
    <row r="58" spans="7:11" x14ac:dyDescent="0.25">
      <c r="G58" s="473"/>
      <c r="H58" s="473"/>
      <c r="I58" s="473"/>
      <c r="J58" s="473"/>
      <c r="K58" s="472"/>
    </row>
    <row r="59" spans="7:11" x14ac:dyDescent="0.25">
      <c r="G59" s="473"/>
      <c r="H59" s="473"/>
      <c r="I59" s="473"/>
      <c r="J59" s="473"/>
      <c r="K59" s="472"/>
    </row>
    <row r="60" spans="7:11" x14ac:dyDescent="0.25">
      <c r="G60" s="473"/>
      <c r="H60" s="473"/>
      <c r="I60" s="473"/>
      <c r="J60" s="473"/>
      <c r="K60" s="472"/>
    </row>
    <row r="61" spans="7:11" x14ac:dyDescent="0.25">
      <c r="G61" s="473"/>
      <c r="H61" s="473"/>
      <c r="I61" s="473"/>
      <c r="J61" s="473"/>
      <c r="K61" s="472"/>
    </row>
    <row r="62" spans="7:11" x14ac:dyDescent="0.25">
      <c r="G62" s="473"/>
      <c r="H62" s="473"/>
      <c r="I62" s="473"/>
      <c r="J62" s="473"/>
      <c r="K62" s="472"/>
    </row>
    <row r="63" spans="7:11" x14ac:dyDescent="0.25">
      <c r="G63" s="473"/>
      <c r="H63" s="473"/>
      <c r="I63" s="473"/>
      <c r="J63" s="473"/>
      <c r="K63" s="472"/>
    </row>
    <row r="64" spans="7:11" x14ac:dyDescent="0.25">
      <c r="G64" s="473"/>
      <c r="H64" s="473"/>
      <c r="I64" s="473"/>
      <c r="J64" s="473"/>
      <c r="K64" s="472"/>
    </row>
    <row r="65" spans="7:11" x14ac:dyDescent="0.25">
      <c r="G65" s="473"/>
      <c r="H65" s="473"/>
      <c r="I65" s="473"/>
      <c r="J65" s="473"/>
      <c r="K65" s="472"/>
    </row>
    <row r="66" spans="7:11" x14ac:dyDescent="0.25">
      <c r="G66" s="473"/>
      <c r="H66" s="473"/>
      <c r="I66" s="473"/>
      <c r="J66" s="473"/>
      <c r="K66" s="472"/>
    </row>
    <row r="67" spans="7:11" x14ac:dyDescent="0.25">
      <c r="G67" s="473"/>
      <c r="H67" s="473"/>
      <c r="I67" s="473"/>
      <c r="J67" s="473"/>
      <c r="K67" s="472"/>
    </row>
    <row r="68" spans="7:11" x14ac:dyDescent="0.25">
      <c r="G68" s="473"/>
      <c r="H68" s="473"/>
      <c r="I68" s="473"/>
      <c r="J68" s="473"/>
      <c r="K68" s="472"/>
    </row>
    <row r="69" spans="7:11" x14ac:dyDescent="0.25">
      <c r="G69" s="473"/>
      <c r="H69" s="473"/>
      <c r="I69" s="473"/>
      <c r="J69" s="473"/>
      <c r="K69" s="472"/>
    </row>
    <row r="70" spans="7:11" x14ac:dyDescent="0.25">
      <c r="G70" s="473"/>
      <c r="H70" s="473"/>
      <c r="I70" s="473"/>
      <c r="J70" s="473"/>
      <c r="K70" s="472"/>
    </row>
    <row r="71" spans="7:11" x14ac:dyDescent="0.25">
      <c r="G71" s="473"/>
      <c r="H71" s="473"/>
      <c r="I71" s="473"/>
      <c r="J71" s="473"/>
      <c r="K71" s="472"/>
    </row>
    <row r="72" spans="7:11" x14ac:dyDescent="0.25">
      <c r="G72" s="473"/>
      <c r="H72" s="473"/>
      <c r="I72" s="473"/>
      <c r="J72" s="473"/>
      <c r="K72" s="472"/>
    </row>
    <row r="73" spans="7:11" x14ac:dyDescent="0.25">
      <c r="G73" s="473"/>
      <c r="H73" s="473"/>
      <c r="I73" s="473"/>
      <c r="J73" s="473"/>
      <c r="K73" s="472"/>
    </row>
    <row r="74" spans="7:11" x14ac:dyDescent="0.25">
      <c r="G74" s="473"/>
      <c r="H74" s="473"/>
      <c r="I74" s="473"/>
      <c r="J74" s="473"/>
      <c r="K74" s="472"/>
    </row>
    <row r="75" spans="7:11" x14ac:dyDescent="0.25">
      <c r="G75" s="473"/>
      <c r="H75" s="473"/>
      <c r="I75" s="473"/>
      <c r="J75" s="473"/>
      <c r="K75" s="472"/>
    </row>
    <row r="76" spans="7:11" x14ac:dyDescent="0.25">
      <c r="G76" s="473"/>
      <c r="H76" s="473"/>
      <c r="I76" s="473"/>
      <c r="J76" s="473"/>
      <c r="K76" s="472"/>
    </row>
    <row r="77" spans="7:11" x14ac:dyDescent="0.25">
      <c r="G77" s="474"/>
      <c r="H77" s="474"/>
      <c r="I77" s="474"/>
      <c r="J77" s="474"/>
    </row>
    <row r="115" spans="20:20" x14ac:dyDescent="0.25">
      <c r="T115" s="2" t="str">
        <f>SUBSTITUTE('Qtrl Fig'!T56,"T","Q")</f>
        <v>2Q16</v>
      </c>
    </row>
    <row r="137" spans="1:51" x14ac:dyDescent="0.25">
      <c r="AY137" s="2"/>
    </row>
    <row r="138" spans="1:51" s="2" customFormat="1" x14ac:dyDescent="0.25">
      <c r="A138" s="2" t="str">
        <f>SUBSTITUTE('Qtrl Fig'!A56,"T","Q")</f>
        <v/>
      </c>
      <c r="B138" s="2" t="str">
        <f>SUBSTITUTE('Qtrl Fig'!B56,"T","Q")</f>
        <v>Indicadores QGMA3</v>
      </c>
      <c r="C138" s="2" t="str">
        <f>SUBSTITUTE('Qtrl Fig'!C56,"T","Q")</f>
        <v>1Q12</v>
      </c>
      <c r="D138" s="2" t="str">
        <f>SUBSTITUTE('Qtrl Fig'!D56,"T","Q")</f>
        <v>2Q12</v>
      </c>
      <c r="E138" s="2" t="str">
        <f>SUBSTITUTE('Qtrl Fig'!E56,"T","Q")</f>
        <v>3Q12</v>
      </c>
      <c r="F138" s="2" t="str">
        <f>SUBSTITUTE('Qtrl Fig'!F56,"T","Q")</f>
        <v>4Q12</v>
      </c>
      <c r="G138" s="2" t="str">
        <f>SUBSTITUTE('Qtrl Fig'!G56,"T","Q")</f>
        <v>1Q13</v>
      </c>
      <c r="H138" s="2" t="str">
        <f>SUBSTITUTE('Qtrl Fig'!H56,"T","Q")</f>
        <v>2Q13</v>
      </c>
      <c r="I138" s="2" t="str">
        <f>SUBSTITUTE('Qtrl Fig'!I56,"T","Q")</f>
        <v>3Q13</v>
      </c>
      <c r="J138" s="2" t="str">
        <f>SUBSTITUTE('Qtrl Fig'!J56,"T","Q")</f>
        <v>4Q13</v>
      </c>
      <c r="K138" s="2" t="str">
        <f>SUBSTITUTE('Qtrl Fig'!K56,"T","Q")</f>
        <v>1Q14</v>
      </c>
      <c r="L138" s="2" t="str">
        <f>SUBSTITUTE('Qtrl Fig'!L56,"T","Q")</f>
        <v>2Q14</v>
      </c>
      <c r="M138" s="2" t="str">
        <f>SUBSTITUTE('Qtrl Fig'!M56,"T","Q")</f>
        <v>3Q14</v>
      </c>
      <c r="N138" s="2" t="str">
        <f>SUBSTITUTE('Qtrl Fig'!N56,"T","Q")</f>
        <v>4Q14</v>
      </c>
      <c r="O138" s="2" t="str">
        <f>SUBSTITUTE('Qtrl Fig'!O56,"T","Q")</f>
        <v>1Q15</v>
      </c>
      <c r="P138" s="2" t="str">
        <f>SUBSTITUTE('Qtrl Fig'!P56,"T","Q")</f>
        <v>2Q15</v>
      </c>
      <c r="Q138" s="2" t="str">
        <f>SUBSTITUTE('Qtrl Fig'!Q56,"T","Q")</f>
        <v>3Q15</v>
      </c>
      <c r="R138" s="2" t="str">
        <f>SUBSTITUTE('Qtrl Fig'!R56,"T","Q")</f>
        <v>4Q15</v>
      </c>
      <c r="T138" s="3"/>
      <c r="V138" s="2" t="str">
        <f>SUBSTITUTE('Qtrl Fig'!V56,"T","Q")</f>
        <v>4Q16</v>
      </c>
      <c r="W138" s="2" t="str">
        <f>SUBSTITUTE('Qtrl Fig'!W56,"T","Q")</f>
        <v>1Q17</v>
      </c>
      <c r="X138" s="2" t="str">
        <f>SUBSTITUTE('Qtrl Fig'!X56,"T","Q")</f>
        <v>2Q17</v>
      </c>
      <c r="Y138" s="2" t="str">
        <f>SUBSTITUTE('Qtrl Fig'!Y56,"T","Q")</f>
        <v>3Q17</v>
      </c>
      <c r="AY138" s="3"/>
    </row>
  </sheetData>
  <dataValidations xWindow="444" yWindow="327" count="2">
    <dataValidation type="list" allowBlank="1" showInputMessage="1" showErrorMessage="1" sqref="Q10" xr:uid="{00000000-0002-0000-0000-000000000000}">
      <formula1>$Q$1:$Q$7</formula1>
    </dataValidation>
    <dataValidation type="list" allowBlank="1" showInputMessage="1" showErrorMessage="1" promptTitle="Selecione a Aba desejada" prompt="em seguida clique no link abaixo" sqref="B6" xr:uid="{00000000-0002-0000-0000-000001000000}">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9">
    <tabColor theme="4"/>
    <pageSetUpPr autoPageBreaks="0"/>
  </sheetPr>
  <dimension ref="A1:CA195"/>
  <sheetViews>
    <sheetView showGridLines="0" zoomScale="115" zoomScaleNormal="115" workbookViewId="0">
      <pane xSplit="2" ySplit="5" topLeftCell="C6" activePane="bottomRight" state="frozen"/>
      <selection activeCell="C1" sqref="C1"/>
      <selection pane="topRight" activeCell="E1" sqref="E1"/>
      <selection pane="bottomLeft" activeCell="C6" sqref="C6"/>
      <selection pane="bottomRight" activeCell="AP6" sqref="AP6"/>
    </sheetView>
  </sheetViews>
  <sheetFormatPr defaultColWidth="9.28515625" defaultRowHeight="14.25" customHeight="1" outlineLevelCol="1" x14ac:dyDescent="0.2"/>
  <cols>
    <col min="1" max="1" width="1.42578125" style="2" customWidth="1"/>
    <col min="2" max="2" width="25.5703125" style="2" customWidth="1"/>
    <col min="3" max="3" width="7.7109375" style="2" hidden="1" customWidth="1" outlineLevel="1"/>
    <col min="4" max="4" width="8.7109375" style="2" hidden="1" customWidth="1" outlineLevel="1"/>
    <col min="5" max="5" width="8.5703125" style="2" hidden="1" customWidth="1" outlineLevel="1"/>
    <col min="6" max="6" width="10.28515625" style="2" hidden="1" customWidth="1" outlineLevel="1"/>
    <col min="7" max="7" width="10.28515625" style="2" customWidth="1" collapsed="1"/>
    <col min="8" max="11" width="10.28515625" style="2" hidden="1" customWidth="1" outlineLevel="1"/>
    <col min="12" max="12" width="10.28515625" style="2" customWidth="1" collapsed="1"/>
    <col min="13" max="16" width="10.28515625" style="2" hidden="1" customWidth="1" outlineLevel="1"/>
    <col min="17" max="17" width="10.28515625" style="2" customWidth="1" collapsed="1"/>
    <col min="18" max="21" width="10.28515625" style="2" hidden="1" customWidth="1" outlineLevel="1"/>
    <col min="22" max="22" width="10.28515625" style="2" customWidth="1" collapsed="1"/>
    <col min="23" max="26" width="10.28515625" style="2" hidden="1" customWidth="1" outlineLevel="1"/>
    <col min="27" max="27" width="10.28515625" style="2" customWidth="1" collapsed="1"/>
    <col min="28" max="31" width="10.28515625" style="2" hidden="1" customWidth="1" outlineLevel="1"/>
    <col min="32" max="32" width="10.28515625" style="2" customWidth="1" collapsed="1"/>
    <col min="33" max="36" width="10.28515625" style="2" hidden="1" customWidth="1" outlineLevel="1"/>
    <col min="37" max="37" width="10.28515625" style="2" customWidth="1" collapsed="1"/>
    <col min="38" max="41" width="10.28515625" style="2" hidden="1" customWidth="1" outlineLevel="1"/>
    <col min="42" max="42" width="10.28515625" style="2" customWidth="1" collapsed="1"/>
    <col min="43" max="43" width="17.7109375" style="268" customWidth="1"/>
    <col min="44" max="44" width="9.7109375" style="268" customWidth="1"/>
    <col min="45" max="46" width="9.28515625" style="268"/>
    <col min="47" max="48" width="15.42578125" style="268" bestFit="1" customWidth="1"/>
    <col min="49" max="50" width="9.28515625" style="2"/>
    <col min="51" max="52" width="9.28515625" style="188"/>
    <col min="53" max="56" width="9.28515625" style="268"/>
    <col min="57" max="16384" width="9.28515625" style="2"/>
  </cols>
  <sheetData>
    <row r="1" spans="1:79" s="268" customFormat="1" ht="12" customHeight="1" x14ac:dyDescent="0.2">
      <c r="C1" s="723"/>
      <c r="D1" s="723"/>
      <c r="E1" s="723"/>
      <c r="F1" s="723"/>
      <c r="H1" s="723"/>
      <c r="I1" s="723"/>
      <c r="J1" s="723"/>
      <c r="K1" s="723"/>
      <c r="M1" s="723"/>
      <c r="N1" s="723"/>
      <c r="O1" s="723"/>
      <c r="P1" s="723"/>
      <c r="Q1" s="723"/>
      <c r="R1" s="723"/>
      <c r="S1" s="723"/>
      <c r="T1" s="723"/>
      <c r="U1" s="723"/>
      <c r="V1" s="1002"/>
      <c r="W1" s="723"/>
      <c r="X1" s="723"/>
      <c r="Y1" s="723"/>
      <c r="Z1" s="723"/>
      <c r="AA1" s="723"/>
      <c r="AB1" s="723"/>
      <c r="AC1" s="723"/>
      <c r="AD1" s="723"/>
      <c r="AE1" s="723"/>
      <c r="AF1" s="723"/>
      <c r="AG1" s="723"/>
      <c r="AH1" s="723"/>
      <c r="AI1" s="723"/>
      <c r="AJ1" s="723"/>
      <c r="AK1" s="723"/>
      <c r="AL1" s="723"/>
      <c r="AM1" s="723"/>
      <c r="AN1" s="723"/>
      <c r="AO1" s="723"/>
      <c r="AP1" s="723"/>
      <c r="AW1" s="2"/>
      <c r="AX1" s="2"/>
      <c r="AY1" s="188"/>
      <c r="AZ1" s="188"/>
    </row>
    <row r="2" spans="1:79" s="268" customFormat="1" ht="10.5" customHeight="1" x14ac:dyDescent="0.2">
      <c r="A2" s="630"/>
      <c r="C2" s="724"/>
      <c r="D2" s="724"/>
      <c r="E2" s="724"/>
      <c r="F2" s="724"/>
      <c r="H2" s="724"/>
      <c r="I2" s="822"/>
      <c r="J2" s="822"/>
      <c r="K2" s="822"/>
      <c r="M2" s="822"/>
      <c r="N2" s="822"/>
      <c r="O2" s="822"/>
      <c r="P2" s="822"/>
      <c r="Q2" s="822"/>
      <c r="R2" s="822"/>
      <c r="S2" s="822"/>
      <c r="T2" s="822"/>
      <c r="U2" s="822"/>
      <c r="V2" s="1003"/>
      <c r="W2" s="822"/>
      <c r="X2" s="822"/>
      <c r="Y2" s="822"/>
      <c r="Z2" s="822"/>
      <c r="AA2" s="822"/>
      <c r="AB2" s="822"/>
      <c r="AC2" s="822"/>
      <c r="AD2" s="822"/>
      <c r="AE2" s="822"/>
      <c r="AF2" s="822"/>
      <c r="AG2" s="822"/>
      <c r="AH2" s="822"/>
      <c r="AI2" s="822"/>
      <c r="AJ2" s="822"/>
      <c r="AK2" s="822"/>
      <c r="AL2" s="822"/>
      <c r="AM2" s="822"/>
      <c r="AN2" s="822"/>
      <c r="AO2" s="822"/>
      <c r="AP2" s="822"/>
      <c r="AW2" s="2"/>
      <c r="AX2" s="2"/>
      <c r="AY2" s="188"/>
      <c r="AZ2" s="188"/>
    </row>
    <row r="3" spans="1:79" ht="11.25" customHeight="1" x14ac:dyDescent="0.2">
      <c r="A3" s="16"/>
      <c r="B3" s="936"/>
      <c r="C3" s="934"/>
      <c r="D3" s="934"/>
      <c r="E3" s="934"/>
      <c r="F3" s="934"/>
      <c r="G3" s="935"/>
      <c r="H3" s="934"/>
      <c r="I3" s="934"/>
      <c r="J3" s="934"/>
      <c r="K3" s="934"/>
      <c r="L3" s="935"/>
      <c r="M3" s="934"/>
      <c r="N3" s="934"/>
      <c r="O3" s="934"/>
      <c r="P3" s="934"/>
      <c r="R3" s="934"/>
      <c r="S3" s="934"/>
      <c r="T3" s="934"/>
      <c r="U3" s="934"/>
      <c r="V3" s="939"/>
      <c r="W3" s="1004"/>
      <c r="X3" s="1004"/>
      <c r="Y3" s="1004"/>
      <c r="Z3" s="1004"/>
      <c r="AA3" s="939"/>
      <c r="AB3" s="1004"/>
      <c r="AC3" s="1004"/>
      <c r="AD3" s="1004"/>
      <c r="AE3" s="1004"/>
      <c r="AF3" s="939"/>
      <c r="AG3" s="1004"/>
      <c r="AH3" s="1004"/>
      <c r="AI3" s="1004"/>
      <c r="AJ3" s="1004"/>
      <c r="AK3" s="939"/>
      <c r="AL3" s="1004"/>
      <c r="AM3" s="1004"/>
      <c r="AN3" s="1004"/>
      <c r="AO3" s="1004"/>
      <c r="AP3" s="939"/>
    </row>
    <row r="5" spans="1:79" ht="13.5" customHeight="1" x14ac:dyDescent="0.2">
      <c r="A5" s="16"/>
      <c r="B5" s="933" t="s">
        <v>214</v>
      </c>
      <c r="C5" s="883" t="s">
        <v>374</v>
      </c>
      <c r="D5" s="883" t="s">
        <v>375</v>
      </c>
      <c r="E5" s="883" t="s">
        <v>376</v>
      </c>
      <c r="F5" s="883" t="s">
        <v>694</v>
      </c>
      <c r="G5" s="883" t="s">
        <v>760</v>
      </c>
      <c r="H5" s="883" t="s">
        <v>758</v>
      </c>
      <c r="I5" s="883" t="s">
        <v>771</v>
      </c>
      <c r="J5" s="883" t="s">
        <v>788</v>
      </c>
      <c r="K5" s="883" t="s">
        <v>844</v>
      </c>
      <c r="L5" s="883" t="s">
        <v>1089</v>
      </c>
      <c r="M5" s="883" t="s">
        <v>862</v>
      </c>
      <c r="N5" s="883" t="s">
        <v>922</v>
      </c>
      <c r="O5" s="883" t="s">
        <v>923</v>
      </c>
      <c r="P5" s="883" t="s">
        <v>924</v>
      </c>
      <c r="Q5" s="883" t="s">
        <v>1088</v>
      </c>
      <c r="R5" s="883" t="s">
        <v>995</v>
      </c>
      <c r="S5" s="883" t="s">
        <v>1027</v>
      </c>
      <c r="T5" s="883" t="s">
        <v>1028</v>
      </c>
      <c r="U5" s="883" t="s">
        <v>993</v>
      </c>
      <c r="V5" s="883" t="s">
        <v>1132</v>
      </c>
      <c r="W5" s="883" t="s">
        <v>1124</v>
      </c>
      <c r="X5" s="883" t="s">
        <v>1125</v>
      </c>
      <c r="Y5" s="883" t="s">
        <v>1126</v>
      </c>
      <c r="Z5" s="883" t="s">
        <v>1127</v>
      </c>
      <c r="AA5" s="883" t="s">
        <v>1179</v>
      </c>
      <c r="AB5" s="883" t="s">
        <v>1181</v>
      </c>
      <c r="AC5" s="883" t="s">
        <v>1189</v>
      </c>
      <c r="AD5" s="883" t="s">
        <v>1191</v>
      </c>
      <c r="AE5" s="883" t="s">
        <v>1193</v>
      </c>
      <c r="AF5" s="883" t="s">
        <v>1227</v>
      </c>
      <c r="AG5" s="883" t="s">
        <v>1232</v>
      </c>
      <c r="AH5" s="883" t="s">
        <v>1245</v>
      </c>
      <c r="AI5" s="883" t="s">
        <v>1247</v>
      </c>
      <c r="AJ5" s="883" t="s">
        <v>1249</v>
      </c>
      <c r="AK5" s="883" t="s">
        <v>1311</v>
      </c>
      <c r="AL5" s="883" t="s">
        <v>1306</v>
      </c>
      <c r="AM5" s="883" t="s">
        <v>1316</v>
      </c>
      <c r="AN5" s="883" t="s">
        <v>1317</v>
      </c>
      <c r="AO5" s="883" t="s">
        <v>1318</v>
      </c>
      <c r="AP5" s="883" t="s">
        <v>1375</v>
      </c>
    </row>
    <row r="6" spans="1:79" ht="13.5" customHeight="1" x14ac:dyDescent="0.2">
      <c r="B6" s="874" t="s">
        <v>217</v>
      </c>
      <c r="C6" s="873">
        <f ca="1">+C67</f>
        <v>214422.15101999999</v>
      </c>
      <c r="D6" s="873">
        <f ca="1">+D67</f>
        <v>268717.10787999997</v>
      </c>
      <c r="E6" s="873">
        <f ca="1">+E67</f>
        <v>305185.31597000005</v>
      </c>
      <c r="F6" s="873">
        <f ca="1">+F67</f>
        <v>340565.25495999999</v>
      </c>
      <c r="G6" s="645">
        <f ca="1">+SUM(C6:F6)</f>
        <v>1128889.8298299999</v>
      </c>
      <c r="H6" s="873">
        <f ca="1">+H67</f>
        <v>275057.54545999999</v>
      </c>
      <c r="I6" s="873">
        <f ca="1">+I67</f>
        <v>315279.75394999998</v>
      </c>
      <c r="J6" s="873">
        <f ca="1">+J67</f>
        <v>365789.47778999998</v>
      </c>
      <c r="K6" s="873">
        <f ca="1">+K67</f>
        <v>391684.40824000002</v>
      </c>
      <c r="L6" s="645">
        <f ca="1">+SUM(H6:K6)</f>
        <v>1347811.1854399999</v>
      </c>
      <c r="M6" s="873">
        <f ca="1">+M67</f>
        <v>321706.25628999999</v>
      </c>
      <c r="N6" s="873">
        <f ca="1">+N67</f>
        <v>360853.55104000005</v>
      </c>
      <c r="O6" s="873">
        <f ca="1">+O67</f>
        <v>366405.11531000002</v>
      </c>
      <c r="P6" s="873">
        <f ca="1">+P67</f>
        <v>414841.17645000003</v>
      </c>
      <c r="Q6" s="645">
        <f ca="1">+SUM(M6:P6)</f>
        <v>1463806.0990900001</v>
      </c>
      <c r="R6" s="873">
        <f ca="1">+R67</f>
        <v>298654.90463999996</v>
      </c>
      <c r="S6" s="873">
        <f ca="1">+S67</f>
        <v>108624.88222</v>
      </c>
      <c r="T6" s="873">
        <f ca="1">+T67</f>
        <v>305501.52506000001</v>
      </c>
      <c r="U6" s="873">
        <f ca="1">+U67</f>
        <v>337571.33675999998</v>
      </c>
      <c r="V6" s="645">
        <f ca="1">+SUM(R6:U6)</f>
        <v>1050352.6486800001</v>
      </c>
      <c r="W6" s="873">
        <f ca="1">+W67</f>
        <v>250078.92903</v>
      </c>
      <c r="X6" s="873">
        <f ca="1">+X67</f>
        <v>249944.68143999999</v>
      </c>
      <c r="Y6" s="873">
        <f ca="1">+Y67</f>
        <v>243798.95912000004</v>
      </c>
      <c r="Z6" s="873">
        <f ca="1">+Z67</f>
        <v>339046.03587999992</v>
      </c>
      <c r="AA6" s="645">
        <f ca="1">+SUM(W6:Z6)</f>
        <v>1082868.6054699998</v>
      </c>
      <c r="AB6" s="873">
        <f ca="1">+AB67</f>
        <v>249984.01542999997</v>
      </c>
      <c r="AC6" s="873">
        <f ca="1">+AC67</f>
        <v>329187.05628000002</v>
      </c>
      <c r="AD6" s="873">
        <f ca="1">+AD67</f>
        <v>460036.70981000003</v>
      </c>
      <c r="AE6" s="873">
        <f ca="1">+AE67</f>
        <v>461462.62537999998</v>
      </c>
      <c r="AF6" s="645">
        <f ca="1">+SUM(AB6:AE6)</f>
        <v>1500670.4069000001</v>
      </c>
      <c r="AG6" s="873">
        <f ca="1">+AG67</f>
        <v>369902.34818999982</v>
      </c>
      <c r="AH6" s="873">
        <f ca="1">+AH67</f>
        <v>413999.29704000009</v>
      </c>
      <c r="AI6" s="873">
        <f ca="1">+AI67</f>
        <v>481071.89130000008</v>
      </c>
      <c r="AJ6" s="873">
        <f ca="1">+AJ67</f>
        <v>516751.48728000012</v>
      </c>
      <c r="AK6" s="645">
        <f ca="1">+SUM(AG6:AJ6)</f>
        <v>1781725.0238100002</v>
      </c>
      <c r="AL6" s="873">
        <f ca="1">+AL67</f>
        <v>432552.07787999994</v>
      </c>
      <c r="AM6" s="873">
        <f ca="1">+AM67</f>
        <v>529168.94435000001</v>
      </c>
      <c r="AN6" s="873">
        <f ca="1">+AN67</f>
        <v>695890.14059000008</v>
      </c>
      <c r="AO6" s="873">
        <f ca="1">+AO67</f>
        <v>720353.22578999994</v>
      </c>
      <c r="AP6" s="645">
        <f ca="1">+SUM(AL6:AO6)</f>
        <v>2377964.3886100003</v>
      </c>
      <c r="AQ6" s="1192">
        <f ca="1">+SUM(AN8,AM8,AL8,AJ8)</f>
        <v>2380852.5445000003</v>
      </c>
      <c r="BE6" s="268"/>
      <c r="BF6" s="268"/>
      <c r="BG6" s="268"/>
      <c r="BH6" s="268"/>
      <c r="BI6" s="268"/>
      <c r="BJ6" s="268"/>
      <c r="BK6" s="268"/>
      <c r="BL6" s="268"/>
      <c r="BM6" s="268"/>
      <c r="BN6" s="268"/>
      <c r="BO6" s="268"/>
      <c r="BP6" s="268"/>
      <c r="BQ6" s="268"/>
      <c r="BR6" s="268"/>
      <c r="BS6" s="268"/>
      <c r="BT6" s="268"/>
      <c r="BU6" s="268"/>
      <c r="BV6" s="268"/>
      <c r="BW6" s="268"/>
      <c r="BX6" s="268"/>
      <c r="BY6" s="268"/>
      <c r="BZ6" s="268"/>
      <c r="CA6" s="268"/>
    </row>
    <row r="7" spans="1:79" ht="13.5" customHeight="1" x14ac:dyDescent="0.2">
      <c r="B7" s="874" t="s">
        <v>218</v>
      </c>
      <c r="C7" s="873">
        <f ca="1">+C97</f>
        <v>48717.342169999996</v>
      </c>
      <c r="D7" s="873">
        <f ca="1">+D97</f>
        <v>48049.863870000001</v>
      </c>
      <c r="E7" s="873">
        <f ca="1">+E97</f>
        <v>50445.274439999994</v>
      </c>
      <c r="F7" s="873">
        <f ca="1">+F97</f>
        <v>54087.619529999996</v>
      </c>
      <c r="G7" s="645">
        <f ca="1">+SUM(C7:F7)</f>
        <v>201300.10000999997</v>
      </c>
      <c r="H7" s="873">
        <f ca="1">+H97</f>
        <v>47791.897820000006</v>
      </c>
      <c r="I7" s="873">
        <f ca="1">+I97</f>
        <v>45118.782989999992</v>
      </c>
      <c r="J7" s="873">
        <f ca="1">+J97</f>
        <v>50056.113029999993</v>
      </c>
      <c r="K7" s="873">
        <f ca="1">+K97</f>
        <v>47941.790019999993</v>
      </c>
      <c r="L7" s="645">
        <f ca="1">+SUM(H7:K7)</f>
        <v>190908.58385999998</v>
      </c>
      <c r="M7" s="873">
        <f ca="1">+M97</f>
        <v>45576.200000000004</v>
      </c>
      <c r="N7" s="873">
        <f ca="1">+N97</f>
        <v>45477.30472</v>
      </c>
      <c r="O7" s="873">
        <f ca="1">+O97</f>
        <v>49444.072350000002</v>
      </c>
      <c r="P7" s="873">
        <f ca="1">+P97</f>
        <v>49006.12429</v>
      </c>
      <c r="Q7" s="645">
        <f ca="1">+SUM(M7:P7)</f>
        <v>189503.70136000001</v>
      </c>
      <c r="R7" s="873">
        <f ca="1">+R97</f>
        <v>46798.437100000003</v>
      </c>
      <c r="S7" s="873">
        <f ca="1">+S97</f>
        <v>51640.242859999998</v>
      </c>
      <c r="T7" s="873">
        <f ca="1">+T97</f>
        <v>52814.545720000002</v>
      </c>
      <c r="U7" s="873">
        <f ca="1">+U97</f>
        <v>49157.816579999999</v>
      </c>
      <c r="V7" s="645">
        <f ca="1">+SUM(R7:U7)</f>
        <v>200411.04226000002</v>
      </c>
      <c r="W7" s="873">
        <f ca="1">+W97</f>
        <v>40685.805</v>
      </c>
      <c r="X7" s="873">
        <f ca="1">+X97</f>
        <v>44766.588499999998</v>
      </c>
      <c r="Y7" s="873">
        <f ca="1">+Y97</f>
        <v>45483.075720000001</v>
      </c>
      <c r="Z7" s="873">
        <f ca="1">+Z97</f>
        <v>40436.241730000009</v>
      </c>
      <c r="AA7" s="645">
        <f ca="1">+SUM(W7:Z7)</f>
        <v>171371.71095000001</v>
      </c>
      <c r="AB7" s="873">
        <f ca="1">+AB97</f>
        <v>48354.774229999995</v>
      </c>
      <c r="AC7" s="873">
        <f ca="1">+AC97</f>
        <v>46644.168120000002</v>
      </c>
      <c r="AD7" s="873">
        <f ca="1">+AD97</f>
        <v>51373.626230000002</v>
      </c>
      <c r="AE7" s="873">
        <f ca="1">+AE97</f>
        <v>44837.835890000002</v>
      </c>
      <c r="AF7" s="645">
        <f ca="1">+SUM(AB7:AE7)</f>
        <v>191210.40447000001</v>
      </c>
      <c r="AG7" s="873">
        <f ca="1">+AG97</f>
        <v>47323.97638</v>
      </c>
      <c r="AH7" s="873">
        <f ca="1">+AH97</f>
        <v>43144.14963</v>
      </c>
      <c r="AI7" s="873">
        <f ca="1">+AI97</f>
        <v>50027.470160000004</v>
      </c>
      <c r="AJ7" s="873">
        <f ca="1">+AJ97</f>
        <v>49218.7</v>
      </c>
      <c r="AK7" s="645">
        <f ca="1">+SUM(AG7:AJ7)</f>
        <v>189714.29616999999</v>
      </c>
      <c r="AL7" s="873">
        <f ca="1">+AL97</f>
        <v>50683.687290000002</v>
      </c>
      <c r="AM7" s="873">
        <f ca="1">+AM97</f>
        <v>55719.131580000001</v>
      </c>
      <c r="AN7" s="873">
        <f ca="1">+AN97</f>
        <v>50868.375529999998</v>
      </c>
      <c r="AO7" s="873">
        <f ca="1">+AO97</f>
        <v>49988.152990000002</v>
      </c>
      <c r="AP7" s="645">
        <f ca="1">+SUM(AL7:AO7)</f>
        <v>207259.34739000001</v>
      </c>
      <c r="AQ7" s="1192"/>
      <c r="BE7" s="268"/>
      <c r="BF7" s="268"/>
      <c r="BG7" s="268"/>
      <c r="BH7" s="268"/>
      <c r="BI7" s="268"/>
      <c r="BJ7" s="268"/>
      <c r="BK7" s="268"/>
      <c r="BL7" s="268"/>
      <c r="BM7" s="268"/>
      <c r="BN7" s="268"/>
      <c r="BO7" s="268"/>
      <c r="BP7" s="268"/>
      <c r="BQ7" s="268"/>
      <c r="BR7" s="268"/>
      <c r="BS7" s="268"/>
      <c r="BT7" s="268"/>
      <c r="BU7" s="268"/>
      <c r="BV7" s="268"/>
      <c r="BW7" s="268"/>
      <c r="BX7" s="268"/>
      <c r="BY7" s="268"/>
      <c r="BZ7" s="268"/>
      <c r="CA7" s="268"/>
    </row>
    <row r="8" spans="1:79" ht="13.5" customHeight="1" x14ac:dyDescent="0.2">
      <c r="B8" s="882" t="s">
        <v>216</v>
      </c>
      <c r="C8" s="881">
        <f ca="1">+SUM(C6:C7)</f>
        <v>263139.49319000001</v>
      </c>
      <c r="D8" s="881">
        <f ca="1">+SUM(D6:D7)</f>
        <v>316766.97174999997</v>
      </c>
      <c r="E8" s="881">
        <f ca="1">+SUM(E6:E7)</f>
        <v>355630.59041000006</v>
      </c>
      <c r="F8" s="881">
        <f ca="1">+SUM(F6:F7)</f>
        <v>394652.87448999996</v>
      </c>
      <c r="G8" s="880">
        <f ca="1">+SUM(C8:F8)</f>
        <v>1330189.9298399999</v>
      </c>
      <c r="H8" s="881">
        <f ca="1">+SUM(H6:H7)</f>
        <v>322849.44328000001</v>
      </c>
      <c r="I8" s="881">
        <f ca="1">+SUM(I6:I7)</f>
        <v>360398.53693999996</v>
      </c>
      <c r="J8" s="881">
        <f ca="1">+SUM(J6:J7)</f>
        <v>415845.59081999998</v>
      </c>
      <c r="K8" s="881">
        <f ca="1">+SUM(K6:K7)</f>
        <v>439626.19826000003</v>
      </c>
      <c r="L8" s="880">
        <f ca="1">+SUM(H8:K8)</f>
        <v>1538719.7693</v>
      </c>
      <c r="M8" s="881">
        <f ca="1">+SUM(M6:M7)</f>
        <v>367282.45629</v>
      </c>
      <c r="N8" s="881">
        <f ca="1">+SUM(N6:N7)</f>
        <v>406330.85576000006</v>
      </c>
      <c r="O8" s="881">
        <f ca="1">+SUM(O6:O7)</f>
        <v>415849.18766000005</v>
      </c>
      <c r="P8" s="881">
        <f ca="1">+SUM(P6:P7)</f>
        <v>463847.30074000004</v>
      </c>
      <c r="Q8" s="880">
        <f ca="1">+SUM(M8:P8)</f>
        <v>1653309.8004500002</v>
      </c>
      <c r="R8" s="881">
        <f ca="1">+SUM(R6:R7)</f>
        <v>345453.34173999995</v>
      </c>
      <c r="S8" s="881">
        <f ca="1">+SUM(S6:S7)</f>
        <v>160265.12508</v>
      </c>
      <c r="T8" s="881">
        <f ca="1">+SUM(T6:T7)</f>
        <v>358316.07078000001</v>
      </c>
      <c r="U8" s="881">
        <f ca="1">+SUM(U6:U7)</f>
        <v>386729.15333999996</v>
      </c>
      <c r="V8" s="880">
        <f ca="1">+SUM(R8:U8)</f>
        <v>1250763.6909399999</v>
      </c>
      <c r="W8" s="881">
        <f ca="1">+SUM(W6:W7)</f>
        <v>290764.73402999999</v>
      </c>
      <c r="X8" s="881">
        <f ca="1">+SUM(X6:X7)</f>
        <v>294711.26993999997</v>
      </c>
      <c r="Y8" s="881">
        <f ca="1">+SUM(Y6:Y7)</f>
        <v>289282.03484000004</v>
      </c>
      <c r="Z8" s="881">
        <f ca="1">+SUM(Z6:Z7)</f>
        <v>379482.27760999993</v>
      </c>
      <c r="AA8" s="880">
        <f ca="1">+SUM(W8:Z8)</f>
        <v>1254240.31642</v>
      </c>
      <c r="AB8" s="881">
        <f ca="1">+SUM(AB6:AB7)</f>
        <v>298338.78965999995</v>
      </c>
      <c r="AC8" s="881">
        <f ca="1">+SUM(AC6:AC7)</f>
        <v>375831.22440000001</v>
      </c>
      <c r="AD8" s="881">
        <f ca="1">+SUM(AD6:AD7)</f>
        <v>511410.33604000002</v>
      </c>
      <c r="AE8" s="881">
        <f ca="1">+SUM(AE6:AE7)</f>
        <v>506300.46126999997</v>
      </c>
      <c r="AF8" s="880">
        <f ca="1">+SUM(AB8:AE8)</f>
        <v>1691880.8113699998</v>
      </c>
      <c r="AG8" s="881">
        <f ca="1">+SUM(AG6:AG7)</f>
        <v>417226.32456999982</v>
      </c>
      <c r="AH8" s="881">
        <f ca="1">+SUM(AH6:AH7)</f>
        <v>457143.44667000009</v>
      </c>
      <c r="AI8" s="881">
        <f ca="1">+SUM(AI6:AI7)</f>
        <v>531099.36146000004</v>
      </c>
      <c r="AJ8" s="881">
        <f ca="1">+SUM(AJ6:AJ7)</f>
        <v>565970.18728000007</v>
      </c>
      <c r="AK8" s="880">
        <f ca="1">+SUM(AG8:AJ8)</f>
        <v>1971439.3199800001</v>
      </c>
      <c r="AL8" s="881">
        <f ca="1">+SUM(AL6:AL7)</f>
        <v>483235.76516999991</v>
      </c>
      <c r="AM8" s="881">
        <f ca="1">+SUM(AM6:AM7)</f>
        <v>584888.07593000005</v>
      </c>
      <c r="AN8" s="881">
        <f ca="1">+SUM(AN6:AN7)</f>
        <v>746758.51612000004</v>
      </c>
      <c r="AO8" s="881">
        <f ca="1">+SUM(AO6:AO7)</f>
        <v>770341.37877999991</v>
      </c>
      <c r="AP8" s="880">
        <f ca="1">+SUM(AL8:AO8)</f>
        <v>2585223.7359999996</v>
      </c>
      <c r="BE8" s="268"/>
      <c r="BF8" s="268"/>
      <c r="BG8" s="268"/>
      <c r="BH8" s="268"/>
      <c r="BI8" s="268"/>
      <c r="BJ8" s="268"/>
      <c r="BK8" s="268"/>
      <c r="BL8" s="268"/>
      <c r="BM8" s="268"/>
      <c r="BN8" s="268"/>
      <c r="BO8" s="268"/>
      <c r="BP8" s="268"/>
      <c r="BQ8" s="268"/>
      <c r="BR8" s="268"/>
      <c r="BS8" s="268"/>
      <c r="BT8" s="268"/>
      <c r="BU8" s="268"/>
      <c r="BV8" s="268"/>
      <c r="BW8" s="268"/>
      <c r="BX8" s="268"/>
      <c r="BY8" s="268"/>
      <c r="BZ8" s="268"/>
      <c r="CA8" s="268"/>
    </row>
    <row r="9" spans="1:79" ht="13.5" customHeight="1" x14ac:dyDescent="0.2">
      <c r="B9" s="874" t="s">
        <v>1157</v>
      </c>
      <c r="C9" s="873">
        <f ca="1">+C68+C98</f>
        <v>-49624.916319999989</v>
      </c>
      <c r="D9" s="916">
        <f ca="1">+D68+D98</f>
        <v>-51660.569389999968</v>
      </c>
      <c r="E9" s="873">
        <f ca="1">+E68+E98</f>
        <v>-69751.736580000055</v>
      </c>
      <c r="F9" s="873">
        <f ca="1">+F68+F98</f>
        <v>-75177.268309999956</v>
      </c>
      <c r="G9" s="930">
        <f ca="1">+SUM(C9:F9)</f>
        <v>-246214.49059999996</v>
      </c>
      <c r="H9" s="873">
        <f ca="1">+H68+H98</f>
        <v>-60777.078839999995</v>
      </c>
      <c r="I9" s="873">
        <f ca="1">+I68+I98</f>
        <v>-67123.213439999963</v>
      </c>
      <c r="J9" s="916">
        <f ca="1">+J68+J98</f>
        <v>-79388.163690000001</v>
      </c>
      <c r="K9" s="916">
        <f ca="1">+K68+K98</f>
        <v>-76878.744012542491</v>
      </c>
      <c r="L9" s="930">
        <f ca="1">+SUM(H9:K9)</f>
        <v>-284167.19998254243</v>
      </c>
      <c r="M9" s="873">
        <f ca="1">+M68+M98</f>
        <v>-70601.690199999983</v>
      </c>
      <c r="N9" s="873">
        <f ca="1">+N68+N98</f>
        <v>-74742.844070000036</v>
      </c>
      <c r="O9" s="873">
        <f ca="1">+O68+O98</f>
        <v>-75126.040760000004</v>
      </c>
      <c r="P9" s="873">
        <f ca="1">+P68+P98</f>
        <v>-85518.78118000002</v>
      </c>
      <c r="Q9" s="645">
        <f ca="1">+SUM(M9:P9)</f>
        <v>-305989.35621</v>
      </c>
      <c r="R9" s="873">
        <f ca="1">+R68+R98</f>
        <v>-65706.918319999953</v>
      </c>
      <c r="S9" s="873">
        <f ca="1">+S68+S98</f>
        <v>-30124.582640000001</v>
      </c>
      <c r="T9" s="873">
        <f ca="1">+T68+T98</f>
        <v>-69134.587800000008</v>
      </c>
      <c r="U9" s="873">
        <f ca="1">+U68+U98</f>
        <v>-73762.623569999952</v>
      </c>
      <c r="V9" s="645">
        <f ca="1">+SUM(R9:U9)</f>
        <v>-238728.71232999989</v>
      </c>
      <c r="W9" s="873">
        <f ca="1">+W68+W98</f>
        <v>-56852.589729999978</v>
      </c>
      <c r="X9" s="873">
        <f ca="1">+X68+X98</f>
        <v>-57645.011709999999</v>
      </c>
      <c r="Y9" s="873">
        <f ca="1">+Y68+Y98</f>
        <v>-57843.520080000009</v>
      </c>
      <c r="Z9" s="873">
        <f ca="1">+Z68+Z98</f>
        <v>-74556.185990000013</v>
      </c>
      <c r="AA9" s="645">
        <f ca="1">+SUM(W9:Z9)</f>
        <v>-246897.30751000001</v>
      </c>
      <c r="AB9" s="873">
        <f ca="1">+AB68+AB98</f>
        <v>-57272.680549999983</v>
      </c>
      <c r="AC9" s="873">
        <f ca="1">+AC68+AC98</f>
        <v>-71296.049840000051</v>
      </c>
      <c r="AD9" s="873">
        <f ca="1">+AD68+AD98</f>
        <v>-95901.64496000002</v>
      </c>
      <c r="AE9" s="873">
        <f ca="1">+AE68+AE98</f>
        <v>-96900.989790000051</v>
      </c>
      <c r="AF9" s="645">
        <f ca="1">+SUM(AB9:AE9)</f>
        <v>-321371.36514000013</v>
      </c>
      <c r="AG9" s="873">
        <f ca="1">+AG68+AG98</f>
        <v>-81188.375400000019</v>
      </c>
      <c r="AH9" s="916">
        <f ca="1">+AH68+AH98</f>
        <v>-90492.71663000001</v>
      </c>
      <c r="AI9" s="873">
        <f ca="1">+AI68+AI98</f>
        <v>-104121.76996999999</v>
      </c>
      <c r="AJ9" s="916">
        <f ca="1">+AJ68+AJ98</f>
        <v>-112168.91354999997</v>
      </c>
      <c r="AK9" s="930">
        <f ca="1">+SUM(AG9:AJ9)</f>
        <v>-387971.77555000002</v>
      </c>
      <c r="AL9" s="873">
        <f ca="1">+AL68+AL98</f>
        <v>-94064.972370000003</v>
      </c>
      <c r="AM9" s="873">
        <f ca="1">+AM68+AM98</f>
        <v>-112045.88618999999</v>
      </c>
      <c r="AN9" s="873">
        <f ca="1">+AN68+AN98</f>
        <v>-143004.25521</v>
      </c>
      <c r="AO9" s="873">
        <f ca="1">+AO68+AO98</f>
        <v>-145981.2050999999</v>
      </c>
      <c r="AP9" s="645">
        <f ca="1">+SUM(AL9:AO9)</f>
        <v>-495096.3188699999</v>
      </c>
      <c r="BE9" s="268"/>
      <c r="BF9" s="268"/>
      <c r="BG9" s="268"/>
      <c r="BH9" s="268"/>
      <c r="BI9" s="268"/>
      <c r="BJ9" s="268"/>
      <c r="BK9" s="268"/>
      <c r="BL9" s="268"/>
      <c r="BM9" s="268"/>
      <c r="BN9" s="268"/>
      <c r="BO9" s="268"/>
      <c r="BP9" s="268"/>
      <c r="BQ9" s="268"/>
      <c r="BR9" s="268"/>
      <c r="BS9" s="268"/>
      <c r="BT9" s="268"/>
      <c r="BU9" s="268"/>
      <c r="BV9" s="268"/>
      <c r="BW9" s="268"/>
      <c r="BX9" s="268"/>
      <c r="BY9" s="268"/>
      <c r="BZ9" s="268"/>
      <c r="CA9" s="268"/>
    </row>
    <row r="10" spans="1:79" s="867" customFormat="1" ht="13.5" customHeight="1" x14ac:dyDescent="0.2">
      <c r="A10" s="872"/>
      <c r="B10" s="877" t="s">
        <v>1156</v>
      </c>
      <c r="C10" s="876">
        <f ca="1">+C9/C8</f>
        <v>-0.18858786918833309</v>
      </c>
      <c r="D10" s="876">
        <f ca="1">+D9/D8</f>
        <v>-0.16308698190533488</v>
      </c>
      <c r="E10" s="876">
        <f ca="1">+E9/E8</f>
        <v>-0.1961353676003646</v>
      </c>
      <c r="F10" s="876">
        <f ca="1">+F9/F8</f>
        <v>-0.19048960027758485</v>
      </c>
      <c r="G10" s="875">
        <f ca="1">+G11/G8-1</f>
        <v>-0.18509724444359255</v>
      </c>
      <c r="H10" s="876">
        <f ca="1">+H9/H8</f>
        <v>-0.18825207880965558</v>
      </c>
      <c r="I10" s="876">
        <f ca="1">+I9/I8</f>
        <v>-0.18624718626750364</v>
      </c>
      <c r="J10" s="876">
        <f ca="1">+J9/J8</f>
        <v>-0.19090779232131719</v>
      </c>
      <c r="K10" s="876">
        <f ca="1">+K9/K8</f>
        <v>-0.17487298144837926</v>
      </c>
      <c r="L10" s="875">
        <f ca="1">+L11/L8-1</f>
        <v>-0.18467768183144673</v>
      </c>
      <c r="M10" s="876">
        <f ca="1">+M9/M8</f>
        <v>-0.19222723272209355</v>
      </c>
      <c r="N10" s="876">
        <f ca="1">+N9/N8</f>
        <v>-0.18394577475589746</v>
      </c>
      <c r="O10" s="876">
        <f ca="1">+O9/O8</f>
        <v>-0.18065693763341761</v>
      </c>
      <c r="P10" s="876">
        <f ca="1">+P9/P8</f>
        <v>-0.18436839245063494</v>
      </c>
      <c r="Q10" s="875">
        <f ca="1">+Q11/Q8-1</f>
        <v>-0.18507684169459071</v>
      </c>
      <c r="R10" s="876">
        <f ca="1">+R9/R8</f>
        <v>-0.19020489999906626</v>
      </c>
      <c r="S10" s="876">
        <f ca="1">+S9/S8</f>
        <v>-0.18796717392484877</v>
      </c>
      <c r="T10" s="876">
        <f ca="1">+T9/T8</f>
        <v>-0.19294302834228017</v>
      </c>
      <c r="U10" s="876">
        <f ca="1">+U9/U8</f>
        <v>-0.1907345824149704</v>
      </c>
      <c r="V10" s="875">
        <f ca="1">+V11/V8-1</f>
        <v>-0.19086635953637698</v>
      </c>
      <c r="W10" s="876">
        <f ca="1">+W9/W8</f>
        <v>-0.19552780332753197</v>
      </c>
      <c r="X10" s="876">
        <f ca="1">+X9/X8</f>
        <v>-0.19559826036424022</v>
      </c>
      <c r="Y10" s="876">
        <f ca="1">+Y9/Y8</f>
        <v>-0.19995545216623242</v>
      </c>
      <c r="Z10" s="876">
        <f ca="1">+Z9/Z8</f>
        <v>-0.19646816304455358</v>
      </c>
      <c r="AA10" s="875">
        <f ca="1">+AA11/AA8-1</f>
        <v>-0.19685008070440879</v>
      </c>
      <c r="AB10" s="876">
        <f ca="1">+AB9/AB8</f>
        <v>-0.19197195448594015</v>
      </c>
      <c r="AC10" s="876">
        <f ca="1">+AC9/AC8</f>
        <v>-0.18970230574594071</v>
      </c>
      <c r="AD10" s="876">
        <f ca="1">+AD9/AD8</f>
        <v>-0.18752386919395203</v>
      </c>
      <c r="AE10" s="876">
        <f ca="1">+AE9/AE8</f>
        <v>-0.1913902854185327</v>
      </c>
      <c r="AF10" s="875">
        <f ca="1">+AF11/AF8-1</f>
        <v>-0.18994917548581303</v>
      </c>
      <c r="AG10" s="876">
        <f ca="1">+AG9/AG8</f>
        <v>-0.19459073078304459</v>
      </c>
      <c r="AH10" s="876">
        <f ca="1">+AH9/AH8</f>
        <v>-0.19795256235035638</v>
      </c>
      <c r="AI10" s="876">
        <f ca="1">+AI9/AI8</f>
        <v>-0.19604951074271243</v>
      </c>
      <c r="AJ10" s="876">
        <f ca="1">+AJ9/AJ8</f>
        <v>-0.1981887316168954</v>
      </c>
      <c r="AK10" s="875">
        <f ca="1">+AK11/AK8-1</f>
        <v>-0.19679620448776292</v>
      </c>
      <c r="AL10" s="876">
        <f ca="1">+AL9/AL8</f>
        <v>-0.19465647857605992</v>
      </c>
      <c r="AM10" s="876">
        <f ca="1">+AM9/AM8</f>
        <v>-0.19156808080219737</v>
      </c>
      <c r="AN10" s="876">
        <f ca="1">+AN9/AN8</f>
        <v>-0.19149999916039792</v>
      </c>
      <c r="AO10" s="876">
        <f ca="1">+AO9/AO8</f>
        <v>-0.18950196513030668</v>
      </c>
      <c r="AP10" s="875">
        <f ca="1">+AP11/AP8-1</f>
        <v>-0.19151004687742801</v>
      </c>
      <c r="AQ10" s="868"/>
      <c r="AR10" s="868"/>
      <c r="AS10" s="868"/>
      <c r="AT10" s="868"/>
      <c r="AU10" s="868"/>
      <c r="AV10" s="868"/>
      <c r="AY10" s="1041"/>
      <c r="AZ10" s="1041"/>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row>
    <row r="11" spans="1:79" ht="13.5" customHeight="1" x14ac:dyDescent="0.2">
      <c r="B11" s="882" t="s">
        <v>1155</v>
      </c>
      <c r="C11" s="881">
        <f ca="1">+C8+C9</f>
        <v>213514.57687000002</v>
      </c>
      <c r="D11" s="1022">
        <f ca="1">+D8+D9</f>
        <v>265106.40236000001</v>
      </c>
      <c r="E11" s="881">
        <f ca="1">+E8+E9</f>
        <v>285878.85383000004</v>
      </c>
      <c r="F11" s="881">
        <f ca="1">+F8+F9</f>
        <v>319475.60618</v>
      </c>
      <c r="G11" s="1023">
        <f ca="1">+SUM(C11:F11)</f>
        <v>1083975.4392400002</v>
      </c>
      <c r="H11" s="881">
        <f ca="1">+H8+H9</f>
        <v>262072.36444</v>
      </c>
      <c r="I11" s="881">
        <f ca="1">+I8+I9</f>
        <v>293275.3235</v>
      </c>
      <c r="J11" s="1022">
        <f ca="1">+J8+J9</f>
        <v>336457.42712999997</v>
      </c>
      <c r="K11" s="1022">
        <f ca="1">+K8+K9</f>
        <v>362747.45424745756</v>
      </c>
      <c r="L11" s="1023">
        <f ca="1">+SUM(H11:K11)</f>
        <v>1254552.5693174575</v>
      </c>
      <c r="M11" s="881">
        <f ca="1">+M8+M9</f>
        <v>296680.76609000005</v>
      </c>
      <c r="N11" s="881">
        <f ca="1">+N8+N9</f>
        <v>331588.01169000001</v>
      </c>
      <c r="O11" s="881">
        <f ca="1">+O8+O9</f>
        <v>340723.14690000005</v>
      </c>
      <c r="P11" s="881">
        <f ca="1">+P8+P9</f>
        <v>378328.51956000004</v>
      </c>
      <c r="Q11" s="880">
        <f ca="1">+SUM(M11:P11)</f>
        <v>1347320.4442400001</v>
      </c>
      <c r="R11" s="881">
        <f ca="1">+R8+R9</f>
        <v>279746.42342000001</v>
      </c>
      <c r="S11" s="881">
        <f ca="1">+S8+S9</f>
        <v>130140.54243999999</v>
      </c>
      <c r="T11" s="881">
        <f ca="1">+T8+T9</f>
        <v>289181.48297999997</v>
      </c>
      <c r="U11" s="881">
        <f ca="1">+U8+U9</f>
        <v>312966.52977000002</v>
      </c>
      <c r="V11" s="880">
        <f ca="1">+SUM(R11:U11)</f>
        <v>1012034.97861</v>
      </c>
      <c r="W11" s="881">
        <f ca="1">+W8+W9</f>
        <v>233912.14430000001</v>
      </c>
      <c r="X11" s="881">
        <f ca="1">+X8+X9</f>
        <v>237066.25822999998</v>
      </c>
      <c r="Y11" s="881">
        <f ca="1">+Y8+Y9</f>
        <v>231438.51476000002</v>
      </c>
      <c r="Z11" s="881">
        <f ca="1">+Z8+Z9</f>
        <v>304926.0916199999</v>
      </c>
      <c r="AA11" s="880">
        <f ca="1">+SUM(W11:Z11)</f>
        <v>1007343.0089099999</v>
      </c>
      <c r="AB11" s="881">
        <f ca="1">+AB8+AB9</f>
        <v>241066.10910999996</v>
      </c>
      <c r="AC11" s="881">
        <f ca="1">+AC8+AC9</f>
        <v>304535.17455999996</v>
      </c>
      <c r="AD11" s="881">
        <f ca="1">+AD8+AD9</f>
        <v>415508.69108000002</v>
      </c>
      <c r="AE11" s="881">
        <f ca="1">+AE8+AE9</f>
        <v>409399.47147999995</v>
      </c>
      <c r="AF11" s="880">
        <f ca="1">+SUM(AB11:AE11)</f>
        <v>1370509.4462299999</v>
      </c>
      <c r="AG11" s="881">
        <f ca="1">+AG8+AG9</f>
        <v>336037.9491699998</v>
      </c>
      <c r="AH11" s="881">
        <f ca="1">+AH8+AH9</f>
        <v>366650.73004000005</v>
      </c>
      <c r="AI11" s="881">
        <f ca="1">+AI8+AI9</f>
        <v>426977.59149000002</v>
      </c>
      <c r="AJ11" s="881">
        <f ca="1">+AJ8+AJ9</f>
        <v>453801.27373000013</v>
      </c>
      <c r="AK11" s="880">
        <f ca="1">+SUM(AG11:AJ11)</f>
        <v>1583467.5444299998</v>
      </c>
      <c r="AL11" s="881">
        <f ca="1">+AL8+AL9</f>
        <v>389170.79279999994</v>
      </c>
      <c r="AM11" s="881">
        <f ca="1">+AM8+AM9</f>
        <v>472842.18974000006</v>
      </c>
      <c r="AN11" s="881">
        <f ca="1">+AN8+AN9</f>
        <v>603754.26091000007</v>
      </c>
      <c r="AO11" s="881">
        <f ca="1">+AO8+AO9</f>
        <v>624360.17368000001</v>
      </c>
      <c r="AP11" s="880">
        <f ca="1">+SUM(AL11:AO11)</f>
        <v>2090127.41713</v>
      </c>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row>
    <row r="12" spans="1:79" ht="13.5" customHeight="1" x14ac:dyDescent="0.2">
      <c r="B12" s="874" t="s">
        <v>1154</v>
      </c>
      <c r="C12" s="873">
        <f ca="1">+C101+C71</f>
        <v>-174885.20908999996</v>
      </c>
      <c r="D12" s="873">
        <f ca="1">+D101+D71</f>
        <v>-205921.02704999998</v>
      </c>
      <c r="E12" s="873">
        <f ca="1">+E101+E71</f>
        <v>-226186.00294999999</v>
      </c>
      <c r="F12" s="916">
        <f ca="1">+F101+F71</f>
        <v>-247342.45374</v>
      </c>
      <c r="G12" s="930">
        <f ca="1">+SUM(C12:F12)</f>
        <v>-854334.69282999996</v>
      </c>
      <c r="H12" s="873">
        <f ca="1">+H101+H71</f>
        <v>-207146.03266</v>
      </c>
      <c r="I12" s="873">
        <f ca="1">+I101+I71</f>
        <v>-229983.15228000004</v>
      </c>
      <c r="J12" s="873">
        <f ca="1">+J101+J71</f>
        <v>-258371.40411000003</v>
      </c>
      <c r="K12" s="873">
        <f ca="1">+K101+K71</f>
        <v>-274428.48563000001</v>
      </c>
      <c r="L12" s="645">
        <f ca="1">+SUM(H12:K12)</f>
        <v>-969929.07468000008</v>
      </c>
      <c r="M12" s="873">
        <f ca="1">+M101+M71</f>
        <v>-219858.89009999999</v>
      </c>
      <c r="N12" s="873">
        <f ca="1">+N101+N71</f>
        <v>-249765.45636999997</v>
      </c>
      <c r="O12" s="916">
        <f ca="1">+O101+O71</f>
        <v>-251705.60509</v>
      </c>
      <c r="P12" s="873">
        <f ca="1">+P101+P71</f>
        <v>-279067.12414000003</v>
      </c>
      <c r="Q12" s="930">
        <f ca="1">+SUM(M12:P12)</f>
        <v>-1000397.0756999999</v>
      </c>
      <c r="R12" s="873">
        <f ca="1">+R101+R71</f>
        <v>-207887.47123</v>
      </c>
      <c r="S12" s="873">
        <f ca="1">+S101+S71</f>
        <v>-105924.01414000001</v>
      </c>
      <c r="T12" s="873">
        <f ca="1">+T101+T71</f>
        <v>-212365.89350000001</v>
      </c>
      <c r="U12" s="916">
        <f ca="1">+U101+U71</f>
        <v>-233198.58012999999</v>
      </c>
      <c r="V12" s="930">
        <f ca="1">+SUM(R12:U12)</f>
        <v>-759375.95900000003</v>
      </c>
      <c r="W12" s="873">
        <f ca="1">+W101+W71</f>
        <v>-179455.29472000001</v>
      </c>
      <c r="X12" s="873">
        <f ca="1">+X101+X71</f>
        <v>-180934.97625000001</v>
      </c>
      <c r="Y12" s="873">
        <f ca="1">+Y101+Y71</f>
        <v>-178037.60190000004</v>
      </c>
      <c r="Z12" s="873">
        <f ca="1">+Z101+Z71</f>
        <v>-234425.64186999999</v>
      </c>
      <c r="AA12" s="645">
        <f ca="1">+SUM(W12:Z12)</f>
        <v>-772853.51474000001</v>
      </c>
      <c r="AB12" s="873">
        <f ca="1">+AB101+AB71</f>
        <v>-189639.96300000002</v>
      </c>
      <c r="AC12" s="873">
        <f ca="1">+AC101+AC71</f>
        <v>-234569.45392</v>
      </c>
      <c r="AD12" s="873">
        <f ca="1">+AD101+AD71</f>
        <v>-308460.46995000006</v>
      </c>
      <c r="AE12" s="873">
        <f ca="1">+AE101+AE71</f>
        <v>-314562.2389</v>
      </c>
      <c r="AF12" s="645">
        <f ca="1">+SUM(AB12:AE12)</f>
        <v>-1047232.12577</v>
      </c>
      <c r="AG12" s="873">
        <f ca="1">+AG101+AG71</f>
        <v>-263831.30074999994</v>
      </c>
      <c r="AH12" s="873">
        <f ca="1">+AH101+AH71</f>
        <v>-285486.00792</v>
      </c>
      <c r="AI12" s="873">
        <f ca="1">+AI101+AI71</f>
        <v>-323024.90090000001</v>
      </c>
      <c r="AJ12" s="873">
        <f ca="1">+AJ101+AJ71</f>
        <v>-349351.46576999989</v>
      </c>
      <c r="AK12" s="645">
        <f ca="1">+SUM(AG12:AJ12)</f>
        <v>-1221693.6753399998</v>
      </c>
      <c r="AL12" s="873">
        <f ca="1">+AL101+AL71</f>
        <v>-302974.08583000011</v>
      </c>
      <c r="AM12" s="873">
        <f ca="1">+AM101+AM71</f>
        <v>-364045.45872</v>
      </c>
      <c r="AN12" s="873">
        <f ca="1">+AN101+AN71</f>
        <v>-451605.84516999999</v>
      </c>
      <c r="AO12" s="873">
        <f ca="1">+AO101+AO71</f>
        <v>-469944.28493000008</v>
      </c>
      <c r="AP12" s="645">
        <f ca="1">+SUM(AL12:AO12)</f>
        <v>-1588569.6746500002</v>
      </c>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row>
    <row r="13" spans="1:79" s="867" customFormat="1" ht="13.5" customHeight="1" x14ac:dyDescent="0.2">
      <c r="A13" s="872"/>
      <c r="B13" s="877" t="s">
        <v>1158</v>
      </c>
      <c r="C13" s="876">
        <f t="shared" ref="C13:S13" ca="1" si="0">+C12/C11</f>
        <v>-0.81907854561368032</v>
      </c>
      <c r="D13" s="876">
        <f t="shared" ca="1" si="0"/>
        <v>-0.77674860062553475</v>
      </c>
      <c r="E13" s="876">
        <f t="shared" ca="1" si="0"/>
        <v>-0.79119529101128683</v>
      </c>
      <c r="F13" s="876">
        <f t="shared" ca="1" si="0"/>
        <v>-0.77421389600757651</v>
      </c>
      <c r="G13" s="875">
        <f t="shared" ca="1" si="0"/>
        <v>-0.78814949297097858</v>
      </c>
      <c r="H13" s="876">
        <f t="shared" ca="1" si="0"/>
        <v>-0.79041539958870755</v>
      </c>
      <c r="I13" s="876">
        <f t="shared" ca="1" si="0"/>
        <v>-0.78418855543432731</v>
      </c>
      <c r="J13" s="876">
        <f t="shared" ca="1" si="0"/>
        <v>-0.76791707739645421</v>
      </c>
      <c r="K13" s="876">
        <f t="shared" ca="1" si="0"/>
        <v>-0.75652766798686211</v>
      </c>
      <c r="L13" s="875">
        <f t="shared" ca="1" si="0"/>
        <v>-0.77312748656494523</v>
      </c>
      <c r="M13" s="876">
        <f t="shared" ca="1" si="0"/>
        <v>-0.7410621625309689</v>
      </c>
      <c r="N13" s="876">
        <f t="shared" ca="1" si="0"/>
        <v>-0.75324030895153249</v>
      </c>
      <c r="O13" s="876">
        <f t="shared" ca="1" si="0"/>
        <v>-0.73873937647058041</v>
      </c>
      <c r="P13" s="876">
        <f t="shared" ca="1" si="0"/>
        <v>-0.73763173990836839</v>
      </c>
      <c r="Q13" s="875">
        <f t="shared" ca="1" si="0"/>
        <v>-0.74250864371341629</v>
      </c>
      <c r="R13" s="876">
        <f t="shared" ca="1" si="0"/>
        <v>-0.7431282541113533</v>
      </c>
      <c r="S13" s="876">
        <f t="shared" ca="1" si="0"/>
        <v>-0.81392018316532866</v>
      </c>
      <c r="T13" s="876">
        <f t="shared" ref="T13:Y13" ca="1" si="1">+T12/T11</f>
        <v>-0.73436892055321334</v>
      </c>
      <c r="U13" s="876">
        <f t="shared" ca="1" si="1"/>
        <v>-0.74512306572008924</v>
      </c>
      <c r="V13" s="875">
        <f t="shared" ca="1" si="1"/>
        <v>-0.75034556616114234</v>
      </c>
      <c r="W13" s="876">
        <f t="shared" ca="1" si="1"/>
        <v>-0.76719101206580664</v>
      </c>
      <c r="X13" s="876">
        <f t="shared" ca="1" si="1"/>
        <v>-0.76322534299443912</v>
      </c>
      <c r="Y13" s="876">
        <f t="shared" ca="1" si="1"/>
        <v>-0.76926522832478283</v>
      </c>
      <c r="Z13" s="876">
        <f t="shared" ref="Z13:AF13" ca="1" si="2">+Z12/Z11</f>
        <v>-0.76879495822922939</v>
      </c>
      <c r="AA13" s="875">
        <f t="shared" ca="1" si="2"/>
        <v>-0.76721981281854501</v>
      </c>
      <c r="AB13" s="876">
        <f t="shared" ca="1" si="2"/>
        <v>-0.78667201997053071</v>
      </c>
      <c r="AC13" s="876">
        <f t="shared" ca="1" si="2"/>
        <v>-0.77025405770913591</v>
      </c>
      <c r="AD13" s="876">
        <f t="shared" ca="1" si="2"/>
        <v>-0.74236827429106789</v>
      </c>
      <c r="AE13" s="876">
        <f t="shared" ca="1" si="2"/>
        <v>-0.76835037857484645</v>
      </c>
      <c r="AF13" s="875">
        <f t="shared" ca="1" si="2"/>
        <v>-0.76411886736769907</v>
      </c>
      <c r="AG13" s="876">
        <f t="shared" ref="AG13:AM13" ca="1" si="3">+AG12/AG11</f>
        <v>-0.78512352965387577</v>
      </c>
      <c r="AH13" s="876">
        <f t="shared" ca="1" si="3"/>
        <v>-0.77863204551332732</v>
      </c>
      <c r="AI13" s="876">
        <f t="shared" ca="1" si="3"/>
        <v>-0.75653829928816152</v>
      </c>
      <c r="AJ13" s="876">
        <f t="shared" ca="1" si="3"/>
        <v>-0.76983359455675493</v>
      </c>
      <c r="AK13" s="875">
        <f t="shared" ca="1" si="3"/>
        <v>-0.77153060676072938</v>
      </c>
      <c r="AL13" s="876">
        <f t="shared" ca="1" si="3"/>
        <v>-0.7785118807353627</v>
      </c>
      <c r="AM13" s="876">
        <f t="shared" ca="1" si="3"/>
        <v>-0.76990900266360807</v>
      </c>
      <c r="AN13" s="876">
        <f t="shared" ref="AN13:AP13" ca="1" si="4">+AN12/AN11</f>
        <v>-0.74799612095378587</v>
      </c>
      <c r="AO13" s="876">
        <f t="shared" ca="1" si="4"/>
        <v>-0.75268139247276544</v>
      </c>
      <c r="AP13" s="875">
        <f t="shared" ca="1" si="4"/>
        <v>-0.76003484841670577</v>
      </c>
      <c r="AQ13" s="868"/>
      <c r="AR13" s="868"/>
      <c r="AS13" s="868"/>
      <c r="AT13" s="868"/>
      <c r="AU13" s="868"/>
      <c r="AV13" s="868"/>
      <c r="AY13" s="1041"/>
      <c r="AZ13" s="1041"/>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68"/>
      <c r="BZ13" s="868"/>
      <c r="CA13" s="868"/>
    </row>
    <row r="14" spans="1:79" ht="13.5" customHeight="1" x14ac:dyDescent="0.2">
      <c r="A14" s="24"/>
      <c r="B14" s="882" t="s">
        <v>1159</v>
      </c>
      <c r="C14" s="881">
        <f t="shared" ref="C14:S14" ca="1" si="5">+C11+C12</f>
        <v>38629.367780000059</v>
      </c>
      <c r="D14" s="881">
        <f t="shared" ca="1" si="5"/>
        <v>59185.375310000032</v>
      </c>
      <c r="E14" s="881">
        <f t="shared" ca="1" si="5"/>
        <v>59692.850880000042</v>
      </c>
      <c r="F14" s="1022">
        <f t="shared" ca="1" si="5"/>
        <v>72133.152440000005</v>
      </c>
      <c r="G14" s="1023">
        <f t="shared" ca="1" si="5"/>
        <v>229640.74641000025</v>
      </c>
      <c r="H14" s="881">
        <f t="shared" ca="1" si="5"/>
        <v>54926.331780000008</v>
      </c>
      <c r="I14" s="881">
        <f t="shared" ca="1" si="5"/>
        <v>63292.17121999996</v>
      </c>
      <c r="J14" s="1022">
        <f t="shared" ca="1" si="5"/>
        <v>78086.023019999935</v>
      </c>
      <c r="K14" s="1022">
        <f t="shared" ca="1" si="5"/>
        <v>88318.968617457547</v>
      </c>
      <c r="L14" s="1023">
        <f t="shared" ca="1" si="5"/>
        <v>284623.49463745742</v>
      </c>
      <c r="M14" s="881">
        <f t="shared" ca="1" si="5"/>
        <v>76821.875990000059</v>
      </c>
      <c r="N14" s="881">
        <f t="shared" ca="1" si="5"/>
        <v>81822.555320000043</v>
      </c>
      <c r="O14" s="1022">
        <f t="shared" ca="1" si="5"/>
        <v>89017.541810000053</v>
      </c>
      <c r="P14" s="881">
        <f t="shared" ca="1" si="5"/>
        <v>99261.395420000015</v>
      </c>
      <c r="Q14" s="1023">
        <f t="shared" ca="1" si="5"/>
        <v>346923.36854000017</v>
      </c>
      <c r="R14" s="881">
        <f t="shared" ca="1" si="5"/>
        <v>71858.952190000011</v>
      </c>
      <c r="S14" s="881">
        <f t="shared" ca="1" si="5"/>
        <v>24216.528299999976</v>
      </c>
      <c r="T14" s="881">
        <f t="shared" ref="T14:Y14" ca="1" si="6">+T11+T12</f>
        <v>76815.589479999966</v>
      </c>
      <c r="U14" s="1022">
        <f t="shared" ca="1" si="6"/>
        <v>79767.949640000035</v>
      </c>
      <c r="V14" s="1023">
        <f t="shared" ca="1" si="6"/>
        <v>252659.01960999996</v>
      </c>
      <c r="W14" s="881">
        <f t="shared" ca="1" si="6"/>
        <v>54456.849580000009</v>
      </c>
      <c r="X14" s="881">
        <f t="shared" ca="1" si="6"/>
        <v>56131.281979999971</v>
      </c>
      <c r="Y14" s="881">
        <f t="shared" ca="1" si="6"/>
        <v>53400.912859999982</v>
      </c>
      <c r="Z14" s="881">
        <f t="shared" ref="Z14:AF14" ca="1" si="7">+Z11+Z12</f>
        <v>70500.449749999912</v>
      </c>
      <c r="AA14" s="880">
        <f t="shared" ca="1" si="7"/>
        <v>234489.49416999985</v>
      </c>
      <c r="AB14" s="881">
        <f t="shared" ca="1" si="7"/>
        <v>51426.146109999943</v>
      </c>
      <c r="AC14" s="881">
        <f t="shared" ca="1" si="7"/>
        <v>69965.720639999956</v>
      </c>
      <c r="AD14" s="881">
        <f t="shared" ca="1" si="7"/>
        <v>107048.22112999996</v>
      </c>
      <c r="AE14" s="881">
        <f t="shared" ca="1" si="7"/>
        <v>94837.232579999953</v>
      </c>
      <c r="AF14" s="880">
        <f t="shared" ca="1" si="7"/>
        <v>323277.32045999984</v>
      </c>
      <c r="AG14" s="881">
        <f t="shared" ref="AG14:AM14" ca="1" si="8">+AG11+AG12</f>
        <v>72206.648419999867</v>
      </c>
      <c r="AH14" s="881">
        <f t="shared" ca="1" si="8"/>
        <v>81164.722120000049</v>
      </c>
      <c r="AI14" s="881">
        <f t="shared" ca="1" si="8"/>
        <v>103952.69059000001</v>
      </c>
      <c r="AJ14" s="881">
        <f t="shared" ca="1" si="8"/>
        <v>104449.80796000024</v>
      </c>
      <c r="AK14" s="880">
        <f t="shared" ca="1" si="8"/>
        <v>361773.86908999993</v>
      </c>
      <c r="AL14" s="881">
        <f t="shared" ca="1" si="8"/>
        <v>86196.706969999825</v>
      </c>
      <c r="AM14" s="881">
        <f t="shared" ca="1" si="8"/>
        <v>108796.73102000006</v>
      </c>
      <c r="AN14" s="881">
        <f t="shared" ref="AN14:AP14" ca="1" si="9">+AN11+AN12</f>
        <v>152148.41574000008</v>
      </c>
      <c r="AO14" s="881">
        <f t="shared" ca="1" si="9"/>
        <v>154415.88874999993</v>
      </c>
      <c r="AP14" s="880">
        <f t="shared" ca="1" si="9"/>
        <v>501557.74247999978</v>
      </c>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row>
    <row r="15" spans="1:79" s="867" customFormat="1" ht="13.5" customHeight="1" x14ac:dyDescent="0.2">
      <c r="A15" s="872"/>
      <c r="B15" s="877" t="s">
        <v>1160</v>
      </c>
      <c r="C15" s="876">
        <f t="shared" ref="C15:S15" ca="1" si="10">+C14/C11</f>
        <v>0.18092145438631971</v>
      </c>
      <c r="D15" s="876">
        <f t="shared" ca="1" si="10"/>
        <v>0.22325139937446523</v>
      </c>
      <c r="E15" s="876">
        <f t="shared" ca="1" si="10"/>
        <v>0.20880470898871323</v>
      </c>
      <c r="F15" s="876">
        <f t="shared" ca="1" si="10"/>
        <v>0.22578610399242346</v>
      </c>
      <c r="G15" s="875">
        <f t="shared" ca="1" si="10"/>
        <v>0.21185050702902142</v>
      </c>
      <c r="H15" s="876">
        <f t="shared" ca="1" si="10"/>
        <v>0.20958460041129245</v>
      </c>
      <c r="I15" s="876">
        <f t="shared" ca="1" si="10"/>
        <v>0.21581144456567264</v>
      </c>
      <c r="J15" s="876">
        <f t="shared" ca="1" si="10"/>
        <v>0.23208292260354579</v>
      </c>
      <c r="K15" s="876">
        <f t="shared" ca="1" si="10"/>
        <v>0.24347233201313792</v>
      </c>
      <c r="L15" s="875">
        <f t="shared" ca="1" si="10"/>
        <v>0.22687251343505482</v>
      </c>
      <c r="M15" s="876">
        <f t="shared" ca="1" si="10"/>
        <v>0.2589378374690311</v>
      </c>
      <c r="N15" s="876">
        <f t="shared" ca="1" si="10"/>
        <v>0.24675969104846754</v>
      </c>
      <c r="O15" s="876">
        <f t="shared" ca="1" si="10"/>
        <v>0.26126062352941964</v>
      </c>
      <c r="P15" s="876">
        <f t="shared" ca="1" si="10"/>
        <v>0.26236826009163156</v>
      </c>
      <c r="Q15" s="875">
        <f t="shared" ca="1" si="10"/>
        <v>0.25749135628658376</v>
      </c>
      <c r="R15" s="876">
        <f t="shared" ca="1" si="10"/>
        <v>0.2568717458886467</v>
      </c>
      <c r="S15" s="876">
        <f t="shared" ca="1" si="10"/>
        <v>0.1860798168346714</v>
      </c>
      <c r="T15" s="876">
        <f t="shared" ref="T15:Y15" ca="1" si="11">+T14/T11</f>
        <v>0.26563107944678671</v>
      </c>
      <c r="U15" s="876">
        <f t="shared" ca="1" si="11"/>
        <v>0.25487693427991076</v>
      </c>
      <c r="V15" s="875">
        <f t="shared" ca="1" si="11"/>
        <v>0.24965443383885766</v>
      </c>
      <c r="W15" s="876">
        <f t="shared" ca="1" si="11"/>
        <v>0.23280898793419341</v>
      </c>
      <c r="X15" s="876">
        <f t="shared" ca="1" si="11"/>
        <v>0.23677465700556088</v>
      </c>
      <c r="Y15" s="876">
        <f t="shared" ca="1" si="11"/>
        <v>0.23073477167521717</v>
      </c>
      <c r="Z15" s="876">
        <f t="shared" ref="Z15:AF15" ca="1" si="12">+Z14/Z11</f>
        <v>0.23120504177077064</v>
      </c>
      <c r="AA15" s="875">
        <f t="shared" ca="1" si="12"/>
        <v>0.23278018718145499</v>
      </c>
      <c r="AB15" s="876">
        <f t="shared" ca="1" si="12"/>
        <v>0.21332798002946932</v>
      </c>
      <c r="AC15" s="876">
        <f t="shared" ca="1" si="12"/>
        <v>0.22974594229086404</v>
      </c>
      <c r="AD15" s="876">
        <f t="shared" ca="1" si="12"/>
        <v>0.25763172570893211</v>
      </c>
      <c r="AE15" s="876">
        <f t="shared" ca="1" si="12"/>
        <v>0.23164962142515358</v>
      </c>
      <c r="AF15" s="875">
        <f t="shared" ca="1" si="12"/>
        <v>0.2358811326323009</v>
      </c>
      <c r="AG15" s="876">
        <f t="shared" ref="AG15:AM15" ca="1" si="13">+AG14/AG11</f>
        <v>0.21487647034612423</v>
      </c>
      <c r="AH15" s="876">
        <f t="shared" ca="1" si="13"/>
        <v>0.22136795448667271</v>
      </c>
      <c r="AI15" s="876">
        <f t="shared" ca="1" si="13"/>
        <v>0.24346170071183848</v>
      </c>
      <c r="AJ15" s="876">
        <f t="shared" ca="1" si="13"/>
        <v>0.23016640544324504</v>
      </c>
      <c r="AK15" s="875">
        <f t="shared" ca="1" si="13"/>
        <v>0.22846939323927068</v>
      </c>
      <c r="AL15" s="876">
        <f t="shared" ca="1" si="13"/>
        <v>0.22148811926463727</v>
      </c>
      <c r="AM15" s="876">
        <f t="shared" ca="1" si="13"/>
        <v>0.23009099733639191</v>
      </c>
      <c r="AN15" s="876">
        <f t="shared" ref="AN15:AP15" ca="1" si="14">+AN14/AN11</f>
        <v>0.25200387904621419</v>
      </c>
      <c r="AO15" s="876">
        <f t="shared" ca="1" si="14"/>
        <v>0.24731860752723456</v>
      </c>
      <c r="AP15" s="875">
        <f t="shared" ca="1" si="14"/>
        <v>0.23996515158329426</v>
      </c>
      <c r="AQ15" s="868"/>
      <c r="AR15" s="868"/>
      <c r="AS15" s="868"/>
      <c r="AT15" s="868"/>
      <c r="AU15" s="868"/>
      <c r="AV15" s="868"/>
      <c r="AY15" s="1041"/>
      <c r="AZ15" s="1041"/>
      <c r="BA15" s="868"/>
      <c r="BB15" s="868"/>
      <c r="BC15" s="868"/>
      <c r="BD15" s="868"/>
      <c r="BE15" s="868"/>
      <c r="BF15" s="868"/>
      <c r="BG15" s="868"/>
      <c r="BH15" s="868"/>
      <c r="BI15" s="868"/>
      <c r="BJ15" s="868"/>
      <c r="BK15" s="868"/>
      <c r="BL15" s="868"/>
      <c r="BM15" s="868"/>
      <c r="BN15" s="868"/>
      <c r="BO15" s="868"/>
      <c r="BP15" s="868"/>
      <c r="BQ15" s="868"/>
      <c r="BR15" s="868"/>
      <c r="BS15" s="868"/>
      <c r="BT15" s="868"/>
      <c r="BU15" s="868"/>
      <c r="BV15" s="868"/>
      <c r="BW15" s="868"/>
      <c r="BX15" s="868"/>
      <c r="BY15" s="868"/>
      <c r="BZ15" s="868"/>
      <c r="CA15" s="868"/>
    </row>
    <row r="16" spans="1:79" ht="13.5" customHeight="1" x14ac:dyDescent="0.2">
      <c r="B16" s="874" t="s">
        <v>1231</v>
      </c>
      <c r="C16" s="873">
        <f ca="1">+C78+C103</f>
        <v>-17695.995060000001</v>
      </c>
      <c r="D16" s="916">
        <f ca="1">+D78+D103</f>
        <v>-24252.330109999999</v>
      </c>
      <c r="E16" s="916">
        <f ca="1">+E78+E103</f>
        <v>-18719.20796</v>
      </c>
      <c r="F16" s="916">
        <f ca="1">+F78+F103</f>
        <v>-34123.040829999998</v>
      </c>
      <c r="G16" s="930">
        <f ca="1">+SUM(C16:F16)</f>
        <v>-94790.573959999994</v>
      </c>
      <c r="H16" s="873">
        <f ca="1">+H78+H103</f>
        <v>-25473.017780000002</v>
      </c>
      <c r="I16" s="873">
        <f ca="1">+I78+I103</f>
        <v>-18143.764510000001</v>
      </c>
      <c r="J16" s="873">
        <f ca="1">+J78+J103</f>
        <v>-20294.234779999999</v>
      </c>
      <c r="K16" s="916">
        <f ca="1">+K78+K103</f>
        <v>-20244.595869999997</v>
      </c>
      <c r="L16" s="930">
        <f ca="1">+SUM(H16:K16)</f>
        <v>-84155.612939999992</v>
      </c>
      <c r="M16" s="873">
        <f ca="1">+M78+M103</f>
        <v>-20796.36764</v>
      </c>
      <c r="N16" s="873">
        <f ca="1">+N78+N103</f>
        <v>-22379.204980000002</v>
      </c>
      <c r="O16" s="916">
        <f ca="1">+O78+O103</f>
        <v>-24499.702029999997</v>
      </c>
      <c r="P16" s="916">
        <f ca="1">+P78+P103</f>
        <v>-29164.964039999995</v>
      </c>
      <c r="Q16" s="930">
        <f ca="1">+SUM(M16:P16)</f>
        <v>-96840.238689999998</v>
      </c>
      <c r="R16" s="916">
        <f ca="1">+R78+R103</f>
        <v>-27638.607609999999</v>
      </c>
      <c r="S16" s="873">
        <f ca="1">+S78+S103</f>
        <v>-19563.079310000001</v>
      </c>
      <c r="T16" s="873">
        <f ca="1">+T78+T103</f>
        <v>-21506.14314</v>
      </c>
      <c r="U16" s="916">
        <f ca="1">+U78+U103</f>
        <v>-21432.583190000001</v>
      </c>
      <c r="V16" s="930">
        <f ca="1">+SUM(R16:U16)</f>
        <v>-90140.413250000012</v>
      </c>
      <c r="W16" s="916">
        <f ca="1">+W78+W103</f>
        <v>-11265.121420000003</v>
      </c>
      <c r="X16" s="916">
        <f ca="1">+X78+X103</f>
        <v>-20808.684389999999</v>
      </c>
      <c r="Y16" s="916">
        <f ca="1">+Y78+Y103</f>
        <v>-15920.432490000005</v>
      </c>
      <c r="Z16" s="916">
        <f ca="1">+Z78+Z103</f>
        <v>-24627.792750000004</v>
      </c>
      <c r="AA16" s="930">
        <f ca="1">+SUM(W16:Z16)</f>
        <v>-72622.031050000005</v>
      </c>
      <c r="AB16" s="873">
        <f ca="1">+AB78+AB103</f>
        <v>-16337.01467</v>
      </c>
      <c r="AC16" s="873">
        <f ca="1">+AC78+AC103</f>
        <v>-20816.767250000004</v>
      </c>
      <c r="AD16" s="916">
        <f ca="1">+AD78+AD103</f>
        <v>-19123.052080000005</v>
      </c>
      <c r="AE16" s="916">
        <f ca="1">+AE78+AE103</f>
        <v>-22108.771789999999</v>
      </c>
      <c r="AF16" s="930">
        <f ca="1">+SUM(AB16:AE16)</f>
        <v>-78385.605790000016</v>
      </c>
      <c r="AG16" s="873">
        <f ca="1">+AG78+AG103</f>
        <v>-18553.174040000002</v>
      </c>
      <c r="AH16" s="873">
        <f ca="1">+AH78+AH103</f>
        <v>-23152.087519999994</v>
      </c>
      <c r="AI16" s="873">
        <f ca="1">+AI78+AI103</f>
        <v>-24698.852590000006</v>
      </c>
      <c r="AJ16" s="873">
        <f ca="1">+AJ78+AJ103</f>
        <v>-30322.880150000001</v>
      </c>
      <c r="AK16" s="645">
        <f ca="1">+SUM(AG16:AJ16)</f>
        <v>-96726.994300000006</v>
      </c>
      <c r="AL16" s="873">
        <f ca="1">+AL78+AL103</f>
        <v>-27878.327630000007</v>
      </c>
      <c r="AM16" s="873">
        <f ca="1">+AM78+AM103</f>
        <v>-23627.80445</v>
      </c>
      <c r="AN16" s="873">
        <f ca="1">+AN78+AN103</f>
        <v>-26576.082479999997</v>
      </c>
      <c r="AO16" s="873">
        <f ca="1">+AO78+AO103</f>
        <v>-28410.735970000009</v>
      </c>
      <c r="AP16" s="645">
        <f ca="1">+SUM(AL16:AO16)</f>
        <v>-106492.95053000002</v>
      </c>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row>
    <row r="17" spans="1:79" s="867" customFormat="1" ht="13.5" customHeight="1" x14ac:dyDescent="0.2">
      <c r="A17" s="872"/>
      <c r="B17" s="877" t="s">
        <v>1158</v>
      </c>
      <c r="C17" s="876">
        <f t="shared" ref="C17:S17" ca="1" si="15">+C16/C11</f>
        <v>-8.2879564100086442E-2</v>
      </c>
      <c r="D17" s="876">
        <f t="shared" ca="1" si="15"/>
        <v>-9.1481495332076737E-2</v>
      </c>
      <c r="E17" s="876">
        <f t="shared" ca="1" si="15"/>
        <v>-6.5479512420080974E-2</v>
      </c>
      <c r="F17" s="876">
        <f t="shared" ca="1" si="15"/>
        <v>-0.10680953465590823</v>
      </c>
      <c r="G17" s="875">
        <f t="shared" ca="1" si="15"/>
        <v>-8.7447160266343138E-2</v>
      </c>
      <c r="H17" s="876">
        <f t="shared" ca="1" si="15"/>
        <v>-9.7198412485922023E-2</v>
      </c>
      <c r="I17" s="876">
        <f t="shared" ca="1" si="15"/>
        <v>-6.1865977312612189E-2</v>
      </c>
      <c r="J17" s="876">
        <f t="shared" ca="1" si="15"/>
        <v>-6.0317392762320385E-2</v>
      </c>
      <c r="K17" s="876">
        <f t="shared" ca="1" si="15"/>
        <v>-5.5809063945048733E-2</v>
      </c>
      <c r="L17" s="875">
        <f t="shared" ca="1" si="15"/>
        <v>-6.7080180614340512E-2</v>
      </c>
      <c r="M17" s="876">
        <f t="shared" ca="1" si="15"/>
        <v>-7.0096784210444185E-2</v>
      </c>
      <c r="N17" s="876">
        <f t="shared" ca="1" si="15"/>
        <v>-6.7490995425136813E-2</v>
      </c>
      <c r="O17" s="876">
        <f t="shared" ca="1" si="15"/>
        <v>-7.1905012186302963E-2</v>
      </c>
      <c r="P17" s="876">
        <f t="shared" ca="1" si="15"/>
        <v>-7.7088991530215978E-2</v>
      </c>
      <c r="Q17" s="875">
        <f t="shared" ca="1" si="15"/>
        <v>-7.1876174004489243E-2</v>
      </c>
      <c r="R17" s="876">
        <f t="shared" ca="1" si="15"/>
        <v>-9.8798788102840221E-2</v>
      </c>
      <c r="S17" s="876">
        <f t="shared" ca="1" si="15"/>
        <v>-0.15032271222489613</v>
      </c>
      <c r="T17" s="876">
        <f t="shared" ref="T17:Y17" ca="1" si="16">+T16/T11</f>
        <v>-7.4369018784952362E-2</v>
      </c>
      <c r="U17" s="876">
        <f t="shared" ca="1" si="16"/>
        <v>-6.848202971017657E-2</v>
      </c>
      <c r="V17" s="875">
        <f t="shared" ca="1" si="16"/>
        <v>-8.9068476045961562E-2</v>
      </c>
      <c r="W17" s="876">
        <f t="shared" ca="1" si="16"/>
        <v>-4.8159626143874402E-2</v>
      </c>
      <c r="X17" s="876">
        <f t="shared" ca="1" si="16"/>
        <v>-8.7775816539068852E-2</v>
      </c>
      <c r="Y17" s="876">
        <f t="shared" ca="1" si="16"/>
        <v>-6.8789036718928873E-2</v>
      </c>
      <c r="Z17" s="876">
        <f t="shared" ref="Z17:AF17" ca="1" si="17">+Z16/Z11</f>
        <v>-8.0766433004005628E-2</v>
      </c>
      <c r="AA17" s="875">
        <f t="shared" ca="1" si="17"/>
        <v>-7.209265404897286E-2</v>
      </c>
      <c r="AB17" s="876">
        <f t="shared" ca="1" si="17"/>
        <v>-6.7769852553372895E-2</v>
      </c>
      <c r="AC17" s="876">
        <f t="shared" ca="1" si="17"/>
        <v>-6.8355871468957871E-2</v>
      </c>
      <c r="AD17" s="876">
        <f t="shared" ca="1" si="17"/>
        <v>-4.6023230056379608E-2</v>
      </c>
      <c r="AE17" s="876">
        <f t="shared" ca="1" si="17"/>
        <v>-5.4002931928748374E-2</v>
      </c>
      <c r="AF17" s="875">
        <f t="shared" ca="1" si="17"/>
        <v>-5.7194502384221649E-2</v>
      </c>
      <c r="AG17" s="876">
        <f t="shared" ref="AG17:AM17" ca="1" si="18">+AG16/AG11</f>
        <v>-5.5211544070619387E-2</v>
      </c>
      <c r="AH17" s="876">
        <f t="shared" ca="1" si="18"/>
        <v>-6.3144801368523656E-2</v>
      </c>
      <c r="AI17" s="876">
        <f t="shared" ca="1" si="18"/>
        <v>-5.7845781798079358E-2</v>
      </c>
      <c r="AJ17" s="876">
        <f t="shared" ca="1" si="18"/>
        <v>-6.6819733450200314E-2</v>
      </c>
      <c r="AK17" s="875">
        <f t="shared" ca="1" si="18"/>
        <v>-6.1085555330923302E-2</v>
      </c>
      <c r="AL17" s="876">
        <f t="shared" ca="1" si="18"/>
        <v>-7.1635200137763297E-2</v>
      </c>
      <c r="AM17" s="876">
        <f t="shared" ca="1" si="18"/>
        <v>-4.9969746699193934E-2</v>
      </c>
      <c r="AN17" s="876">
        <f t="shared" ref="AN17:AP17" ca="1" si="19">+AN16/AN11</f>
        <v>-4.4018045421234081E-2</v>
      </c>
      <c r="AO17" s="876">
        <f t="shared" ca="1" si="19"/>
        <v>-4.5503760758067203E-2</v>
      </c>
      <c r="AP17" s="875">
        <f t="shared" ca="1" si="19"/>
        <v>-5.0950458645352747E-2</v>
      </c>
      <c r="AQ17" s="868"/>
      <c r="AR17" s="868"/>
      <c r="AS17" s="868"/>
      <c r="AT17" s="868"/>
      <c r="AU17" s="868"/>
      <c r="AV17" s="868"/>
      <c r="AY17" s="1041"/>
      <c r="AZ17" s="1041"/>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row>
    <row r="18" spans="1:79" ht="13.5" customHeight="1" x14ac:dyDescent="0.2">
      <c r="A18" s="24"/>
      <c r="B18" s="937" t="s">
        <v>1068</v>
      </c>
      <c r="C18" s="938">
        <f ca="1">C14+C16</f>
        <v>20933.372720000058</v>
      </c>
      <c r="D18" s="1025">
        <f ca="1">D14+D16</f>
        <v>34933.045200000037</v>
      </c>
      <c r="E18" s="1025">
        <f ca="1">E14+E16</f>
        <v>40973.642920000042</v>
      </c>
      <c r="F18" s="1025">
        <f ca="1">F14+F16</f>
        <v>38010.111610000007</v>
      </c>
      <c r="G18" s="1026">
        <f ca="1">+SUM(C18:F18)</f>
        <v>134850.17245000013</v>
      </c>
      <c r="H18" s="938">
        <f ca="1">H14+H16</f>
        <v>29453.314000000006</v>
      </c>
      <c r="I18" s="938">
        <f ca="1">I14+I16</f>
        <v>45148.406709999959</v>
      </c>
      <c r="J18" s="1025">
        <f ca="1">J14+J16</f>
        <v>57791.788239999936</v>
      </c>
      <c r="K18" s="1025">
        <f ca="1">K14+K16</f>
        <v>68074.372747457557</v>
      </c>
      <c r="L18" s="1026">
        <f ca="1">+SUM(H18:K18)</f>
        <v>200467.88169745746</v>
      </c>
      <c r="M18" s="938">
        <f ca="1">M14+M16</f>
        <v>56025.508350000062</v>
      </c>
      <c r="N18" s="938">
        <f ca="1">N14+N16</f>
        <v>59443.350340000041</v>
      </c>
      <c r="O18" s="1025">
        <f ca="1">O14+O16</f>
        <v>64517.839780000053</v>
      </c>
      <c r="P18" s="1025">
        <f ca="1">P14+P16</f>
        <v>70096.431380000024</v>
      </c>
      <c r="Q18" s="1026">
        <f ca="1">+SUM(M18:P18)</f>
        <v>250083.1298500002</v>
      </c>
      <c r="R18" s="1025">
        <f ca="1">R14+R16</f>
        <v>44220.344580000012</v>
      </c>
      <c r="S18" s="938">
        <f ca="1">S14+S16</f>
        <v>4653.4489899999753</v>
      </c>
      <c r="T18" s="938">
        <f ca="1">T14+T16</f>
        <v>55309.446339999966</v>
      </c>
      <c r="U18" s="1025">
        <f ca="1">U14+U16</f>
        <v>58335.36645000003</v>
      </c>
      <c r="V18" s="1026">
        <f ca="1">+SUM(R18:U18)</f>
        <v>162518.60635999998</v>
      </c>
      <c r="W18" s="938">
        <f ca="1">W14+W16</f>
        <v>43191.728160000006</v>
      </c>
      <c r="X18" s="1025">
        <f ca="1">X14+X16</f>
        <v>35322.597589999976</v>
      </c>
      <c r="Y18" s="1025">
        <f ca="1">Y14+Y16</f>
        <v>37480.480369999976</v>
      </c>
      <c r="Z18" s="1025">
        <f ca="1">Z14+Z16</f>
        <v>45872.656999999905</v>
      </c>
      <c r="AA18" s="1026">
        <f ca="1">+SUM(W18:Z18)</f>
        <v>161867.46311999985</v>
      </c>
      <c r="AB18" s="938">
        <f ca="1">AB14+AB16</f>
        <v>35089.131439999939</v>
      </c>
      <c r="AC18" s="938">
        <f ca="1">AC14+AC16</f>
        <v>49148.953389999951</v>
      </c>
      <c r="AD18" s="1025">
        <f ca="1">AD14+AD16</f>
        <v>87925.169049999953</v>
      </c>
      <c r="AE18" s="1025">
        <f ca="1">AE14+AE16</f>
        <v>72728.460789999954</v>
      </c>
      <c r="AF18" s="1026">
        <f ca="1">+SUM(AB18:AE18)</f>
        <v>244891.71466999981</v>
      </c>
      <c r="AG18" s="938">
        <f ca="1">AG14+AG16</f>
        <v>53653.474379999869</v>
      </c>
      <c r="AH18" s="938">
        <f ca="1">AH14+AH16</f>
        <v>58012.634600000056</v>
      </c>
      <c r="AI18" s="938">
        <f ca="1">AI14+AI16</f>
        <v>79253.838000000003</v>
      </c>
      <c r="AJ18" s="938">
        <f ca="1">AJ14+AJ16</f>
        <v>74126.927810000241</v>
      </c>
      <c r="AK18" s="1134">
        <f ca="1">+SUM(AG18:AJ18)</f>
        <v>265046.87479000021</v>
      </c>
      <c r="AL18" s="938">
        <f ca="1">AL14+AL16</f>
        <v>58318.379339999818</v>
      </c>
      <c r="AM18" s="938">
        <f ca="1">AM14+AM16</f>
        <v>85168.926570000069</v>
      </c>
      <c r="AN18" s="938">
        <f ca="1">AN14+AN16</f>
        <v>125572.33326000009</v>
      </c>
      <c r="AO18" s="938">
        <f ca="1">AO14+AO16</f>
        <v>126005.15277999992</v>
      </c>
      <c r="AP18" s="1134">
        <f ca="1">+SUM(AL18:AO18)</f>
        <v>395064.79194999987</v>
      </c>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row>
    <row r="19" spans="1:79" s="867" customFormat="1" ht="13.5" customHeight="1" x14ac:dyDescent="0.2">
      <c r="A19" s="872"/>
      <c r="B19" s="877" t="s">
        <v>1074</v>
      </c>
      <c r="C19" s="876">
        <f t="shared" ref="C19:X19" ca="1" si="20">+C18/C11</f>
        <v>9.8041890286233252E-2</v>
      </c>
      <c r="D19" s="876">
        <f t="shared" ca="1" si="20"/>
        <v>0.1317699040423885</v>
      </c>
      <c r="E19" s="876">
        <f t="shared" ca="1" si="20"/>
        <v>0.14332519656863224</v>
      </c>
      <c r="F19" s="876">
        <f t="shared" ca="1" si="20"/>
        <v>0.11897656933651524</v>
      </c>
      <c r="G19" s="875">
        <f t="shared" ca="1" si="20"/>
        <v>0.12440334676267817</v>
      </c>
      <c r="H19" s="876">
        <f t="shared" ca="1" si="20"/>
        <v>0.11238618792537042</v>
      </c>
      <c r="I19" s="876">
        <f t="shared" ca="1" si="20"/>
        <v>0.15394546725306044</v>
      </c>
      <c r="J19" s="876">
        <f t="shared" ca="1" si="20"/>
        <v>0.17176552984122542</v>
      </c>
      <c r="K19" s="876">
        <f t="shared" ca="1" si="20"/>
        <v>0.18766326806808922</v>
      </c>
      <c r="L19" s="875">
        <f t="shared" ca="1" si="20"/>
        <v>0.15979233282071434</v>
      </c>
      <c r="M19" s="876">
        <f t="shared" ca="1" si="20"/>
        <v>0.18884105325858691</v>
      </c>
      <c r="N19" s="876">
        <f t="shared" ca="1" si="20"/>
        <v>0.17926869562333073</v>
      </c>
      <c r="O19" s="876">
        <f t="shared" ca="1" si="20"/>
        <v>0.18935561134311665</v>
      </c>
      <c r="P19" s="876">
        <f t="shared" ca="1" si="20"/>
        <v>0.18527926856141561</v>
      </c>
      <c r="Q19" s="875">
        <f t="shared" ca="1" si="20"/>
        <v>0.18561518228209453</v>
      </c>
      <c r="R19" s="876">
        <f t="shared" ca="1" si="20"/>
        <v>0.15807295778580649</v>
      </c>
      <c r="S19" s="876">
        <f t="shared" ca="1" si="20"/>
        <v>3.5757104609775249E-2</v>
      </c>
      <c r="T19" s="876">
        <f t="shared" ca="1" si="20"/>
        <v>0.19126206066183432</v>
      </c>
      <c r="U19" s="876">
        <f t="shared" ca="1" si="20"/>
        <v>0.1863949045697342</v>
      </c>
      <c r="V19" s="875">
        <f t="shared" ca="1" si="20"/>
        <v>0.16058595779289611</v>
      </c>
      <c r="W19" s="876">
        <f t="shared" ca="1" si="20"/>
        <v>0.18464936179031899</v>
      </c>
      <c r="X19" s="876">
        <f t="shared" ca="1" si="20"/>
        <v>0.14899884046649206</v>
      </c>
      <c r="Y19" s="876">
        <f t="shared" ref="Y19:AD19" ca="1" si="21">+Y18/Y11</f>
        <v>0.16194573495628828</v>
      </c>
      <c r="Z19" s="876">
        <f t="shared" ca="1" si="21"/>
        <v>0.15043860876676499</v>
      </c>
      <c r="AA19" s="875">
        <f t="shared" ca="1" si="21"/>
        <v>0.16068753313248213</v>
      </c>
      <c r="AB19" s="876">
        <f t="shared" ca="1" si="21"/>
        <v>0.14555812747609639</v>
      </c>
      <c r="AC19" s="876">
        <f t="shared" ca="1" si="21"/>
        <v>0.16139007082190618</v>
      </c>
      <c r="AD19" s="876">
        <f t="shared" ca="1" si="21"/>
        <v>0.21160849565255246</v>
      </c>
      <c r="AE19" s="876">
        <f t="shared" ref="AE19:AM19" ca="1" si="22">+AE18/AE11</f>
        <v>0.17764668949640522</v>
      </c>
      <c r="AF19" s="875">
        <f t="shared" ca="1" si="22"/>
        <v>0.17868663024807924</v>
      </c>
      <c r="AG19" s="876">
        <f t="shared" ca="1" si="22"/>
        <v>0.15966492627550485</v>
      </c>
      <c r="AH19" s="876">
        <f t="shared" ca="1" si="22"/>
        <v>0.15822315311814905</v>
      </c>
      <c r="AI19" s="876">
        <f t="shared" ca="1" si="22"/>
        <v>0.18561591891375911</v>
      </c>
      <c r="AJ19" s="876">
        <f t="shared" ca="1" si="22"/>
        <v>0.16334667199304473</v>
      </c>
      <c r="AK19" s="875">
        <f t="shared" ca="1" si="22"/>
        <v>0.16738383790834754</v>
      </c>
      <c r="AL19" s="876">
        <f t="shared" ca="1" si="22"/>
        <v>0.14985291912687396</v>
      </c>
      <c r="AM19" s="876">
        <f t="shared" ca="1" si="22"/>
        <v>0.18012125063719797</v>
      </c>
      <c r="AN19" s="876">
        <f t="shared" ref="AN19:AP19" ca="1" si="23">+AN18/AN11</f>
        <v>0.20798583362498008</v>
      </c>
      <c r="AO19" s="876">
        <f t="shared" ca="1" si="23"/>
        <v>0.20181484676916736</v>
      </c>
      <c r="AP19" s="875">
        <f t="shared" ca="1" si="23"/>
        <v>0.18901469293794157</v>
      </c>
      <c r="AQ19" s="868"/>
      <c r="AR19" s="868"/>
      <c r="AS19" s="868"/>
      <c r="AT19" s="868"/>
      <c r="AU19" s="868"/>
      <c r="AV19" s="868"/>
      <c r="AY19" s="1041"/>
      <c r="AZ19" s="1041"/>
      <c r="BA19" s="868"/>
      <c r="BB19" s="868"/>
      <c r="BC19" s="868"/>
      <c r="BD19" s="868"/>
      <c r="BE19" s="868"/>
      <c r="BF19" s="868"/>
      <c r="BG19" s="868"/>
      <c r="BH19" s="868"/>
      <c r="BI19" s="868"/>
      <c r="BJ19" s="868"/>
      <c r="BK19" s="868"/>
      <c r="BL19" s="868"/>
      <c r="BM19" s="868"/>
      <c r="BN19" s="868"/>
      <c r="BO19" s="868"/>
      <c r="BP19" s="868"/>
      <c r="BQ19" s="868"/>
      <c r="BR19" s="868"/>
      <c r="BS19" s="868"/>
      <c r="BT19" s="868"/>
      <c r="BU19" s="868"/>
      <c r="BV19" s="868"/>
      <c r="BW19" s="868"/>
      <c r="BX19" s="868"/>
      <c r="BY19" s="868"/>
      <c r="BZ19" s="868"/>
      <c r="CA19" s="868"/>
    </row>
    <row r="20" spans="1:79" ht="13.5" customHeight="1" x14ac:dyDescent="0.2">
      <c r="A20" s="914"/>
      <c r="B20" s="874" t="s">
        <v>1067</v>
      </c>
      <c r="C20" s="873">
        <v>0</v>
      </c>
      <c r="D20" s="873">
        <v>0</v>
      </c>
      <c r="E20" s="873">
        <v>0</v>
      </c>
      <c r="F20" s="873">
        <v>0</v>
      </c>
      <c r="G20" s="645">
        <f>+SUM(C20:F20)</f>
        <v>0</v>
      </c>
      <c r="H20" s="873">
        <v>0</v>
      </c>
      <c r="I20" s="873">
        <v>0</v>
      </c>
      <c r="J20" s="873">
        <v>0</v>
      </c>
      <c r="K20" s="873">
        <v>0</v>
      </c>
      <c r="L20" s="645">
        <f>+SUM(H20:K20)</f>
        <v>0</v>
      </c>
      <c r="M20" s="873">
        <f ca="1">+M82+M107</f>
        <v>-9700</v>
      </c>
      <c r="N20" s="873">
        <f ca="1">+N82+N107</f>
        <v>-8272</v>
      </c>
      <c r="O20" s="873">
        <f ca="1">+O82+O107</f>
        <v>-9104</v>
      </c>
      <c r="P20" s="873">
        <f ca="1">+P82+P107</f>
        <v>-9178.3760882777096</v>
      </c>
      <c r="Q20" s="645">
        <f ca="1">+SUM(M20:P20)</f>
        <v>-36254.376088277713</v>
      </c>
      <c r="R20" s="873">
        <f ca="1">+R82+R107</f>
        <v>-9870.7775300000103</v>
      </c>
      <c r="S20" s="873">
        <f ca="1">+S82+S107</f>
        <v>-9393.0758200000091</v>
      </c>
      <c r="T20" s="873">
        <f ca="1">+T82+T107</f>
        <v>-9424.3638099999898</v>
      </c>
      <c r="U20" s="873">
        <f ca="1">+U82+U107</f>
        <v>-9287.1177700000098</v>
      </c>
      <c r="V20" s="645">
        <f ca="1">+SUM(R20:U20)</f>
        <v>-37975.334930000019</v>
      </c>
      <c r="W20" s="873">
        <f ca="1">+W82+W107</f>
        <v>-9506.5724299999893</v>
      </c>
      <c r="X20" s="873">
        <f ca="1">+X82+X107</f>
        <v>-8813.05339000001</v>
      </c>
      <c r="Y20" s="873">
        <f ca="1">+Y82+Y107</f>
        <v>-8585.7737499999876</v>
      </c>
      <c r="Z20" s="873">
        <f ca="1">+Z82+Z107</f>
        <v>-8542.1462700000102</v>
      </c>
      <c r="AA20" s="645">
        <f ca="1">+SUM(W20:Z20)</f>
        <v>-35447.545839999999</v>
      </c>
      <c r="AB20" s="873">
        <f ca="1">+AB82+AB107</f>
        <v>-9308.0165199999992</v>
      </c>
      <c r="AC20" s="873">
        <f ca="1">+AC82+AC107</f>
        <v>-9945.594209999992</v>
      </c>
      <c r="AD20" s="873">
        <f ca="1">+AD82+AD107</f>
        <v>-9605.9916999999696</v>
      </c>
      <c r="AE20" s="873">
        <f ca="1">+AE82+AE107</f>
        <v>-10106.83367999998</v>
      </c>
      <c r="AF20" s="645">
        <f ca="1">+SUM(AB20:AE20)</f>
        <v>-38966.436109999944</v>
      </c>
      <c r="AG20" s="873">
        <f ca="1">+AG82+AG107</f>
        <v>-10281.89281999999</v>
      </c>
      <c r="AH20" s="873">
        <f ca="1">+AH82+AH107</f>
        <v>-9992.2645499999999</v>
      </c>
      <c r="AI20" s="873">
        <f ca="1">+AI82+AI107</f>
        <v>-10868.70604000001</v>
      </c>
      <c r="AJ20" s="873">
        <f ca="1">+AJ82+AJ107</f>
        <v>-11430.879650000019</v>
      </c>
      <c r="AK20" s="645">
        <f ca="1">+SUM(AG20:AJ20)</f>
        <v>-42573.743060000015</v>
      </c>
      <c r="AL20" s="873">
        <f ca="1">+AL82+AL107</f>
        <v>-9731.0750000000098</v>
      </c>
      <c r="AM20" s="873">
        <f ca="1">+AM82+AM107</f>
        <v>-9901.2457500000091</v>
      </c>
      <c r="AN20" s="873">
        <f ca="1">+AN82+AN107</f>
        <v>-9881.1891500000002</v>
      </c>
      <c r="AO20" s="873">
        <f ca="1">+AO82+AO107</f>
        <v>-10390.176990000011</v>
      </c>
      <c r="AP20" s="645">
        <f ca="1">+SUM(AL20:AO20)</f>
        <v>-39903.686890000026</v>
      </c>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row>
    <row r="21" spans="1:79" ht="13.5" customHeight="1" x14ac:dyDescent="0.2">
      <c r="A21" s="24"/>
      <c r="B21" s="882" t="s">
        <v>1064</v>
      </c>
      <c r="C21" s="881">
        <f ca="1">C14+C16+C20</f>
        <v>20933.372720000058</v>
      </c>
      <c r="D21" s="1022">
        <f ca="1">D14+D16+D20</f>
        <v>34933.045200000037</v>
      </c>
      <c r="E21" s="1022">
        <f ca="1">E14+E16+E20</f>
        <v>40973.642920000042</v>
      </c>
      <c r="F21" s="1022">
        <f ca="1">F14+F16+F20</f>
        <v>38010.111610000007</v>
      </c>
      <c r="G21" s="1023">
        <f ca="1">+SUM(C21:F21)</f>
        <v>134850.17245000013</v>
      </c>
      <c r="H21" s="881">
        <f ca="1">H14+H16+H20</f>
        <v>29453.314000000006</v>
      </c>
      <c r="I21" s="881">
        <f ca="1">I14+I16+I20</f>
        <v>45148.406709999959</v>
      </c>
      <c r="J21" s="1022">
        <f ca="1">J14+J16+J20</f>
        <v>57791.788239999936</v>
      </c>
      <c r="K21" s="1022">
        <f ca="1">K14+K16+K20</f>
        <v>68074.372747457557</v>
      </c>
      <c r="L21" s="1023">
        <f ca="1">+SUM(H21:K21)</f>
        <v>200467.88169745746</v>
      </c>
      <c r="M21" s="881">
        <f ca="1">M14+M16+M20</f>
        <v>46325.508350000062</v>
      </c>
      <c r="N21" s="881">
        <f ca="1">N14+N16+N20</f>
        <v>51171.350340000041</v>
      </c>
      <c r="O21" s="1022">
        <f ca="1">O14+O16+O20</f>
        <v>55413.839780000053</v>
      </c>
      <c r="P21" s="1022">
        <f ca="1">P14+P16+P20</f>
        <v>60918.05529172231</v>
      </c>
      <c r="Q21" s="1023">
        <f ca="1">+SUM(M21:P21)</f>
        <v>213828.75376172247</v>
      </c>
      <c r="R21" s="1022">
        <f ca="1">R14+R16+R20</f>
        <v>34349.567049999998</v>
      </c>
      <c r="S21" s="881">
        <f ca="1">S14+S16+S20</f>
        <v>-4739.6268300000338</v>
      </c>
      <c r="T21" s="881">
        <f ca="1">T14+T16+T20</f>
        <v>45885.082529999978</v>
      </c>
      <c r="U21" s="1022">
        <f ca="1">U14+U16+U20</f>
        <v>49048.248680000019</v>
      </c>
      <c r="V21" s="1023">
        <f ca="1">+SUM(R21:U21)</f>
        <v>124543.27142999996</v>
      </c>
      <c r="W21" s="881">
        <f ca="1">W14+W16+W20</f>
        <v>33685.155730000013</v>
      </c>
      <c r="X21" s="1022">
        <f ca="1">X14+X16+X20</f>
        <v>26509.544199999968</v>
      </c>
      <c r="Y21" s="1022">
        <f ca="1">Y14+Y16+Y20</f>
        <v>28894.70661999999</v>
      </c>
      <c r="Z21" s="1022">
        <f ca="1">Z14+Z16+Z20</f>
        <v>37330.510729999893</v>
      </c>
      <c r="AA21" s="1023">
        <f ca="1">+SUM(W21:Z21)</f>
        <v>126419.91727999986</v>
      </c>
      <c r="AB21" s="881">
        <f ca="1">AB14+AB16+AB20</f>
        <v>25781.114919999942</v>
      </c>
      <c r="AC21" s="881">
        <f ca="1">AC14+AC16+AC20</f>
        <v>39203.359179999956</v>
      </c>
      <c r="AD21" s="1022">
        <f ca="1">AD14+AD16+AD20</f>
        <v>78319.177349999984</v>
      </c>
      <c r="AE21" s="1022">
        <f ca="1">AE14+AE16+AE20</f>
        <v>62621.627109999972</v>
      </c>
      <c r="AF21" s="1023">
        <f ca="1">+SUM(AB21:AE21)</f>
        <v>205925.27855999986</v>
      </c>
      <c r="AG21" s="881">
        <f ca="1">AG14+AG16+AG20</f>
        <v>43371.581559999875</v>
      </c>
      <c r="AH21" s="881">
        <f ca="1">AH14+AH16+AH20</f>
        <v>48020.370050000056</v>
      </c>
      <c r="AI21" s="881">
        <f ca="1">AI14+AI16+AI20</f>
        <v>68385.131959999999</v>
      </c>
      <c r="AJ21" s="881">
        <f ca="1">AJ14+AJ16+AJ20</f>
        <v>62696.048160000224</v>
      </c>
      <c r="AK21" s="880">
        <f ca="1">+SUM(AG21:AJ21)</f>
        <v>222473.13173000014</v>
      </c>
      <c r="AL21" s="881">
        <f ca="1">AL14+AL16+AL20</f>
        <v>48587.304339999806</v>
      </c>
      <c r="AM21" s="881">
        <f ca="1">AM14+AM16+AM20</f>
        <v>75267.680820000067</v>
      </c>
      <c r="AN21" s="881">
        <f ca="1">AN14+AN16+AN20</f>
        <v>115691.14411000008</v>
      </c>
      <c r="AO21" s="881">
        <f ca="1">AO14+AO16+AO20</f>
        <v>115614.97578999991</v>
      </c>
      <c r="AP21" s="880">
        <f ca="1">+SUM(AL21:AO21)</f>
        <v>355161.10505999986</v>
      </c>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row>
    <row r="22" spans="1:79" s="867" customFormat="1" ht="13.5" customHeight="1" x14ac:dyDescent="0.2">
      <c r="A22" s="872"/>
      <c r="B22" s="871" t="s">
        <v>1063</v>
      </c>
      <c r="C22" s="870">
        <f t="shared" ref="C22:X22" ca="1" si="24">+C21/C11</f>
        <v>9.8041890286233252E-2</v>
      </c>
      <c r="D22" s="870">
        <f t="shared" ca="1" si="24"/>
        <v>0.1317699040423885</v>
      </c>
      <c r="E22" s="870">
        <f t="shared" ca="1" si="24"/>
        <v>0.14332519656863224</v>
      </c>
      <c r="F22" s="870">
        <f t="shared" ca="1" si="24"/>
        <v>0.11897656933651524</v>
      </c>
      <c r="G22" s="869">
        <f t="shared" ca="1" si="24"/>
        <v>0.12440334676267817</v>
      </c>
      <c r="H22" s="870">
        <f t="shared" ca="1" si="24"/>
        <v>0.11238618792537042</v>
      </c>
      <c r="I22" s="870">
        <f t="shared" ca="1" si="24"/>
        <v>0.15394546725306044</v>
      </c>
      <c r="J22" s="870">
        <f t="shared" ca="1" si="24"/>
        <v>0.17176552984122542</v>
      </c>
      <c r="K22" s="870">
        <f t="shared" ca="1" si="24"/>
        <v>0.18766326806808922</v>
      </c>
      <c r="L22" s="869">
        <f t="shared" ca="1" si="24"/>
        <v>0.15979233282071434</v>
      </c>
      <c r="M22" s="870">
        <f t="shared" ca="1" si="24"/>
        <v>0.15614597791603019</v>
      </c>
      <c r="N22" s="870">
        <f t="shared" ca="1" si="24"/>
        <v>0.15432207599784964</v>
      </c>
      <c r="O22" s="870">
        <f t="shared" ca="1" si="24"/>
        <v>0.16263597082901926</v>
      </c>
      <c r="P22" s="870">
        <f t="shared" ca="1" si="24"/>
        <v>0.16101893497897179</v>
      </c>
      <c r="Q22" s="869">
        <f t="shared" ca="1" si="24"/>
        <v>0.15870667937673844</v>
      </c>
      <c r="R22" s="870">
        <f t="shared" ca="1" si="24"/>
        <v>0.12278822595858158</v>
      </c>
      <c r="S22" s="870">
        <f t="shared" ca="1" si="24"/>
        <v>-3.6419295179941268E-2</v>
      </c>
      <c r="T22" s="870">
        <f t="shared" ca="1" si="24"/>
        <v>0.15867227063488512</v>
      </c>
      <c r="U22" s="870">
        <f t="shared" ca="1" si="24"/>
        <v>0.1567204285903854</v>
      </c>
      <c r="V22" s="869">
        <f t="shared" ca="1" si="24"/>
        <v>0.1230622202416921</v>
      </c>
      <c r="W22" s="870">
        <f t="shared" ca="1" si="24"/>
        <v>0.14400772491229738</v>
      </c>
      <c r="X22" s="870">
        <f t="shared" ca="1" si="24"/>
        <v>0.1118233543564036</v>
      </c>
      <c r="Y22" s="870">
        <f t="shared" ref="Y22:AD22" ca="1" si="25">+Y21/Y11</f>
        <v>0.12484830647121799</v>
      </c>
      <c r="Z22" s="870">
        <f t="shared" ca="1" si="25"/>
        <v>0.12242478343414877</v>
      </c>
      <c r="AA22" s="869">
        <f t="shared" ca="1" si="25"/>
        <v>0.12549838154611617</v>
      </c>
      <c r="AB22" s="870">
        <f t="shared" ca="1" si="25"/>
        <v>0.10694624397922256</v>
      </c>
      <c r="AC22" s="870">
        <f t="shared" ca="1" si="25"/>
        <v>0.12873179341809021</v>
      </c>
      <c r="AD22" s="870">
        <f t="shared" ca="1" si="25"/>
        <v>0.18848986563056219</v>
      </c>
      <c r="AE22" s="870">
        <f t="shared" ref="AE22:AM22" ca="1" si="26">+AE21/AE11</f>
        <v>0.15295971654193788</v>
      </c>
      <c r="AF22" s="869">
        <f t="shared" ca="1" si="26"/>
        <v>0.15025454886608738</v>
      </c>
      <c r="AG22" s="870">
        <f t="shared" ca="1" si="26"/>
        <v>0.12906751058065297</v>
      </c>
      <c r="AH22" s="870">
        <f t="shared" ca="1" si="26"/>
        <v>0.13097033802376784</v>
      </c>
      <c r="AI22" s="870">
        <f t="shared" ca="1" si="26"/>
        <v>0.16016093894145639</v>
      </c>
      <c r="AJ22" s="870">
        <f t="shared" ca="1" si="26"/>
        <v>0.13815749710147956</v>
      </c>
      <c r="AK22" s="869">
        <f t="shared" ca="1" si="26"/>
        <v>0.14049743710413951</v>
      </c>
      <c r="AL22" s="870">
        <f t="shared" ca="1" si="26"/>
        <v>0.12484828059789541</v>
      </c>
      <c r="AM22" s="870">
        <f t="shared" ca="1" si="26"/>
        <v>0.15918139805034576</v>
      </c>
      <c r="AN22" s="870">
        <f t="shared" ref="AN22:AP22" ca="1" si="27">+AN21/AN11</f>
        <v>0.19161959028765485</v>
      </c>
      <c r="AO22" s="870">
        <f t="shared" ca="1" si="27"/>
        <v>0.18517352749865726</v>
      </c>
      <c r="AP22" s="869">
        <f t="shared" ca="1" si="27"/>
        <v>0.16992318370124984</v>
      </c>
      <c r="AQ22" s="868"/>
      <c r="AR22" s="268" t="str">
        <f>"$"&amp;ROW(IncS!$B$5)</f>
        <v>$5</v>
      </c>
      <c r="AS22" s="268" t="str">
        <f>"$"&amp;ROW(IncS!$B$5)</f>
        <v>$5</v>
      </c>
      <c r="AT22" s="868"/>
      <c r="AU22" s="868"/>
      <c r="AV22" s="868"/>
      <c r="AY22" s="1041"/>
      <c r="AZ22" s="1041"/>
      <c r="BA22" s="868"/>
      <c r="BB22" s="868"/>
      <c r="BC22" s="868"/>
      <c r="BD22" s="868"/>
      <c r="BE22" s="868"/>
      <c r="BF22" s="868"/>
      <c r="BG22" s="868"/>
      <c r="BH22" s="868"/>
      <c r="BI22" s="868"/>
      <c r="BJ22" s="868"/>
      <c r="BK22" s="868"/>
      <c r="BL22" s="868"/>
      <c r="BM22" s="868"/>
      <c r="BN22" s="868"/>
      <c r="BO22" s="868"/>
      <c r="BP22" s="868"/>
      <c r="BQ22" s="868"/>
      <c r="BR22" s="868"/>
      <c r="BS22" s="868"/>
      <c r="BT22" s="868"/>
      <c r="BU22" s="868"/>
      <c r="BV22" s="868"/>
      <c r="BW22" s="868"/>
      <c r="BX22" s="868"/>
      <c r="BY22" s="868"/>
      <c r="BZ22" s="868"/>
      <c r="CA22" s="868"/>
    </row>
    <row r="23" spans="1:79" s="284" customFormat="1" ht="13.5" customHeight="1" x14ac:dyDescent="0.2">
      <c r="A23" s="932"/>
      <c r="B23" s="931" t="s">
        <v>1087</v>
      </c>
      <c r="C23" s="1019">
        <f>-SUM(IncSCons!W15:W23)</f>
        <v>0</v>
      </c>
      <c r="D23" s="1019">
        <f>-SUM(IncSCons!X15:X23)</f>
        <v>-15000</v>
      </c>
      <c r="E23" s="1019">
        <f>-SUM(IncSCons!Y15:Y23)</f>
        <v>-5733</v>
      </c>
      <c r="F23" s="1019">
        <f>-SUM(IncSCons!Z15:Z23)</f>
        <v>23499.404609999947</v>
      </c>
      <c r="G23" s="1020">
        <f>+SUM(C23:F23)</f>
        <v>2766.4046099999468</v>
      </c>
      <c r="H23" s="1019">
        <v>0</v>
      </c>
      <c r="I23" s="1019">
        <v>0</v>
      </c>
      <c r="J23" s="1019">
        <v>-5251.7599300000002</v>
      </c>
      <c r="K23" s="1019">
        <v>-12881.039347457499</v>
      </c>
      <c r="L23" s="1020">
        <f>+SUM(H23:K23)</f>
        <v>-18132.7992774575</v>
      </c>
      <c r="M23" s="1019">
        <v>0</v>
      </c>
      <c r="N23" s="1019">
        <v>0</v>
      </c>
      <c r="O23" s="1019">
        <v>50391.444189999995</v>
      </c>
      <c r="P23" s="1019">
        <v>-2254</v>
      </c>
      <c r="Q23" s="1020">
        <f>+SUM(M23:P23)</f>
        <v>48137.444189999995</v>
      </c>
      <c r="R23" s="1019">
        <v>-3317</v>
      </c>
      <c r="S23" s="1019">
        <v>0</v>
      </c>
      <c r="T23" s="1019">
        <v>0</v>
      </c>
      <c r="U23" s="1019">
        <f>-2875-2345</f>
        <v>-5220</v>
      </c>
      <c r="V23" s="1020">
        <f>+SUM(R23:U23)</f>
        <v>-8537</v>
      </c>
      <c r="W23" s="1021">
        <v>0</v>
      </c>
      <c r="X23" s="1019">
        <v>5732.7137899999998</v>
      </c>
      <c r="Y23" s="1019">
        <v>-1159</v>
      </c>
      <c r="Z23" s="1019">
        <v>2591</v>
      </c>
      <c r="AA23" s="1020">
        <f>+SUM(W23:Z23)</f>
        <v>7164.7137899999998</v>
      </c>
      <c r="AB23" s="1021">
        <v>0</v>
      </c>
      <c r="AC23" s="1021">
        <v>0</v>
      </c>
      <c r="AD23" s="1019">
        <v>-6645</v>
      </c>
      <c r="AE23" s="1019">
        <v>5459</v>
      </c>
      <c r="AF23" s="1020">
        <f>+SUM(AB23:AE23)</f>
        <v>-1186</v>
      </c>
      <c r="AG23" s="1019">
        <v>0</v>
      </c>
      <c r="AH23" s="1019">
        <v>0</v>
      </c>
      <c r="AI23" s="1019">
        <v>0</v>
      </c>
      <c r="AJ23" s="1019">
        <v>0</v>
      </c>
      <c r="AK23" s="1020">
        <f>+SUM(AG23:AJ23)</f>
        <v>0</v>
      </c>
      <c r="AL23" s="1019">
        <v>0</v>
      </c>
      <c r="AM23" s="1019">
        <v>0</v>
      </c>
      <c r="AN23" s="1019">
        <v>0</v>
      </c>
      <c r="AO23" s="1019">
        <v>0</v>
      </c>
      <c r="AP23" s="1020">
        <f>+SUM(AL23:AO23)</f>
        <v>0</v>
      </c>
      <c r="AQ23" s="905"/>
      <c r="AR23" s="905"/>
      <c r="AS23" s="905"/>
      <c r="AT23" s="905"/>
      <c r="AU23" s="905"/>
      <c r="AV23" s="905"/>
      <c r="AY23" s="1042"/>
      <c r="AZ23" s="1042"/>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row>
    <row r="24" spans="1:79" ht="13.5" customHeight="1" x14ac:dyDescent="0.2">
      <c r="B24" s="874" t="s">
        <v>1073</v>
      </c>
      <c r="C24" s="873">
        <f ca="1">+C86+C111</f>
        <v>-6572.8270099999991</v>
      </c>
      <c r="D24" s="873">
        <f ca="1">+D86+D111</f>
        <v>-6829.9387999999999</v>
      </c>
      <c r="E24" s="873">
        <f ca="1">+E86+E111</f>
        <v>-7304.7968499999997</v>
      </c>
      <c r="F24" s="873">
        <f ca="1">+F86+F111</f>
        <v>-7437.1136699999997</v>
      </c>
      <c r="G24" s="645">
        <f ca="1">+SUM(C24:F24)</f>
        <v>-28144.676329999998</v>
      </c>
      <c r="H24" s="873">
        <f ca="1">+H86+H111</f>
        <v>-6909.8206200000004</v>
      </c>
      <c r="I24" s="873">
        <f ca="1">+I86+I111</f>
        <v>-8910.3279299999995</v>
      </c>
      <c r="J24" s="873">
        <f ca="1">+J86+J111</f>
        <v>-6853.8500800000002</v>
      </c>
      <c r="K24" s="873">
        <f ca="1">+K86+K111</f>
        <v>-6616.8089600000003</v>
      </c>
      <c r="L24" s="645">
        <f ca="1">+SUM(H24:K24)</f>
        <v>-29290.807590000004</v>
      </c>
      <c r="M24" s="873">
        <f t="shared" ref="M24:P25" ca="1" si="28">+M86+M111</f>
        <v>-6470.4337500000011</v>
      </c>
      <c r="N24" s="873">
        <f t="shared" ca="1" si="28"/>
        <v>-6497.1605399999999</v>
      </c>
      <c r="O24" s="873">
        <f t="shared" ca="1" si="28"/>
        <v>-6557.1626199999992</v>
      </c>
      <c r="P24" s="873">
        <f t="shared" ca="1" si="28"/>
        <v>-6287.6961199999623</v>
      </c>
      <c r="Q24" s="645">
        <f ca="1">+SUM(M24:P24)</f>
        <v>-25812.453029999961</v>
      </c>
      <c r="R24" s="873">
        <f t="shared" ref="R24:U25" ca="1" si="29">+R86+R111</f>
        <v>-6271.5990399999955</v>
      </c>
      <c r="S24" s="873">
        <f t="shared" ca="1" si="29"/>
        <v>-5954.5594999999958</v>
      </c>
      <c r="T24" s="873">
        <f t="shared" ca="1" si="29"/>
        <v>-5670.903650000002</v>
      </c>
      <c r="U24" s="873">
        <f t="shared" ca="1" si="29"/>
        <v>-5528.0551799999994</v>
      </c>
      <c r="V24" s="645">
        <f ca="1">+SUM(R24:U24)</f>
        <v>-23425.117369999993</v>
      </c>
      <c r="W24" s="873">
        <f t="shared" ref="W24:Z25" ca="1" si="30">+W86+W111</f>
        <v>-5446.8750299999938</v>
      </c>
      <c r="X24" s="873">
        <f t="shared" ca="1" si="30"/>
        <v>-5539.0725499999953</v>
      </c>
      <c r="Y24" s="873">
        <f t="shared" ca="1" si="30"/>
        <v>-5486.5851399999947</v>
      </c>
      <c r="Z24" s="873">
        <f t="shared" ca="1" si="30"/>
        <v>-5543.7589000000007</v>
      </c>
      <c r="AA24" s="645">
        <f ca="1">+SUM(W24:Z24)</f>
        <v>-22016.291619999985</v>
      </c>
      <c r="AB24" s="873">
        <f t="shared" ref="AB24:AD25" ca="1" si="31">+AB86+AB111</f>
        <v>-5687.2723600000081</v>
      </c>
      <c r="AC24" s="873">
        <f t="shared" ca="1" si="31"/>
        <v>-5488.8768400000108</v>
      </c>
      <c r="AD24" s="873">
        <f t="shared" ca="1" si="31"/>
        <v>-5513.0401600000014</v>
      </c>
      <c r="AE24" s="873">
        <f ca="1">+AE86+AE111</f>
        <v>-5644.8604499999938</v>
      </c>
      <c r="AF24" s="645">
        <f ca="1">+SUM(AB24:AE24)</f>
        <v>-22334.049810000011</v>
      </c>
      <c r="AG24" s="873">
        <f t="shared" ref="AG24:AJ25" ca="1" si="32">+AG86+AG111</f>
        <v>-6004.488519999999</v>
      </c>
      <c r="AH24" s="873">
        <f t="shared" ca="1" si="32"/>
        <v>-6047.8056299999971</v>
      </c>
      <c r="AI24" s="873">
        <f t="shared" ca="1" si="32"/>
        <v>-5292.2757200000015</v>
      </c>
      <c r="AJ24" s="873">
        <f t="shared" ca="1" si="32"/>
        <v>-5246.8640199999954</v>
      </c>
      <c r="AK24" s="645">
        <f ca="1">+SUM(AG24:AJ24)</f>
        <v>-22591.433889999993</v>
      </c>
      <c r="AL24" s="873">
        <f t="shared" ref="AL24:AN25" ca="1" si="33">+AL86+AL111</f>
        <v>-6323.4949099999976</v>
      </c>
      <c r="AM24" s="873">
        <f t="shared" ca="1" si="33"/>
        <v>-6356.5628400000005</v>
      </c>
      <c r="AN24" s="873">
        <f t="shared" ca="1" si="33"/>
        <v>-6564.9639100000004</v>
      </c>
      <c r="AO24" s="873">
        <f t="shared" ref="AO24" ca="1" si="34">+AO86+AO111</f>
        <v>-5202.8319299999985</v>
      </c>
      <c r="AP24" s="645">
        <f ca="1">+SUM(AL24:AO24)</f>
        <v>-24447.853589999999</v>
      </c>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row>
    <row r="25" spans="1:79" ht="13.5" customHeight="1" x14ac:dyDescent="0.2">
      <c r="B25" s="874" t="s">
        <v>1070</v>
      </c>
      <c r="C25" s="873">
        <v>0</v>
      </c>
      <c r="D25" s="873">
        <v>0</v>
      </c>
      <c r="E25" s="873">
        <v>0</v>
      </c>
      <c r="F25" s="873">
        <v>0</v>
      </c>
      <c r="G25" s="645" t="s">
        <v>47</v>
      </c>
      <c r="H25" s="873">
        <v>0</v>
      </c>
      <c r="I25" s="873">
        <v>0</v>
      </c>
      <c r="J25" s="873">
        <v>0</v>
      </c>
      <c r="K25" s="873">
        <v>0</v>
      </c>
      <c r="L25" s="645" t="s">
        <v>47</v>
      </c>
      <c r="M25" s="873">
        <f t="shared" ca="1" si="28"/>
        <v>-8930</v>
      </c>
      <c r="N25" s="873">
        <f t="shared" ca="1" si="28"/>
        <v>-7143</v>
      </c>
      <c r="O25" s="873">
        <f t="shared" ca="1" si="28"/>
        <v>-8275.7541600000004</v>
      </c>
      <c r="P25" s="873">
        <f t="shared" ca="1" si="28"/>
        <v>-8444.8339100000376</v>
      </c>
      <c r="Q25" s="645">
        <f ca="1">+SUM(M25:P25)</f>
        <v>-32793.588070000042</v>
      </c>
      <c r="R25" s="873">
        <f t="shared" ca="1" si="29"/>
        <v>-7881.3899400000037</v>
      </c>
      <c r="S25" s="873">
        <f t="shared" ca="1" si="29"/>
        <v>-7885.243290000004</v>
      </c>
      <c r="T25" s="873">
        <f t="shared" ca="1" si="29"/>
        <v>-7525.3708799999986</v>
      </c>
      <c r="U25" s="873">
        <f t="shared" ca="1" si="29"/>
        <v>-7332.2620200000001</v>
      </c>
      <c r="V25" s="645">
        <f ca="1">+SUM(R25:U25)</f>
        <v>-30624.266130000004</v>
      </c>
      <c r="W25" s="873">
        <f t="shared" ca="1" si="30"/>
        <v>-7512.631170000006</v>
      </c>
      <c r="X25" s="873">
        <f t="shared" ca="1" si="30"/>
        <v>-7300.5245600000053</v>
      </c>
      <c r="Y25" s="873">
        <f t="shared" ca="1" si="30"/>
        <v>-7107.1752300000062</v>
      </c>
      <c r="Z25" s="873">
        <f t="shared" ca="1" si="30"/>
        <v>-6929.5155099999993</v>
      </c>
      <c r="AA25" s="645">
        <f ca="1">+SUM(W25:Z25)</f>
        <v>-28849.846470000019</v>
      </c>
      <c r="AB25" s="873">
        <f t="shared" ca="1" si="31"/>
        <v>-7800.149969999994</v>
      </c>
      <c r="AC25" s="873">
        <f t="shared" ca="1" si="31"/>
        <v>-8201.5867099999923</v>
      </c>
      <c r="AD25" s="873">
        <f t="shared" ca="1" si="31"/>
        <v>-7032.9541999999992</v>
      </c>
      <c r="AE25" s="873">
        <f ca="1">+AE87+AE112</f>
        <v>-7727.4498900000062</v>
      </c>
      <c r="AF25" s="645">
        <f ca="1">+SUM(AB25:AE25)</f>
        <v>-30762.140769999995</v>
      </c>
      <c r="AG25" s="873">
        <f t="shared" ca="1" si="32"/>
        <v>-7409.6727800000008</v>
      </c>
      <c r="AH25" s="873">
        <f t="shared" ca="1" si="32"/>
        <v>-7342.8118700000014</v>
      </c>
      <c r="AI25" s="873">
        <f t="shared" ca="1" si="32"/>
        <v>-8492.4977499999986</v>
      </c>
      <c r="AJ25" s="873">
        <f t="shared" ca="1" si="32"/>
        <v>-8927.2419300000056</v>
      </c>
      <c r="AK25" s="645">
        <f ca="1">+SUM(AG25:AJ25)</f>
        <v>-32172.224330000005</v>
      </c>
      <c r="AL25" s="873">
        <f t="shared" ca="1" si="33"/>
        <v>-7514.1432400000012</v>
      </c>
      <c r="AM25" s="873">
        <f t="shared" ca="1" si="33"/>
        <v>-7572.3660000000018</v>
      </c>
      <c r="AN25" s="873">
        <f t="shared" ca="1" si="33"/>
        <v>-7278.9458400000003</v>
      </c>
      <c r="AO25" s="873">
        <f t="shared" ref="AO25" ca="1" si="35">+AO87+AO112</f>
        <v>-8822.1807100000005</v>
      </c>
      <c r="AP25" s="645">
        <f ca="1">+SUM(AL25:AO25)</f>
        <v>-31187.635790000004</v>
      </c>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row>
    <row r="26" spans="1:79" ht="13.5" customHeight="1" x14ac:dyDescent="0.2">
      <c r="B26" s="882" t="s">
        <v>1151</v>
      </c>
      <c r="C26" s="881">
        <f ca="1">+C14+C16+C24+C25+C23</f>
        <v>14360.545710000059</v>
      </c>
      <c r="D26" s="881">
        <f ca="1">+D14+D16+D24+D25+D23</f>
        <v>13103.106400000037</v>
      </c>
      <c r="E26" s="881">
        <f ca="1">+E14+E16+E24+E25+E23</f>
        <v>27935.846070000043</v>
      </c>
      <c r="F26" s="881">
        <f ca="1">+F14+F16+F24+F25+F23</f>
        <v>54072.402549999955</v>
      </c>
      <c r="G26" s="880">
        <f ca="1">SUM(C26:F26)</f>
        <v>109471.9007300001</v>
      </c>
      <c r="H26" s="881">
        <f ca="1">+H14+H16+H24+H25+H23</f>
        <v>22543.493380000007</v>
      </c>
      <c r="I26" s="881">
        <f ca="1">+I14+I16+I24+I25+I23</f>
        <v>36238.07877999996</v>
      </c>
      <c r="J26" s="881">
        <f ca="1">+J14+J16+J24+J25+J23</f>
        <v>45686.178229999932</v>
      </c>
      <c r="K26" s="881">
        <f ca="1">+K14+K16+K24+K25+K23</f>
        <v>48576.524440000052</v>
      </c>
      <c r="L26" s="880">
        <f ca="1">SUM(H26:K26)</f>
        <v>153044.27482999995</v>
      </c>
      <c r="M26" s="881">
        <f ca="1">+M14+M16+M24+M25+M23</f>
        <v>40625.074600000058</v>
      </c>
      <c r="N26" s="881">
        <f ca="1">+N14+N16+N24+N25+N23</f>
        <v>45803.189800000044</v>
      </c>
      <c r="O26" s="881">
        <f ca="1">+O14+O16+O24+O25+O23</f>
        <v>100076.36719000005</v>
      </c>
      <c r="P26" s="881">
        <f ca="1">+P14+P16+P24+P25+P23</f>
        <v>53109.901350000022</v>
      </c>
      <c r="Q26" s="880">
        <f ca="1">SUM(M26:P26)</f>
        <v>239614.53294000018</v>
      </c>
      <c r="R26" s="881">
        <f ca="1">+R14+R16+R24+R25+R23</f>
        <v>26750.355600000014</v>
      </c>
      <c r="S26" s="881">
        <f ca="1">+S14+S16+S24+S25+S23</f>
        <v>-9186.3538000000244</v>
      </c>
      <c r="T26" s="881">
        <f ca="1">+T14+T16+T24+T25+T23</f>
        <v>42113.171809999971</v>
      </c>
      <c r="U26" s="881">
        <f ca="1">+U14+U16+U24+U25+U23</f>
        <v>40255.049250000033</v>
      </c>
      <c r="V26" s="880">
        <f ca="1">SUM(R26:U26)</f>
        <v>99932.222859999994</v>
      </c>
      <c r="W26" s="881">
        <f ca="1">+W14+W16+W24+W25+W23</f>
        <v>30232.221960000003</v>
      </c>
      <c r="X26" s="881">
        <f ca="1">+X14+X16+X24+X25+X23</f>
        <v>28215.714269999975</v>
      </c>
      <c r="Y26" s="881">
        <f ca="1">+Y14+Y16+Y24+Y25+Y23</f>
        <v>23727.719999999972</v>
      </c>
      <c r="Z26" s="881">
        <f ca="1">+Z14+Z16+Z24+Z25+Z23</f>
        <v>35990.382589999906</v>
      </c>
      <c r="AA26" s="880">
        <f ca="1">SUM(W26:Z26)</f>
        <v>118166.03881999986</v>
      </c>
      <c r="AB26" s="881">
        <f ca="1">+AB14+AB16+AB24+AB25+AB23</f>
        <v>21601.709109999934</v>
      </c>
      <c r="AC26" s="881">
        <f ca="1">+AC14+AC16+AC24+AC25+AC23</f>
        <v>35458.489839999951</v>
      </c>
      <c r="AD26" s="881">
        <f ca="1">+AD14+AD16+AD24+AD25+AD23</f>
        <v>68734.174689999956</v>
      </c>
      <c r="AE26" s="881">
        <f ca="1">+AE14+AE16+AE24+AE25+AE23</f>
        <v>64815.150449999957</v>
      </c>
      <c r="AF26" s="880">
        <f ca="1">SUM(AB26:AE26)</f>
        <v>190609.52408999979</v>
      </c>
      <c r="AG26" s="881">
        <f ca="1">+AG14+AG16+AG24+AG25+AG23</f>
        <v>40239.313079999869</v>
      </c>
      <c r="AH26" s="881">
        <f ca="1">+AH14+AH16+AH24+AH25+AH23</f>
        <v>44622.017100000056</v>
      </c>
      <c r="AI26" s="881">
        <f ca="1">+AI14+AI16+AI24+AI25+AI23</f>
        <v>65469.064530000003</v>
      </c>
      <c r="AJ26" s="881">
        <f ca="1">+AJ14+AJ16+AJ24+AJ25+AJ23</f>
        <v>59952.821860000244</v>
      </c>
      <c r="AK26" s="880">
        <f ca="1">SUM(AG26:AJ26)</f>
        <v>210283.21657000016</v>
      </c>
      <c r="AL26" s="881">
        <f ca="1">+AL14+AL16+AL24+AL25+AL23</f>
        <v>44480.741189999811</v>
      </c>
      <c r="AM26" s="881">
        <f ca="1">+AM14+AM16+AM24+AM25+AM23</f>
        <v>71239.997730000061</v>
      </c>
      <c r="AN26" s="881">
        <f ca="1">+AN14+AN16+AN24+AN25+AN23</f>
        <v>111728.42351000008</v>
      </c>
      <c r="AO26" s="881">
        <f ca="1">+AO14+AO16+AO24+AO25+AO23</f>
        <v>111980.14013999992</v>
      </c>
      <c r="AP26" s="880">
        <f ca="1">SUM(AL26:AO26)</f>
        <v>339429.30256999988</v>
      </c>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row>
    <row r="27" spans="1:79" s="867" customFormat="1" ht="13.5" customHeight="1" x14ac:dyDescent="0.2">
      <c r="A27" s="872"/>
      <c r="B27" s="871" t="s">
        <v>1069</v>
      </c>
      <c r="C27" s="870">
        <f t="shared" ref="C27:X27" ca="1" si="36">+C26/C11</f>
        <v>6.7257917096421885E-2</v>
      </c>
      <c r="D27" s="870">
        <f t="shared" ca="1" si="36"/>
        <v>4.9425839147433093E-2</v>
      </c>
      <c r="E27" s="870">
        <f t="shared" ca="1" si="36"/>
        <v>9.7719176132601601E-2</v>
      </c>
      <c r="F27" s="870">
        <f t="shared" ca="1" si="36"/>
        <v>0.16925361906828751</v>
      </c>
      <c r="G27" s="869">
        <f t="shared" ca="1" si="36"/>
        <v>0.1009911265210523</v>
      </c>
      <c r="H27" s="870">
        <f t="shared" ca="1" si="36"/>
        <v>8.6020109095330477E-2</v>
      </c>
      <c r="I27" s="870">
        <f t="shared" ca="1" si="36"/>
        <v>0.12356334091640669</v>
      </c>
      <c r="J27" s="870">
        <f t="shared" ca="1" si="36"/>
        <v>0.1357859109240224</v>
      </c>
      <c r="K27" s="870">
        <f t="shared" ca="1" si="36"/>
        <v>0.13391279214012711</v>
      </c>
      <c r="L27" s="869">
        <f t="shared" ca="1" si="36"/>
        <v>0.12199112143484277</v>
      </c>
      <c r="M27" s="870">
        <f t="shared" ca="1" si="36"/>
        <v>0.1369319458602051</v>
      </c>
      <c r="N27" s="870">
        <f t="shared" ca="1" si="36"/>
        <v>0.13813282804331664</v>
      </c>
      <c r="O27" s="870">
        <f t="shared" ca="1" si="36"/>
        <v>0.2937175478112492</v>
      </c>
      <c r="P27" s="870">
        <f t="shared" ca="1" si="36"/>
        <v>0.14038038002466052</v>
      </c>
      <c r="Q27" s="869">
        <f t="shared" ca="1" si="36"/>
        <v>0.17784524384261277</v>
      </c>
      <c r="R27" s="870">
        <f t="shared" ca="1" si="36"/>
        <v>9.5623583933504341E-2</v>
      </c>
      <c r="S27" s="870">
        <f t="shared" ca="1" si="36"/>
        <v>-7.0587947673841162E-2</v>
      </c>
      <c r="T27" s="870">
        <f t="shared" ca="1" si="36"/>
        <v>0.14562886729823069</v>
      </c>
      <c r="U27" s="870">
        <f t="shared" ca="1" si="36"/>
        <v>0.12862413523766769</v>
      </c>
      <c r="V27" s="869">
        <f t="shared" ca="1" si="36"/>
        <v>9.8743842823747E-2</v>
      </c>
      <c r="W27" s="870">
        <f t="shared" ca="1" si="36"/>
        <v>0.1292460553960216</v>
      </c>
      <c r="X27" s="870">
        <f t="shared" ca="1" si="36"/>
        <v>0.11902037211312161</v>
      </c>
      <c r="Y27" s="870">
        <f t="shared" ref="Y27:AD27" ca="1" si="37">+Y26/Y11</f>
        <v>0.10252278029266407</v>
      </c>
      <c r="Z27" s="870">
        <f t="shared" ca="1" si="37"/>
        <v>0.11802985568991999</v>
      </c>
      <c r="AA27" s="869">
        <f t="shared" ca="1" si="37"/>
        <v>0.11730466958604494</v>
      </c>
      <c r="AB27" s="870">
        <f t="shared" ca="1" si="37"/>
        <v>8.9609066947452742E-2</v>
      </c>
      <c r="AC27" s="870">
        <f t="shared" ca="1" si="37"/>
        <v>0.11643479243811906</v>
      </c>
      <c r="AD27" s="870">
        <f t="shared" ca="1" si="37"/>
        <v>0.16542174969034815</v>
      </c>
      <c r="AE27" s="870">
        <f t="shared" ref="AE27:AM27" ca="1" si="38">+AE26/AE11</f>
        <v>0.15831762121160023</v>
      </c>
      <c r="AF27" s="869">
        <f t="shared" ca="1" si="38"/>
        <v>0.13907932164519468</v>
      </c>
      <c r="AG27" s="870">
        <f t="shared" ca="1" si="38"/>
        <v>0.11974633573198905</v>
      </c>
      <c r="AH27" s="870">
        <f t="shared" ca="1" si="38"/>
        <v>0.12170169985787832</v>
      </c>
      <c r="AI27" s="870">
        <f t="shared" ca="1" si="38"/>
        <v>0.15333138280521055</v>
      </c>
      <c r="AJ27" s="870">
        <f t="shared" ca="1" si="38"/>
        <v>0.13211250238947236</v>
      </c>
      <c r="AK27" s="869">
        <f t="shared" ca="1" si="38"/>
        <v>0.13279919585954997</v>
      </c>
      <c r="AL27" s="870">
        <f t="shared" ca="1" si="38"/>
        <v>0.11429619594515424</v>
      </c>
      <c r="AM27" s="870">
        <f t="shared" ca="1" si="38"/>
        <v>0.15066336988493462</v>
      </c>
      <c r="AN27" s="870">
        <f t="shared" ref="AN27:AP27" ca="1" si="39">+AN26/AN11</f>
        <v>0.18505612422775947</v>
      </c>
      <c r="AO27" s="870">
        <f t="shared" ca="1" si="39"/>
        <v>0.17935183065887303</v>
      </c>
      <c r="AP27" s="869">
        <f t="shared" ca="1" si="39"/>
        <v>0.16239646434382346</v>
      </c>
      <c r="AQ27" s="868"/>
      <c r="AR27" s="868"/>
      <c r="AS27" s="868"/>
      <c r="AT27" s="868"/>
      <c r="AU27" s="868"/>
      <c r="AV27" s="868"/>
      <c r="AY27" s="1041"/>
      <c r="AZ27" s="1041"/>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row>
    <row r="28" spans="1:79" ht="13.5" customHeight="1" x14ac:dyDescent="0.2">
      <c r="B28" s="874" t="s">
        <v>1086</v>
      </c>
      <c r="C28" s="873">
        <f t="shared" ref="C28:F29" ca="1" si="40">+SUMIFS(INDIRECT(CONCATENATE("'",$AQ28,$AR28,":",$AS28)),INDIRECT(CONCATENATE("'",$AQ28,$AR$22,":",$AS$22)),C$35)</f>
        <v>-4287.1967700000005</v>
      </c>
      <c r="D28" s="873">
        <f t="shared" ca="1" si="40"/>
        <v>3566.6795899999997</v>
      </c>
      <c r="E28" s="873">
        <f t="shared" ca="1" si="40"/>
        <v>-3113.1098000000002</v>
      </c>
      <c r="F28" s="873">
        <f t="shared" ca="1" si="40"/>
        <v>12617.618369999998</v>
      </c>
      <c r="G28" s="645">
        <f ca="1">+SUM(C28:F28)</f>
        <v>8783.9913899999974</v>
      </c>
      <c r="H28" s="873">
        <f t="shared" ref="H28:K29" ca="1" si="41">+SUMIFS(INDIRECT(CONCATENATE("'",$AQ28,$AR28,":",$AS28)),INDIRECT(CONCATENATE("'",$AQ28,$AR$22,":",$AS$22)),H$35)</f>
        <v>-1889.4519500000006</v>
      </c>
      <c r="I28" s="873">
        <f t="shared" ca="1" si="41"/>
        <v>-825.25070000000005</v>
      </c>
      <c r="J28" s="873">
        <f t="shared" ca="1" si="41"/>
        <v>-4991.2516099999993</v>
      </c>
      <c r="K28" s="873">
        <f t="shared" ca="1" si="41"/>
        <v>-1413.8592499999995</v>
      </c>
      <c r="L28" s="645">
        <f ca="1">+SUM(H28:K28)</f>
        <v>-9119.81351</v>
      </c>
      <c r="M28" s="873">
        <f t="shared" ref="M28:P29" ca="1" si="42">+SUMIFS(INDIRECT(CONCATENATE("'",$AQ28,$AR28,":",$AS28)),INDIRECT(CONCATENATE("'",$AQ28,$AR$22,":",$AS$22)),M$35)</f>
        <v>-1898</v>
      </c>
      <c r="N28" s="873">
        <f t="shared" ca="1" si="42"/>
        <v>-2688</v>
      </c>
      <c r="O28" s="916">
        <f t="shared" ca="1" si="42"/>
        <v>30529</v>
      </c>
      <c r="P28" s="873">
        <f t="shared" ca="1" si="42"/>
        <v>-3245.5405300000002</v>
      </c>
      <c r="Q28" s="930">
        <f ca="1">+SUM(M28:P28)</f>
        <v>22697.459470000002</v>
      </c>
      <c r="R28" s="873">
        <f t="shared" ref="R28:U29" ca="1" si="43">+SUMIFS(INDIRECT(CONCATENATE("'",$AQ28,$AR28,":",$AS28)),INDIRECT(CONCATENATE("'",$AQ28,$AR$22,":",$AS$22)),R$35)</f>
        <v>-2007.30314</v>
      </c>
      <c r="S28" s="873">
        <f t="shared" ca="1" si="43"/>
        <v>-2212.7467099999976</v>
      </c>
      <c r="T28" s="873">
        <f t="shared" ca="1" si="43"/>
        <v>-2784.8866099999996</v>
      </c>
      <c r="U28" s="873">
        <f t="shared" ca="1" si="43"/>
        <v>-2152.0314800000006</v>
      </c>
      <c r="V28" s="645">
        <f ca="1">+SUM(R28:U28)</f>
        <v>-9156.9679399999986</v>
      </c>
      <c r="W28" s="873">
        <f t="shared" ref="W28:Z29" ca="1" si="44">+SUMIFS(INDIRECT(CONCATENATE("'",$AQ28,$AR28,":",$AS28)),INDIRECT(CONCATENATE("'",$AQ28,$AR$22,":",$AS$22)),W$35)</f>
        <v>-2893.5208399999997</v>
      </c>
      <c r="X28" s="916">
        <f t="shared" ca="1" si="44"/>
        <v>1719.5772200000001</v>
      </c>
      <c r="Y28" s="873">
        <f t="shared" ca="1" si="44"/>
        <v>-896.09401000000025</v>
      </c>
      <c r="Z28" s="873">
        <f t="shared" ca="1" si="44"/>
        <v>-952.37159000000065</v>
      </c>
      <c r="AA28" s="930">
        <f ca="1">+SUM(W28:Z28)</f>
        <v>-3022.4092200000005</v>
      </c>
      <c r="AB28" s="873">
        <f t="shared" ref="AB28:AE29" ca="1" si="45">+SUMIFS(INDIRECT(CONCATENATE("'",$AQ28,$AR28,":",$AS28)),INDIRECT(CONCATENATE("'",$AQ28,$AR$22,":",$AS$22)),AB$35)</f>
        <v>-540.99999999999909</v>
      </c>
      <c r="AC28" s="873">
        <f t="shared" ca="1" si="45"/>
        <v>164.84838000000036</v>
      </c>
      <c r="AD28" s="873">
        <f t="shared" ca="1" si="45"/>
        <v>-52.790259999998852</v>
      </c>
      <c r="AE28" s="916">
        <f t="shared" ca="1" si="45"/>
        <v>7143.2795999999998</v>
      </c>
      <c r="AF28" s="930">
        <f ca="1">+SUM(AB28:AE28)</f>
        <v>6714.3377200000023</v>
      </c>
      <c r="AG28" s="873">
        <f t="shared" ref="AG28:AJ29" ca="1" si="46">+SUMIFS(INDIRECT(CONCATENATE("'",$AQ28,$AR28,":",$AS28)),INDIRECT(CONCATENATE("'",$AQ28,$AR$22,":",$AS$22)),AG$35)</f>
        <v>1279.2891100000006</v>
      </c>
      <c r="AH28" s="916">
        <f t="shared" ca="1" si="46"/>
        <v>2933.0279499999979</v>
      </c>
      <c r="AI28" s="873">
        <f t="shared" ca="1" si="46"/>
        <v>2517.9430699999984</v>
      </c>
      <c r="AJ28" s="873">
        <f t="shared" ca="1" si="46"/>
        <v>2208.5117899999996</v>
      </c>
      <c r="AK28" s="930">
        <f ca="1">+SUM(AG28:AJ28)</f>
        <v>8938.7719199999956</v>
      </c>
      <c r="AL28" s="873">
        <f t="shared" ref="AL28:AO29" ca="1" si="47">+SUMIFS(INDIRECT(CONCATENATE("'",$AQ28,$AR28,":",$AS28)),INDIRECT(CONCATENATE("'",$AQ28,$AR$22,":",$AS$22)),AL$35)</f>
        <v>2039.7343800000008</v>
      </c>
      <c r="AM28" s="916">
        <f t="shared" ca="1" si="47"/>
        <v>4056.5603300000002</v>
      </c>
      <c r="AN28" s="873">
        <f t="shared" ca="1" si="47"/>
        <v>1218.2220500000021</v>
      </c>
      <c r="AO28" s="873">
        <f t="shared" ca="1" si="47"/>
        <v>1460.4212000000007</v>
      </c>
      <c r="AP28" s="930">
        <f ca="1">+SUM(AL28:AO28)</f>
        <v>8774.9379600000029</v>
      </c>
      <c r="AQ28" s="268" t="s">
        <v>1085</v>
      </c>
      <c r="AR28" s="268" t="str">
        <f>"$"&amp;ROW(IncS!$B$21)</f>
        <v>$21</v>
      </c>
      <c r="AS28" s="268" t="str">
        <f>"$"&amp;ROW(IncS!$B$21)</f>
        <v>$21</v>
      </c>
      <c r="AT28" s="268" t="s">
        <v>1085</v>
      </c>
      <c r="AU28" s="268" t="s">
        <v>1084</v>
      </c>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row>
    <row r="29" spans="1:79" ht="13.5" customHeight="1" x14ac:dyDescent="0.2">
      <c r="B29" s="874" t="s">
        <v>1226</v>
      </c>
      <c r="C29" s="873">
        <f t="shared" ca="1" si="40"/>
        <v>-322.19973999999996</v>
      </c>
      <c r="D29" s="873">
        <f t="shared" ca="1" si="40"/>
        <v>-379.92368999999991</v>
      </c>
      <c r="E29" s="873">
        <f t="shared" ca="1" si="40"/>
        <v>-656.57451999999967</v>
      </c>
      <c r="F29" s="873">
        <f t="shared" ca="1" si="40"/>
        <v>595.71961999999996</v>
      </c>
      <c r="G29" s="929">
        <f ca="1">+SUM(C29:F29)</f>
        <v>-762.97832999999957</v>
      </c>
      <c r="H29" s="873">
        <f t="shared" ca="1" si="41"/>
        <v>-425</v>
      </c>
      <c r="I29" s="873">
        <f t="shared" ca="1" si="41"/>
        <v>-226.81720999999999</v>
      </c>
      <c r="J29" s="873">
        <f t="shared" ca="1" si="41"/>
        <v>341.39789999999994</v>
      </c>
      <c r="K29" s="873">
        <f t="shared" ca="1" si="41"/>
        <v>681.55288999999982</v>
      </c>
      <c r="L29" s="929">
        <f ca="1">+SUM(H29:K29)</f>
        <v>371.13357999999982</v>
      </c>
      <c r="M29" s="873">
        <f t="shared" ca="1" si="42"/>
        <v>-528.95529999999997</v>
      </c>
      <c r="N29" s="873">
        <f t="shared" ca="1" si="42"/>
        <v>322.18200999999976</v>
      </c>
      <c r="O29" s="873">
        <f t="shared" ca="1" si="42"/>
        <v>843.61563999999998</v>
      </c>
      <c r="P29" s="873">
        <f t="shared" ca="1" si="42"/>
        <v>2349.8983000000007</v>
      </c>
      <c r="Q29" s="929">
        <f ca="1">+SUM(M29:P29)</f>
        <v>2986.7406500000006</v>
      </c>
      <c r="R29" s="873">
        <f t="shared" ca="1" si="43"/>
        <v>1394.2409299999999</v>
      </c>
      <c r="S29" s="873">
        <f t="shared" ca="1" si="43"/>
        <v>2411.7455300000011</v>
      </c>
      <c r="T29" s="873">
        <f t="shared" ca="1" si="43"/>
        <v>2631.5309200000002</v>
      </c>
      <c r="U29" s="873">
        <f t="shared" ca="1" si="43"/>
        <v>-161.1788199999996</v>
      </c>
      <c r="V29" s="929">
        <f ca="1">+SUM(R29:U29)</f>
        <v>6276.338560000002</v>
      </c>
      <c r="W29" s="873">
        <f t="shared" ca="1" si="44"/>
        <v>810.82394999999951</v>
      </c>
      <c r="X29" s="873">
        <f t="shared" ca="1" si="44"/>
        <v>2401.2292212000002</v>
      </c>
      <c r="Y29" s="873">
        <f t="shared" ca="1" si="44"/>
        <v>1798.9342100000003</v>
      </c>
      <c r="Z29" s="873">
        <f t="shared" ca="1" si="44"/>
        <v>4231.8650900000002</v>
      </c>
      <c r="AA29" s="929">
        <f ca="1">+SUM(W29:Z29)</f>
        <v>9242.8524711999999</v>
      </c>
      <c r="AB29" s="873">
        <f t="shared" ca="1" si="45"/>
        <v>3013</v>
      </c>
      <c r="AC29" s="873">
        <f t="shared" ca="1" si="45"/>
        <v>3005.671455575</v>
      </c>
      <c r="AD29" s="873">
        <f t="shared" ca="1" si="45"/>
        <v>2435.9022784000003</v>
      </c>
      <c r="AE29" s="873">
        <f t="shared" ca="1" si="45"/>
        <v>2116.9677172000002</v>
      </c>
      <c r="AF29" s="929">
        <f ca="1">+SUM(AB29:AE29)</f>
        <v>10571.541451175002</v>
      </c>
      <c r="AG29" s="873">
        <f t="shared" ca="1" si="46"/>
        <v>3837.9019078000001</v>
      </c>
      <c r="AH29" s="873">
        <f t="shared" ca="1" si="46"/>
        <v>2883.4226600000002</v>
      </c>
      <c r="AI29" s="873">
        <f t="shared" ca="1" si="46"/>
        <v>5093.8337000000001</v>
      </c>
      <c r="AJ29" s="873">
        <f t="shared" ca="1" si="46"/>
        <v>4439.7830400000003</v>
      </c>
      <c r="AK29" s="929">
        <f ca="1">+SUM(AG29:AJ29)</f>
        <v>16254.941307800002</v>
      </c>
      <c r="AL29" s="873">
        <f t="shared" ca="1" si="47"/>
        <v>6603.9437900000003</v>
      </c>
      <c r="AM29" s="873">
        <f t="shared" ca="1" si="47"/>
        <v>9362.2939999999999</v>
      </c>
      <c r="AN29" s="873">
        <f t="shared" ca="1" si="47"/>
        <v>7432.3453100000006</v>
      </c>
      <c r="AO29" s="873">
        <f t="shared" ca="1" si="47"/>
        <v>5865.9073797000001</v>
      </c>
      <c r="AP29" s="929">
        <f ca="1">+SUM(AL29:AO29)</f>
        <v>29264.490479699998</v>
      </c>
      <c r="AQ29" s="268" t="s">
        <v>1085</v>
      </c>
      <c r="AR29" s="268" t="str">
        <f>"$"&amp;ROW(IncS!$B$20)</f>
        <v>$20</v>
      </c>
      <c r="AS29" s="268" t="str">
        <f>"$"&amp;ROW(IncS!$B$20)</f>
        <v>$20</v>
      </c>
      <c r="AT29" s="268" t="s">
        <v>1085</v>
      </c>
      <c r="AU29" s="268" t="s">
        <v>1084</v>
      </c>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row>
    <row r="30" spans="1:79" ht="13.5" customHeight="1" x14ac:dyDescent="0.2">
      <c r="B30" s="882" t="s">
        <v>234</v>
      </c>
      <c r="C30" s="881">
        <f ca="1">+C26+C28+C29</f>
        <v>9751.149200000058</v>
      </c>
      <c r="D30" s="881">
        <f ca="1">+D26+D28+D29</f>
        <v>16289.862300000037</v>
      </c>
      <c r="E30" s="881">
        <f ca="1">+E26+E28+E29</f>
        <v>24166.161750000047</v>
      </c>
      <c r="F30" s="881">
        <f ca="1">+F26+F28+F29</f>
        <v>67285.740539999955</v>
      </c>
      <c r="G30" s="880">
        <f ca="1">+SUM(C30:F30)</f>
        <v>117492.91379000009</v>
      </c>
      <c r="H30" s="881">
        <f ca="1">+H26+H28+H29</f>
        <v>20229.041430000005</v>
      </c>
      <c r="I30" s="881">
        <f ca="1">+I26+I28+I29</f>
        <v>35186.010869999962</v>
      </c>
      <c r="J30" s="881">
        <f ca="1">+J26+J28+J29</f>
        <v>41036.324519999936</v>
      </c>
      <c r="K30" s="881">
        <f ca="1">+K26+K28+K29</f>
        <v>47844.21808000005</v>
      </c>
      <c r="L30" s="880">
        <f ca="1">+SUM(H30:K30)</f>
        <v>144295.59489999997</v>
      </c>
      <c r="M30" s="881">
        <f ca="1">+M26+M28+M29</f>
        <v>38198.119300000057</v>
      </c>
      <c r="N30" s="881">
        <f ca="1">+N26+N28+N29</f>
        <v>43437.371810000041</v>
      </c>
      <c r="O30" s="881">
        <f ca="1">+O26+O28+O29</f>
        <v>131448.98283000005</v>
      </c>
      <c r="P30" s="881">
        <f ca="1">+P26+P28+P29</f>
        <v>52214.259120000024</v>
      </c>
      <c r="Q30" s="880">
        <f ca="1">+SUM(M30:P30)</f>
        <v>265298.73306000017</v>
      </c>
      <c r="R30" s="881">
        <f ca="1">+R26+R28+R29</f>
        <v>26137.293390000013</v>
      </c>
      <c r="S30" s="881">
        <f ca="1">+S26+S28+S29</f>
        <v>-8987.3549800000219</v>
      </c>
      <c r="T30" s="881">
        <f ca="1">+T26+T28+T29</f>
        <v>41959.816119999967</v>
      </c>
      <c r="U30" s="881">
        <f ca="1">+U26+U28+U29</f>
        <v>37941.838950000034</v>
      </c>
      <c r="V30" s="880">
        <f ca="1">+SUM(R30:U30)</f>
        <v>97051.593479999996</v>
      </c>
      <c r="W30" s="881">
        <f ca="1">+W26+W28+W29</f>
        <v>28149.52507</v>
      </c>
      <c r="X30" s="881">
        <f ca="1">+X26+X28+X29</f>
        <v>32336.520711199973</v>
      </c>
      <c r="Y30" s="881">
        <f ca="1">+Y26+Y28+Y29</f>
        <v>24630.560199999971</v>
      </c>
      <c r="Z30" s="881">
        <f ca="1">+Z26+Z28+Z29</f>
        <v>39269.876089999903</v>
      </c>
      <c r="AA30" s="880">
        <f ca="1">+SUM(W30:Z30)</f>
        <v>124386.48207119985</v>
      </c>
      <c r="AB30" s="881">
        <f ca="1">+AB26+AB28+AB29</f>
        <v>24073.709109999934</v>
      </c>
      <c r="AC30" s="881">
        <f ca="1">+AC26+AC28+AC29</f>
        <v>38629.009675574955</v>
      </c>
      <c r="AD30" s="881">
        <f ca="1">+AD26+AD28+AD29</f>
        <v>71117.286708399959</v>
      </c>
      <c r="AE30" s="881">
        <f ca="1">+AE26+AE28+AE29</f>
        <v>74075.397767199946</v>
      </c>
      <c r="AF30" s="880">
        <f ca="1">+SUM(AB30:AE30)</f>
        <v>207895.4032611748</v>
      </c>
      <c r="AG30" s="881">
        <f ca="1">+AG26+AG28+AG29</f>
        <v>45356.504097799865</v>
      </c>
      <c r="AH30" s="881">
        <f ca="1">+AH26+AH28+AH29</f>
        <v>50438.467710000055</v>
      </c>
      <c r="AI30" s="881">
        <f ca="1">+AI26+AI28+AI29</f>
        <v>73080.8413</v>
      </c>
      <c r="AJ30" s="881">
        <f ca="1">+AJ26+AJ28+AJ29</f>
        <v>66601.116690000243</v>
      </c>
      <c r="AK30" s="880">
        <f ca="1">+SUM(AG30:AJ30)</f>
        <v>235476.92979780014</v>
      </c>
      <c r="AL30" s="881">
        <f ca="1">+AL26+AL28+AL29</f>
        <v>53124.419359999811</v>
      </c>
      <c r="AM30" s="881">
        <f ca="1">+AM26+AM28+AM29</f>
        <v>84658.852060000063</v>
      </c>
      <c r="AN30" s="881">
        <f ca="1">+AN26+AN28+AN29</f>
        <v>120378.99087000008</v>
      </c>
      <c r="AO30" s="881">
        <f ca="1">+AO26+AO28+AO29</f>
        <v>119306.46871969991</v>
      </c>
      <c r="AP30" s="880">
        <f ca="1">+SUM(AL30:AO30)</f>
        <v>377468.73100969987</v>
      </c>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row>
    <row r="31" spans="1:79" ht="13.5" customHeight="1" x14ac:dyDescent="0.2">
      <c r="B31" s="874" t="s">
        <v>263</v>
      </c>
      <c r="C31" s="873">
        <f ca="1">+SUMIFS(INDIRECT(CONCATENATE("'",$AQ31,$AR31,":",$AS31)),INDIRECT(CONCATENATE("'",$AQ31,$AR$22,":",$AS$22)),C$35)</f>
        <v>-4298.9160000000002</v>
      </c>
      <c r="D31" s="916">
        <f ca="1">+SUMIFS(INDIRECT(CONCATENATE("'",$AQ31,$AR31,":",$AS31)),INDIRECT(CONCATENATE("'",$AQ31,$AR$22,":",$AS$22)),D$35)</f>
        <v>7766.8676799999994</v>
      </c>
      <c r="E31" s="873">
        <f ca="1">+SUMIFS(INDIRECT(CONCATENATE("'",$AQ31,$AR31,":",$AS31)),INDIRECT(CONCATENATE("'",$AQ31,$AR$22,":",$AS$22)),E$35)</f>
        <v>-8879.3011299999998</v>
      </c>
      <c r="F31" s="916">
        <f ca="1">+SUMIFS(INDIRECT(CONCATENATE("'",$AQ31,$AR31,":",$AS31)),INDIRECT(CONCATENATE("'",$AQ31,$AR$22,":",$AS$22)),F$35)</f>
        <v>-8319.4488999999994</v>
      </c>
      <c r="G31" s="930">
        <f ca="1">+SUM(C31:F31)</f>
        <v>-13730.798350000001</v>
      </c>
      <c r="H31" s="873">
        <f ca="1">+SUMIFS(INDIRECT(CONCATENATE("'",$AQ31,$AR31,":",$AS31)),INDIRECT(CONCATENATE("'",$AQ31,$AR$22,":",$AS$22)),H$35)</f>
        <v>-6233</v>
      </c>
      <c r="I31" s="873">
        <f ca="1">+SUMIFS(INDIRECT(CONCATENATE("'",$AQ31,$AR31,":",$AS31)),INDIRECT(CONCATENATE("'",$AQ31,$AR$22,":",$AS$22)),I$35)</f>
        <v>-7000.1369300000006</v>
      </c>
      <c r="J31" s="873">
        <f ca="1">+SUMIFS(INDIRECT(CONCATENATE("'",$AQ31,$AR31,":",$AS31)),INDIRECT(CONCATENATE("'",$AQ31,$AR$22,":",$AS$22)),J$35)</f>
        <v>-9929.7333699999999</v>
      </c>
      <c r="K31" s="916">
        <f ca="1">+SUMIFS(INDIRECT(CONCATENATE("'",$AQ31,$AR31,":",$AS31)),INDIRECT(CONCATENATE("'",$AQ31,$AR$22,":",$AS$22)),K$35)</f>
        <v>-12883.216170000002</v>
      </c>
      <c r="L31" s="930">
        <f ca="1">+SUM(H31:K31)</f>
        <v>-36046.086470000002</v>
      </c>
      <c r="M31" s="873">
        <f ca="1">+SUMIFS(INDIRECT(CONCATENATE("'",$AQ31,$AR31,":",$AS31)),INDIRECT(CONCATENATE("'",$AQ31,$AR$22,":",$AS$22)),M$35)</f>
        <v>-11575.73976</v>
      </c>
      <c r="N31" s="873">
        <f ca="1">+SUMIFS(INDIRECT(CONCATENATE("'",$AQ31,$AR31,":",$AS31)),INDIRECT(CONCATENATE("'",$AQ31,$AR$22,":",$AS$22)),N$35)</f>
        <v>-10923.94203</v>
      </c>
      <c r="O31" s="916">
        <f ca="1">+SUMIFS(INDIRECT(CONCATENATE("'",$AQ31,$AR31,":",$AS31)),INDIRECT(CONCATENATE("'",$AQ31,$AR$22,":",$AS$22)),O$35)</f>
        <v>-40057.514449999995</v>
      </c>
      <c r="P31" s="873">
        <f ca="1">+SUMIFS(INDIRECT(CONCATENATE("'",$AQ31,$AR31,":",$AS31)),INDIRECT(CONCATENATE("'",$AQ31,$AR$22,":",$AS$22)),P$35)</f>
        <v>-8769.3005799999992</v>
      </c>
      <c r="Q31" s="930">
        <f ca="1">+SUM(M31:P31)</f>
        <v>-71326.49682</v>
      </c>
      <c r="R31" s="873">
        <f ca="1">+SUMIFS(INDIRECT(CONCATENATE("'",$AQ31,$AR31,":",$AS31)),INDIRECT(CONCATENATE("'",$AQ31,$AR$22,":",$AS$22)),R$35)</f>
        <v>-6850.96893</v>
      </c>
      <c r="S31" s="873">
        <f ca="1">+SUMIFS(INDIRECT(CONCATENATE("'",$AQ31,$AR31,":",$AS31)),INDIRECT(CONCATENATE("'",$AQ31,$AR$22,":",$AS$22)),S$35)</f>
        <v>4624.6438899999994</v>
      </c>
      <c r="T31" s="873">
        <f ca="1">+SUMIFS(INDIRECT(CONCATENATE("'",$AQ31,$AR31,":",$AS31)),INDIRECT(CONCATENATE("'",$AQ31,$AR$22,":",$AS$22)),T$35)</f>
        <v>-12021.130280000001</v>
      </c>
      <c r="U31" s="873">
        <f ca="1">+SUMIFS(INDIRECT(CONCATENATE("'",$AQ31,$AR31,":",$AS31)),INDIRECT(CONCATENATE("'",$AQ31,$AR$22,":",$AS$22)),U$35)</f>
        <v>-9295.3423600000006</v>
      </c>
      <c r="V31" s="645">
        <f ca="1">+SUM(R31:U31)</f>
        <v>-23542.797680000003</v>
      </c>
      <c r="W31" s="873">
        <f ca="1">+SUMIFS(INDIRECT(CONCATENATE("'",$AQ31,$AR31,":",$AS31)),INDIRECT(CONCATENATE("'",$AQ31,$AR$22,":",$AS$22)),W$35)</f>
        <v>-7991.2797200000005</v>
      </c>
      <c r="X31" s="873">
        <f ca="1">+SUMIFS(INDIRECT(CONCATENATE("'",$AQ31,$AR31,":",$AS31)),INDIRECT(CONCATENATE("'",$AQ31,$AR$22,":",$AS$22)),X$35)</f>
        <v>-8180.5598599999994</v>
      </c>
      <c r="Y31" s="916">
        <f ca="1">+SUMIFS(INDIRECT(CONCATENATE("'",$AQ31,$AR31,":",$AS31)),INDIRECT(CONCATENATE("'",$AQ31,$AR$22,":",$AS$22)),Y$35)</f>
        <v>9562.4</v>
      </c>
      <c r="Z31" s="873">
        <f ca="1">+SUMIFS(INDIRECT(CONCATENATE("'",$AQ31,$AR31,":",$AS31)),INDIRECT(CONCATENATE("'",$AQ31,$AR$22,":",$AS$22)),Z$35)</f>
        <v>-9991.3930700000001</v>
      </c>
      <c r="AA31" s="930">
        <f ca="1">+SUM(W31:Z31)</f>
        <v>-16600.83265</v>
      </c>
      <c r="AB31" s="873">
        <f ca="1">+SUMIFS(INDIRECT(CONCATENATE("'",$AQ31,$AR31,":",$AS31)),INDIRECT(CONCATENATE("'",$AQ31,$AR$22,":",$AS$22)),AB$35)</f>
        <v>-5291</v>
      </c>
      <c r="AC31" s="873">
        <f ca="1">+SUMIFS(INDIRECT(CONCATENATE("'",$AQ31,$AR31,":",$AS31)),INDIRECT(CONCATENATE("'",$AQ31,$AR$22,":",$AS$22)),AC$35)</f>
        <v>-8048.3106200000002</v>
      </c>
      <c r="AD31" s="873">
        <f ca="1">+SUMIFS(INDIRECT(CONCATENATE("'",$AQ31,$AR31,":",$AS31)),INDIRECT(CONCATENATE("'",$AQ31,$AR$22,":",$AS$22)),AD$35)</f>
        <v>-17648.283640000001</v>
      </c>
      <c r="AE31" s="873">
        <f ca="1">+SUMIFS(INDIRECT(CONCATENATE("'",$AQ31,$AR31,":",$AS31)),INDIRECT(CONCATENATE("'",$AQ31,$AR$22,":",$AS$22)),AE$35)</f>
        <v>-17243.035919999998</v>
      </c>
      <c r="AF31" s="645">
        <f ca="1">+SUM(AB31:AE31)</f>
        <v>-48230.63018</v>
      </c>
      <c r="AG31" s="873">
        <f ca="1">+SUMIFS(INDIRECT(CONCATENATE("'",$AQ31,$AR31,":",$AS31)),INDIRECT(CONCATENATE("'",$AQ31,$AR$22,":",$AS$22)),AG$35)</f>
        <v>-10633.6551</v>
      </c>
      <c r="AH31" s="873">
        <f ca="1">+SUMIFS(INDIRECT(CONCATENATE("'",$AQ31,$AR31,":",$AS31)),INDIRECT(CONCATENATE("'",$AQ31,$AR$22,":",$AS$22)),AH$35)</f>
        <v>-10582.149069999999</v>
      </c>
      <c r="AI31" s="873">
        <f ca="1">+SUMIFS(INDIRECT(CONCATENATE("'",$AQ31,$AR31,":",$AS31)),INDIRECT(CONCATENATE("'",$AQ31,$AR$22,":",$AS$22)),AI$35)</f>
        <v>-16768.140070000001</v>
      </c>
      <c r="AJ31" s="873">
        <f ca="1">+SUMIFS(INDIRECT(CONCATENATE("'",$AQ31,$AR31,":",$AS31)),INDIRECT(CONCATENATE("'",$AQ31,$AR$22,":",$AS$22)),AJ$35)</f>
        <v>-15580.425179999998</v>
      </c>
      <c r="AK31" s="645">
        <f ca="1">+SUM(AG31:AJ31)</f>
        <v>-53564.369419999995</v>
      </c>
      <c r="AL31" s="873">
        <f ca="1">+SUMIFS(INDIRECT(CONCATENATE("'",$AQ31,$AR31,":",$AS31)),INDIRECT(CONCATENATE("'",$AQ31,$AR$22,":",$AS$22)),AL$35)</f>
        <v>-15609.352519999997</v>
      </c>
      <c r="AM31" s="873">
        <f ca="1">+SUMIFS(INDIRECT(CONCATENATE("'",$AQ31,$AR31,":",$AS31)),INDIRECT(CONCATENATE("'",$AQ31,$AR$22,":",$AS$22)),AM$35)</f>
        <v>-21144.194380000001</v>
      </c>
      <c r="AN31" s="873">
        <f ca="1">+SUMIFS(INDIRECT(CONCATENATE("'",$AQ31,$AR31,":",$AS31)),INDIRECT(CONCATENATE("'",$AQ31,$AR$22,":",$AS$22)),AN$35)</f>
        <v>-35933.303370000001</v>
      </c>
      <c r="AO31" s="873">
        <f ca="1">+SUMIFS(INDIRECT(CONCATENATE("'",$AQ31,$AR31,":",$AS31)),INDIRECT(CONCATENATE("'",$AQ31,$AR$22,":",$AS$22)),AO$35)</f>
        <v>-34169.50647</v>
      </c>
      <c r="AP31" s="645">
        <f ca="1">+SUM(AL31:AO31)</f>
        <v>-106856.35673999999</v>
      </c>
      <c r="AQ31" s="268" t="s">
        <v>1085</v>
      </c>
      <c r="AR31" s="268" t="str">
        <f>"$"&amp;ROW(IncS!$B$25)</f>
        <v>$25</v>
      </c>
      <c r="AS31" s="268" t="str">
        <f>"$"&amp;ROW(IncS!$B$25)</f>
        <v>$25</v>
      </c>
      <c r="AT31" s="268" t="s">
        <v>1085</v>
      </c>
      <c r="AU31" s="268" t="s">
        <v>1084</v>
      </c>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row>
    <row r="32" spans="1:79" s="867" customFormat="1" ht="13.5" customHeight="1" x14ac:dyDescent="0.2">
      <c r="A32" s="872"/>
      <c r="B32" s="877" t="s">
        <v>1044</v>
      </c>
      <c r="C32" s="891">
        <f t="shared" ref="C32:S32" ca="1" si="48">+C31/C30</f>
        <v>-0.44086249854529708</v>
      </c>
      <c r="D32" s="891">
        <f t="shared" ca="1" si="48"/>
        <v>0.47679148767267243</v>
      </c>
      <c r="E32" s="891">
        <f t="shared" ca="1" si="48"/>
        <v>-0.36742703379447433</v>
      </c>
      <c r="F32" s="891">
        <f t="shared" ca="1" si="48"/>
        <v>-0.12364356598043626</v>
      </c>
      <c r="G32" s="915">
        <f t="shared" ca="1" si="48"/>
        <v>-0.11686490620652766</v>
      </c>
      <c r="H32" s="891">
        <f t="shared" ca="1" si="48"/>
        <v>-0.30812137201698331</v>
      </c>
      <c r="I32" s="891">
        <f t="shared" ca="1" si="48"/>
        <v>-0.19894659146963448</v>
      </c>
      <c r="J32" s="891">
        <f t="shared" ca="1" si="48"/>
        <v>-0.24197423833999876</v>
      </c>
      <c r="K32" s="891">
        <f t="shared" ca="1" si="48"/>
        <v>-0.2692742548004034</v>
      </c>
      <c r="L32" s="878">
        <f t="shared" ca="1" si="48"/>
        <v>-0.24980725499611223</v>
      </c>
      <c r="M32" s="891">
        <f t="shared" ca="1" si="48"/>
        <v>-0.3030447564469485</v>
      </c>
      <c r="N32" s="891">
        <f t="shared" ca="1" si="48"/>
        <v>-0.2514871773960578</v>
      </c>
      <c r="O32" s="891">
        <f t="shared" ca="1" si="48"/>
        <v>-0.30473810894227654</v>
      </c>
      <c r="P32" s="891">
        <f t="shared" ca="1" si="48"/>
        <v>-0.16794838666284986</v>
      </c>
      <c r="Q32" s="878">
        <f t="shared" ca="1" si="48"/>
        <v>-0.26885351466743995</v>
      </c>
      <c r="R32" s="891">
        <f t="shared" ca="1" si="48"/>
        <v>-0.26211470437184375</v>
      </c>
      <c r="S32" s="891">
        <f t="shared" ca="1" si="48"/>
        <v>-0.51457229633094881</v>
      </c>
      <c r="T32" s="891">
        <f t="shared" ref="T32:Y32" ca="1" si="49">+T31/T30</f>
        <v>-0.28649149094507542</v>
      </c>
      <c r="U32" s="891">
        <f t="shared" ca="1" si="49"/>
        <v>-0.24498924188280527</v>
      </c>
      <c r="V32" s="878">
        <f t="shared" ca="1" si="49"/>
        <v>-0.24258022806036264</v>
      </c>
      <c r="W32" s="891">
        <f t="shared" ca="1" si="49"/>
        <v>-0.28388684001338998</v>
      </c>
      <c r="X32" s="891">
        <f t="shared" ca="1" si="49"/>
        <v>-0.2529820673368427</v>
      </c>
      <c r="Y32" s="891">
        <f t="shared" ca="1" si="49"/>
        <v>0.38823315110794804</v>
      </c>
      <c r="Z32" s="891">
        <f t="shared" ref="Z32:AF32" ca="1" si="50">+Z31/Z30</f>
        <v>-0.25442894311918429</v>
      </c>
      <c r="AA32" s="878">
        <f t="shared" ca="1" si="50"/>
        <v>-0.13346171041719426</v>
      </c>
      <c r="AB32" s="891">
        <f t="shared" ca="1" si="50"/>
        <v>-0.21978333192545643</v>
      </c>
      <c r="AC32" s="891">
        <f t="shared" ca="1" si="50"/>
        <v>-0.20834887271492572</v>
      </c>
      <c r="AD32" s="891">
        <f t="shared" ca="1" si="50"/>
        <v>-0.24815743761938952</v>
      </c>
      <c r="AE32" s="891">
        <f t="shared" ca="1" si="50"/>
        <v>-0.2327768252313738</v>
      </c>
      <c r="AF32" s="878">
        <f t="shared" ca="1" si="50"/>
        <v>-0.23199469263593497</v>
      </c>
      <c r="AG32" s="891">
        <f t="shared" ref="AG32:AM32" ca="1" si="51">+AG31/AG30</f>
        <v>-0.23444609128320834</v>
      </c>
      <c r="AH32" s="891">
        <f t="shared" ca="1" si="51"/>
        <v>-0.20980314332391894</v>
      </c>
      <c r="AI32" s="891">
        <f t="shared" ca="1" si="51"/>
        <v>-0.22944645644083467</v>
      </c>
      <c r="AJ32" s="891">
        <f t="shared" ca="1" si="51"/>
        <v>-0.2339363955790745</v>
      </c>
      <c r="AK32" s="878">
        <f t="shared" ca="1" si="51"/>
        <v>-0.22747183541926919</v>
      </c>
      <c r="AL32" s="891">
        <f t="shared" ca="1" si="51"/>
        <v>-0.29382631769060058</v>
      </c>
      <c r="AM32" s="891">
        <f t="shared" ca="1" si="51"/>
        <v>-0.24975763154707706</v>
      </c>
      <c r="AN32" s="891">
        <f t="shared" ref="AN32:AP32" ca="1" si="52">+AN31/AN30</f>
        <v>-0.29850145038020104</v>
      </c>
      <c r="AO32" s="891">
        <f t="shared" ca="1" si="52"/>
        <v>-0.28640112172189303</v>
      </c>
      <c r="AP32" s="878">
        <f t="shared" ca="1" si="52"/>
        <v>-0.28308664522798338</v>
      </c>
      <c r="AQ32" s="868"/>
      <c r="AR32" s="868"/>
      <c r="AS32" s="868"/>
      <c r="AT32" s="868"/>
      <c r="AU32" s="868"/>
      <c r="AV32" s="868"/>
      <c r="AY32" s="1041"/>
      <c r="AZ32" s="1041"/>
      <c r="BA32" s="868"/>
      <c r="BB32" s="868"/>
      <c r="BC32" s="868"/>
      <c r="BD32" s="868"/>
      <c r="BE32" s="868"/>
      <c r="BF32" s="868"/>
      <c r="BG32" s="868"/>
      <c r="BH32" s="868"/>
      <c r="BI32" s="868"/>
      <c r="BJ32" s="868"/>
      <c r="BK32" s="868"/>
      <c r="BL32" s="868"/>
      <c r="BM32" s="868"/>
      <c r="BN32" s="868"/>
      <c r="BO32" s="868"/>
      <c r="BP32" s="868"/>
      <c r="BQ32" s="868"/>
      <c r="BR32" s="868"/>
      <c r="BS32" s="868"/>
      <c r="BT32" s="868"/>
      <c r="BU32" s="868"/>
      <c r="BV32" s="868"/>
      <c r="BW32" s="868"/>
      <c r="BX32" s="868"/>
      <c r="BY32" s="868"/>
      <c r="BZ32" s="868"/>
      <c r="CA32" s="868"/>
    </row>
    <row r="33" spans="1:79" ht="13.5" customHeight="1" x14ac:dyDescent="0.2">
      <c r="B33" s="889" t="s">
        <v>239</v>
      </c>
      <c r="C33" s="928">
        <f ca="1">+C30+C31</f>
        <v>5452.2332000000579</v>
      </c>
      <c r="D33" s="928">
        <f ca="1">+D30+D31</f>
        <v>24056.729980000036</v>
      </c>
      <c r="E33" s="928">
        <f ca="1">+E30+E31</f>
        <v>15286.860620000047</v>
      </c>
      <c r="F33" s="928">
        <f ca="1">+F30+F31</f>
        <v>58966.291639999952</v>
      </c>
      <c r="G33" s="927">
        <f ca="1">+SUM(C33:F33)</f>
        <v>103762.1154400001</v>
      </c>
      <c r="H33" s="928">
        <f ca="1">+H30+H31</f>
        <v>13996.041430000005</v>
      </c>
      <c r="I33" s="928">
        <f ca="1">+I30+I31</f>
        <v>28185.873939999961</v>
      </c>
      <c r="J33" s="928">
        <f ca="1">+J30+J31</f>
        <v>31106.591149999935</v>
      </c>
      <c r="K33" s="928">
        <f ca="1">+K30+K31</f>
        <v>34961.00191000005</v>
      </c>
      <c r="L33" s="927">
        <f ca="1">+SUM(H33:K33)</f>
        <v>108249.50842999996</v>
      </c>
      <c r="M33" s="928">
        <f ca="1">+M30+M31</f>
        <v>26622.379540000056</v>
      </c>
      <c r="N33" s="928">
        <f ca="1">+N30+N31</f>
        <v>32513.429780000042</v>
      </c>
      <c r="O33" s="928">
        <f ca="1">+O30+O31</f>
        <v>91391.468380000064</v>
      </c>
      <c r="P33" s="928">
        <f ca="1">+P30+P31</f>
        <v>43444.958540000021</v>
      </c>
      <c r="Q33" s="927">
        <f ca="1">+SUM(M33:P33)</f>
        <v>193972.23624000017</v>
      </c>
      <c r="R33" s="928">
        <f ca="1">+R30+R31</f>
        <v>19286.324460000014</v>
      </c>
      <c r="S33" s="928">
        <f ca="1">+S30+S31</f>
        <v>-4362.7110900000225</v>
      </c>
      <c r="T33" s="928">
        <f ca="1">+T30+T31</f>
        <v>29938.685839999966</v>
      </c>
      <c r="U33" s="928">
        <f ca="1">+U30+U31</f>
        <v>28646.496590000032</v>
      </c>
      <c r="V33" s="927">
        <f ca="1">+SUM(R33:U33)</f>
        <v>73508.795799999993</v>
      </c>
      <c r="W33" s="928">
        <f ca="1">+W30+W31</f>
        <v>20158.245349999997</v>
      </c>
      <c r="X33" s="928">
        <f ca="1">+X30+X31</f>
        <v>24155.960851199976</v>
      </c>
      <c r="Y33" s="928">
        <f ca="1">+Y30+Y31</f>
        <v>34192.960199999972</v>
      </c>
      <c r="Z33" s="928">
        <f ca="1">+Z30+Z31</f>
        <v>29278.483019999905</v>
      </c>
      <c r="AA33" s="927">
        <f ca="1">+SUM(W33:Z33)</f>
        <v>107785.64942119984</v>
      </c>
      <c r="AB33" s="928">
        <f ca="1">+AB30+AB31</f>
        <v>18782.709109999934</v>
      </c>
      <c r="AC33" s="928">
        <f ca="1">+AC30+AC31</f>
        <v>30580.699055574954</v>
      </c>
      <c r="AD33" s="928">
        <f ca="1">+AD30+AD31</f>
        <v>53469.003068399958</v>
      </c>
      <c r="AE33" s="928">
        <f ca="1">+AE30+AE31</f>
        <v>56832.361847199951</v>
      </c>
      <c r="AF33" s="927">
        <f ca="1">+SUM(AB33:AE33)</f>
        <v>159664.77308117482</v>
      </c>
      <c r="AG33" s="928">
        <f ca="1">+AG30+AG31</f>
        <v>34722.848997799869</v>
      </c>
      <c r="AH33" s="928">
        <f ca="1">+AH30+AH31</f>
        <v>39856.318640000056</v>
      </c>
      <c r="AI33" s="928">
        <f ca="1">+AI30+AI31</f>
        <v>56312.701229999999</v>
      </c>
      <c r="AJ33" s="928">
        <f ca="1">+AJ30+AJ31</f>
        <v>51020.691510000244</v>
      </c>
      <c r="AK33" s="927">
        <f ca="1">+SUM(AG33:AJ33)</f>
        <v>181912.56037780017</v>
      </c>
      <c r="AL33" s="928">
        <f ca="1">+AL30+AL31</f>
        <v>37515.06683999981</v>
      </c>
      <c r="AM33" s="928">
        <f ca="1">+AM30+AM31</f>
        <v>63514.657680000062</v>
      </c>
      <c r="AN33" s="928">
        <f ca="1">+AN30+AN31</f>
        <v>84445.687500000087</v>
      </c>
      <c r="AO33" s="928">
        <f ca="1">+AO30+AO31</f>
        <v>85136.962249699922</v>
      </c>
      <c r="AP33" s="927">
        <f ca="1">+SUM(AL33:AO33)</f>
        <v>270612.37426969991</v>
      </c>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row>
    <row r="34" spans="1:79" ht="13.5" customHeight="1" x14ac:dyDescent="0.2">
      <c r="A34" s="633"/>
      <c r="B34" s="958"/>
      <c r="C34" s="873"/>
      <c r="D34" s="873"/>
      <c r="E34" s="873"/>
      <c r="F34" s="873"/>
      <c r="G34" s="276"/>
      <c r="H34" s="873"/>
      <c r="I34" s="873"/>
      <c r="J34" s="873"/>
      <c r="K34" s="873"/>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row>
    <row r="35" spans="1:79" ht="13.5" customHeight="1" thickBot="1" x14ac:dyDescent="0.25">
      <c r="A35" s="23"/>
      <c r="B35" s="884" t="s">
        <v>1083</v>
      </c>
      <c r="C35" s="883" t="str">
        <f t="shared" ref="C35:X35" si="53">C5</f>
        <v>1Q17</v>
      </c>
      <c r="D35" s="883" t="str">
        <f t="shared" si="53"/>
        <v>2Q17</v>
      </c>
      <c r="E35" s="883" t="str">
        <f t="shared" si="53"/>
        <v>3Q17</v>
      </c>
      <c r="F35" s="883" t="str">
        <f t="shared" si="53"/>
        <v>4Q17</v>
      </c>
      <c r="G35" s="883" t="str">
        <f t="shared" si="53"/>
        <v>2017</v>
      </c>
      <c r="H35" s="883" t="str">
        <f t="shared" si="53"/>
        <v>1Q18</v>
      </c>
      <c r="I35" s="883" t="str">
        <f t="shared" si="53"/>
        <v>2Q18</v>
      </c>
      <c r="J35" s="883" t="str">
        <f t="shared" si="53"/>
        <v>3Q18</v>
      </c>
      <c r="K35" s="883" t="str">
        <f t="shared" si="53"/>
        <v>4Q18</v>
      </c>
      <c r="L35" s="883" t="str">
        <f t="shared" si="53"/>
        <v>2018</v>
      </c>
      <c r="M35" s="883" t="str">
        <f t="shared" si="53"/>
        <v>1Q19</v>
      </c>
      <c r="N35" s="883" t="str">
        <f t="shared" si="53"/>
        <v>2Q19</v>
      </c>
      <c r="O35" s="883" t="str">
        <f t="shared" si="53"/>
        <v>3Q19</v>
      </c>
      <c r="P35" s="883" t="str">
        <f t="shared" si="53"/>
        <v>4Q19</v>
      </c>
      <c r="Q35" s="883" t="str">
        <f t="shared" si="53"/>
        <v>2019</v>
      </c>
      <c r="R35" s="883" t="str">
        <f t="shared" si="53"/>
        <v>1Q20</v>
      </c>
      <c r="S35" s="883" t="str">
        <f t="shared" si="53"/>
        <v>2Q20</v>
      </c>
      <c r="T35" s="883" t="str">
        <f t="shared" si="53"/>
        <v>3Q20</v>
      </c>
      <c r="U35" s="883" t="str">
        <f t="shared" si="53"/>
        <v>4Q20</v>
      </c>
      <c r="V35" s="883" t="str">
        <f t="shared" si="53"/>
        <v>2020</v>
      </c>
      <c r="W35" s="883" t="str">
        <f t="shared" si="53"/>
        <v>1Q21</v>
      </c>
      <c r="X35" s="883" t="str">
        <f t="shared" si="53"/>
        <v>2Q21</v>
      </c>
      <c r="Y35" s="883" t="str">
        <f t="shared" ref="Y35:AD35" si="54">Y5</f>
        <v>3Q21</v>
      </c>
      <c r="Z35" s="883" t="str">
        <f t="shared" si="54"/>
        <v>4Q21</v>
      </c>
      <c r="AA35" s="883" t="str">
        <f t="shared" si="54"/>
        <v>2021</v>
      </c>
      <c r="AB35" s="883" t="str">
        <f t="shared" si="54"/>
        <v>1Q22</v>
      </c>
      <c r="AC35" s="883" t="str">
        <f t="shared" si="54"/>
        <v>2Q22</v>
      </c>
      <c r="AD35" s="883" t="str">
        <f t="shared" si="54"/>
        <v>3Q22</v>
      </c>
      <c r="AE35" s="883" t="str">
        <f t="shared" ref="AE35:AM35" si="55">AE5</f>
        <v>4Q22</v>
      </c>
      <c r="AF35" s="883" t="str">
        <f t="shared" si="55"/>
        <v>2022</v>
      </c>
      <c r="AG35" s="883" t="str">
        <f t="shared" si="55"/>
        <v>1Q23</v>
      </c>
      <c r="AH35" s="883" t="str">
        <f t="shared" si="55"/>
        <v>2Q23</v>
      </c>
      <c r="AI35" s="883" t="str">
        <f t="shared" si="55"/>
        <v>3Q23</v>
      </c>
      <c r="AJ35" s="883" t="str">
        <f t="shared" si="55"/>
        <v>4Q23</v>
      </c>
      <c r="AK35" s="883" t="str">
        <f t="shared" si="55"/>
        <v>2023</v>
      </c>
      <c r="AL35" s="883" t="str">
        <f t="shared" si="55"/>
        <v>1Q24</v>
      </c>
      <c r="AM35" s="883" t="str">
        <f t="shared" si="55"/>
        <v>2Q24</v>
      </c>
      <c r="AN35" s="883" t="str">
        <f t="shared" ref="AN35:AP35" si="56">AN5</f>
        <v>3Q24</v>
      </c>
      <c r="AO35" s="883" t="str">
        <f t="shared" si="56"/>
        <v>4Q24</v>
      </c>
      <c r="AP35" s="883" t="str">
        <f t="shared" si="56"/>
        <v>2024</v>
      </c>
      <c r="AR35" s="268" t="str">
        <f>"$"&amp;ROW(IncS!$B$5)</f>
        <v>$5</v>
      </c>
      <c r="AS35" s="268" t="str">
        <f>"$"&amp;ROW(IncS!$B$5)</f>
        <v>$5</v>
      </c>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row>
    <row r="36" spans="1:79" ht="13.5" customHeight="1" x14ac:dyDescent="0.2">
      <c r="A36" s="16"/>
      <c r="B36" s="1155" t="s">
        <v>1040</v>
      </c>
      <c r="C36" s="1156" t="s">
        <v>1276</v>
      </c>
      <c r="D36" s="1156" t="s">
        <v>1276</v>
      </c>
      <c r="E36" s="1156" t="s">
        <v>1276</v>
      </c>
      <c r="F36" s="1156" t="s">
        <v>1276</v>
      </c>
      <c r="G36" s="1156" t="s">
        <v>1276</v>
      </c>
      <c r="H36" s="1156" t="s">
        <v>1276</v>
      </c>
      <c r="I36" s="1156" t="s">
        <v>1276</v>
      </c>
      <c r="J36" s="1156" t="s">
        <v>1276</v>
      </c>
      <c r="K36" s="1156" t="s">
        <v>1276</v>
      </c>
      <c r="L36" s="1156" t="s">
        <v>1276</v>
      </c>
      <c r="M36" s="1156" t="s">
        <v>1276</v>
      </c>
      <c r="N36" s="1156" t="s">
        <v>1276</v>
      </c>
      <c r="O36" s="1156" t="s">
        <v>1276</v>
      </c>
      <c r="P36" s="1156" t="s">
        <v>1276</v>
      </c>
      <c r="Q36" s="1156" t="s">
        <v>1276</v>
      </c>
      <c r="R36" s="1156" t="s">
        <v>1276</v>
      </c>
      <c r="S36" s="1156" t="s">
        <v>1276</v>
      </c>
      <c r="T36" s="1156" t="s">
        <v>1276</v>
      </c>
      <c r="U36" s="1156" t="s">
        <v>1276</v>
      </c>
      <c r="V36" s="1156" t="s">
        <v>1276</v>
      </c>
      <c r="W36" s="1156" t="s">
        <v>1276</v>
      </c>
      <c r="X36" s="1156" t="s">
        <v>1276</v>
      </c>
      <c r="Y36" s="1156" t="s">
        <v>1276</v>
      </c>
      <c r="Z36" s="1156" t="s">
        <v>1276</v>
      </c>
      <c r="AA36" s="1156" t="s">
        <v>1276</v>
      </c>
      <c r="AB36" s="1156" t="s">
        <v>1276</v>
      </c>
      <c r="AC36" s="1156" t="s">
        <v>1276</v>
      </c>
      <c r="AD36" s="1156" t="s">
        <v>1276</v>
      </c>
      <c r="AE36" s="1156" t="s">
        <v>1276</v>
      </c>
      <c r="AF36" s="1156" t="s">
        <v>1276</v>
      </c>
      <c r="AG36" s="1156" t="s">
        <v>1276</v>
      </c>
      <c r="AH36" s="1156" t="s">
        <v>1279</v>
      </c>
      <c r="AI36" s="1156" t="s">
        <v>1279</v>
      </c>
      <c r="AJ36" s="1156" t="s">
        <v>1279</v>
      </c>
      <c r="AK36" s="1156" t="s">
        <v>1276</v>
      </c>
      <c r="AL36" s="1156" t="s">
        <v>1276</v>
      </c>
      <c r="AM36" s="1156" t="s">
        <v>1345</v>
      </c>
      <c r="AN36" s="1156" t="s">
        <v>1345</v>
      </c>
      <c r="AO36" s="1156" t="s">
        <v>1345</v>
      </c>
      <c r="AP36" s="1220" t="s">
        <v>1276</v>
      </c>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row>
    <row r="37" spans="1:79" ht="13.5" customHeight="1" x14ac:dyDescent="0.2">
      <c r="B37" s="1157" t="s">
        <v>1278</v>
      </c>
      <c r="C37" s="873">
        <f>+VLOOKUP(C$35,MktData!$B:$E,3,0)</f>
        <v>460582</v>
      </c>
      <c r="D37" s="873">
        <f>+VLOOKUP(D$35,MktData!$B:$E,3,0)</f>
        <v>532511</v>
      </c>
      <c r="E37" s="873">
        <f>+VLOOKUP(E$35,MktData!$B:$E,3,0)</f>
        <v>582986</v>
      </c>
      <c r="F37" s="873">
        <f>+VLOOKUP(F$35,MktData!$B:$E,3,0)</f>
        <v>599907</v>
      </c>
      <c r="G37" s="645">
        <f>+SUM(C37:F37)</f>
        <v>2175986</v>
      </c>
      <c r="H37" s="873">
        <f>+VLOOKUP(H$35,MktData!$B:$E,3,0)</f>
        <v>528244</v>
      </c>
      <c r="I37" s="873">
        <f>+VLOOKUP(I$35,MktData!$B:$E,3,0)</f>
        <v>600898</v>
      </c>
      <c r="J37" s="873">
        <f>+VLOOKUP(J$35,MktData!$B:$E,3,0)</f>
        <v>653805</v>
      </c>
      <c r="K37" s="873">
        <f>+VLOOKUP(K$35,MktData!$B:$E,3,0)</f>
        <v>692391</v>
      </c>
      <c r="L37" s="645">
        <f>+SUM(H37:K37)</f>
        <v>2475338</v>
      </c>
      <c r="M37" s="873">
        <f>+VLOOKUP(M$35,MktData!$B:$E,3,0)</f>
        <v>581456</v>
      </c>
      <c r="N37" s="873">
        <f>+VLOOKUP(N$35,MktData!$B:$E,3,0)</f>
        <v>670317</v>
      </c>
      <c r="O37" s="873">
        <f>+VLOOKUP(O$35,MktData!$B:$E,3,0)</f>
        <v>688397</v>
      </c>
      <c r="P37" s="873">
        <f>+VLOOKUP(P$35,MktData!$B:$E,3,0)</f>
        <v>725413</v>
      </c>
      <c r="Q37" s="645">
        <f>+SUM(M37:P37)</f>
        <v>2665583</v>
      </c>
      <c r="R37" s="873">
        <f>+VLOOKUP(R$35,MktData!$B:$E,3,0)</f>
        <v>534285</v>
      </c>
      <c r="S37" s="873">
        <f>+VLOOKUP(S$35,MktData!$B:$E,3,0)</f>
        <v>230963</v>
      </c>
      <c r="T37" s="873">
        <f>+VLOOKUP(T$35,MktData!$B:$E,3,0)</f>
        <v>536411</v>
      </c>
      <c r="U37" s="873">
        <f>+VLOOKUP(U$35,MktData!$B:$E,3,0)</f>
        <v>653169</v>
      </c>
      <c r="V37" s="645">
        <f>+SUM(R37:U37)</f>
        <v>1954828</v>
      </c>
      <c r="W37" s="873">
        <f>+VLOOKUP(W$35,MktData!$B:$E,3,0)</f>
        <v>498518</v>
      </c>
      <c r="X37" s="873">
        <f>+VLOOKUP(X$35,MktData!$B:$E,3,0)</f>
        <v>509382</v>
      </c>
      <c r="Y37" s="873">
        <f>+VLOOKUP(Y$35,MktData!$B:$E,3,0)</f>
        <v>463358</v>
      </c>
      <c r="Z37" s="873">
        <f>+VLOOKUP(Z$35,MktData!$B:$E,3,0)</f>
        <v>505836</v>
      </c>
      <c r="AA37" s="645">
        <f>+SUM(W37:Z37)</f>
        <v>1977094</v>
      </c>
      <c r="AB37" s="873">
        <f>+VLOOKUP(AB$35,MktData!$B:$E,3,0)</f>
        <v>375494</v>
      </c>
      <c r="AC37" s="873">
        <f>+VLOOKUP(AC$35,MktData!$B:$E,3,0)</f>
        <v>477633</v>
      </c>
      <c r="AD37" s="873">
        <f>+VLOOKUP(AD$35,MktData!$B:$E,3,0)</f>
        <v>544427</v>
      </c>
      <c r="AE37" s="873">
        <f>+VLOOKUP(AE$35,MktData!$B:$E,3,0)</f>
        <v>562908</v>
      </c>
      <c r="AF37" s="645">
        <f>+SUM(AB37:AE37)</f>
        <v>1960462</v>
      </c>
      <c r="AG37" s="873">
        <f>+VLOOKUP(AG$35,MktData!$B:$E,3,0)</f>
        <v>436940</v>
      </c>
      <c r="AH37" s="873">
        <f>+VLOOKUP(AH$35,MktData!$B:$E,3,0)</f>
        <v>497748</v>
      </c>
      <c r="AI37" s="873">
        <f>+VLOOKUP(AI$35,MktData!$B:$E,3,0)</f>
        <v>600154</v>
      </c>
      <c r="AJ37" s="873">
        <f>+VLOOKUP(AJ$35,MktData!$B:$E,3,0)</f>
        <v>645388</v>
      </c>
      <c r="AK37" s="645">
        <f>+SUM(AG37:AJ37)</f>
        <v>2180230</v>
      </c>
      <c r="AL37" s="873">
        <f>+VLOOKUP(AL$35,MktData!$B:$E,3,0)</f>
        <v>483988</v>
      </c>
      <c r="AM37" s="873">
        <f>+VLOOKUP(AM$35,MktData!$B:$E,3,0)</f>
        <v>594358</v>
      </c>
      <c r="AN37" s="873">
        <f>+VLOOKUP(AN$35,MktData!$B:$E,3,0)</f>
        <v>673821</v>
      </c>
      <c r="AO37" s="873">
        <f>+VLOOKUP(AO$35,MktData!$B:$E,3,0)</f>
        <v>735369</v>
      </c>
      <c r="AP37" s="1221">
        <f>+SUM(AL37:AO37)</f>
        <v>2487536</v>
      </c>
      <c r="AQ37" s="1001">
        <v>20</v>
      </c>
      <c r="AR37" s="1001">
        <v>13</v>
      </c>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row>
    <row r="38" spans="1:79" s="867" customFormat="1" ht="13.5" customHeight="1" x14ac:dyDescent="0.2">
      <c r="A38" s="872"/>
      <c r="B38" s="1158" t="s">
        <v>1035</v>
      </c>
      <c r="C38" s="876" t="s">
        <v>47</v>
      </c>
      <c r="D38" s="876" t="s">
        <v>47</v>
      </c>
      <c r="E38" s="876" t="s">
        <v>47</v>
      </c>
      <c r="F38" s="876" t="s">
        <v>47</v>
      </c>
      <c r="G38" s="875" t="s">
        <v>47</v>
      </c>
      <c r="H38" s="876">
        <f>H37/C37-1</f>
        <v>0.14690543703401349</v>
      </c>
      <c r="I38" s="876">
        <f>I37/D37-1</f>
        <v>0.12842363819714531</v>
      </c>
      <c r="J38" s="876">
        <f>J37/E37-1</f>
        <v>0.12147633047791895</v>
      </c>
      <c r="K38" s="876">
        <f>K37/F37-1</f>
        <v>0.15416389540378761</v>
      </c>
      <c r="L38" s="875">
        <f>+L37/G37-1</f>
        <v>0.13757073804702791</v>
      </c>
      <c r="M38" s="876">
        <f>M37/H37-1</f>
        <v>0.10073375182680722</v>
      </c>
      <c r="N38" s="876">
        <f>N37/I37-1</f>
        <v>0.1155254302726918</v>
      </c>
      <c r="O38" s="876">
        <f>O37/J37-1</f>
        <v>5.2908741903166856E-2</v>
      </c>
      <c r="P38" s="876">
        <f>P37/K37-1</f>
        <v>4.7692705422225368E-2</v>
      </c>
      <c r="Q38" s="875">
        <f>+Q37/L37-1</f>
        <v>7.6856170753246689E-2</v>
      </c>
      <c r="R38" s="876">
        <f>R37/M37-1</f>
        <v>-8.1125656971464788E-2</v>
      </c>
      <c r="S38" s="876">
        <f>S37/N37-1</f>
        <v>-0.65544212663560675</v>
      </c>
      <c r="T38" s="876">
        <f>T37/O37-1</f>
        <v>-0.22078248452564431</v>
      </c>
      <c r="U38" s="876">
        <f>U37/P37-1</f>
        <v>-9.9590164499395506E-2</v>
      </c>
      <c r="V38" s="875">
        <f>+V37/Q37-1</f>
        <v>-0.26664148143201694</v>
      </c>
      <c r="W38" s="876">
        <f>W37/R37-1</f>
        <v>-6.6943672384588759E-2</v>
      </c>
      <c r="X38" s="876">
        <f>X37/S37-1</f>
        <v>1.2054701402389125</v>
      </c>
      <c r="Y38" s="876">
        <f>Y37/T37-1</f>
        <v>-0.13618848233910197</v>
      </c>
      <c r="Z38" s="876">
        <f>Z37/U37-1</f>
        <v>-0.22556643073997695</v>
      </c>
      <c r="AA38" s="875">
        <f>+AA37/V37-1</f>
        <v>1.1390260421888732E-2</v>
      </c>
      <c r="AB38" s="876">
        <f>AB37/W37-1</f>
        <v>-0.24677945430255277</v>
      </c>
      <c r="AC38" s="876">
        <f>AC37/X37-1</f>
        <v>-6.2328468614909815E-2</v>
      </c>
      <c r="AD38" s="876">
        <f>AD37/Y37-1</f>
        <v>0.17495975034422617</v>
      </c>
      <c r="AE38" s="876">
        <f>AE37/Z37-1</f>
        <v>0.11282708229544758</v>
      </c>
      <c r="AF38" s="875">
        <f>+AF37/AA37-1</f>
        <v>-8.4123466056748031E-3</v>
      </c>
      <c r="AG38" s="876">
        <f>AG37/AB37-1</f>
        <v>0.16364043100555525</v>
      </c>
      <c r="AH38" s="876">
        <f>AH37/AC37-1</f>
        <v>4.2113924289150839E-2</v>
      </c>
      <c r="AI38" s="876">
        <f>AI37/AD37-1</f>
        <v>0.10235899395143888</v>
      </c>
      <c r="AJ38" s="876">
        <f>AJ37/AE37-1</f>
        <v>0.1465248317664698</v>
      </c>
      <c r="AK38" s="875">
        <f>+AK37/AF37-1</f>
        <v>0.11210010701559114</v>
      </c>
      <c r="AL38" s="876">
        <f>AL37/AG37-1</f>
        <v>0.10767611113654052</v>
      </c>
      <c r="AM38" s="876">
        <f>AM37/AH37-1</f>
        <v>0.19409420027805235</v>
      </c>
      <c r="AN38" s="876">
        <f>AN37/AI37-1</f>
        <v>0.12274682831406603</v>
      </c>
      <c r="AO38" s="876">
        <f>AO37/AJ37-1</f>
        <v>0.13942155726477723</v>
      </c>
      <c r="AP38" s="1222">
        <f>+AP37/AK37-1</f>
        <v>0.14095118404938933</v>
      </c>
      <c r="AQ38" s="1193"/>
      <c r="AR38" s="1193"/>
      <c r="AS38" s="868"/>
      <c r="AT38" s="868"/>
      <c r="AU38" s="868"/>
      <c r="AV38" s="868"/>
      <c r="AY38" s="1041"/>
      <c r="AZ38" s="1041"/>
      <c r="BA38" s="868"/>
      <c r="BB38" s="868"/>
      <c r="BC38" s="868"/>
      <c r="BD38" s="868"/>
      <c r="BE38" s="868"/>
      <c r="BF38" s="868"/>
      <c r="BG38" s="868"/>
      <c r="BH38" s="868"/>
      <c r="BI38" s="868"/>
      <c r="BJ38" s="868"/>
      <c r="BK38" s="868"/>
      <c r="BL38" s="868"/>
      <c r="BM38" s="868"/>
      <c r="BN38" s="868"/>
      <c r="BO38" s="868"/>
      <c r="BP38" s="868"/>
      <c r="BQ38" s="868"/>
      <c r="BR38" s="868"/>
      <c r="BS38" s="868"/>
      <c r="BT38" s="868"/>
      <c r="BU38" s="868"/>
      <c r="BV38" s="868"/>
      <c r="BW38" s="868"/>
      <c r="BX38" s="868"/>
      <c r="BY38" s="868"/>
      <c r="BZ38" s="868"/>
      <c r="CA38" s="868"/>
    </row>
    <row r="39" spans="1:79" ht="13.5" customHeight="1" x14ac:dyDescent="0.2">
      <c r="B39" s="1157" t="s">
        <v>1277</v>
      </c>
      <c r="C39" s="873">
        <f>+VLOOKUP(C$35,MktData!$B:$E,4,0)</f>
        <v>165503</v>
      </c>
      <c r="D39" s="873">
        <f>+VLOOKUP(D$35,MktData!$B:$E,4,0)</f>
        <v>190626</v>
      </c>
      <c r="E39" s="873">
        <f>+VLOOKUP(E$35,MktData!$B:$E,4,0)</f>
        <v>181907</v>
      </c>
      <c r="F39" s="873">
        <f>+VLOOKUP(F$35,MktData!$B:$E,4,0)</f>
        <v>186572</v>
      </c>
      <c r="G39" s="645">
        <f>+SUM(C39:F39)</f>
        <v>724608</v>
      </c>
      <c r="H39" s="873">
        <f>+VLOOKUP(H$35,MktData!$B:$E,4,0)</f>
        <v>170403</v>
      </c>
      <c r="I39" s="873">
        <f>+VLOOKUP(I$35,MktData!$B:$E,4,0)</f>
        <v>189533</v>
      </c>
      <c r="J39" s="873">
        <f>+VLOOKUP(J$35,MktData!$B:$E,4,0)</f>
        <v>137425</v>
      </c>
      <c r="K39" s="873">
        <f>+VLOOKUP(K$35,MktData!$B:$E,4,0)</f>
        <v>98071</v>
      </c>
      <c r="L39" s="645">
        <f>+SUM(H39:K39)</f>
        <v>595432</v>
      </c>
      <c r="M39" s="873">
        <f>+VLOOKUP(M$35,MktData!$B:$E,4,0)</f>
        <v>99963</v>
      </c>
      <c r="N39" s="873">
        <f>+VLOOKUP(N$35,MktData!$B:$E,4,0)</f>
        <v>112276</v>
      </c>
      <c r="O39" s="873">
        <f>+VLOOKUP(O$35,MktData!$B:$E,4,0)</f>
        <v>110203</v>
      </c>
      <c r="P39" s="873">
        <f>+VLOOKUP(P$35,MktData!$B:$E,4,0)</f>
        <v>85068</v>
      </c>
      <c r="Q39" s="645">
        <f>+SUM(M39:P39)</f>
        <v>407510</v>
      </c>
      <c r="R39" s="873">
        <f>+VLOOKUP(R$35,MktData!$B:$E,4,0)</f>
        <v>85230</v>
      </c>
      <c r="S39" s="873">
        <f>+VLOOKUP(S$35,MktData!$B:$E,4,0)</f>
        <v>27739</v>
      </c>
      <c r="T39" s="873">
        <f>+VLOOKUP(T$35,MktData!$B:$E,4,0)</f>
        <v>82550</v>
      </c>
      <c r="U39" s="873">
        <f>+VLOOKUP(U$35,MktData!$B:$E,4,0)</f>
        <v>111449</v>
      </c>
      <c r="V39" s="645">
        <f>+SUM(R39:U39)</f>
        <v>306968</v>
      </c>
      <c r="W39" s="873">
        <f>+VLOOKUP(W$35,MktData!$B:$E,4,0)</f>
        <v>89635</v>
      </c>
      <c r="X39" s="873">
        <f>+VLOOKUP(X$35,MktData!$B:$E,4,0)</f>
        <v>97877</v>
      </c>
      <c r="Y39" s="873">
        <f>+VLOOKUP(Y$35,MktData!$B:$E,4,0)</f>
        <v>69959</v>
      </c>
      <c r="Z39" s="873">
        <f>+VLOOKUP(Z$35,MktData!$B:$E,4,0)</f>
        <v>91978</v>
      </c>
      <c r="AA39" s="645">
        <f>+SUM(W39:Z39)</f>
        <v>349449</v>
      </c>
      <c r="AB39" s="873">
        <f>+VLOOKUP(AB$35,MktData!$B:$E,4,0)</f>
        <v>102400</v>
      </c>
      <c r="AC39" s="873">
        <f>+VLOOKUP(AC$35,MktData!$B:$E,4,0)</f>
        <v>130576</v>
      </c>
      <c r="AD39" s="873">
        <f>+VLOOKUP(AD$35,MktData!$B:$E,4,0)</f>
        <v>108589</v>
      </c>
      <c r="AE39" s="873">
        <f>+VLOOKUP(AE$35,MktData!$B:$E,4,0)</f>
        <v>108714</v>
      </c>
      <c r="AF39" s="645">
        <f>+SUM(AB39:AE39)</f>
        <v>450279</v>
      </c>
      <c r="AG39" s="873">
        <f>+VLOOKUP(AG$35,MktData!$B:$E,4,0)</f>
        <v>108887</v>
      </c>
      <c r="AH39" s="873">
        <f>+VLOOKUP(AH$35,MktData!$B:$E,4,0)</f>
        <v>111154</v>
      </c>
      <c r="AI39" s="873">
        <f>+VLOOKUP(AI$35,MktData!$B:$E,4,0)</f>
        <v>86653</v>
      </c>
      <c r="AJ39" s="873">
        <f>+VLOOKUP(AJ$35,MktData!$B:$E,4,0)</f>
        <v>75542</v>
      </c>
      <c r="AK39" s="645">
        <f>+SUM(AG39:AJ39)</f>
        <v>382236</v>
      </c>
      <c r="AL39" s="873">
        <f>+VLOOKUP(AL$35,MktData!$B:$E,4,0)</f>
        <v>78052</v>
      </c>
      <c r="AM39" s="873">
        <f>+VLOOKUP(AM$35,MktData!$B:$E,4,0)</f>
        <v>78065</v>
      </c>
      <c r="AN39" s="873">
        <f>+VLOOKUP(AN$35,MktData!$B:$E,4,0)</f>
        <v>113151</v>
      </c>
      <c r="AO39" s="873">
        <f>+VLOOKUP(AO$35,MktData!$B:$E,4,0)</f>
        <v>106504</v>
      </c>
      <c r="AP39" s="1221">
        <f>+SUM(AL39:AO39)</f>
        <v>375772</v>
      </c>
      <c r="AQ39" s="1001">
        <v>21</v>
      </c>
      <c r="AR39" s="1001">
        <v>14</v>
      </c>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row>
    <row r="40" spans="1:79" s="867" customFormat="1" ht="13.5" customHeight="1" x14ac:dyDescent="0.2">
      <c r="A40" s="872"/>
      <c r="B40" s="1158" t="s">
        <v>1035</v>
      </c>
      <c r="C40" s="876" t="s">
        <v>47</v>
      </c>
      <c r="D40" s="876" t="s">
        <v>47</v>
      </c>
      <c r="E40" s="876" t="s">
        <v>47</v>
      </c>
      <c r="F40" s="876" t="s">
        <v>47</v>
      </c>
      <c r="G40" s="875" t="s">
        <v>47</v>
      </c>
      <c r="H40" s="876">
        <f>H39/C39-1</f>
        <v>2.9606714077690333E-2</v>
      </c>
      <c r="I40" s="876">
        <f>I39/D39-1</f>
        <v>-5.7337404131651004E-3</v>
      </c>
      <c r="J40" s="876">
        <f>J39/E39-1</f>
        <v>-0.24453154633961305</v>
      </c>
      <c r="K40" s="876">
        <f>K39/F39-1</f>
        <v>-0.47435306476856121</v>
      </c>
      <c r="L40" s="875">
        <f>+L39/G39-1</f>
        <v>-0.17827018194665256</v>
      </c>
      <c r="M40" s="876">
        <f>M39/H39-1</f>
        <v>-0.41337300399640853</v>
      </c>
      <c r="N40" s="876">
        <f>N39/I39-1</f>
        <v>-0.40761767080139077</v>
      </c>
      <c r="O40" s="876">
        <f>O39/J39-1</f>
        <v>-0.19808622885210114</v>
      </c>
      <c r="P40" s="876">
        <f>P39/K39-1</f>
        <v>-0.13258761509518613</v>
      </c>
      <c r="Q40" s="875">
        <f>+Q39/L39-1</f>
        <v>-0.31560614814118149</v>
      </c>
      <c r="R40" s="876">
        <f>R39/M39-1</f>
        <v>-0.14738453227694248</v>
      </c>
      <c r="S40" s="876">
        <f>S39/N39-1</f>
        <v>-0.75293918557839612</v>
      </c>
      <c r="T40" s="876">
        <f>T39/O39-1</f>
        <v>-0.25092783318058487</v>
      </c>
      <c r="U40" s="876">
        <f>U39/P39-1</f>
        <v>0.31011661259227918</v>
      </c>
      <c r="V40" s="875">
        <f>+V39/Q39-1</f>
        <v>-0.24672277980908441</v>
      </c>
      <c r="W40" s="876">
        <f>W39/R39-1</f>
        <v>5.1683679455590825E-2</v>
      </c>
      <c r="X40" s="876">
        <f>X39/S39-1</f>
        <v>2.5284977829049353</v>
      </c>
      <c r="Y40" s="876">
        <f>Y39/T39-1</f>
        <v>-0.15252574197456092</v>
      </c>
      <c r="Z40" s="876">
        <f>Z39/U39-1</f>
        <v>-0.17470771384220585</v>
      </c>
      <c r="AA40" s="875">
        <f>+AA39/V39-1</f>
        <v>0.13838901774777823</v>
      </c>
      <c r="AB40" s="876">
        <f>AB39/W39-1</f>
        <v>0.14241088860378204</v>
      </c>
      <c r="AC40" s="876">
        <f>AC39/X39-1</f>
        <v>0.33408257302532762</v>
      </c>
      <c r="AD40" s="876">
        <f>AD39/Y39-1</f>
        <v>0.55218056290112782</v>
      </c>
      <c r="AE40" s="876">
        <f>AE39/Z39-1</f>
        <v>0.18195655482832862</v>
      </c>
      <c r="AF40" s="875">
        <f>+AF39/AA39-1</f>
        <v>0.28853995862057125</v>
      </c>
      <c r="AG40" s="876">
        <f>AG39/AB39-1</f>
        <v>6.3349609374999893E-2</v>
      </c>
      <c r="AH40" s="876">
        <f>AH39/AC39-1</f>
        <v>-0.14874096311726503</v>
      </c>
      <c r="AI40" s="876">
        <f>AI39/AD39-1</f>
        <v>-0.20200941163469599</v>
      </c>
      <c r="AJ40" s="876">
        <f>AJ39/AE39-1</f>
        <v>-0.30513089390510884</v>
      </c>
      <c r="AK40" s="875">
        <f>+AK39/AF39-1</f>
        <v>-0.15111297662116152</v>
      </c>
      <c r="AL40" s="876">
        <f>AL39/AG39-1</f>
        <v>-0.28318348379512703</v>
      </c>
      <c r="AM40" s="876">
        <f>AM39/AH39-1</f>
        <v>-0.29768609316803718</v>
      </c>
      <c r="AN40" s="876">
        <f>AN39/AI39-1</f>
        <v>0.30579437526686903</v>
      </c>
      <c r="AO40" s="876">
        <f>AO39/AJ39-1</f>
        <v>0.40986471102168331</v>
      </c>
      <c r="AP40" s="1222">
        <f>+AP39/AK39-1</f>
        <v>-1.6911018323758076E-2</v>
      </c>
      <c r="AQ40" s="1193"/>
      <c r="AR40" s="1193"/>
      <c r="AS40" s="868"/>
      <c r="AT40" s="868"/>
      <c r="AU40" s="868"/>
      <c r="AV40" s="868"/>
      <c r="AY40" s="1041"/>
      <c r="AZ40" s="1041"/>
      <c r="BA40" s="868"/>
      <c r="BB40" s="868"/>
      <c r="BC40" s="868"/>
      <c r="BD40" s="868"/>
      <c r="BE40" s="868"/>
      <c r="BF40" s="868"/>
      <c r="BG40" s="868"/>
      <c r="BH40" s="868"/>
      <c r="BI40" s="868"/>
      <c r="BJ40" s="868"/>
      <c r="BK40" s="868"/>
      <c r="BL40" s="868"/>
      <c r="BM40" s="868"/>
      <c r="BN40" s="868"/>
      <c r="BO40" s="868"/>
      <c r="BP40" s="868"/>
      <c r="BQ40" s="868"/>
      <c r="BR40" s="868"/>
      <c r="BS40" s="868"/>
      <c r="BT40" s="868"/>
      <c r="BU40" s="868"/>
      <c r="BV40" s="868"/>
      <c r="BW40" s="868"/>
      <c r="BX40" s="868"/>
      <c r="BY40" s="868"/>
      <c r="BZ40" s="868"/>
      <c r="CA40" s="868"/>
    </row>
    <row r="41" spans="1:79" ht="13.5" customHeight="1" thickBot="1" x14ac:dyDescent="0.25">
      <c r="A41" s="24"/>
      <c r="B41" s="1159" t="s">
        <v>1091</v>
      </c>
      <c r="C41" s="1160">
        <f>+C39+C37</f>
        <v>626085</v>
      </c>
      <c r="D41" s="1160">
        <f>+D39+D37</f>
        <v>723137</v>
      </c>
      <c r="E41" s="1160">
        <f>+E39+E37</f>
        <v>764893</v>
      </c>
      <c r="F41" s="1160">
        <f>+F39+F37</f>
        <v>786479</v>
      </c>
      <c r="G41" s="1161">
        <f>+SUM(C41:F41)</f>
        <v>2900594</v>
      </c>
      <c r="H41" s="1160">
        <f>+H39+H37</f>
        <v>698647</v>
      </c>
      <c r="I41" s="1160">
        <f>+I39+I37</f>
        <v>790431</v>
      </c>
      <c r="J41" s="1160">
        <f>+J39+J37</f>
        <v>791230</v>
      </c>
      <c r="K41" s="1160">
        <f>+K39+K37</f>
        <v>790462</v>
      </c>
      <c r="L41" s="1161">
        <f>+SUM(H41:K41)</f>
        <v>3070770</v>
      </c>
      <c r="M41" s="1160">
        <f>+M39+M37</f>
        <v>681419</v>
      </c>
      <c r="N41" s="1160">
        <f>+N39+N37</f>
        <v>782593</v>
      </c>
      <c r="O41" s="1160">
        <f>+O39+O37</f>
        <v>798600</v>
      </c>
      <c r="P41" s="1160">
        <f>+P39+P37</f>
        <v>810481</v>
      </c>
      <c r="Q41" s="1161">
        <f>+SUM(M41:P41)</f>
        <v>3073093</v>
      </c>
      <c r="R41" s="1160">
        <f>+R39+R37</f>
        <v>619515</v>
      </c>
      <c r="S41" s="1160">
        <f>+S39+S37</f>
        <v>258702</v>
      </c>
      <c r="T41" s="1160">
        <f>+T39+T37</f>
        <v>618961</v>
      </c>
      <c r="U41" s="1160">
        <f>+U39+U37</f>
        <v>764618</v>
      </c>
      <c r="V41" s="1161">
        <f>+SUM(R41:U41)</f>
        <v>2261796</v>
      </c>
      <c r="W41" s="1160">
        <f>+W39+W37</f>
        <v>588153</v>
      </c>
      <c r="X41" s="1160">
        <f>+X39+X37</f>
        <v>607259</v>
      </c>
      <c r="Y41" s="1160">
        <f>+Y39+Y37</f>
        <v>533317</v>
      </c>
      <c r="Z41" s="1160">
        <f>+Z39+Z37</f>
        <v>597814</v>
      </c>
      <c r="AA41" s="1161">
        <f>+SUM(W41:Z41)</f>
        <v>2326543</v>
      </c>
      <c r="AB41" s="1160">
        <f>+AB39+AB37</f>
        <v>477894</v>
      </c>
      <c r="AC41" s="1160">
        <f>+AC39+AC37</f>
        <v>608209</v>
      </c>
      <c r="AD41" s="1160">
        <f>+AD39+AD37</f>
        <v>653016</v>
      </c>
      <c r="AE41" s="1160">
        <f>+AE39+AE37</f>
        <v>671622</v>
      </c>
      <c r="AF41" s="1161">
        <f>+SUM(AB41:AE41)</f>
        <v>2410741</v>
      </c>
      <c r="AG41" s="1160">
        <f>+AG39+AG37</f>
        <v>545827</v>
      </c>
      <c r="AH41" s="1160">
        <f>+AH39+AH37</f>
        <v>608902</v>
      </c>
      <c r="AI41" s="1160">
        <f>+AI39+AI37</f>
        <v>686807</v>
      </c>
      <c r="AJ41" s="1160">
        <f>+AJ39+AJ37</f>
        <v>720930</v>
      </c>
      <c r="AK41" s="1161">
        <f>+SUM(AG41:AJ41)</f>
        <v>2562466</v>
      </c>
      <c r="AL41" s="1160">
        <f>+AL39+AL37</f>
        <v>562040</v>
      </c>
      <c r="AM41" s="1160">
        <f>+AM39+AM37</f>
        <v>672423</v>
      </c>
      <c r="AN41" s="1160">
        <f>+AN39+AN37</f>
        <v>786972</v>
      </c>
      <c r="AO41" s="1160">
        <f>+AO39+AO37</f>
        <v>841873</v>
      </c>
      <c r="AP41" s="1223">
        <f>+SUM(AL41:AO41)</f>
        <v>2863308</v>
      </c>
      <c r="AQ41" s="1210"/>
      <c r="AR41" s="1001">
        <v>22</v>
      </c>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row>
    <row r="42" spans="1:79" s="901" customFormat="1" ht="13.5" customHeight="1" x14ac:dyDescent="0.2">
      <c r="A42" s="24"/>
      <c r="B42" s="926" t="s">
        <v>1082</v>
      </c>
      <c r="C42" s="881">
        <f>SUM(C45,C48)</f>
        <v>164393</v>
      </c>
      <c r="D42" s="881">
        <f>SUM(D45,D48)</f>
        <v>183183</v>
      </c>
      <c r="E42" s="881">
        <f>SUM(E45,E48)</f>
        <v>195353</v>
      </c>
      <c r="F42" s="881">
        <f>SUM(F45,F48)</f>
        <v>211414</v>
      </c>
      <c r="G42" s="646">
        <f>+SUM(C42:F42)</f>
        <v>754343</v>
      </c>
      <c r="H42" s="881">
        <f>+H45+H48</f>
        <v>177211</v>
      </c>
      <c r="I42" s="881">
        <f>+I45+I48</f>
        <v>193885</v>
      </c>
      <c r="J42" s="881">
        <f>+J45+J48</f>
        <v>206690</v>
      </c>
      <c r="K42" s="881">
        <f>+K45+K48</f>
        <v>203627</v>
      </c>
      <c r="L42" s="646">
        <f>+SUM(H42:K42)</f>
        <v>781413</v>
      </c>
      <c r="M42" s="881">
        <f>+M45+M48</f>
        <v>179325</v>
      </c>
      <c r="N42" s="881">
        <f>+N45+N48</f>
        <v>208179</v>
      </c>
      <c r="O42" s="881">
        <f>+O45+O48</f>
        <v>204497</v>
      </c>
      <c r="P42" s="881">
        <f>+P45+P48</f>
        <v>229266</v>
      </c>
      <c r="Q42" s="646">
        <f>+SUM(M42:P42)</f>
        <v>821267</v>
      </c>
      <c r="R42" s="881">
        <f>+R45+R48</f>
        <v>156694</v>
      </c>
      <c r="S42" s="881">
        <f>+S45+S48</f>
        <v>56642</v>
      </c>
      <c r="T42" s="881">
        <f>+T45+T48</f>
        <v>161762</v>
      </c>
      <c r="U42" s="881">
        <f>+U45+U48</f>
        <v>185760</v>
      </c>
      <c r="V42" s="646">
        <f>+SUM(R42:U42)</f>
        <v>560858</v>
      </c>
      <c r="W42" s="881">
        <f>+W45+W48</f>
        <v>137310</v>
      </c>
      <c r="X42" s="881">
        <f>+X45+X48</f>
        <v>127793</v>
      </c>
      <c r="Y42" s="881">
        <f>+Y45+Y48</f>
        <v>113879</v>
      </c>
      <c r="Z42" s="881">
        <f>+Z45+Z48</f>
        <v>148403</v>
      </c>
      <c r="AA42" s="646">
        <f>+SUM(W42:Z42)</f>
        <v>527385</v>
      </c>
      <c r="AB42" s="881">
        <f>+AB45+AB48</f>
        <v>116692</v>
      </c>
      <c r="AC42" s="881">
        <f>+AC45+AC48</f>
        <v>137691</v>
      </c>
      <c r="AD42" s="881">
        <f>+AD45+AD48</f>
        <v>166066</v>
      </c>
      <c r="AE42" s="881">
        <f>+AE45+AE48</f>
        <v>164900</v>
      </c>
      <c r="AF42" s="646">
        <f>+SUM(AB42:AE42)</f>
        <v>585349</v>
      </c>
      <c r="AG42" s="881">
        <f>+AG45+AG48</f>
        <v>137811</v>
      </c>
      <c r="AH42" s="881">
        <f>+AH45+AH48</f>
        <v>157020</v>
      </c>
      <c r="AI42" s="881">
        <f>+AI45+AI48</f>
        <v>169720</v>
      </c>
      <c r="AJ42" s="881">
        <f>+AJ45+AJ48</f>
        <v>175304</v>
      </c>
      <c r="AK42" s="646">
        <f>+SUM(AG42:AJ42)</f>
        <v>639855</v>
      </c>
      <c r="AL42" s="881">
        <f>+AL45+AL48</f>
        <v>140292</v>
      </c>
      <c r="AM42" s="881">
        <f>+AM45+AM48</f>
        <v>167078</v>
      </c>
      <c r="AN42" s="881">
        <f>+AN45+AN48</f>
        <v>202844</v>
      </c>
      <c r="AO42" s="881">
        <f>+AO45+AO48</f>
        <v>201637</v>
      </c>
      <c r="AP42" s="646">
        <f>+SUM(AL42:AO42)</f>
        <v>711851</v>
      </c>
      <c r="AQ42" s="902">
        <f>+SUM(AN42,AM42,AL42,AJ42)</f>
        <v>685518</v>
      </c>
      <c r="AR42" s="902"/>
      <c r="AS42" s="902"/>
      <c r="AT42" s="902"/>
      <c r="AU42" s="902"/>
      <c r="AV42" s="902"/>
      <c r="AY42" s="1043"/>
      <c r="AZ42" s="1043"/>
      <c r="BA42" s="902"/>
      <c r="BB42" s="902"/>
      <c r="BC42" s="902"/>
      <c r="BD42" s="902"/>
      <c r="BE42" s="902"/>
      <c r="BF42" s="902"/>
      <c r="BG42" s="902"/>
      <c r="BH42" s="902"/>
      <c r="BI42" s="902"/>
      <c r="BJ42" s="902"/>
      <c r="BK42" s="902"/>
      <c r="BL42" s="902"/>
      <c r="BM42" s="902"/>
      <c r="BN42" s="902"/>
      <c r="BO42" s="902"/>
      <c r="BP42" s="902"/>
      <c r="BQ42" s="902"/>
      <c r="BR42" s="902"/>
      <c r="BS42" s="902"/>
      <c r="BT42" s="902"/>
      <c r="BU42" s="902"/>
      <c r="BV42" s="902"/>
      <c r="BW42" s="902"/>
      <c r="BX42" s="902"/>
      <c r="BY42" s="902"/>
      <c r="BZ42" s="902"/>
      <c r="CA42" s="902"/>
    </row>
    <row r="43" spans="1:79" s="867" customFormat="1" ht="13.5" customHeight="1" x14ac:dyDescent="0.2">
      <c r="A43" s="872"/>
      <c r="B43" s="877" t="s">
        <v>1035</v>
      </c>
      <c r="C43" s="876" t="s">
        <v>47</v>
      </c>
      <c r="D43" s="876" t="s">
        <v>47</v>
      </c>
      <c r="E43" s="876" t="s">
        <v>47</v>
      </c>
      <c r="F43" s="876" t="s">
        <v>47</v>
      </c>
      <c r="G43" s="875" t="s">
        <v>47</v>
      </c>
      <c r="H43" s="876">
        <f>H42/C42-1</f>
        <v>7.7971689792144527E-2</v>
      </c>
      <c r="I43" s="876">
        <f>I42/D42-1</f>
        <v>5.8422451865074887E-2</v>
      </c>
      <c r="J43" s="876">
        <f>J42/E42-1</f>
        <v>5.8033406192891768E-2</v>
      </c>
      <c r="K43" s="876">
        <f>K42/F42-1</f>
        <v>-3.6832943892079029E-2</v>
      </c>
      <c r="L43" s="875">
        <f>+L42/G42-1</f>
        <v>3.588553217833268E-2</v>
      </c>
      <c r="M43" s="876">
        <f>M42/H42-1</f>
        <v>1.192928204231114E-2</v>
      </c>
      <c r="N43" s="876">
        <f>N42/I42-1</f>
        <v>7.3724114810325814E-2</v>
      </c>
      <c r="O43" s="876">
        <f>O42/J42-1</f>
        <v>-1.0610092408921523E-2</v>
      </c>
      <c r="P43" s="876">
        <f>P42/K42-1</f>
        <v>0.12591159325629708</v>
      </c>
      <c r="Q43" s="875">
        <f>+Q42/L42-1</f>
        <v>5.1002478842814281E-2</v>
      </c>
      <c r="R43" s="876">
        <f>R42/M42-1</f>
        <v>-0.12620103164645202</v>
      </c>
      <c r="S43" s="876">
        <f>S42/N42-1</f>
        <v>-0.72791684079566144</v>
      </c>
      <c r="T43" s="876">
        <f>T42/O42-1</f>
        <v>-0.20897617079957165</v>
      </c>
      <c r="U43" s="876">
        <f>U42/P42-1</f>
        <v>-0.18976211038706137</v>
      </c>
      <c r="V43" s="875">
        <f>+V42/Q42-1</f>
        <v>-0.31708202082879255</v>
      </c>
      <c r="W43" s="876">
        <f>W42/R42-1</f>
        <v>-0.12370607681213064</v>
      </c>
      <c r="X43" s="876">
        <f>X42/S42-1</f>
        <v>1.2561526782246388</v>
      </c>
      <c r="Y43" s="876">
        <f>Y42/T42-1</f>
        <v>-0.2960089514224602</v>
      </c>
      <c r="Z43" s="876">
        <f>Z42/U42-1</f>
        <v>-0.20110357450473726</v>
      </c>
      <c r="AA43" s="875">
        <f>+AA42/V42-1</f>
        <v>-5.9681773283077E-2</v>
      </c>
      <c r="AB43" s="876">
        <f>AB42/W42-1</f>
        <v>-0.1501565800014566</v>
      </c>
      <c r="AC43" s="876">
        <f>AC42/X42-1</f>
        <v>7.7453381640621988E-2</v>
      </c>
      <c r="AD43" s="876">
        <f>AD42/Y42-1</f>
        <v>0.45826710807084714</v>
      </c>
      <c r="AE43" s="876">
        <f>AE42/Z42-1</f>
        <v>0.11116352095308035</v>
      </c>
      <c r="AF43" s="875">
        <f>+AF42/AA42-1</f>
        <v>0.10990832124538996</v>
      </c>
      <c r="AG43" s="876">
        <f>AG42/AB42-1</f>
        <v>0.18098070133342481</v>
      </c>
      <c r="AH43" s="876">
        <f>AH42/AC42-1</f>
        <v>0.14037954550406351</v>
      </c>
      <c r="AI43" s="876">
        <f>AI42/AD42-1</f>
        <v>2.2003299892813688E-2</v>
      </c>
      <c r="AJ43" s="876">
        <f>AJ42/AE42-1</f>
        <v>6.3092783505154681E-2</v>
      </c>
      <c r="AK43" s="875">
        <f>+AK42/AF42-1</f>
        <v>9.3117097663103499E-2</v>
      </c>
      <c r="AL43" s="876">
        <f>AL42/AG42-1</f>
        <v>1.8002917038552724E-2</v>
      </c>
      <c r="AM43" s="876">
        <f>AM42/AH42-1</f>
        <v>6.4055534326837416E-2</v>
      </c>
      <c r="AN43" s="876">
        <f>AN42/AI42-1</f>
        <v>0.19516851284468539</v>
      </c>
      <c r="AO43" s="876">
        <f>AO42/AJ42-1</f>
        <v>0.15021334367726924</v>
      </c>
      <c r="AP43" s="875">
        <f>+AP42/AK42-1</f>
        <v>0.11251924264091073</v>
      </c>
      <c r="AQ43" s="868"/>
      <c r="AR43" s="868"/>
      <c r="AS43" s="868"/>
      <c r="AT43" s="868"/>
      <c r="AU43" s="868"/>
      <c r="AV43" s="868"/>
      <c r="AY43" s="1041"/>
      <c r="AZ43" s="1041"/>
      <c r="BA43" s="868"/>
      <c r="BB43" s="868"/>
      <c r="BC43" s="868"/>
      <c r="BD43" s="868"/>
      <c r="BE43" s="868"/>
      <c r="BF43" s="868"/>
      <c r="BG43" s="868"/>
      <c r="BH43" s="868"/>
      <c r="BI43" s="868"/>
      <c r="BJ43" s="868"/>
      <c r="BK43" s="868"/>
      <c r="BL43" s="868"/>
      <c r="BM43" s="868"/>
      <c r="BN43" s="868"/>
      <c r="BO43" s="868"/>
      <c r="BP43" s="868"/>
      <c r="BQ43" s="868"/>
      <c r="BR43" s="868"/>
      <c r="BS43" s="868"/>
      <c r="BT43" s="868"/>
      <c r="BU43" s="868"/>
      <c r="BV43" s="868"/>
      <c r="BW43" s="868"/>
      <c r="BX43" s="868"/>
      <c r="BY43" s="868"/>
      <c r="BZ43" s="868"/>
      <c r="CA43" s="868"/>
    </row>
    <row r="44" spans="1:79" s="867" customFormat="1" ht="13.5" customHeight="1" x14ac:dyDescent="0.2">
      <c r="A44" s="872"/>
      <c r="B44" s="877" t="s">
        <v>1037</v>
      </c>
      <c r="C44" s="879">
        <f t="shared" ref="C44:AI44" si="57">+C42/C41</f>
        <v>0.26257297331831941</v>
      </c>
      <c r="D44" s="879">
        <f t="shared" si="57"/>
        <v>0.25331714460745336</v>
      </c>
      <c r="E44" s="879">
        <f t="shared" si="57"/>
        <v>0.25539912118427022</v>
      </c>
      <c r="F44" s="879">
        <f t="shared" si="57"/>
        <v>0.26881073747677942</v>
      </c>
      <c r="G44" s="878">
        <f t="shared" si="57"/>
        <v>0.26006500737435162</v>
      </c>
      <c r="H44" s="879">
        <f t="shared" si="57"/>
        <v>0.25364883839764574</v>
      </c>
      <c r="I44" s="879">
        <f t="shared" si="57"/>
        <v>0.24529022773651338</v>
      </c>
      <c r="J44" s="879">
        <f t="shared" si="57"/>
        <v>0.26122619213123871</v>
      </c>
      <c r="K44" s="879">
        <f t="shared" si="57"/>
        <v>0.25760504616287688</v>
      </c>
      <c r="L44" s="878">
        <f t="shared" si="57"/>
        <v>0.25446809757813188</v>
      </c>
      <c r="M44" s="879">
        <f t="shared" si="57"/>
        <v>0.26316407379307005</v>
      </c>
      <c r="N44" s="879">
        <f t="shared" si="57"/>
        <v>0.26601183501513559</v>
      </c>
      <c r="O44" s="879">
        <f t="shared" si="57"/>
        <v>0.2560693713999499</v>
      </c>
      <c r="P44" s="879">
        <f t="shared" si="57"/>
        <v>0.28287646471663125</v>
      </c>
      <c r="Q44" s="878">
        <f t="shared" si="57"/>
        <v>0.26724443419056959</v>
      </c>
      <c r="R44" s="879">
        <f t="shared" si="57"/>
        <v>0.25293011468648863</v>
      </c>
      <c r="S44" s="879">
        <f t="shared" si="57"/>
        <v>0.21894689642909604</v>
      </c>
      <c r="T44" s="879">
        <f t="shared" si="57"/>
        <v>0.26134441426842725</v>
      </c>
      <c r="U44" s="879">
        <f t="shared" si="57"/>
        <v>0.24294484304580849</v>
      </c>
      <c r="V44" s="878">
        <f t="shared" si="57"/>
        <v>0.24797019713537383</v>
      </c>
      <c r="W44" s="879">
        <f t="shared" si="57"/>
        <v>0.23345966100657481</v>
      </c>
      <c r="X44" s="879">
        <f t="shared" si="57"/>
        <v>0.2104423318551063</v>
      </c>
      <c r="Y44" s="879">
        <f t="shared" si="57"/>
        <v>0.21352966434597059</v>
      </c>
      <c r="Z44" s="879">
        <f t="shared" si="57"/>
        <v>0.24824276447189259</v>
      </c>
      <c r="AA44" s="878">
        <f t="shared" si="57"/>
        <v>0.22668181933452336</v>
      </c>
      <c r="AB44" s="879">
        <f t="shared" si="57"/>
        <v>0.24417967164266552</v>
      </c>
      <c r="AC44" s="879">
        <f t="shared" si="57"/>
        <v>0.22638763977514309</v>
      </c>
      <c r="AD44" s="879">
        <f t="shared" si="57"/>
        <v>0.25430617320249427</v>
      </c>
      <c r="AE44" s="879">
        <f t="shared" si="57"/>
        <v>0.24552501258148185</v>
      </c>
      <c r="AF44" s="878">
        <f t="shared" si="57"/>
        <v>0.24280874635641075</v>
      </c>
      <c r="AG44" s="879">
        <f t="shared" si="57"/>
        <v>0.25248109749059683</v>
      </c>
      <c r="AH44" s="879">
        <f t="shared" si="57"/>
        <v>0.25787400928228188</v>
      </c>
      <c r="AI44" s="879">
        <f t="shared" si="57"/>
        <v>0.24711454600783045</v>
      </c>
      <c r="AJ44" s="879">
        <f t="shared" ref="AJ44:AP44" si="58">+AJ42/AJ41</f>
        <v>0.24316369134312624</v>
      </c>
      <c r="AK44" s="878">
        <f t="shared" si="58"/>
        <v>0.24970282532529212</v>
      </c>
      <c r="AL44" s="879">
        <f t="shared" si="58"/>
        <v>0.24961212725072948</v>
      </c>
      <c r="AM44" s="879">
        <f t="shared" si="58"/>
        <v>0.24847157220975488</v>
      </c>
      <c r="AN44" s="879">
        <f t="shared" si="58"/>
        <v>0.2577524994536019</v>
      </c>
      <c r="AO44" s="879">
        <f t="shared" si="58"/>
        <v>0.23950999735114442</v>
      </c>
      <c r="AP44" s="878">
        <f t="shared" si="58"/>
        <v>0.24861139632900128</v>
      </c>
      <c r="AQ44" s="1001"/>
      <c r="AR44" s="1001"/>
      <c r="AS44" s="868"/>
      <c r="AT44" s="868"/>
      <c r="AU44" s="868"/>
      <c r="AV44" s="868"/>
      <c r="AY44" s="1041"/>
      <c r="AZ44" s="1041"/>
      <c r="BA44" s="868"/>
      <c r="BB44" s="868"/>
      <c r="BC44" s="868"/>
      <c r="BD44" s="868"/>
      <c r="BE44" s="868"/>
      <c r="BF44" s="868"/>
      <c r="BG44" s="868"/>
      <c r="BH44" s="868"/>
      <c r="BI44" s="868"/>
      <c r="BJ44" s="868"/>
      <c r="BK44" s="868"/>
      <c r="BL44" s="868"/>
      <c r="BM44" s="868"/>
      <c r="BN44" s="868"/>
      <c r="BO44" s="868"/>
      <c r="BP44" s="868"/>
      <c r="BQ44" s="868"/>
      <c r="BR44" s="868"/>
      <c r="BS44" s="868"/>
      <c r="BT44" s="868"/>
      <c r="BU44" s="868"/>
      <c r="BV44" s="868"/>
      <c r="BW44" s="868"/>
      <c r="BX44" s="868"/>
      <c r="BY44" s="868"/>
      <c r="BZ44" s="868"/>
      <c r="CA44" s="868"/>
    </row>
    <row r="45" spans="1:79" ht="13.5" customHeight="1" x14ac:dyDescent="0.2">
      <c r="A45" s="24"/>
      <c r="B45" s="874" t="s">
        <v>1079</v>
      </c>
      <c r="C45" s="873">
        <f>HLOOKUP(C35,'Auto Operational Figures'!$B$5:$BG$15,3,0)</f>
        <v>124821</v>
      </c>
      <c r="D45" s="873">
        <f>HLOOKUP(D35,'Auto Operational Figures'!$B$5:$BG$15,3,0)</f>
        <v>139792</v>
      </c>
      <c r="E45" s="873">
        <f>HLOOKUP(E35,'Auto Operational Figures'!$B$5:$BG$15,3,0)</f>
        <v>160254</v>
      </c>
      <c r="F45" s="873">
        <f>HLOOKUP(F35,'Auto Operational Figures'!$B$5:$BG$15,3,0)</f>
        <v>168868</v>
      </c>
      <c r="G45" s="645">
        <f>+SUM(C45:F45)</f>
        <v>593735</v>
      </c>
      <c r="H45" s="873">
        <f>HLOOKUP(H35,'Auto Operational Figures'!$B$5:$BG$15,3,0)</f>
        <v>135287</v>
      </c>
      <c r="I45" s="873">
        <f>HLOOKUP(I35,'Auto Operational Figures'!$B$5:$BG$15,3,0)</f>
        <v>155381</v>
      </c>
      <c r="J45" s="873">
        <f>HLOOKUP(J35,'Auto Operational Figures'!$B$5:$BG$15,3,0)</f>
        <v>177801</v>
      </c>
      <c r="K45" s="873">
        <f>HLOOKUP(K35,'Auto Operational Figures'!$B$5:$BG$15,3,0)</f>
        <v>185303</v>
      </c>
      <c r="L45" s="645">
        <f>+SUM(H45:K45)</f>
        <v>653772</v>
      </c>
      <c r="M45" s="873">
        <f>HLOOKUP(M35,'Auto Operational Figures'!$B$5:$BG$15,3,0)</f>
        <v>155292</v>
      </c>
      <c r="N45" s="873">
        <f>HLOOKUP(N35,'Auto Operational Figures'!$B$5:$BG$15,3,0)</f>
        <v>181552</v>
      </c>
      <c r="O45" s="873">
        <f>HLOOKUP(O35,'Auto Operational Figures'!$B$5:$BG$15,3,0)</f>
        <v>179754</v>
      </c>
      <c r="P45" s="873">
        <f>HLOOKUP(P35,'Auto Operational Figures'!$B$5:$BG$15,3,0)</f>
        <v>208381</v>
      </c>
      <c r="Q45" s="645">
        <f>+SUM(M45:P45)</f>
        <v>724979</v>
      </c>
      <c r="R45" s="873">
        <f>HLOOKUP(R35,'Auto Operational Figures'!$B$5:$BG$15,3,0)</f>
        <v>135460</v>
      </c>
      <c r="S45" s="873">
        <f>HLOOKUP(S35,'Auto Operational Figures'!$B$5:$BG$15,3,0)</f>
        <v>51802</v>
      </c>
      <c r="T45" s="873">
        <f>HLOOKUP(T35,'Auto Operational Figures'!$B$5:$BG$15,3,0)</f>
        <v>140610</v>
      </c>
      <c r="U45" s="873">
        <f>HLOOKUP(U35,'Auto Operational Figures'!$B$5:$BG$15,3,0)</f>
        <v>155815</v>
      </c>
      <c r="V45" s="645">
        <f>+SUM(R45:U45)</f>
        <v>483687</v>
      </c>
      <c r="W45" s="873">
        <f>HLOOKUP(W35,'Auto Operational Figures'!$B$5:$BG$15,3,0)</f>
        <v>114662</v>
      </c>
      <c r="X45" s="873">
        <f>HLOOKUP(X35,'Auto Operational Figures'!$B$5:$BG$15,3,0)</f>
        <v>104646</v>
      </c>
      <c r="Y45" s="873">
        <f>HLOOKUP(Y35,'Auto Operational Figures'!$B$5:$BG$15,3,0)</f>
        <v>96425</v>
      </c>
      <c r="Z45" s="873">
        <f>HLOOKUP(Z35,'Auto Operational Figures'!$B$5:$BG$15,3,0)</f>
        <v>126503</v>
      </c>
      <c r="AA45" s="645">
        <f>+SUM(W45:Z45)</f>
        <v>442236</v>
      </c>
      <c r="AB45" s="873">
        <f>HLOOKUP(AB35,'Auto Operational Figures'!$B$5:$BG$15,3,0)</f>
        <v>91310</v>
      </c>
      <c r="AC45" s="873">
        <f>HLOOKUP(AC35,'Auto Operational Figures'!$B$5:$BG$15,3,0)</f>
        <v>107786</v>
      </c>
      <c r="AD45" s="873">
        <f>HLOOKUP(AD35,'Auto Operational Figures'!$B$5:$BG$15,3,0)</f>
        <v>135887</v>
      </c>
      <c r="AE45" s="873">
        <f>HLOOKUP(AE35,'Auto Operational Figures'!$B$5:$BG$15,3,0)</f>
        <v>139730</v>
      </c>
      <c r="AF45" s="645">
        <f>+SUM(AB45:AE45)</f>
        <v>474713</v>
      </c>
      <c r="AG45" s="873">
        <f>HLOOKUP(AG35,'Auto Operational Figures'!$B$5:$BG$15,3,0)</f>
        <v>114282</v>
      </c>
      <c r="AH45" s="873">
        <f>HLOOKUP(AH35,'Auto Operational Figures'!$B$5:$BH$15,3,0)</f>
        <v>130493</v>
      </c>
      <c r="AI45" s="873">
        <f>HLOOKUP(AI35,'Auto Operational Figures'!$B$5:$BM$15,3,0)</f>
        <v>151401</v>
      </c>
      <c r="AJ45" s="873">
        <f>HLOOKUP(AJ35,'Auto Operational Figures'!$B$5:$BM$15,3,0)</f>
        <v>158461</v>
      </c>
      <c r="AK45" s="645">
        <f>+SUM(AG45:AJ45)</f>
        <v>554637</v>
      </c>
      <c r="AL45" s="873">
        <f>HLOOKUP(AL35,'Auto Operational Figures'!$B$5:$BM$15,3,0)</f>
        <v>123998</v>
      </c>
      <c r="AM45" s="873">
        <f>HLOOKUP(AM35,'Auto Operational Figures'!$B$5:$BM$15,3,0)</f>
        <v>146715</v>
      </c>
      <c r="AN45" s="873">
        <f>HLOOKUP(AN35,'Auto Operational Figures'!$B$5:$BM$15,3,0)</f>
        <v>178415</v>
      </c>
      <c r="AO45" s="873">
        <f>HLOOKUP(AO35,'Auto Operational Figures'!$B$5:$BY$15,3,0)</f>
        <v>178817</v>
      </c>
      <c r="AP45" s="645">
        <f>+SUM(AL45:AO45)</f>
        <v>627945</v>
      </c>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row>
    <row r="46" spans="1:79" s="867" customFormat="1" ht="13.5" customHeight="1" x14ac:dyDescent="0.2">
      <c r="A46" s="872"/>
      <c r="B46" s="877" t="s">
        <v>1035</v>
      </c>
      <c r="C46" s="891" t="s">
        <v>47</v>
      </c>
      <c r="D46" s="891" t="s">
        <v>47</v>
      </c>
      <c r="E46" s="891" t="s">
        <v>47</v>
      </c>
      <c r="F46" s="891" t="s">
        <v>47</v>
      </c>
      <c r="G46" s="915" t="s">
        <v>47</v>
      </c>
      <c r="H46" s="891">
        <f>+H45/C45-1</f>
        <v>8.3848070436865596E-2</v>
      </c>
      <c r="I46" s="891">
        <f>+I45/D45-1</f>
        <v>0.1115156804395101</v>
      </c>
      <c r="J46" s="891">
        <f>+J45/E45-1</f>
        <v>0.1094949268036991</v>
      </c>
      <c r="K46" s="891">
        <f>+K45/F45-1</f>
        <v>9.7324537508586495E-2</v>
      </c>
      <c r="L46" s="878">
        <f t="shared" ref="L46:AP46" si="59">+L45/G45-1</f>
        <v>0.1011175019158379</v>
      </c>
      <c r="M46" s="891">
        <f t="shared" si="59"/>
        <v>0.14787082276937169</v>
      </c>
      <c r="N46" s="891">
        <f t="shared" si="59"/>
        <v>0.16843114666529369</v>
      </c>
      <c r="O46" s="891">
        <f t="shared" si="59"/>
        <v>1.0984190190156395E-2</v>
      </c>
      <c r="P46" s="891">
        <f t="shared" si="59"/>
        <v>0.1245419664009757</v>
      </c>
      <c r="Q46" s="878">
        <f t="shared" si="59"/>
        <v>0.10891717601855078</v>
      </c>
      <c r="R46" s="891">
        <f t="shared" si="59"/>
        <v>-0.12770780207608889</v>
      </c>
      <c r="S46" s="891">
        <f t="shared" si="59"/>
        <v>-0.71467127875209302</v>
      </c>
      <c r="T46" s="891">
        <f t="shared" si="59"/>
        <v>-0.21776427784639008</v>
      </c>
      <c r="U46" s="891">
        <f t="shared" si="59"/>
        <v>-0.25225908312178169</v>
      </c>
      <c r="V46" s="878">
        <f t="shared" si="59"/>
        <v>-0.33282619220694665</v>
      </c>
      <c r="W46" s="891">
        <f t="shared" si="59"/>
        <v>-0.15353609921748113</v>
      </c>
      <c r="X46" s="891">
        <f t="shared" si="59"/>
        <v>1.0201150534728387</v>
      </c>
      <c r="Y46" s="891">
        <f t="shared" si="59"/>
        <v>-0.31423796316051489</v>
      </c>
      <c r="Z46" s="891">
        <f t="shared" si="59"/>
        <v>-0.18812052754869557</v>
      </c>
      <c r="AA46" s="878">
        <f t="shared" si="59"/>
        <v>-8.5697982372898163E-2</v>
      </c>
      <c r="AB46" s="891">
        <f t="shared" si="59"/>
        <v>-0.20365945125673723</v>
      </c>
      <c r="AC46" s="891">
        <f t="shared" si="59"/>
        <v>3.0005924736731471E-2</v>
      </c>
      <c r="AD46" s="891">
        <f t="shared" si="59"/>
        <v>0.40925071298936988</v>
      </c>
      <c r="AE46" s="891">
        <f t="shared" si="59"/>
        <v>0.10455878516715011</v>
      </c>
      <c r="AF46" s="878">
        <f t="shared" si="59"/>
        <v>7.3438164238099013E-2</v>
      </c>
      <c r="AG46" s="891">
        <f t="shared" si="59"/>
        <v>0.25158252108202817</v>
      </c>
      <c r="AH46" s="891">
        <f t="shared" si="59"/>
        <v>0.21066743361846618</v>
      </c>
      <c r="AI46" s="891">
        <f t="shared" si="59"/>
        <v>0.11416838991220657</v>
      </c>
      <c r="AJ46" s="891">
        <f t="shared" si="59"/>
        <v>0.13405138481356893</v>
      </c>
      <c r="AK46" s="878">
        <f t="shared" si="59"/>
        <v>0.16836277919500842</v>
      </c>
      <c r="AL46" s="891">
        <f t="shared" si="59"/>
        <v>8.5017763077299913E-2</v>
      </c>
      <c r="AM46" s="891">
        <f t="shared" si="59"/>
        <v>0.12431318154996829</v>
      </c>
      <c r="AN46" s="891">
        <f t="shared" si="59"/>
        <v>0.1784268267712894</v>
      </c>
      <c r="AO46" s="891">
        <f t="shared" si="59"/>
        <v>0.12846063069146352</v>
      </c>
      <c r="AP46" s="878">
        <f t="shared" si="59"/>
        <v>0.13217293473028313</v>
      </c>
      <c r="AQ46" s="868"/>
      <c r="AR46" s="868"/>
      <c r="AS46" s="868"/>
      <c r="AT46" s="868"/>
      <c r="AU46" s="868"/>
      <c r="AV46" s="868"/>
      <c r="AY46" s="1041"/>
      <c r="AZ46" s="1041"/>
      <c r="BA46" s="868"/>
      <c r="BB46" s="868"/>
      <c r="BC46" s="868"/>
      <c r="BD46" s="868"/>
      <c r="BE46" s="868"/>
      <c r="BF46" s="868"/>
      <c r="BG46" s="868"/>
      <c r="BH46" s="868"/>
      <c r="BI46" s="868"/>
      <c r="BJ46" s="868"/>
      <c r="BK46" s="868"/>
      <c r="BL46" s="868"/>
      <c r="BM46" s="868"/>
      <c r="BN46" s="868"/>
      <c r="BO46" s="868"/>
      <c r="BP46" s="868"/>
      <c r="BQ46" s="868"/>
      <c r="BR46" s="868"/>
      <c r="BS46" s="868"/>
      <c r="BT46" s="868"/>
      <c r="BU46" s="868"/>
      <c r="BV46" s="868"/>
      <c r="BW46" s="868"/>
      <c r="BX46" s="868"/>
      <c r="BY46" s="868"/>
      <c r="BZ46" s="868"/>
      <c r="CA46" s="868"/>
    </row>
    <row r="47" spans="1:79" s="867" customFormat="1" ht="13.5" customHeight="1" x14ac:dyDescent="0.2">
      <c r="A47" s="872"/>
      <c r="B47" s="877" t="s">
        <v>1280</v>
      </c>
      <c r="C47" s="879">
        <f t="shared" ref="C47:AG47" si="60">+C45/C37</f>
        <v>0.27100711708230024</v>
      </c>
      <c r="D47" s="879">
        <f t="shared" si="60"/>
        <v>0.26251476495321224</v>
      </c>
      <c r="E47" s="879">
        <f t="shared" si="60"/>
        <v>0.27488481713111462</v>
      </c>
      <c r="F47" s="879">
        <f t="shared" si="60"/>
        <v>0.28149029766280442</v>
      </c>
      <c r="G47" s="878">
        <f t="shared" si="60"/>
        <v>0.27285791360790007</v>
      </c>
      <c r="H47" s="879">
        <f t="shared" si="60"/>
        <v>0.256107026298453</v>
      </c>
      <c r="I47" s="879">
        <f t="shared" si="60"/>
        <v>0.25858132328614841</v>
      </c>
      <c r="J47" s="879">
        <f t="shared" si="60"/>
        <v>0.27194805790717413</v>
      </c>
      <c r="K47" s="879">
        <f t="shared" si="60"/>
        <v>0.26762768435753787</v>
      </c>
      <c r="L47" s="878">
        <f t="shared" si="60"/>
        <v>0.2641142340965153</v>
      </c>
      <c r="M47" s="879">
        <f t="shared" si="60"/>
        <v>0.26707437880080348</v>
      </c>
      <c r="N47" s="879">
        <f t="shared" si="60"/>
        <v>0.27084498826674541</v>
      </c>
      <c r="O47" s="879">
        <f t="shared" si="60"/>
        <v>0.26111967367667205</v>
      </c>
      <c r="P47" s="879">
        <f t="shared" si="60"/>
        <v>0.28725843071464119</v>
      </c>
      <c r="Q47" s="878">
        <f t="shared" si="60"/>
        <v>0.27197764991748524</v>
      </c>
      <c r="R47" s="879">
        <f t="shared" si="60"/>
        <v>0.25353509830895493</v>
      </c>
      <c r="S47" s="879">
        <f t="shared" si="60"/>
        <v>0.2242870070097808</v>
      </c>
      <c r="T47" s="879">
        <f t="shared" si="60"/>
        <v>0.26213108978003807</v>
      </c>
      <c r="U47" s="879">
        <f t="shared" si="60"/>
        <v>0.23855235015746307</v>
      </c>
      <c r="V47" s="878">
        <f t="shared" si="60"/>
        <v>0.24743199913240449</v>
      </c>
      <c r="W47" s="879">
        <f t="shared" si="60"/>
        <v>0.23000573700448129</v>
      </c>
      <c r="X47" s="879">
        <f t="shared" si="60"/>
        <v>0.20543717681425727</v>
      </c>
      <c r="Y47" s="879">
        <f t="shared" si="60"/>
        <v>0.20810043206332901</v>
      </c>
      <c r="Z47" s="879">
        <f t="shared" si="60"/>
        <v>0.25008698471441337</v>
      </c>
      <c r="AA47" s="878">
        <f t="shared" si="60"/>
        <v>0.22367980480442509</v>
      </c>
      <c r="AB47" s="879">
        <f t="shared" si="60"/>
        <v>0.24317299344330401</v>
      </c>
      <c r="AC47" s="879">
        <f t="shared" si="60"/>
        <v>0.22566698699629215</v>
      </c>
      <c r="AD47" s="879">
        <f t="shared" si="60"/>
        <v>0.24959636461821327</v>
      </c>
      <c r="AE47" s="879">
        <f t="shared" si="60"/>
        <v>0.2482288402367705</v>
      </c>
      <c r="AF47" s="878">
        <f t="shared" si="60"/>
        <v>0.24214343353760492</v>
      </c>
      <c r="AG47" s="879">
        <f t="shared" si="60"/>
        <v>0.26155078500480616</v>
      </c>
      <c r="AH47" s="879">
        <f t="shared" ref="AH47:AM47" si="61">+AH45/AH37</f>
        <v>0.26216679926388453</v>
      </c>
      <c r="AI47" s="879">
        <f t="shared" si="61"/>
        <v>0.25227025063567016</v>
      </c>
      <c r="AJ47" s="879">
        <f t="shared" si="61"/>
        <v>0.2455282713654422</v>
      </c>
      <c r="AK47" s="878">
        <f t="shared" si="61"/>
        <v>0.25439380248872823</v>
      </c>
      <c r="AL47" s="879">
        <f t="shared" si="61"/>
        <v>0.25620056695620552</v>
      </c>
      <c r="AM47" s="879">
        <f t="shared" si="61"/>
        <v>0.24684617688329255</v>
      </c>
      <c r="AN47" s="879">
        <f t="shared" ref="AN47:AP47" si="62">+AN45/AN37</f>
        <v>0.2647810026698485</v>
      </c>
      <c r="AO47" s="879">
        <f t="shared" si="62"/>
        <v>0.24316635593831123</v>
      </c>
      <c r="AP47" s="878">
        <f t="shared" si="62"/>
        <v>0.25243654765197365</v>
      </c>
      <c r="AQ47" s="1001"/>
      <c r="AR47" s="1001"/>
      <c r="AS47" s="868"/>
      <c r="AT47" s="868"/>
      <c r="AU47" s="868"/>
      <c r="AV47" s="868"/>
      <c r="AY47" s="1041"/>
      <c r="AZ47" s="1041"/>
      <c r="BA47" s="868"/>
      <c r="BB47" s="868"/>
      <c r="BC47" s="868"/>
      <c r="BD47" s="868"/>
      <c r="BE47" s="868"/>
      <c r="BF47" s="868"/>
      <c r="BG47" s="868"/>
      <c r="BH47" s="868"/>
      <c r="BI47" s="868"/>
      <c r="BJ47" s="868"/>
      <c r="BK47" s="868"/>
      <c r="BL47" s="868"/>
      <c r="BM47" s="868"/>
      <c r="BN47" s="868"/>
      <c r="BO47" s="868"/>
      <c r="BP47" s="868"/>
      <c r="BQ47" s="868"/>
      <c r="BR47" s="868"/>
      <c r="BS47" s="868"/>
      <c r="BT47" s="868"/>
      <c r="BU47" s="868"/>
      <c r="BV47" s="868"/>
      <c r="BW47" s="868"/>
      <c r="BX47" s="868"/>
      <c r="BY47" s="868"/>
      <c r="BZ47" s="868"/>
      <c r="CA47" s="868"/>
    </row>
    <row r="48" spans="1:79" ht="13.5" customHeight="1" x14ac:dyDescent="0.2">
      <c r="A48" s="24"/>
      <c r="B48" s="874" t="s">
        <v>1036</v>
      </c>
      <c r="C48" s="873">
        <f>HLOOKUP(C35,'Auto Operational Figures'!$B$5:$BG$15,4,0)</f>
        <v>39572</v>
      </c>
      <c r="D48" s="873">
        <f>HLOOKUP(D35,'Auto Operational Figures'!$B$5:$BG$15,4,0)</f>
        <v>43391</v>
      </c>
      <c r="E48" s="873">
        <f>HLOOKUP(E35,'Auto Operational Figures'!$B$5:$BG$15,4,0)</f>
        <v>35099</v>
      </c>
      <c r="F48" s="873">
        <f>HLOOKUP(F35,'Auto Operational Figures'!$B$5:$BG$15,4,0)</f>
        <v>42546</v>
      </c>
      <c r="G48" s="645">
        <f>+SUM(C48:F48)</f>
        <v>160608</v>
      </c>
      <c r="H48" s="873">
        <f>HLOOKUP(H35,'Auto Operational Figures'!$B$5:$BG$15,4,0)</f>
        <v>41924</v>
      </c>
      <c r="I48" s="873">
        <f>HLOOKUP(I35,'Auto Operational Figures'!$B$5:$BG$15,4,0)</f>
        <v>38504</v>
      </c>
      <c r="J48" s="873">
        <f>HLOOKUP(J35,'Auto Operational Figures'!$B$5:$BG$15,4,0)</f>
        <v>28889</v>
      </c>
      <c r="K48" s="873">
        <f>HLOOKUP(K35,'Auto Operational Figures'!$B$5:$BG$15,4,0)</f>
        <v>18324</v>
      </c>
      <c r="L48" s="645">
        <f>+SUM(H48:K48)</f>
        <v>127641</v>
      </c>
      <c r="M48" s="873">
        <f>HLOOKUP(M35,'Auto Operational Figures'!$B$5:$BG$15,4,0)</f>
        <v>24033</v>
      </c>
      <c r="N48" s="873">
        <f>HLOOKUP(N35,'Auto Operational Figures'!$B$5:$BG$15,4,0)</f>
        <v>26627</v>
      </c>
      <c r="O48" s="873">
        <f>HLOOKUP(O35,'Auto Operational Figures'!$B$5:$BG$15,4,0)</f>
        <v>24743</v>
      </c>
      <c r="P48" s="873">
        <f>HLOOKUP(P35,'Auto Operational Figures'!$B$5:$BG$15,4,0)</f>
        <v>20885</v>
      </c>
      <c r="Q48" s="645">
        <f>+SUM(M48:P48)</f>
        <v>96288</v>
      </c>
      <c r="R48" s="873">
        <f>HLOOKUP(R35,'Auto Operational Figures'!$B$5:$BG$15,4,0)</f>
        <v>21234</v>
      </c>
      <c r="S48" s="873">
        <f>HLOOKUP(S35,'Auto Operational Figures'!$B$5:$BG$15,4,0)</f>
        <v>4840</v>
      </c>
      <c r="T48" s="873">
        <f>HLOOKUP(T35,'Auto Operational Figures'!$B$5:$BG$15,4,0)</f>
        <v>21152</v>
      </c>
      <c r="U48" s="873">
        <f>HLOOKUP(U35,'Auto Operational Figures'!$B$5:$BG$15,4,0)</f>
        <v>29945</v>
      </c>
      <c r="V48" s="645">
        <f>+SUM(R48:U48)</f>
        <v>77171</v>
      </c>
      <c r="W48" s="873">
        <f>HLOOKUP(W35,'Auto Operational Figures'!$B$5:$BG$15,4,0)</f>
        <v>22648</v>
      </c>
      <c r="X48" s="873">
        <f>HLOOKUP(X35,'Auto Operational Figures'!$B$5:$BG$15,4,0)</f>
        <v>23147</v>
      </c>
      <c r="Y48" s="873">
        <f>HLOOKUP(Y35,'Auto Operational Figures'!$B$5:$BG$15,4,0)</f>
        <v>17454</v>
      </c>
      <c r="Z48" s="873">
        <f>HLOOKUP(Z35,'Auto Operational Figures'!$B$5:$BG$15,4,0)</f>
        <v>21900</v>
      </c>
      <c r="AA48" s="645">
        <f>+SUM(W48:Z48)</f>
        <v>85149</v>
      </c>
      <c r="AB48" s="873">
        <f>HLOOKUP(AB35,'Auto Operational Figures'!$B$5:$BG$15,4,0)</f>
        <v>25382</v>
      </c>
      <c r="AC48" s="873">
        <f>HLOOKUP(AC35,'Auto Operational Figures'!$B$5:$BG$15,4,0)</f>
        <v>29905</v>
      </c>
      <c r="AD48" s="873">
        <f>HLOOKUP(AD35,'Auto Operational Figures'!$B$5:$BG$15,4,0)</f>
        <v>30179</v>
      </c>
      <c r="AE48" s="873">
        <f>HLOOKUP(AE35,'Auto Operational Figures'!$B$5:$BG$15,4,0)</f>
        <v>25170</v>
      </c>
      <c r="AF48" s="645">
        <f>+SUM(AB48:AE48)</f>
        <v>110636</v>
      </c>
      <c r="AG48" s="873">
        <f>HLOOKUP(AG35,'Auto Operational Figures'!$B$5:$BG$15,4,0)</f>
        <v>23529</v>
      </c>
      <c r="AH48" s="873">
        <f>HLOOKUP(AH35,'Auto Operational Figures'!$B$5:$BH$15,4,0)</f>
        <v>26527</v>
      </c>
      <c r="AI48" s="873">
        <f>HLOOKUP(AI35,'Auto Operational Figures'!$B$5:$BM$15,4,0)</f>
        <v>18319</v>
      </c>
      <c r="AJ48" s="873">
        <f>HLOOKUP(AJ35,'Auto Operational Figures'!$B$5:$BM$15,4,0)</f>
        <v>16843</v>
      </c>
      <c r="AK48" s="645">
        <f>+SUM(AG48:AJ48)</f>
        <v>85218</v>
      </c>
      <c r="AL48" s="873">
        <f>HLOOKUP(AL35,'Auto Operational Figures'!$B$5:$BM$15,4,0)</f>
        <v>16294</v>
      </c>
      <c r="AM48" s="873">
        <f>HLOOKUP(AM35,'Auto Operational Figures'!$B$5:$BM$15,4,0)</f>
        <v>20363</v>
      </c>
      <c r="AN48" s="873">
        <f>HLOOKUP(AN35,'Auto Operational Figures'!$B$5:$BM$15,4,0)</f>
        <v>24429</v>
      </c>
      <c r="AO48" s="873">
        <f>HLOOKUP(AO35,'Auto Operational Figures'!$B$5:$BY$15,4,0)</f>
        <v>22820</v>
      </c>
      <c r="AP48" s="645">
        <f>+SUM(AL48:AO48)</f>
        <v>83906</v>
      </c>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row>
    <row r="49" spans="1:79" s="867" customFormat="1" ht="13.5" customHeight="1" x14ac:dyDescent="0.2">
      <c r="A49" s="872"/>
      <c r="B49" s="877" t="s">
        <v>1035</v>
      </c>
      <c r="C49" s="891" t="s">
        <v>47</v>
      </c>
      <c r="D49" s="891" t="s">
        <v>47</v>
      </c>
      <c r="E49" s="891" t="s">
        <v>47</v>
      </c>
      <c r="F49" s="891" t="s">
        <v>47</v>
      </c>
      <c r="G49" s="915" t="s">
        <v>47</v>
      </c>
      <c r="H49" s="891">
        <f>+H48/C48-1</f>
        <v>5.9435964823612686E-2</v>
      </c>
      <c r="I49" s="891">
        <f>+I48/D48-1</f>
        <v>-0.11262704247424582</v>
      </c>
      <c r="J49" s="891">
        <f>+J48/E48-1</f>
        <v>-0.17692811761018834</v>
      </c>
      <c r="K49" s="891">
        <f>+K48/F48-1</f>
        <v>-0.5693132139331547</v>
      </c>
      <c r="L49" s="878">
        <f t="shared" ref="L49:AP49" si="63">+L48/G48-1</f>
        <v>-0.20526374775851763</v>
      </c>
      <c r="M49" s="891">
        <f t="shared" si="63"/>
        <v>-0.42674840187005059</v>
      </c>
      <c r="N49" s="891">
        <f t="shared" si="63"/>
        <v>-0.30846145854976104</v>
      </c>
      <c r="O49" s="891">
        <f t="shared" si="63"/>
        <v>-0.1435148326352591</v>
      </c>
      <c r="P49" s="891">
        <f t="shared" si="63"/>
        <v>0.13976206068543995</v>
      </c>
      <c r="Q49" s="878">
        <f t="shared" si="63"/>
        <v>-0.24563423978188825</v>
      </c>
      <c r="R49" s="891">
        <f t="shared" si="63"/>
        <v>-0.11646486081637752</v>
      </c>
      <c r="S49" s="891">
        <f t="shared" si="63"/>
        <v>-0.81822961655462501</v>
      </c>
      <c r="T49" s="891">
        <f t="shared" si="63"/>
        <v>-0.14513195651295319</v>
      </c>
      <c r="U49" s="891">
        <f t="shared" si="63"/>
        <v>0.43380416566914048</v>
      </c>
      <c r="V49" s="878">
        <f t="shared" si="63"/>
        <v>-0.19853979727484217</v>
      </c>
      <c r="W49" s="891">
        <f t="shared" si="63"/>
        <v>6.6591315814260144E-2</v>
      </c>
      <c r="X49" s="891">
        <f t="shared" si="63"/>
        <v>3.7824380165289258</v>
      </c>
      <c r="Y49" s="891">
        <f t="shared" si="63"/>
        <v>-0.17482980332829046</v>
      </c>
      <c r="Z49" s="891">
        <f t="shared" si="63"/>
        <v>-0.26865920854900649</v>
      </c>
      <c r="AA49" s="878">
        <f t="shared" si="63"/>
        <v>0.10338080366977231</v>
      </c>
      <c r="AB49" s="891">
        <f t="shared" si="63"/>
        <v>0.12071706110914882</v>
      </c>
      <c r="AC49" s="891">
        <f t="shared" si="63"/>
        <v>0.29196008122002848</v>
      </c>
      <c r="AD49" s="891">
        <f t="shared" si="63"/>
        <v>0.72905924143462819</v>
      </c>
      <c r="AE49" s="891">
        <f t="shared" si="63"/>
        <v>0.14931506849315079</v>
      </c>
      <c r="AF49" s="878">
        <f t="shared" si="63"/>
        <v>0.29932236432606363</v>
      </c>
      <c r="AG49" s="891">
        <f t="shared" si="63"/>
        <v>-7.3004491371838287E-2</v>
      </c>
      <c r="AH49" s="891">
        <f t="shared" si="63"/>
        <v>-0.11295769938137434</v>
      </c>
      <c r="AI49" s="891">
        <f t="shared" si="63"/>
        <v>-0.39298850193843404</v>
      </c>
      <c r="AJ49" s="891">
        <f t="shared" si="63"/>
        <v>-0.33083035359555024</v>
      </c>
      <c r="AK49" s="878">
        <f t="shared" si="63"/>
        <v>-0.22974438699880695</v>
      </c>
      <c r="AL49" s="891">
        <f t="shared" si="63"/>
        <v>-0.30749288112541973</v>
      </c>
      <c r="AM49" s="891">
        <f t="shared" si="63"/>
        <v>-0.23236702227918726</v>
      </c>
      <c r="AN49" s="891">
        <f t="shared" si="63"/>
        <v>0.33353348981931319</v>
      </c>
      <c r="AO49" s="891">
        <f t="shared" si="63"/>
        <v>0.35486552276910288</v>
      </c>
      <c r="AP49" s="878">
        <f t="shared" si="63"/>
        <v>-1.5395808397286936E-2</v>
      </c>
      <c r="AQ49" s="868"/>
      <c r="AR49" s="868"/>
      <c r="AS49" s="868"/>
      <c r="AT49" s="868"/>
      <c r="AU49" s="868"/>
      <c r="AV49" s="868"/>
      <c r="AY49" s="1041"/>
      <c r="AZ49" s="1041"/>
      <c r="BA49" s="868"/>
      <c r="BB49" s="868"/>
      <c r="BC49" s="868"/>
      <c r="BD49" s="868"/>
      <c r="BE49" s="868"/>
      <c r="BF49" s="868"/>
      <c r="BG49" s="868"/>
      <c r="BH49" s="868"/>
      <c r="BI49" s="868"/>
      <c r="BJ49" s="868"/>
      <c r="BK49" s="868"/>
      <c r="BL49" s="868"/>
      <c r="BM49" s="868"/>
      <c r="BN49" s="868"/>
      <c r="BO49" s="868"/>
      <c r="BP49" s="868"/>
      <c r="BQ49" s="868"/>
      <c r="BR49" s="868"/>
      <c r="BS49" s="868"/>
      <c r="BT49" s="868"/>
      <c r="BU49" s="868"/>
      <c r="BV49" s="868"/>
      <c r="BW49" s="868"/>
      <c r="BX49" s="868"/>
      <c r="BY49" s="868"/>
      <c r="BZ49" s="868"/>
      <c r="CA49" s="868"/>
    </row>
    <row r="50" spans="1:79" s="867" customFormat="1" ht="13.5" customHeight="1" x14ac:dyDescent="0.2">
      <c r="A50" s="872"/>
      <c r="B50" s="877" t="s">
        <v>1281</v>
      </c>
      <c r="C50" s="879">
        <f t="shared" ref="C50:AG50" si="64">+C48/C39</f>
        <v>0.23910140601680938</v>
      </c>
      <c r="D50" s="879">
        <f t="shared" si="64"/>
        <v>0.22762372394112032</v>
      </c>
      <c r="E50" s="879">
        <f t="shared" si="64"/>
        <v>0.19295024380590081</v>
      </c>
      <c r="F50" s="879">
        <f t="shared" si="64"/>
        <v>0.2280406491863731</v>
      </c>
      <c r="G50" s="878">
        <f t="shared" si="64"/>
        <v>0.22164811870694223</v>
      </c>
      <c r="H50" s="879">
        <f t="shared" si="64"/>
        <v>0.24602853236151945</v>
      </c>
      <c r="I50" s="879">
        <f t="shared" si="64"/>
        <v>0.20315195770657352</v>
      </c>
      <c r="J50" s="879">
        <f t="shared" si="64"/>
        <v>0.21021648171730034</v>
      </c>
      <c r="K50" s="879">
        <f t="shared" si="64"/>
        <v>0.18684422510222187</v>
      </c>
      <c r="L50" s="878">
        <f t="shared" si="64"/>
        <v>0.21436704779051177</v>
      </c>
      <c r="M50" s="879">
        <f t="shared" si="64"/>
        <v>0.24041895501335495</v>
      </c>
      <c r="N50" s="879">
        <f t="shared" si="64"/>
        <v>0.23715664968470554</v>
      </c>
      <c r="O50" s="879">
        <f t="shared" si="64"/>
        <v>0.22452201845684783</v>
      </c>
      <c r="P50" s="879">
        <f t="shared" si="64"/>
        <v>0.24550947477312268</v>
      </c>
      <c r="Q50" s="878">
        <f t="shared" si="64"/>
        <v>0.23628377217736987</v>
      </c>
      <c r="R50" s="879">
        <f t="shared" si="64"/>
        <v>0.24913762759591693</v>
      </c>
      <c r="S50" s="879">
        <f t="shared" si="64"/>
        <v>0.17448357907639064</v>
      </c>
      <c r="T50" s="879">
        <f t="shared" si="64"/>
        <v>0.25623258631132645</v>
      </c>
      <c r="U50" s="879">
        <f t="shared" si="64"/>
        <v>0.26868792003517306</v>
      </c>
      <c r="V50" s="878">
        <f t="shared" si="64"/>
        <v>0.25139753980870971</v>
      </c>
      <c r="W50" s="879">
        <f t="shared" si="64"/>
        <v>0.25266915825291458</v>
      </c>
      <c r="X50" s="879">
        <f t="shared" si="64"/>
        <v>0.2364906975080969</v>
      </c>
      <c r="Y50" s="879">
        <f t="shared" si="64"/>
        <v>0.24948898640632369</v>
      </c>
      <c r="Z50" s="879">
        <f t="shared" si="64"/>
        <v>0.23810041531670617</v>
      </c>
      <c r="AA50" s="878">
        <f t="shared" si="64"/>
        <v>0.24366645776636933</v>
      </c>
      <c r="AB50" s="879">
        <f t="shared" si="64"/>
        <v>0.24787109374999999</v>
      </c>
      <c r="AC50" s="879">
        <f t="shared" si="64"/>
        <v>0.22902371032961646</v>
      </c>
      <c r="AD50" s="879">
        <f t="shared" si="64"/>
        <v>0.2779194946081095</v>
      </c>
      <c r="AE50" s="879">
        <f t="shared" si="64"/>
        <v>0.23152491859374139</v>
      </c>
      <c r="AF50" s="878">
        <f t="shared" si="64"/>
        <v>0.24570544040472686</v>
      </c>
      <c r="AG50" s="879">
        <f t="shared" si="64"/>
        <v>0.21608640149880151</v>
      </c>
      <c r="AH50" s="879">
        <f t="shared" ref="AH50:AM50" si="65">+AH48/AH39</f>
        <v>0.23865088076002663</v>
      </c>
      <c r="AI50" s="879">
        <f t="shared" si="65"/>
        <v>0.21140641408837549</v>
      </c>
      <c r="AJ50" s="879">
        <f t="shared" si="65"/>
        <v>0.22296206084032724</v>
      </c>
      <c r="AK50" s="878">
        <f t="shared" si="65"/>
        <v>0.22294603334065866</v>
      </c>
      <c r="AL50" s="879">
        <f t="shared" si="65"/>
        <v>0.20875826372162148</v>
      </c>
      <c r="AM50" s="879">
        <f t="shared" si="65"/>
        <v>0.26084673028886185</v>
      </c>
      <c r="AN50" s="879">
        <f t="shared" ref="AN50:AP50" si="66">+AN48/AN39</f>
        <v>0.21589734072169048</v>
      </c>
      <c r="AO50" s="879">
        <f t="shared" si="66"/>
        <v>0.21426425298580334</v>
      </c>
      <c r="AP50" s="878">
        <f t="shared" si="66"/>
        <v>0.22328965436488082</v>
      </c>
      <c r="AQ50" s="1001"/>
      <c r="AR50" s="1001"/>
      <c r="AS50" s="868"/>
      <c r="AT50" s="868"/>
      <c r="AU50" s="868"/>
      <c r="AV50" s="868"/>
      <c r="AY50" s="1041"/>
      <c r="AZ50" s="1041"/>
      <c r="BA50" s="868"/>
      <c r="BB50" s="868"/>
      <c r="BC50" s="868"/>
      <c r="BD50" s="868"/>
      <c r="BE50" s="868"/>
      <c r="BF50" s="868"/>
      <c r="BG50" s="868"/>
      <c r="BH50" s="868"/>
      <c r="BI50" s="868"/>
      <c r="BJ50" s="868"/>
      <c r="BK50" s="868"/>
      <c r="BL50" s="868"/>
      <c r="BM50" s="868"/>
      <c r="BN50" s="868"/>
      <c r="BO50" s="868"/>
      <c r="BP50" s="868"/>
      <c r="BQ50" s="868"/>
      <c r="BR50" s="868"/>
      <c r="BS50" s="868"/>
      <c r="BT50" s="868"/>
      <c r="BU50" s="868"/>
      <c r="BV50" s="868"/>
      <c r="BW50" s="868"/>
      <c r="BX50" s="868"/>
      <c r="BY50" s="868"/>
      <c r="BZ50" s="868"/>
      <c r="CA50" s="868"/>
    </row>
    <row r="51" spans="1:79" s="284" customFormat="1" ht="13.5" customHeight="1" x14ac:dyDescent="0.2">
      <c r="A51" s="909"/>
      <c r="B51" s="923" t="s">
        <v>1081</v>
      </c>
      <c r="C51" s="925">
        <f>+C53+C55</f>
        <v>146476</v>
      </c>
      <c r="D51" s="925">
        <f>+D53+D55</f>
        <v>172147.37303599072</v>
      </c>
      <c r="E51" s="925">
        <f>+E53+E55</f>
        <v>191069.34900000002</v>
      </c>
      <c r="F51" s="925">
        <f>+F53+F55</f>
        <v>204238.15900000001</v>
      </c>
      <c r="G51" s="924">
        <f>+SUM(C51:F51)</f>
        <v>713930.88103599078</v>
      </c>
      <c r="H51" s="925">
        <f>+H53+H55</f>
        <v>171756.394</v>
      </c>
      <c r="I51" s="925">
        <f>+I53+I55</f>
        <v>190005.42499999999</v>
      </c>
      <c r="J51" s="925">
        <f>+J53+J55</f>
        <v>214950.23199999999</v>
      </c>
      <c r="K51" s="925">
        <f>+K53+K55</f>
        <v>214723.65</v>
      </c>
      <c r="L51" s="924">
        <f>+SUM(H51:K51)</f>
        <v>791435.701</v>
      </c>
      <c r="M51" s="925">
        <f>+M53+M55</f>
        <v>188746.21</v>
      </c>
      <c r="N51" s="925">
        <f>+N53+N55</f>
        <v>220205.95</v>
      </c>
      <c r="O51" s="925">
        <f>+O53+O55</f>
        <v>226176.014</v>
      </c>
      <c r="P51" s="925">
        <f>+P53+P55</f>
        <v>245769.12599999996</v>
      </c>
      <c r="Q51" s="924">
        <f>+SUM(M51:P51)</f>
        <v>880897.29999999993</v>
      </c>
      <c r="R51" s="925">
        <f>+R53+R55</f>
        <v>175905.11800000002</v>
      </c>
      <c r="S51" s="925">
        <f>+S53+S55</f>
        <v>61170.718000000001</v>
      </c>
      <c r="T51" s="925">
        <f>+T53+T55</f>
        <v>189941.20500000002</v>
      </c>
      <c r="U51" s="925">
        <f>+U53+U55</f>
        <v>208718.51</v>
      </c>
      <c r="V51" s="924">
        <f>+SUM(R51:U51)</f>
        <v>635735.55099999998</v>
      </c>
      <c r="W51" s="925">
        <f>+W53+W55</f>
        <v>143978.22500000001</v>
      </c>
      <c r="X51" s="925">
        <f>+X53+X55</f>
        <v>126444.726</v>
      </c>
      <c r="Y51" s="925">
        <f>+Y53+Y55</f>
        <v>118061.787</v>
      </c>
      <c r="Z51" s="925">
        <f>+Z53+Z55</f>
        <v>164257.378</v>
      </c>
      <c r="AA51" s="924">
        <f>+SUM(W51:Z51)</f>
        <v>552742.11600000004</v>
      </c>
      <c r="AB51" s="925">
        <f>+AB53+AB55</f>
        <v>114198.70800000001</v>
      </c>
      <c r="AC51" s="925">
        <f>+AC53+AC55</f>
        <v>132858.51699999999</v>
      </c>
      <c r="AD51" s="925">
        <f>+AD53+AD55</f>
        <v>171164.14800000002</v>
      </c>
      <c r="AE51" s="925">
        <f>+AE53+AE55</f>
        <v>169468.625</v>
      </c>
      <c r="AF51" s="924">
        <f>+SUM(AB51:AE51)</f>
        <v>587689.99800000002</v>
      </c>
      <c r="AG51" s="925">
        <f>+AG53+AG55</f>
        <v>136753.524</v>
      </c>
      <c r="AH51" s="925">
        <f>+AH53+AH55</f>
        <v>150424.709</v>
      </c>
      <c r="AI51" s="925">
        <f>+AI53+AI55</f>
        <v>177419.495</v>
      </c>
      <c r="AJ51" s="925">
        <f>+AJ53+AJ55</f>
        <v>188849.85100000002</v>
      </c>
      <c r="AK51" s="924">
        <f>+SUM(AG51:AJ51)</f>
        <v>653447.57900000003</v>
      </c>
      <c r="AL51" s="925">
        <f>+AL53+AL55</f>
        <v>148802.24500000002</v>
      </c>
      <c r="AM51" s="925">
        <f>+AM53+AM55</f>
        <v>181918.48200000002</v>
      </c>
      <c r="AN51" s="925">
        <f>+AN53+AN55</f>
        <v>216435.628</v>
      </c>
      <c r="AO51" s="925">
        <f>+AO53+AO55</f>
        <v>220136.647</v>
      </c>
      <c r="AP51" s="924">
        <f>+SUM(AL51:AO51)</f>
        <v>767293.00200000009</v>
      </c>
      <c r="AQ51" s="905"/>
      <c r="AR51" s="905"/>
      <c r="AS51" s="905"/>
      <c r="AT51" s="905"/>
      <c r="AU51" s="905"/>
      <c r="AV51" s="905"/>
      <c r="AY51" s="1042"/>
      <c r="AZ51" s="1042"/>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row>
    <row r="52" spans="1:79" s="284" customFormat="1" ht="13.5" customHeight="1" x14ac:dyDescent="0.2">
      <c r="A52" s="909"/>
      <c r="B52" s="877" t="s">
        <v>1035</v>
      </c>
      <c r="C52" s="891" t="s">
        <v>47</v>
      </c>
      <c r="D52" s="891" t="s">
        <v>47</v>
      </c>
      <c r="E52" s="891" t="s">
        <v>47</v>
      </c>
      <c r="F52" s="891" t="s">
        <v>47</v>
      </c>
      <c r="G52" s="878" t="s">
        <v>47</v>
      </c>
      <c r="H52" s="891">
        <f>+H51/C51-1</f>
        <v>0.17259069062508536</v>
      </c>
      <c r="I52" s="891">
        <f>+I51/D51-1</f>
        <v>0.10373699957812144</v>
      </c>
      <c r="J52" s="891">
        <f>+J51/E51-1</f>
        <v>0.12498542086936171</v>
      </c>
      <c r="K52" s="891">
        <f>+K51/F51-1</f>
        <v>5.1339529553828367E-2</v>
      </c>
      <c r="L52" s="878">
        <f>+L51/G51-1</f>
        <v>0.10856067726268037</v>
      </c>
      <c r="M52" s="891">
        <f>M51/H51-1</f>
        <v>9.8918099083985078E-2</v>
      </c>
      <c r="N52" s="891">
        <f>N51/I51-1</f>
        <v>0.15894559326398183</v>
      </c>
      <c r="O52" s="891">
        <f>O51/J51-1</f>
        <v>5.2225028535907825E-2</v>
      </c>
      <c r="P52" s="891">
        <f>P51/K51-1</f>
        <v>0.14458340289949412</v>
      </c>
      <c r="Q52" s="878">
        <f>+Q51/L51-1</f>
        <v>0.11303710318723659</v>
      </c>
      <c r="R52" s="891">
        <f>R51/M51-1</f>
        <v>-6.8033641576167203E-2</v>
      </c>
      <c r="S52" s="891">
        <f>S51/N51-1</f>
        <v>-0.72221132989367454</v>
      </c>
      <c r="T52" s="891">
        <f>T51/O51-1</f>
        <v>-0.1602062409677093</v>
      </c>
      <c r="U52" s="891">
        <f>U51/P51-1</f>
        <v>-0.15075374439017197</v>
      </c>
      <c r="V52" s="878">
        <f>+V51/Q51-1</f>
        <v>-0.2783091161705229</v>
      </c>
      <c r="W52" s="891">
        <f>W51/R51-1</f>
        <v>-0.18150064854849768</v>
      </c>
      <c r="X52" s="891">
        <f>X51/S51-1</f>
        <v>1.0670793172641848</v>
      </c>
      <c r="Y52" s="891">
        <f>Y51/T51-1</f>
        <v>-0.37842983043094847</v>
      </c>
      <c r="Z52" s="891">
        <f>Z51/U51-1</f>
        <v>-0.21301959275197979</v>
      </c>
      <c r="AA52" s="878">
        <f>+AA51/V51-1</f>
        <v>-0.13054710385387891</v>
      </c>
      <c r="AB52" s="891">
        <f>AB51/W51-1</f>
        <v>-0.20683347777068362</v>
      </c>
      <c r="AC52" s="891">
        <f>AC51/X51-1</f>
        <v>5.0724068950096068E-2</v>
      </c>
      <c r="AD52" s="891">
        <f>AD51/Y51-1</f>
        <v>0.44978449292826661</v>
      </c>
      <c r="AE52" s="891">
        <f>AE51/Z51-1</f>
        <v>3.172610608699733E-2</v>
      </c>
      <c r="AF52" s="878">
        <f>+AF51/AA51-1</f>
        <v>6.3226378067416933E-2</v>
      </c>
      <c r="AG52" s="891">
        <f>AG51/AB51-1</f>
        <v>0.19750500154520134</v>
      </c>
      <c r="AH52" s="891">
        <f>AH51/AC51-1</f>
        <v>0.13221728193759685</v>
      </c>
      <c r="AI52" s="891">
        <f>AI51/AD51-1</f>
        <v>3.6545895113502258E-2</v>
      </c>
      <c r="AJ52" s="891">
        <f>AJ51/AE51-1</f>
        <v>0.1143646854985696</v>
      </c>
      <c r="AK52" s="878">
        <f>+AK51/AF51-1</f>
        <v>0.11189161160438865</v>
      </c>
      <c r="AL52" s="891">
        <f>AL51/AG51-1</f>
        <v>8.8105378549513835E-2</v>
      </c>
      <c r="AM52" s="891">
        <f>AM51/AH51-1</f>
        <v>0.20936569004763705</v>
      </c>
      <c r="AN52" s="891">
        <f>AN51/AI51-1</f>
        <v>0.21990893954466495</v>
      </c>
      <c r="AO52" s="891">
        <f>AO51/AJ51-1</f>
        <v>0.16567021808240656</v>
      </c>
      <c r="AP52" s="878">
        <f>+AP51/AK51-1</f>
        <v>0.17422273286898204</v>
      </c>
      <c r="AQ52" s="905"/>
      <c r="AR52" s="905"/>
      <c r="AS52" s="905"/>
      <c r="AT52" s="905"/>
      <c r="AU52" s="905"/>
      <c r="AV52" s="905"/>
      <c r="AY52" s="1042"/>
      <c r="AZ52" s="1042"/>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5"/>
      <c r="BZ52" s="905"/>
      <c r="CA52" s="905"/>
    </row>
    <row r="53" spans="1:79" s="284" customFormat="1" ht="13.5" customHeight="1" x14ac:dyDescent="0.2">
      <c r="A53" s="909"/>
      <c r="B53" s="874" t="s">
        <v>1079</v>
      </c>
      <c r="C53" s="873">
        <f>HLOOKUP(C35,'Auto Operational Figures'!$B$5:$BG$15,6,0)/1000</f>
        <v>140848</v>
      </c>
      <c r="D53" s="873">
        <f>HLOOKUP(D35,'Auto Operational Figures'!$B$5:$BG$15,6,0)/1000</f>
        <v>162583.91403599072</v>
      </c>
      <c r="E53" s="873">
        <f>HLOOKUP(E35,'Auto Operational Figures'!$B$5:$BG$15,6,0)/1000</f>
        <v>183273.679</v>
      </c>
      <c r="F53" s="873">
        <f>HLOOKUP(F35,'Auto Operational Figures'!$B$5:$BG$15,6,0)/1000</f>
        <v>195783.342</v>
      </c>
      <c r="G53" s="645">
        <f>+SUM(C53:F53)</f>
        <v>682488.93503599078</v>
      </c>
      <c r="H53" s="873">
        <f>HLOOKUP(H35,'Auto Operational Figures'!$B$5:$BG$15,6,0)/1000</f>
        <v>163476.99900000001</v>
      </c>
      <c r="I53" s="873">
        <f>HLOOKUP(I35,'Auto Operational Figures'!$B$5:$BG$15,6,0)/1000</f>
        <v>182617.81599999999</v>
      </c>
      <c r="J53" s="873">
        <f>HLOOKUP(J35,'Auto Operational Figures'!$B$5:$BG$15,6,0)/1000</f>
        <v>209050.106</v>
      </c>
      <c r="K53" s="873">
        <f>HLOOKUP(K35,'Auto Operational Figures'!$B$5:$BG$15,6,0)/1000</f>
        <v>210511.05100000001</v>
      </c>
      <c r="L53" s="645">
        <f>+SUM(H53:K53)</f>
        <v>765655.97199999995</v>
      </c>
      <c r="M53" s="873">
        <f>HLOOKUP(M35,'Auto Operational Figures'!$B$5:$BG$15,6,0)/1000</f>
        <v>183672.549</v>
      </c>
      <c r="N53" s="873">
        <f>HLOOKUP(N35,'Auto Operational Figures'!$B$5:$BG$15,6,0)/1000</f>
        <v>215426.712</v>
      </c>
      <c r="O53" s="873">
        <f>HLOOKUP(O35,'Auto Operational Figures'!$B$5:$BG$15,6,0)/1000</f>
        <v>221039.09099999999</v>
      </c>
      <c r="P53" s="873">
        <f>HLOOKUP(P35,'Auto Operational Figures'!$B$5:$BG$15,6,0)/1000</f>
        <v>241840.08899999995</v>
      </c>
      <c r="Q53" s="645">
        <f>+SUM(M53:P53)</f>
        <v>861978.44099999988</v>
      </c>
      <c r="R53" s="873">
        <f>HLOOKUP(R35,'Auto Operational Figures'!$B$5:$BG$15,6,0)/1000</f>
        <v>171622.198</v>
      </c>
      <c r="S53" s="873">
        <f>HLOOKUP(S35,'Auto Operational Figures'!$B$5:$BG$15,6,0)/1000</f>
        <v>60373.783000000003</v>
      </c>
      <c r="T53" s="873">
        <f>HLOOKUP(T35,'Auto Operational Figures'!$B$5:$BG$15,6,0)/1000</f>
        <v>185264.00700000001</v>
      </c>
      <c r="U53" s="873">
        <f>HLOOKUP(U35,'Auto Operational Figures'!$B$5:$BG$15,6,0)/1000</f>
        <v>203052.00700000001</v>
      </c>
      <c r="V53" s="645">
        <f>+SUM(R53:U53)</f>
        <v>620311.995</v>
      </c>
      <c r="W53" s="873">
        <f>HLOOKUP(W35,'Auto Operational Figures'!$B$5:$BG$15,6,0)/1000</f>
        <v>137419.23300000001</v>
      </c>
      <c r="X53" s="873">
        <f>HLOOKUP(X35,'Auto Operational Figures'!$B$5:$BG$15,6,0)/1000</f>
        <v>121411.53</v>
      </c>
      <c r="Y53" s="873">
        <f>HLOOKUP(Y35,'Auto Operational Figures'!$B$5:$BG$15,6,0)/1000</f>
        <v>113637.50599999999</v>
      </c>
      <c r="Z53" s="873">
        <f>HLOOKUP(Z35,'Auto Operational Figures'!$B$5:$BG$15,6,0)/1000</f>
        <v>156694.08499999999</v>
      </c>
      <c r="AA53" s="645">
        <f>+SUM(W53:Z53)</f>
        <v>529162.35399999993</v>
      </c>
      <c r="AB53" s="873">
        <f>HLOOKUP(AB35,'Auto Operational Figures'!$B$5:$BG$15,6,0)/1000</f>
        <v>106370.03200000001</v>
      </c>
      <c r="AC53" s="873">
        <f>HLOOKUP(AC35,'Auto Operational Figures'!$B$5:$BG$15,6,0)/1000</f>
        <v>125059.697</v>
      </c>
      <c r="AD53" s="873">
        <f>HLOOKUP(AD35,'Auto Operational Figures'!$B$5:$BG$15,6,0)/1000</f>
        <v>163033.67800000001</v>
      </c>
      <c r="AE53" s="873">
        <f>HLOOKUP(AE35,'Auto Operational Figures'!$B$5:$BG$15,6,0)/1000</f>
        <v>160421.22700000001</v>
      </c>
      <c r="AF53" s="645">
        <f>+SUM(AB53:AE53)</f>
        <v>554884.63400000008</v>
      </c>
      <c r="AG53" s="873">
        <f>HLOOKUP(AG35,'Auto Operational Figures'!$B$5:$BG$15,6,0)/1000</f>
        <v>128142.26300000001</v>
      </c>
      <c r="AH53" s="873">
        <f>HLOOKUP(AH35,'Auto Operational Figures'!$B$5:$BH$15,6,0)/1000</f>
        <v>141472.60399999999</v>
      </c>
      <c r="AI53" s="873">
        <f>HLOOKUP(AI35,'Auto Operational Figures'!$B$5:$BM$15,6,0)/1000</f>
        <v>171539.61799999999</v>
      </c>
      <c r="AJ53" s="873">
        <f>HLOOKUP(AJ35,'Auto Operational Figures'!$B$5:$BM$15,6,0)/1000</f>
        <v>182304.51500000001</v>
      </c>
      <c r="AK53" s="645">
        <f>+SUM(AG53:AJ53)</f>
        <v>623459</v>
      </c>
      <c r="AL53" s="873">
        <f>HLOOKUP(AL35,'Auto Operational Figures'!$B$5:$BM$15,6,0)/1000</f>
        <v>143945.39300000001</v>
      </c>
      <c r="AM53" s="873">
        <f>HLOOKUP(AM35,'Auto Operational Figures'!$B$5:$BM$15,6,0)/1000</f>
        <v>174959.81400000001</v>
      </c>
      <c r="AN53" s="873">
        <f>HLOOKUP(AN35,'Auto Operational Figures'!$B$5:$BM$15,6,0)/1000</f>
        <v>209792.79</v>
      </c>
      <c r="AO53" s="873">
        <f>HLOOKUP(AO35,'Auto Operational Figures'!$B$5:$BY$15,6,0)/1000</f>
        <v>212965.9</v>
      </c>
      <c r="AP53" s="645">
        <f>+SUM(AL53:AO53)</f>
        <v>741663.89700000011</v>
      </c>
      <c r="AQ53" s="905"/>
      <c r="AR53" s="905"/>
      <c r="AS53" s="905"/>
      <c r="AT53" s="905"/>
      <c r="AU53" s="905"/>
      <c r="AV53" s="905"/>
      <c r="AY53" s="1042"/>
      <c r="AZ53" s="1042"/>
      <c r="BA53" s="905"/>
      <c r="BB53" s="905"/>
      <c r="BC53" s="905"/>
      <c r="BD53" s="905"/>
      <c r="BE53" s="905"/>
      <c r="BF53" s="905"/>
      <c r="BG53" s="905"/>
      <c r="BH53" s="905"/>
      <c r="BI53" s="905"/>
      <c r="BJ53" s="905"/>
      <c r="BK53" s="905"/>
      <c r="BL53" s="905"/>
      <c r="BM53" s="905"/>
      <c r="BN53" s="905"/>
      <c r="BO53" s="905"/>
      <c r="BP53" s="905"/>
      <c r="BQ53" s="905"/>
      <c r="BR53" s="905"/>
      <c r="BS53" s="905"/>
      <c r="BT53" s="905"/>
      <c r="BU53" s="905"/>
      <c r="BV53" s="905"/>
      <c r="BW53" s="905"/>
      <c r="BX53" s="905"/>
      <c r="BY53" s="905"/>
      <c r="BZ53" s="905"/>
      <c r="CA53" s="905"/>
    </row>
    <row r="54" spans="1:79" s="284" customFormat="1" ht="13.5" customHeight="1" x14ac:dyDescent="0.2">
      <c r="A54" s="909"/>
      <c r="B54" s="877" t="s">
        <v>1035</v>
      </c>
      <c r="C54" s="891" t="s">
        <v>47</v>
      </c>
      <c r="D54" s="891" t="s">
        <v>47</v>
      </c>
      <c r="E54" s="891" t="s">
        <v>47</v>
      </c>
      <c r="F54" s="891" t="s">
        <v>47</v>
      </c>
      <c r="G54" s="878" t="s">
        <v>47</v>
      </c>
      <c r="H54" s="891">
        <f>+H53/C53-1</f>
        <v>0.16066255111893679</v>
      </c>
      <c r="I54" s="891">
        <f>+I53/D53-1</f>
        <v>0.12322191947952743</v>
      </c>
      <c r="J54" s="891">
        <f>+J53/E53-1</f>
        <v>0.14064445664344416</v>
      </c>
      <c r="K54" s="891">
        <f>+K53/F53-1</f>
        <v>7.5224525485932281E-2</v>
      </c>
      <c r="L54" s="878">
        <f t="shared" ref="L54:AP54" si="67">+L53/G53-1</f>
        <v>0.12185844003408408</v>
      </c>
      <c r="M54" s="891">
        <f t="shared" si="67"/>
        <v>0.12353756261454252</v>
      </c>
      <c r="N54" s="891">
        <f t="shared" si="67"/>
        <v>0.17965879079399349</v>
      </c>
      <c r="O54" s="891">
        <f t="shared" si="67"/>
        <v>5.7349815455247866E-2</v>
      </c>
      <c r="P54" s="891">
        <f t="shared" si="67"/>
        <v>0.14882372137318312</v>
      </c>
      <c r="Q54" s="878">
        <f t="shared" si="67"/>
        <v>0.12580384993065774</v>
      </c>
      <c r="R54" s="891">
        <f t="shared" si="67"/>
        <v>-6.5607795316217854E-2</v>
      </c>
      <c r="S54" s="891">
        <f t="shared" si="67"/>
        <v>-0.71974792522479758</v>
      </c>
      <c r="T54" s="891">
        <f t="shared" si="67"/>
        <v>-0.16184957981029691</v>
      </c>
      <c r="U54" s="891">
        <f t="shared" si="67"/>
        <v>-0.16038731279163543</v>
      </c>
      <c r="V54" s="878">
        <f t="shared" si="67"/>
        <v>-0.2803625177906276</v>
      </c>
      <c r="W54" s="891">
        <f t="shared" si="67"/>
        <v>-0.19929219762119577</v>
      </c>
      <c r="X54" s="891">
        <f t="shared" si="67"/>
        <v>1.0109975550148977</v>
      </c>
      <c r="Y54" s="891">
        <f t="shared" si="67"/>
        <v>-0.38661854593267009</v>
      </c>
      <c r="Z54" s="891">
        <f t="shared" si="67"/>
        <v>-0.22830565767320887</v>
      </c>
      <c r="AA54" s="878">
        <f t="shared" si="67"/>
        <v>-0.14694160637664289</v>
      </c>
      <c r="AB54" s="891">
        <f t="shared" si="67"/>
        <v>-0.22594509023347553</v>
      </c>
      <c r="AC54" s="891">
        <f t="shared" si="67"/>
        <v>3.0047945199273896E-2</v>
      </c>
      <c r="AD54" s="891">
        <f t="shared" si="67"/>
        <v>0.43468194382935521</v>
      </c>
      <c r="AE54" s="891">
        <f t="shared" si="67"/>
        <v>2.3786105263641666E-2</v>
      </c>
      <c r="AF54" s="878">
        <f t="shared" si="67"/>
        <v>4.8609429233887225E-2</v>
      </c>
      <c r="AG54" s="891">
        <f t="shared" si="67"/>
        <v>0.2046838812646028</v>
      </c>
      <c r="AH54" s="891">
        <f t="shared" si="67"/>
        <v>0.13124057864941086</v>
      </c>
      <c r="AI54" s="891">
        <f t="shared" si="67"/>
        <v>5.2172901356000612E-2</v>
      </c>
      <c r="AJ54" s="891">
        <f t="shared" si="67"/>
        <v>0.13641142390713656</v>
      </c>
      <c r="AK54" s="878">
        <f t="shared" si="67"/>
        <v>0.12358310502431369</v>
      </c>
      <c r="AL54" s="891">
        <f t="shared" si="67"/>
        <v>0.12332488618528625</v>
      </c>
      <c r="AM54" s="891">
        <f t="shared" si="67"/>
        <v>0.23670455659386902</v>
      </c>
      <c r="AN54" s="891">
        <f t="shared" si="67"/>
        <v>0.22299905086648852</v>
      </c>
      <c r="AO54" s="891">
        <f t="shared" si="67"/>
        <v>0.16818774345769749</v>
      </c>
      <c r="AP54" s="878">
        <f t="shared" si="67"/>
        <v>0.18959530137507064</v>
      </c>
      <c r="AQ54" s="905"/>
      <c r="AR54" s="905"/>
      <c r="AS54" s="905"/>
      <c r="AT54" s="905"/>
      <c r="AU54" s="905"/>
      <c r="AV54" s="905"/>
      <c r="AY54" s="1042"/>
      <c r="AZ54" s="1042"/>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row>
    <row r="55" spans="1:79" s="284" customFormat="1" ht="13.5" customHeight="1" x14ac:dyDescent="0.2">
      <c r="A55" s="909"/>
      <c r="B55" s="874" t="s">
        <v>1036</v>
      </c>
      <c r="C55" s="873">
        <f>HLOOKUP(C35,'Auto Operational Figures'!$B$5:$BG$15,7,0)/1000</f>
        <v>5628</v>
      </c>
      <c r="D55" s="873">
        <f>HLOOKUP(D35,'Auto Operational Figures'!$B$5:$BG$15,7,0)/1000</f>
        <v>9563.4590000000007</v>
      </c>
      <c r="E55" s="873">
        <f>HLOOKUP(E35,'Auto Operational Figures'!$B$5:$BG$15,7,0)/1000</f>
        <v>7795.67</v>
      </c>
      <c r="F55" s="873">
        <f>HLOOKUP(F35,'Auto Operational Figures'!$B$5:$BG$15,7,0)/1000</f>
        <v>8454.8169999999991</v>
      </c>
      <c r="G55" s="645">
        <f>+SUM(C55:F55)</f>
        <v>31441.946</v>
      </c>
      <c r="H55" s="873">
        <f>HLOOKUP(H35,'Auto Operational Figures'!$B$5:$BG$15,7,0)/1000</f>
        <v>8279.3950000000004</v>
      </c>
      <c r="I55" s="873">
        <f>HLOOKUP(I35,'Auto Operational Figures'!$B$5:$BG$15,7,0)/1000</f>
        <v>7387.6090000000004</v>
      </c>
      <c r="J55" s="873">
        <f>HLOOKUP(J35,'Auto Operational Figures'!$B$5:$BG$15,7,0)/1000</f>
        <v>5900.1260000000002</v>
      </c>
      <c r="K55" s="873">
        <f>HLOOKUP(K35,'Auto Operational Figures'!$B$5:$BG$15,7,0)/1000</f>
        <v>4212.5990000000002</v>
      </c>
      <c r="L55" s="645">
        <f>+SUM(H55:K55)</f>
        <v>25779.728999999999</v>
      </c>
      <c r="M55" s="873">
        <f>HLOOKUP(M35,'Auto Operational Figures'!$B$5:$BG$15,7,0)/1000</f>
        <v>5073.6610000000001</v>
      </c>
      <c r="N55" s="873">
        <f>HLOOKUP(N35,'Auto Operational Figures'!$B$5:$BG$15,7,0)/1000</f>
        <v>4779.2380000000003</v>
      </c>
      <c r="O55" s="873">
        <f>HLOOKUP(O35,'Auto Operational Figures'!$B$5:$BG$15,7,0)/1000</f>
        <v>5136.9229999999998</v>
      </c>
      <c r="P55" s="873">
        <f>HLOOKUP(P35,'Auto Operational Figures'!$B$5:$BG$15,7,0)/1000</f>
        <v>3929.0369999999998</v>
      </c>
      <c r="Q55" s="645">
        <f>+SUM(M55:P55)</f>
        <v>18918.859</v>
      </c>
      <c r="R55" s="873">
        <f>HLOOKUP(R35,'Auto Operational Figures'!$B$5:$BG$15,7,0)/1000</f>
        <v>4282.92</v>
      </c>
      <c r="S55" s="873">
        <f>HLOOKUP(S35,'Auto Operational Figures'!$B$5:$BG$15,7,0)/1000</f>
        <v>796.93499999999995</v>
      </c>
      <c r="T55" s="873">
        <f>HLOOKUP(T35,'Auto Operational Figures'!$B$5:$BG$15,7,0)/1000</f>
        <v>4677.1980000000003</v>
      </c>
      <c r="U55" s="873">
        <f>HLOOKUP(U35,'Auto Operational Figures'!$B$5:$BG$15,7,0)/1000</f>
        <v>5666.5029999999997</v>
      </c>
      <c r="V55" s="645">
        <f>+SUM(R55:U55)</f>
        <v>15423.556</v>
      </c>
      <c r="W55" s="873">
        <f>HLOOKUP(W35,'Auto Operational Figures'!$B$5:$BG$15,7,0)/1000</f>
        <v>6558.9920000000002</v>
      </c>
      <c r="X55" s="873">
        <f>HLOOKUP(X35,'Auto Operational Figures'!$B$5:$BG$15,7,0)/1000</f>
        <v>5033.1959999999999</v>
      </c>
      <c r="Y55" s="873">
        <f>HLOOKUP(Y35,'Auto Operational Figures'!$B$5:$BG$15,7,0)/1000</f>
        <v>4424.2809999999999</v>
      </c>
      <c r="Z55" s="873">
        <f>HLOOKUP(Z35,'Auto Operational Figures'!$B$5:$BG$15,7,0)/1000</f>
        <v>7563.2929999999997</v>
      </c>
      <c r="AA55" s="645">
        <f>+SUM(W55:Z55)</f>
        <v>23579.762000000002</v>
      </c>
      <c r="AB55" s="873">
        <f>HLOOKUP(AB35,'Auto Operational Figures'!$B$5:$BG$15,7,0)/1000</f>
        <v>7828.6760000000004</v>
      </c>
      <c r="AC55" s="873">
        <f>HLOOKUP(AC35,'Auto Operational Figures'!$B$5:$BG$15,7,0)/1000</f>
        <v>7798.82</v>
      </c>
      <c r="AD55" s="873">
        <f>HLOOKUP(AD35,'Auto Operational Figures'!$B$5:$BG$15,7,0)/1000</f>
        <v>8130.47</v>
      </c>
      <c r="AE55" s="873">
        <f>HLOOKUP(AE35,'Auto Operational Figures'!$B$5:$BG$15,7,0)/1000</f>
        <v>9047.3979999999992</v>
      </c>
      <c r="AF55" s="645">
        <f>+SUM(AB55:AE55)</f>
        <v>32805.364000000001</v>
      </c>
      <c r="AG55" s="873">
        <f>HLOOKUP(AG35,'Auto Operational Figures'!$B$5:$BG$15,7,0)/1000</f>
        <v>8611.2610000000004</v>
      </c>
      <c r="AH55" s="873">
        <f>HLOOKUP(AH35,'Auto Operational Figures'!$B$5:$BH$15,7,0)/1000</f>
        <v>8952.1049999999996</v>
      </c>
      <c r="AI55" s="873">
        <f>HLOOKUP(AI35,'Auto Operational Figures'!$B$5:$BM$15,7,0)/1000</f>
        <v>5879.8770000000004</v>
      </c>
      <c r="AJ55" s="873">
        <f>HLOOKUP(AJ35,'Auto Operational Figures'!$B$5:$BM$15,7,0)/1000</f>
        <v>6545.3360000000002</v>
      </c>
      <c r="AK55" s="645">
        <f>+SUM(AG55:AJ55)</f>
        <v>29988.579000000002</v>
      </c>
      <c r="AL55" s="873">
        <f>HLOOKUP(AL35,'Auto Operational Figures'!$B$5:$BM$15,7,0)/1000</f>
        <v>4856.8519999999999</v>
      </c>
      <c r="AM55" s="873">
        <f>HLOOKUP(AM35,'Auto Operational Figures'!$B$5:$BM$15,7,0)/1000</f>
        <v>6958.6679999999997</v>
      </c>
      <c r="AN55" s="873">
        <f>HLOOKUP(AN35,'Auto Operational Figures'!$B$5:$BM$15,7,0)/1000</f>
        <v>6642.8379999999997</v>
      </c>
      <c r="AO55" s="873">
        <f>HLOOKUP(AO35,'Auto Operational Figures'!$B$5:$BY$15,7,0)/1000</f>
        <v>7170.7470000000003</v>
      </c>
      <c r="AP55" s="645">
        <f>+SUM(AL55:AO55)</f>
        <v>25629.105</v>
      </c>
      <c r="AQ55" s="905"/>
      <c r="AR55" s="905"/>
      <c r="AS55" s="905"/>
      <c r="AT55" s="905"/>
      <c r="AU55" s="905"/>
      <c r="AV55" s="905"/>
      <c r="AY55" s="1042"/>
      <c r="AZ55" s="1042"/>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5"/>
      <c r="BZ55" s="905"/>
      <c r="CA55" s="905"/>
    </row>
    <row r="56" spans="1:79" s="284" customFormat="1" ht="13.5" customHeight="1" x14ac:dyDescent="0.2">
      <c r="A56" s="909"/>
      <c r="B56" s="920" t="s">
        <v>1035</v>
      </c>
      <c r="C56" s="918" t="s">
        <v>47</v>
      </c>
      <c r="D56" s="918" t="s">
        <v>47</v>
      </c>
      <c r="E56" s="918" t="s">
        <v>47</v>
      </c>
      <c r="F56" s="918" t="s">
        <v>47</v>
      </c>
      <c r="G56" s="917" t="s">
        <v>47</v>
      </c>
      <c r="H56" s="918">
        <f>+H55/C55-1</f>
        <v>0.47110785358919705</v>
      </c>
      <c r="I56" s="918">
        <f>+I55/D55-1</f>
        <v>-0.22751705214609064</v>
      </c>
      <c r="J56" s="918">
        <f>+J55/E55-1</f>
        <v>-0.24315344287277418</v>
      </c>
      <c r="K56" s="918">
        <f>+K55/F55-1</f>
        <v>-0.5017516050317824</v>
      </c>
      <c r="L56" s="917">
        <f t="shared" ref="L56:AP56" si="68">+L55/G55-1</f>
        <v>-0.18008481408879717</v>
      </c>
      <c r="M56" s="918">
        <f t="shared" si="68"/>
        <v>-0.38719423339507297</v>
      </c>
      <c r="N56" s="918">
        <f t="shared" si="68"/>
        <v>-0.35307377529048978</v>
      </c>
      <c r="O56" s="918">
        <f t="shared" si="68"/>
        <v>-0.1293536782095841</v>
      </c>
      <c r="P56" s="918">
        <f t="shared" si="68"/>
        <v>-6.7312839413388392E-2</v>
      </c>
      <c r="Q56" s="917">
        <f t="shared" si="68"/>
        <v>-0.2661342948950316</v>
      </c>
      <c r="R56" s="918">
        <f t="shared" si="68"/>
        <v>-0.15585215488382054</v>
      </c>
      <c r="S56" s="918">
        <f t="shared" si="68"/>
        <v>-0.83325061442849258</v>
      </c>
      <c r="T56" s="918">
        <f t="shared" si="68"/>
        <v>-8.9494236140973737E-2</v>
      </c>
      <c r="U56" s="918">
        <f t="shared" si="68"/>
        <v>0.4422116666246716</v>
      </c>
      <c r="V56" s="917">
        <f t="shared" si="68"/>
        <v>-0.18475231513697521</v>
      </c>
      <c r="W56" s="918">
        <f t="shared" si="68"/>
        <v>0.53142995899993473</v>
      </c>
      <c r="X56" s="918">
        <f t="shared" si="68"/>
        <v>5.3156919949556745</v>
      </c>
      <c r="Y56" s="918">
        <f t="shared" si="68"/>
        <v>-5.4074469372474843E-2</v>
      </c>
      <c r="Z56" s="918">
        <f t="shared" si="68"/>
        <v>0.33473731506009963</v>
      </c>
      <c r="AA56" s="917">
        <f t="shared" si="68"/>
        <v>0.52881488549073907</v>
      </c>
      <c r="AB56" s="918">
        <f t="shared" si="68"/>
        <v>0.19357913533055071</v>
      </c>
      <c r="AC56" s="918">
        <f t="shared" si="68"/>
        <v>0.54947671419908928</v>
      </c>
      <c r="AD56" s="918">
        <f t="shared" si="68"/>
        <v>0.83769294943065331</v>
      </c>
      <c r="AE56" s="918">
        <f t="shared" si="68"/>
        <v>0.19622471323007051</v>
      </c>
      <c r="AF56" s="917">
        <f t="shared" si="68"/>
        <v>0.39125085316806829</v>
      </c>
      <c r="AG56" s="918">
        <f t="shared" si="68"/>
        <v>9.9963901942039746E-2</v>
      </c>
      <c r="AH56" s="918">
        <f t="shared" si="68"/>
        <v>0.14787942278447241</v>
      </c>
      <c r="AI56" s="918">
        <f t="shared" si="68"/>
        <v>-0.27680970472801691</v>
      </c>
      <c r="AJ56" s="918">
        <f t="shared" si="68"/>
        <v>-0.27655045130102596</v>
      </c>
      <c r="AK56" s="917">
        <f t="shared" si="68"/>
        <v>-8.5863549631700509E-2</v>
      </c>
      <c r="AL56" s="918">
        <f t="shared" si="68"/>
        <v>-0.43598829486180946</v>
      </c>
      <c r="AM56" s="918">
        <f t="shared" si="68"/>
        <v>-0.22267801818678401</v>
      </c>
      <c r="AN56" s="918">
        <f t="shared" si="68"/>
        <v>0.12975798643406988</v>
      </c>
      <c r="AO56" s="918">
        <f t="shared" si="68"/>
        <v>9.5550633305914401E-2</v>
      </c>
      <c r="AP56" s="917">
        <f t="shared" si="68"/>
        <v>-0.14537114279406171</v>
      </c>
      <c r="AQ56" s="905"/>
      <c r="AR56" s="905"/>
      <c r="AS56" s="905"/>
      <c r="AT56" s="905"/>
      <c r="AU56" s="905"/>
      <c r="AV56" s="905"/>
      <c r="AY56" s="1042"/>
      <c r="AZ56" s="1042"/>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row>
    <row r="57" spans="1:79" s="901" customFormat="1" ht="13.5" customHeight="1" x14ac:dyDescent="0.2">
      <c r="A57" s="24"/>
      <c r="B57" s="904" t="s">
        <v>1080</v>
      </c>
      <c r="C57" s="881">
        <f>HLOOKUP(C35,'Auto Operational Figures'!$B$5:$BG$15,8,0)</f>
        <v>891.01117444173417</v>
      </c>
      <c r="D57" s="881">
        <f>HLOOKUP(D35,'Auto Operational Figures'!$B$5:$BG$15,8,0)</f>
        <v>939.75627124782716</v>
      </c>
      <c r="E57" s="881">
        <f>HLOOKUP(E35,'Auto Operational Figures'!$B$5:$BG$15,8,0)</f>
        <v>978.07225381744843</v>
      </c>
      <c r="F57" s="881">
        <f>HLOOKUP(F35,'Auto Operational Figures'!$B$5:$BG$15,8,0)</f>
        <v>966.0578722317349</v>
      </c>
      <c r="G57" s="646">
        <f>+SUMPRODUCT(C57:F57,C42:F42)/SUM(C42:F42)</f>
        <v>946.42739580799548</v>
      </c>
      <c r="H57" s="881">
        <f>HLOOKUP(H35,'Auto Operational Figures'!$B$5:$BG$15,8,0)</f>
        <v>969.2197098374254</v>
      </c>
      <c r="I57" s="881">
        <f>HLOOKUP(I35,'Auto Operational Figures'!$B$5:$BG$15,8,0)</f>
        <v>979.99032931892611</v>
      </c>
      <c r="J57" s="881">
        <f>HLOOKUP(J35,'Auto Operational Figures'!$B$5:$BG$15,8,0)</f>
        <v>1039.9643524118244</v>
      </c>
      <c r="K57" s="881">
        <f>HLOOKUP(K35,'Auto Operational Figures'!$B$5:$BG$15,8,0)</f>
        <v>1054.4949834746865</v>
      </c>
      <c r="L57" s="646">
        <f>+L51*1000/L42</f>
        <v>1012.8263811838298</v>
      </c>
      <c r="M57" s="881">
        <f>HLOOKUP(M35,'Auto Operational Figures'!$B$5:$BG$15,8,0)</f>
        <v>1052.5370695664296</v>
      </c>
      <c r="N57" s="881">
        <f>HLOOKUP(N35,'Auto Operational Figures'!$B$5:$BG$15,8,0)</f>
        <v>1057.7721576143608</v>
      </c>
      <c r="O57" s="881">
        <f>HLOOKUP(O35,'Auto Operational Figures'!$B$5:$BG$15,8,0)</f>
        <v>1106.0114035902727</v>
      </c>
      <c r="P57" s="881">
        <f>HLOOKUP(P35,'Auto Operational Figures'!$B$5:$BG$15,8,0)</f>
        <v>1071.9824396116298</v>
      </c>
      <c r="Q57" s="646">
        <f>+Q51*1000/Q42</f>
        <v>1072.6076903126509</v>
      </c>
      <c r="R57" s="881">
        <f>HLOOKUP(R35,'Auto Operational Figures'!$B$5:$BG$15,8,0)</f>
        <v>1122.6027671767904</v>
      </c>
      <c r="S57" s="881">
        <f>HLOOKUP(S35,'Auto Operational Figures'!$B$5:$BG$15,8,0)</f>
        <v>1079.953356166802</v>
      </c>
      <c r="T57" s="881">
        <f>HLOOKUP(T35,'Auto Operational Figures'!$B$5:$BG$15,8,0)</f>
        <v>1174.2016357364523</v>
      </c>
      <c r="U57" s="881">
        <f>HLOOKUP(U35,'Auto Operational Figures'!$B$5:$BG$15,8,0)</f>
        <v>1123.5923234280792</v>
      </c>
      <c r="V57" s="646">
        <f>+V51*1000/V42</f>
        <v>1133.5053632113654</v>
      </c>
      <c r="W57" s="881">
        <f>HLOOKUP(W35,'Auto Operational Figures'!$B$5:$BG$15,8,0)</f>
        <v>1048.5632874517514</v>
      </c>
      <c r="X57" s="881">
        <f>HLOOKUP(X35,'Auto Operational Figures'!$B$5:$BG$15,8,0)</f>
        <v>989.44954731479811</v>
      </c>
      <c r="Y57" s="881">
        <f>HLOOKUP(Y35,'Auto Operational Figures'!$B$5:$BG$15,8,0)</f>
        <v>1036.7300994915656</v>
      </c>
      <c r="Z57" s="881">
        <f>HLOOKUP(Z35,'Auto Operational Figures'!$B$5:$BG$15,8,0)</f>
        <v>1106.8332715645911</v>
      </c>
      <c r="AA57" s="646">
        <f>+AA51*1000/AA42</f>
        <v>1048.0808441650786</v>
      </c>
      <c r="AB57" s="881">
        <f>HLOOKUP(AB35,'Auto Operational Figures'!$B$5:$BG$15,8,0)</f>
        <v>978.63356528296708</v>
      </c>
      <c r="AC57" s="881">
        <f>HLOOKUP(AC35,'Auto Operational Figures'!$B$5:$BG$15,8,0)</f>
        <v>964.9034214291421</v>
      </c>
      <c r="AD57" s="881">
        <f>HLOOKUP(AD35,'Auto Operational Figures'!$B$5:$BG$15,8,0)</f>
        <v>1030.6995291028868</v>
      </c>
      <c r="AE57" s="881">
        <f>HLOOKUP(AE35,'Auto Operational Figures'!$B$5:$BG$15,8,0)</f>
        <v>1027.7054275318376</v>
      </c>
      <c r="AF57" s="646">
        <f>+AF51*1000/AF42</f>
        <v>1003.9993200637568</v>
      </c>
      <c r="AG57" s="881">
        <f>HLOOKUP(AG35,'Auto Operational Figures'!$B$5:$BG$15,8,0)</f>
        <v>992.32662124213596</v>
      </c>
      <c r="AH57" s="881">
        <f>HLOOKUP(AH35,'Auto Operational Figures'!$B$5:$BH$15,8,0)</f>
        <v>957.99712775442617</v>
      </c>
      <c r="AI57" s="881">
        <f>HLOOKUP(AI35,'Auto Operational Figures'!$B$5:$BM$15,8,0)</f>
        <v>1045.365867310865</v>
      </c>
      <c r="AJ57" s="881">
        <f>HLOOKUP(AJ35,'Auto Operational Figures'!$B$5:$BM$15,8,0)</f>
        <v>1077.27063272943</v>
      </c>
      <c r="AK57" s="646">
        <f>+AK51*1000/AK42</f>
        <v>1021.2432176039885</v>
      </c>
      <c r="AL57" s="881">
        <f>HLOOKUP(AL35,'Auto Operational Figures'!$B$5:$BM$15,8,0)</f>
        <v>1060.6609428905426</v>
      </c>
      <c r="AM57" s="881">
        <f>HLOOKUP(AM35,'Auto Operational Figures'!$B$5:$BM$15,8,0)</f>
        <v>1088.8236751696813</v>
      </c>
      <c r="AN57" s="881">
        <f>HLOOKUP(AN35,'Auto Operational Figures'!$B$5:$BM$15,8,0)</f>
        <v>1067.0053242886158</v>
      </c>
      <c r="AO57" s="881">
        <f>HLOOKUP(AO35,'Auto Operational Figures'!$B$5:$BY$15,8,0)</f>
        <v>1091.7472834846778</v>
      </c>
      <c r="AP57" s="646">
        <f>+AP51*1000/AP42</f>
        <v>1077.8842791539241</v>
      </c>
      <c r="AQ57" s="902"/>
      <c r="AR57" s="902"/>
      <c r="AS57" s="902"/>
      <c r="AT57" s="902"/>
      <c r="AU57" s="902"/>
      <c r="AV57" s="902"/>
      <c r="AY57" s="1043"/>
      <c r="AZ57" s="1043"/>
      <c r="BA57" s="902"/>
      <c r="BB57" s="902"/>
      <c r="BC57" s="902"/>
      <c r="BD57" s="902"/>
      <c r="BE57" s="902"/>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row>
    <row r="58" spans="1:79" s="867" customFormat="1" ht="13.5" customHeight="1" x14ac:dyDescent="0.2">
      <c r="A58" s="872"/>
      <c r="B58" s="877" t="s">
        <v>1035</v>
      </c>
      <c r="C58" s="891" t="s">
        <v>47</v>
      </c>
      <c r="D58" s="891" t="s">
        <v>47</v>
      </c>
      <c r="E58" s="891" t="s">
        <v>47</v>
      </c>
      <c r="F58" s="891" t="s">
        <v>47</v>
      </c>
      <c r="G58" s="915" t="s">
        <v>47</v>
      </c>
      <c r="H58" s="891">
        <f>H57/C57-1</f>
        <v>8.7775033174744443E-2</v>
      </c>
      <c r="I58" s="891">
        <f>I57/D57-1</f>
        <v>4.2813290320133035E-2</v>
      </c>
      <c r="J58" s="891">
        <f>J57/E57-1</f>
        <v>6.327967934148937E-2</v>
      </c>
      <c r="K58" s="891">
        <f>K57/F57-1</f>
        <v>9.1544320257593848E-2</v>
      </c>
      <c r="L58" s="878">
        <f>+L57/G57-1</f>
        <v>7.0157505657522989E-2</v>
      </c>
      <c r="M58" s="891">
        <f>M57/H57-1</f>
        <v>8.5963336159331494E-2</v>
      </c>
      <c r="N58" s="891">
        <f>N57/I57-1</f>
        <v>7.9369995772806901E-2</v>
      </c>
      <c r="O58" s="891">
        <f>O57/J57-1</f>
        <v>6.3508956845757192E-2</v>
      </c>
      <c r="P58" s="891">
        <f>P57/K57-1</f>
        <v>1.6583726249052466E-2</v>
      </c>
      <c r="Q58" s="878">
        <f>+Q57/L57-1</f>
        <v>5.9024241705618374E-2</v>
      </c>
      <c r="R58" s="891">
        <f>R57/M57-1</f>
        <v>6.656838950026045E-2</v>
      </c>
      <c r="S58" s="891">
        <f>S57/N57-1</f>
        <v>2.096973189620277E-2</v>
      </c>
      <c r="T58" s="891">
        <f>T57/O57-1</f>
        <v>6.1654185413300588E-2</v>
      </c>
      <c r="U58" s="891">
        <f>U57/P57-1</f>
        <v>4.814433698666476E-2</v>
      </c>
      <c r="V58" s="878">
        <f>+V57/Q57-1</f>
        <v>5.6775346148193018E-2</v>
      </c>
      <c r="W58" s="891">
        <f>W57/R57-1</f>
        <v>-6.5953409246655714E-2</v>
      </c>
      <c r="X58" s="891">
        <f>X57/S57-1</f>
        <v>-8.3803442375732895E-2</v>
      </c>
      <c r="Y58" s="891">
        <f>Y57/T57-1</f>
        <v>-0.1170766008673334</v>
      </c>
      <c r="Z58" s="891">
        <f>Z57/U57-1</f>
        <v>-1.4915598401701646E-2</v>
      </c>
      <c r="AA58" s="878">
        <f>+AA57/V57-1</f>
        <v>-7.53631361780841E-2</v>
      </c>
      <c r="AB58" s="891">
        <f>AB57/W57-1</f>
        <v>-6.6690988522714267E-2</v>
      </c>
      <c r="AC58" s="891">
        <f>AC57/X57-1</f>
        <v>-2.4807860039220975E-2</v>
      </c>
      <c r="AD58" s="891">
        <f>AD57/Y57-1</f>
        <v>-5.8169145389299626E-3</v>
      </c>
      <c r="AE58" s="891">
        <f>AE57/Z57-1</f>
        <v>-7.1490301263622436E-2</v>
      </c>
      <c r="AF58" s="878">
        <f>+AF57/AA57-1</f>
        <v>-4.2059278486706764E-2</v>
      </c>
      <c r="AG58" s="891">
        <f>AG57/AB57-1</f>
        <v>1.399201544370654E-2</v>
      </c>
      <c r="AH58" s="891">
        <f>AH57/AC57-1</f>
        <v>-7.1574973425700961E-3</v>
      </c>
      <c r="AI58" s="891">
        <f>AI57/AD57-1</f>
        <v>1.422949928069106E-2</v>
      </c>
      <c r="AJ58" s="891">
        <f>AJ57/AE57-1</f>
        <v>4.8229000129569544E-2</v>
      </c>
      <c r="AK58" s="878">
        <f>+AK57/AF57-1</f>
        <v>1.7175208384739404E-2</v>
      </c>
      <c r="AL58" s="891">
        <f>AL57/AG57-1</f>
        <v>6.8862731469271576E-2</v>
      </c>
      <c r="AM58" s="891">
        <f>AM57/AH57-1</f>
        <v>0.13656256749111195</v>
      </c>
      <c r="AN58" s="891">
        <f>AN57/AI57-1</f>
        <v>2.0700366880560983E-2</v>
      </c>
      <c r="AO58" s="891">
        <f>AO57/AJ57-1</f>
        <v>1.3438267335450282E-2</v>
      </c>
      <c r="AP58" s="878">
        <f>+AP57/AK57-1</f>
        <v>5.5462852113549621E-2</v>
      </c>
      <c r="AQ58" s="868"/>
      <c r="AR58" s="868"/>
      <c r="AS58" s="868"/>
      <c r="AT58" s="868"/>
      <c r="AU58" s="868"/>
      <c r="AV58" s="868"/>
      <c r="AY58" s="1041"/>
      <c r="AZ58" s="1041"/>
      <c r="BA58" s="868"/>
      <c r="BB58" s="868"/>
      <c r="BC58" s="868"/>
      <c r="BD58" s="868"/>
      <c r="BE58" s="868"/>
      <c r="BF58" s="868"/>
      <c r="BG58" s="868"/>
      <c r="BH58" s="868"/>
      <c r="BI58" s="868"/>
      <c r="BJ58" s="868"/>
      <c r="BK58" s="868"/>
      <c r="BL58" s="868"/>
      <c r="BM58" s="868"/>
      <c r="BN58" s="868"/>
      <c r="BO58" s="868"/>
      <c r="BP58" s="868"/>
      <c r="BQ58" s="868"/>
      <c r="BR58" s="868"/>
      <c r="BS58" s="868"/>
      <c r="BT58" s="868"/>
      <c r="BU58" s="868"/>
      <c r="BV58" s="868"/>
      <c r="BW58" s="868"/>
      <c r="BX58" s="868"/>
      <c r="BY58" s="868"/>
      <c r="BZ58" s="868"/>
      <c r="CA58" s="868"/>
    </row>
    <row r="59" spans="1:79" ht="13.5" customHeight="1" x14ac:dyDescent="0.2">
      <c r="A59" s="24"/>
      <c r="B59" s="874" t="s">
        <v>1079</v>
      </c>
      <c r="C59" s="873">
        <f>HLOOKUP(C35,'Auto Operational Figures'!$B$5:$BG$15,9,0)</f>
        <v>1128.3998686118521</v>
      </c>
      <c r="D59" s="873">
        <f>HLOOKUP(D35,'Auto Operational Figures'!$B$5:$BG$15,9,0)</f>
        <v>1163.0416192342245</v>
      </c>
      <c r="E59" s="873">
        <f>HLOOKUP(E35,'Auto Operational Figures'!$B$5:$BG$15,9,0)</f>
        <v>1143.644957380159</v>
      </c>
      <c r="F59" s="873">
        <f>HLOOKUP(F35,'Auto Operational Figures'!$B$5:$BG$15,9,0)</f>
        <v>1159.3868702181585</v>
      </c>
      <c r="G59" s="906">
        <f>+G53*1000/G45</f>
        <v>1149.4840880796835</v>
      </c>
      <c r="H59" s="873">
        <f>HLOOKUP(H35,'Auto Operational Figures'!$B$5:$BG$15,9,0)</f>
        <v>1208.3718243438025</v>
      </c>
      <c r="I59" s="873">
        <f>HLOOKUP(I35,'Auto Operational Figures'!$B$5:$BG$15,9,0)</f>
        <v>1175.2905181457193</v>
      </c>
      <c r="J59" s="873">
        <f>HLOOKUP(J35,'Auto Operational Figures'!$B$5:$BG$15,9,0)</f>
        <v>1175.7532634799579</v>
      </c>
      <c r="K59" s="873">
        <f>HLOOKUP(K35,'Auto Operational Figures'!$B$5:$BG$15,9,0)</f>
        <v>1136.0369287059573</v>
      </c>
      <c r="L59" s="645">
        <f>+L53*1000/L45</f>
        <v>1171.1360719027427</v>
      </c>
      <c r="M59" s="873">
        <f>HLOOKUP(M35,'Auto Operational Figures'!$B$5:$BG$15,9,0)</f>
        <v>1182.7560273549184</v>
      </c>
      <c r="N59" s="873">
        <f>HLOOKUP(N35,'Auto Operational Figures'!$B$5:$BG$15,9,0)</f>
        <v>1186.5840750859259</v>
      </c>
      <c r="O59" s="873">
        <f>HLOOKUP(O35,'Auto Operational Figures'!$B$5:$BG$15,9,0)</f>
        <v>1229.675506525585</v>
      </c>
      <c r="P59" s="873">
        <f>HLOOKUP(P35,'Auto Operational Figures'!$B$5:$BG$15,9,0)</f>
        <v>1160.5668894956832</v>
      </c>
      <c r="Q59" s="645">
        <f>+Q53*1000/Q45</f>
        <v>1188.970219827057</v>
      </c>
      <c r="R59" s="873">
        <f>HLOOKUP(R35,'Auto Operational Figures'!$B$5:$BG$15,9,0)</f>
        <v>1266.9584969732762</v>
      </c>
      <c r="S59" s="873">
        <f>HLOOKUP(S35,'Auto Operational Figures'!$B$5:$BG$15,9,0)</f>
        <v>1165.4720474112969</v>
      </c>
      <c r="T59" s="873">
        <f>HLOOKUP(T35,'Auto Operational Figures'!$B$5:$BG$15,9,0)</f>
        <v>1317.5734798378494</v>
      </c>
      <c r="U59" s="873">
        <f>HLOOKUP(U35,'Auto Operational Figures'!$B$5:$BG$15,9,0)</f>
        <v>1303.1608445913423</v>
      </c>
      <c r="V59" s="645">
        <f>+V53*1000/V45</f>
        <v>1282.4657164654002</v>
      </c>
      <c r="W59" s="873">
        <f>HLOOKUP(W35,'Auto Operational Figures'!$B$5:$BG$15,9,0)</f>
        <v>1198.4723186408748</v>
      </c>
      <c r="X59" s="873">
        <f>HLOOKUP(X35,'Auto Operational Figures'!$B$5:$BG$15,9,0)</f>
        <v>1160.2118571182846</v>
      </c>
      <c r="Y59" s="873">
        <f>HLOOKUP(Y35,'Auto Operational Figures'!$B$5:$BG$15,9,0)</f>
        <v>1178.506673580503</v>
      </c>
      <c r="Z59" s="873">
        <f>HLOOKUP(Z35,'Auto Operational Figures'!$B$5:$BG$15,9,0)</f>
        <v>1238.6590436590436</v>
      </c>
      <c r="AA59" s="645">
        <f>+AA53*1000/AA45</f>
        <v>1196.5610081494947</v>
      </c>
      <c r="AB59" s="873">
        <f>HLOOKUP(AB35,'Auto Operational Figures'!$B$5:$BG$15,9,0)</f>
        <v>1164.9329974811083</v>
      </c>
      <c r="AC59" s="873">
        <f>HLOOKUP(AC35,'Auto Operational Figures'!$B$5:$BG$15,9,0)</f>
        <v>1160.2591895051305</v>
      </c>
      <c r="AD59" s="873">
        <f>HLOOKUP(AD35,'Auto Operational Figures'!$B$5:$BG$15,9,0)</f>
        <v>1199.7739150912155</v>
      </c>
      <c r="AE59" s="873">
        <f>HLOOKUP(AE35,'Auto Operational Figures'!$B$5:$BG$15,9,0)</f>
        <v>1148.0800615472697</v>
      </c>
      <c r="AF59" s="645">
        <f>+AF53*1000/AF45</f>
        <v>1168.8844291182254</v>
      </c>
      <c r="AG59" s="873">
        <f>HLOOKUP(AG35,'Auto Operational Figures'!$B$5:$BG$15,9,0)</f>
        <v>1121.281242890394</v>
      </c>
      <c r="AH59" s="873">
        <f>HLOOKUP(AH35,'Auto Operational Figures'!$B$5:$BH$15,9,0)</f>
        <v>1084.1394097767695</v>
      </c>
      <c r="AI59" s="873">
        <f>HLOOKUP(AI35,'Auto Operational Figures'!$B$5:$BM$15,9,0)</f>
        <v>1133.0150923705919</v>
      </c>
      <c r="AJ59" s="873">
        <f>HLOOKUP(AJ35,'Auto Operational Figures'!$B$5:$BM$15,9,0)</f>
        <v>1150.469295284013</v>
      </c>
      <c r="AK59" s="645">
        <f>+AK53*1000/AK45</f>
        <v>1124.0847617450693</v>
      </c>
      <c r="AL59" s="873">
        <f>HLOOKUP(AL35,'Auto Operational Figures'!$B$5:$BM$15,9,0)</f>
        <v>1160.8686672365684</v>
      </c>
      <c r="AM59" s="873">
        <f>HLOOKUP(AM35,'Auto Operational Figures'!$B$5:$BM$15,9,0)</f>
        <v>1192.5148348839587</v>
      </c>
      <c r="AN59" s="873">
        <f>HLOOKUP(AN35,'Auto Operational Figures'!$B$5:$BM$15,9,0)</f>
        <v>1175.8696858448</v>
      </c>
      <c r="AO59" s="873">
        <f>HLOOKUP(AO35,'Auto Operational Figures'!$B$5:$BY$15,9,0)</f>
        <v>1190.9712163832298</v>
      </c>
      <c r="AP59" s="645">
        <f>+AP53*1000/AP45</f>
        <v>1181.0969065762131</v>
      </c>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row>
    <row r="60" spans="1:79" s="867" customFormat="1" ht="13.5" customHeight="1" x14ac:dyDescent="0.2">
      <c r="A60" s="872"/>
      <c r="B60" s="877" t="s">
        <v>1035</v>
      </c>
      <c r="C60" s="891" t="s">
        <v>47</v>
      </c>
      <c r="D60" s="891" t="s">
        <v>47</v>
      </c>
      <c r="E60" s="891" t="s">
        <v>47</v>
      </c>
      <c r="F60" s="891" t="s">
        <v>47</v>
      </c>
      <c r="G60" s="915" t="s">
        <v>47</v>
      </c>
      <c r="H60" s="891">
        <f>+H59/C59-1</f>
        <v>7.0872000215961739E-2</v>
      </c>
      <c r="I60" s="891">
        <f>+I59/D59-1</f>
        <v>1.0531780384230638E-2</v>
      </c>
      <c r="J60" s="891">
        <f>+J59/E59-1</f>
        <v>2.8075414395523746E-2</v>
      </c>
      <c r="K60" s="891">
        <f>+K59/F59-1</f>
        <v>-2.0139905075695297E-2</v>
      </c>
      <c r="L60" s="878">
        <f t="shared" ref="L60:AP60" si="69">+L59/G59-1</f>
        <v>1.8836262326371811E-2</v>
      </c>
      <c r="M60" s="891">
        <f t="shared" si="69"/>
        <v>-2.1198604992957781E-2</v>
      </c>
      <c r="N60" s="891">
        <f t="shared" si="69"/>
        <v>9.6091619610993995E-3</v>
      </c>
      <c r="O60" s="891">
        <f t="shared" si="69"/>
        <v>4.5861869765115193E-2</v>
      </c>
      <c r="P60" s="891">
        <f t="shared" si="69"/>
        <v>2.1592573418953487E-2</v>
      </c>
      <c r="Q60" s="878">
        <f t="shared" si="69"/>
        <v>1.522807498819434E-2</v>
      </c>
      <c r="R60" s="891">
        <f t="shared" si="69"/>
        <v>7.1191748484821238E-2</v>
      </c>
      <c r="S60" s="891">
        <f t="shared" si="69"/>
        <v>-1.7792272893178751E-2</v>
      </c>
      <c r="T60" s="891">
        <f t="shared" si="69"/>
        <v>7.1480624641063084E-2</v>
      </c>
      <c r="U60" s="891">
        <f t="shared" si="69"/>
        <v>0.12286577911732643</v>
      </c>
      <c r="V60" s="878">
        <f t="shared" si="69"/>
        <v>7.8635692533949753E-2</v>
      </c>
      <c r="W60" s="891">
        <f t="shared" si="69"/>
        <v>-5.4055581533264618E-2</v>
      </c>
      <c r="X60" s="891">
        <f t="shared" si="69"/>
        <v>-4.5133560300275599E-3</v>
      </c>
      <c r="Y60" s="891">
        <f t="shared" si="69"/>
        <v>-0.10554766651379544</v>
      </c>
      <c r="Z60" s="891">
        <f t="shared" si="69"/>
        <v>-4.9496423407753509E-2</v>
      </c>
      <c r="AA60" s="878">
        <f t="shared" si="69"/>
        <v>-6.6984019309823895E-2</v>
      </c>
      <c r="AB60" s="891">
        <f t="shared" si="69"/>
        <v>-2.7985061180054394E-2</v>
      </c>
      <c r="AC60" s="891">
        <f t="shared" si="69"/>
        <v>4.079633090769974E-5</v>
      </c>
      <c r="AD60" s="891">
        <f t="shared" si="69"/>
        <v>1.8045923699438138E-2</v>
      </c>
      <c r="AE60" s="891">
        <f t="shared" si="69"/>
        <v>-7.3126646574347309E-2</v>
      </c>
      <c r="AF60" s="878">
        <f t="shared" si="69"/>
        <v>-2.3130102721692136E-2</v>
      </c>
      <c r="AG60" s="891">
        <f t="shared" si="69"/>
        <v>-3.7471472337980649E-2</v>
      </c>
      <c r="AH60" s="891">
        <f t="shared" si="69"/>
        <v>-6.560584084736043E-2</v>
      </c>
      <c r="AI60" s="891">
        <f t="shared" si="69"/>
        <v>-5.5642835605029917E-2</v>
      </c>
      <c r="AJ60" s="891">
        <f t="shared" si="69"/>
        <v>2.0810689226005152E-3</v>
      </c>
      <c r="AK60" s="878">
        <f t="shared" si="69"/>
        <v>-3.8326857863058228E-2</v>
      </c>
      <c r="AL60" s="891">
        <f t="shared" si="69"/>
        <v>3.5305526242575436E-2</v>
      </c>
      <c r="AM60" s="891">
        <f t="shared" si="69"/>
        <v>9.996447332313485E-2</v>
      </c>
      <c r="AN60" s="891">
        <f t="shared" si="69"/>
        <v>3.7823497465107936E-2</v>
      </c>
      <c r="AO60" s="891">
        <f t="shared" si="69"/>
        <v>3.5204695392777374E-2</v>
      </c>
      <c r="AP60" s="878">
        <f t="shared" si="69"/>
        <v>5.0718724042336572E-2</v>
      </c>
      <c r="AQ60" s="868"/>
      <c r="AR60" s="868"/>
      <c r="AS60" s="868"/>
      <c r="AT60" s="868"/>
      <c r="AU60" s="868"/>
      <c r="AV60" s="868"/>
      <c r="AY60" s="1041"/>
      <c r="AZ60" s="1041"/>
      <c r="BA60" s="868"/>
      <c r="BB60" s="868"/>
      <c r="BC60" s="868"/>
      <c r="BD60" s="868"/>
      <c r="BE60" s="868"/>
      <c r="BF60" s="868"/>
      <c r="BG60" s="868"/>
      <c r="BH60" s="868"/>
      <c r="BI60" s="868"/>
      <c r="BJ60" s="868"/>
      <c r="BK60" s="868"/>
      <c r="BL60" s="868"/>
      <c r="BM60" s="868"/>
      <c r="BN60" s="868"/>
      <c r="BO60" s="868"/>
      <c r="BP60" s="868"/>
      <c r="BQ60" s="868"/>
      <c r="BR60" s="868"/>
      <c r="BS60" s="868"/>
      <c r="BT60" s="868"/>
      <c r="BU60" s="868"/>
      <c r="BV60" s="868"/>
      <c r="BW60" s="868"/>
      <c r="BX60" s="868"/>
      <c r="BY60" s="868"/>
      <c r="BZ60" s="868"/>
      <c r="CA60" s="868"/>
    </row>
    <row r="61" spans="1:79" ht="13.5" customHeight="1" x14ac:dyDescent="0.2">
      <c r="A61" s="24"/>
      <c r="B61" s="874" t="s">
        <v>1036</v>
      </c>
      <c r="C61" s="873">
        <f>HLOOKUP(C35,'Auto Operational Figures'!$B$5:$BG$15,10,0)</f>
        <v>142.22177297078741</v>
      </c>
      <c r="D61" s="873">
        <f>HLOOKUP(D35,'Auto Operational Figures'!$B$5:$BG$15,10,0)</f>
        <v>220.40190362056649</v>
      </c>
      <c r="E61" s="873">
        <f>HLOOKUP(E35,'Auto Operational Figures'!$B$5:$BG$15,10,0)</f>
        <v>222.10518818199949</v>
      </c>
      <c r="F61" s="873">
        <f>HLOOKUP(F35,'Auto Operational Figures'!$B$5:$BG$15,10,0)</f>
        <v>198.72178348140835</v>
      </c>
      <c r="G61" s="906">
        <f>+G55*1000/G48</f>
        <v>195.76824317593147</v>
      </c>
      <c r="H61" s="873">
        <f>HLOOKUP(H35,'Auto Operational Figures'!$B$5:$BG$15,10,0)</f>
        <v>197.4858076519416</v>
      </c>
      <c r="I61" s="873">
        <f>HLOOKUP(I35,'Auto Operational Figures'!$B$5:$BG$15,10,0)</f>
        <v>191.86601392063162</v>
      </c>
      <c r="J61" s="873">
        <f>HLOOKUP(J35,'Auto Operational Figures'!$B$5:$BG$15,10,0)</f>
        <v>204.23434525251827</v>
      </c>
      <c r="K61" s="873">
        <f>HLOOKUP(K35,'Auto Operational Figures'!$B$5:$BG$15,10,0)</f>
        <v>229.89516481117658</v>
      </c>
      <c r="L61" s="645">
        <f>+L55*1000/L48</f>
        <v>201.97059722189579</v>
      </c>
      <c r="M61" s="873">
        <f>HLOOKUP(M35,'Auto Operational Figures'!$B$5:$BG$15,10,0)</f>
        <v>211.11226230599593</v>
      </c>
      <c r="N61" s="873">
        <f>HLOOKUP(N35,'Auto Operational Figures'!$B$5:$BG$15,10,0)</f>
        <v>179.48841401584858</v>
      </c>
      <c r="O61" s="873">
        <f>HLOOKUP(O35,'Auto Operational Figures'!$B$5:$BG$15,10,0)</f>
        <v>207.61116275310189</v>
      </c>
      <c r="P61" s="873">
        <f>HLOOKUP(P35,'Auto Operational Figures'!$B$5:$BG$15,10,0)</f>
        <v>188.12722049317694</v>
      </c>
      <c r="Q61" s="645">
        <f>+Q55*1000/Q48</f>
        <v>196.48200191093386</v>
      </c>
      <c r="R61" s="873">
        <f>HLOOKUP(R35,'Auto Operational Figures'!$B$5:$BG$15,10,0)</f>
        <v>201.70104549307715</v>
      </c>
      <c r="S61" s="873">
        <f>HLOOKUP(S35,'Auto Operational Figures'!$B$5:$BG$15,10,0)</f>
        <v>164.65599173553719</v>
      </c>
      <c r="T61" s="873">
        <f>HLOOKUP(T35,'Auto Operational Figures'!$B$5:$BG$15,10,0)</f>
        <v>221.1232034795764</v>
      </c>
      <c r="U61" s="873">
        <f>HLOOKUP(U35,'Auto Operational Figures'!$B$5:$BG$15,10,0)</f>
        <v>189.23035565202872</v>
      </c>
      <c r="V61" s="645">
        <f>+V55*1000/V48</f>
        <v>199.86207254020292</v>
      </c>
      <c r="W61" s="873">
        <f>HLOOKUP(W35,'Auto Operational Figures'!$B$5:$BG$15,10,0)</f>
        <v>289.60579300600494</v>
      </c>
      <c r="X61" s="873">
        <f>HLOOKUP(X35,'Auto Operational Figures'!$B$5:$BG$15,10,0)</f>
        <v>217.44485246468224</v>
      </c>
      <c r="Y61" s="873">
        <f>HLOOKUP(Y35,'Auto Operational Figures'!$B$5:$BG$15,10,0)</f>
        <v>253.48235361521714</v>
      </c>
      <c r="Z61" s="873">
        <f>HLOOKUP(Z35,'Auto Operational Figures'!$B$5:$BG$15,10,0)</f>
        <v>345.35584474885843</v>
      </c>
      <c r="AA61" s="645">
        <f>+AA55*1000/AA48</f>
        <v>276.92353404032934</v>
      </c>
      <c r="AB61" s="873">
        <f>HLOOKUP(AB35,'Auto Operational Figures'!$B$5:$BG$15,10,0)</f>
        <v>308.43416594437002</v>
      </c>
      <c r="AC61" s="873">
        <f>HLOOKUP(AC35,'Auto Operational Figures'!$B$5:$BG$15,10,0)</f>
        <v>260.78649055341918</v>
      </c>
      <c r="AD61" s="873">
        <f>HLOOKUP(AD35,'Auto Operational Figures'!$B$5:$BG$15,10,0)</f>
        <v>269.40819775340469</v>
      </c>
      <c r="AE61" s="873">
        <f>HLOOKUP(AE35,'Auto Operational Figures'!$B$5:$BG$15,10,0)</f>
        <v>359.45164878823999</v>
      </c>
      <c r="AF61" s="645">
        <f>+AF55*1000/AF48</f>
        <v>296.51617918218301</v>
      </c>
      <c r="AG61" s="873">
        <f>HLOOKUP(AG35,'Auto Operational Figures'!$B$5:$BG$15,10,0)</f>
        <v>365.98499723745164</v>
      </c>
      <c r="AH61" s="873">
        <f>HLOOKUP(AH35,'Auto Operational Figures'!$B$5:$BH$15,10,0)</f>
        <v>337.47144418893959</v>
      </c>
      <c r="AI61" s="873">
        <f>HLOOKUP(AI35,'Auto Operational Figures'!$B$5:$BM$15,10,0)</f>
        <v>320.97150499481415</v>
      </c>
      <c r="AJ61" s="873">
        <f>HLOOKUP(AJ35,'Auto Operational Figures'!$B$5:$BM$15,10,0)</f>
        <v>388.60868016386627</v>
      </c>
      <c r="AK61" s="645">
        <f>+AK55*1000/AK48</f>
        <v>351.90428078574951</v>
      </c>
      <c r="AL61" s="873">
        <f>HLOOKUP(AL35,'Auto Operational Figures'!$B$5:$BM$15,10,0)</f>
        <v>298.07610163250274</v>
      </c>
      <c r="AM61" s="873">
        <f>HLOOKUP(AM35,'Auto Operational Figures'!$B$5:$BM$15,10,0)</f>
        <v>341.73098266463683</v>
      </c>
      <c r="AN61" s="873">
        <f>HLOOKUP(AN35,'Auto Operational Figures'!$B$5:$BM$15,10,0)</f>
        <v>271.92427033443857</v>
      </c>
      <c r="AO61" s="873">
        <f>HLOOKUP(AO35,'Auto Operational Figures'!$B$5:$BY$15,10,0)</f>
        <v>314.23080631025414</v>
      </c>
      <c r="AP61" s="645">
        <f>+AP55*1000/AP48</f>
        <v>305.45020618310969</v>
      </c>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row>
    <row r="62" spans="1:79" s="867" customFormat="1" ht="13.5" customHeight="1" x14ac:dyDescent="0.2">
      <c r="A62" s="872"/>
      <c r="B62" s="877" t="s">
        <v>1035</v>
      </c>
      <c r="C62" s="891" t="s">
        <v>47</v>
      </c>
      <c r="D62" s="891" t="s">
        <v>47</v>
      </c>
      <c r="E62" s="891" t="s">
        <v>47</v>
      </c>
      <c r="F62" s="891" t="s">
        <v>47</v>
      </c>
      <c r="G62" s="915" t="s">
        <v>47</v>
      </c>
      <c r="H62" s="891">
        <f>+H61/C61-1</f>
        <v>0.38857647128689288</v>
      </c>
      <c r="I62" s="891">
        <f>+I61/D61-1</f>
        <v>-0.12947206549114432</v>
      </c>
      <c r="J62" s="891">
        <f>+J61/E61-1</f>
        <v>-8.0461168312904729E-2</v>
      </c>
      <c r="K62" s="891">
        <f>+K61/F61-1</f>
        <v>0.15686947240328442</v>
      </c>
      <c r="L62" s="878">
        <f t="shared" ref="L62:AP62" si="70">+L61/G61-1</f>
        <v>3.1682125483398327E-2</v>
      </c>
      <c r="M62" s="891">
        <f t="shared" si="70"/>
        <v>6.8999665424414935E-2</v>
      </c>
      <c r="N62" s="891">
        <f t="shared" si="70"/>
        <v>-6.4511685273782926E-2</v>
      </c>
      <c r="O62" s="891">
        <f t="shared" si="70"/>
        <v>1.6534033472227705E-2</v>
      </c>
      <c r="P62" s="891">
        <f t="shared" si="70"/>
        <v>-0.18168256975872277</v>
      </c>
      <c r="Q62" s="878">
        <f t="shared" si="70"/>
        <v>-2.7175219494607217E-2</v>
      </c>
      <c r="R62" s="891">
        <f t="shared" si="70"/>
        <v>-4.4579204969523389E-2</v>
      </c>
      <c r="S62" s="891">
        <f t="shared" si="70"/>
        <v>-8.2637212889973499E-2</v>
      </c>
      <c r="T62" s="891">
        <f t="shared" si="70"/>
        <v>6.5083401813723629E-2</v>
      </c>
      <c r="U62" s="891">
        <f t="shared" si="70"/>
        <v>5.8637721641765506E-3</v>
      </c>
      <c r="V62" s="878">
        <f t="shared" si="70"/>
        <v>1.7202952923908388E-2</v>
      </c>
      <c r="W62" s="891">
        <f t="shared" si="70"/>
        <v>0.4358170147211502</v>
      </c>
      <c r="X62" s="891">
        <f t="shared" si="70"/>
        <v>0.32060090964641041</v>
      </c>
      <c r="Y62" s="891">
        <f t="shared" si="70"/>
        <v>0.14633991198770557</v>
      </c>
      <c r="Z62" s="891">
        <f t="shared" si="70"/>
        <v>0.82505520088925488</v>
      </c>
      <c r="AA62" s="878">
        <f t="shared" si="70"/>
        <v>0.38557321316992388</v>
      </c>
      <c r="AB62" s="891">
        <f t="shared" si="70"/>
        <v>6.5013799423462082E-2</v>
      </c>
      <c r="AC62" s="891">
        <f t="shared" si="70"/>
        <v>0.19932243783870018</v>
      </c>
      <c r="AD62" s="891">
        <f t="shared" si="70"/>
        <v>6.2828216288234318E-2</v>
      </c>
      <c r="AE62" s="891">
        <f t="shared" si="70"/>
        <v>4.0815304717463086E-2</v>
      </c>
      <c r="AF62" s="878">
        <f t="shared" si="70"/>
        <v>7.0751101778877112E-2</v>
      </c>
      <c r="AG62" s="891">
        <f t="shared" si="70"/>
        <v>0.18659032509213525</v>
      </c>
      <c r="AH62" s="891">
        <f t="shared" si="70"/>
        <v>0.29405263084290145</v>
      </c>
      <c r="AI62" s="891">
        <f t="shared" si="70"/>
        <v>0.1913947224746535</v>
      </c>
      <c r="AJ62" s="891">
        <f t="shared" si="70"/>
        <v>8.1115308481456649E-2</v>
      </c>
      <c r="AK62" s="878">
        <f t="shared" si="70"/>
        <v>0.18679622055137646</v>
      </c>
      <c r="AL62" s="891">
        <f t="shared" si="70"/>
        <v>-0.18555103656582261</v>
      </c>
      <c r="AM62" s="891">
        <f t="shared" si="70"/>
        <v>1.2621922681293363E-2</v>
      </c>
      <c r="AN62" s="891">
        <f t="shared" si="70"/>
        <v>-0.1528086883013744</v>
      </c>
      <c r="AO62" s="891">
        <f t="shared" si="70"/>
        <v>-0.19139529724927629</v>
      </c>
      <c r="AP62" s="878">
        <f t="shared" si="70"/>
        <v>-0.13200769964751446</v>
      </c>
      <c r="AQ62" s="868"/>
      <c r="AR62" s="868"/>
      <c r="AS62" s="868"/>
      <c r="AT62" s="868"/>
      <c r="AU62" s="868"/>
      <c r="AV62" s="868"/>
      <c r="AY62" s="1041"/>
      <c r="AZ62" s="1041"/>
      <c r="BA62" s="868"/>
      <c r="BB62" s="868"/>
      <c r="BC62" s="868"/>
      <c r="BD62" s="868"/>
      <c r="BE62" s="868"/>
      <c r="BF62" s="868"/>
      <c r="BG62" s="868"/>
      <c r="BH62" s="868"/>
      <c r="BI62" s="868"/>
      <c r="BJ62" s="868"/>
      <c r="BK62" s="868"/>
      <c r="BL62" s="868"/>
      <c r="BM62" s="868"/>
      <c r="BN62" s="868"/>
      <c r="BO62" s="868"/>
      <c r="BP62" s="868"/>
      <c r="BQ62" s="868"/>
      <c r="BR62" s="868"/>
      <c r="BS62" s="868"/>
      <c r="BT62" s="868"/>
      <c r="BU62" s="868"/>
      <c r="BV62" s="868"/>
      <c r="BW62" s="868"/>
      <c r="BX62" s="868"/>
      <c r="BY62" s="868"/>
      <c r="BZ62" s="868"/>
      <c r="CA62" s="868"/>
    </row>
    <row r="63" spans="1:79" s="901" customFormat="1" ht="13.5" customHeight="1" x14ac:dyDescent="0.2">
      <c r="A63" s="24"/>
      <c r="B63" s="923" t="s">
        <v>1282</v>
      </c>
      <c r="C63" s="922">
        <f t="shared" ref="C63:S63" ca="1" si="71">+C65/(C42*C57/1000)</f>
        <v>1.4638722454190447</v>
      </c>
      <c r="D63" s="922">
        <f t="shared" ca="1" si="71"/>
        <v>1.5609712953552854</v>
      </c>
      <c r="E63" s="922">
        <f t="shared" ca="1" si="71"/>
        <v>1.5972489442563604</v>
      </c>
      <c r="F63" s="922">
        <f t="shared" ca="1" si="71"/>
        <v>1.6674908186966177</v>
      </c>
      <c r="G63" s="921">
        <f t="shared" ca="1" si="71"/>
        <v>1.5812312645614364</v>
      </c>
      <c r="H63" s="922">
        <f t="shared" ca="1" si="71"/>
        <v>1.6014399176312468</v>
      </c>
      <c r="I63" s="922">
        <f t="shared" ca="1" si="71"/>
        <v>1.6593197481071922</v>
      </c>
      <c r="J63" s="922">
        <f t="shared" ca="1" si="71"/>
        <v>1.7017403255931356</v>
      </c>
      <c r="K63" s="922">
        <f t="shared" ca="1" si="71"/>
        <v>1.8241325920083795</v>
      </c>
      <c r="L63" s="921">
        <f t="shared" ca="1" si="71"/>
        <v>1.7029951817147049</v>
      </c>
      <c r="M63" s="922">
        <f t="shared" ca="1" si="71"/>
        <v>1.704438231051103</v>
      </c>
      <c r="N63" s="922">
        <f t="shared" ca="1" si="71"/>
        <v>1.6387093583983539</v>
      </c>
      <c r="O63" s="922">
        <f t="shared" ca="1" si="71"/>
        <v>1.6199998789880523</v>
      </c>
      <c r="P63" s="922">
        <f t="shared" ca="1" si="71"/>
        <v>1.6879303889862884</v>
      </c>
      <c r="Q63" s="921">
        <f t="shared" ca="1" si="71"/>
        <v>1.6617216321244261</v>
      </c>
      <c r="R63" s="922">
        <f t="shared" ca="1" si="71"/>
        <v>1.6978181649041046</v>
      </c>
      <c r="S63" s="922">
        <f t="shared" ca="1" si="71"/>
        <v>1.7757660163478872</v>
      </c>
      <c r="T63" s="922">
        <f t="shared" ref="T63:Y63" ca="1" si="72">+T65/(T42*T57/1000)</f>
        <v>1.6084004787692068</v>
      </c>
      <c r="U63" s="922">
        <f t="shared" ca="1" si="72"/>
        <v>1.6173521781082087</v>
      </c>
      <c r="V63" s="921">
        <f t="shared" ca="1" si="72"/>
        <v>1.6521848542649775</v>
      </c>
      <c r="W63" s="922">
        <f t="shared" ca="1" si="72"/>
        <v>1.7369218784993354</v>
      </c>
      <c r="X63" s="922">
        <f t="shared" ca="1" si="72"/>
        <v>1.9767110052498353</v>
      </c>
      <c r="Y63" s="922">
        <f t="shared" ca="1" si="72"/>
        <v>2.065011595326776</v>
      </c>
      <c r="Z63" s="922">
        <f t="shared" ref="Z63:AF63" ca="1" si="73">+Z65/(Z42*Z57/1000)</f>
        <v>2.0641145013285183</v>
      </c>
      <c r="AA63" s="921">
        <f t="shared" ca="1" si="73"/>
        <v>1.959084669187755</v>
      </c>
      <c r="AB63" s="922">
        <f t="shared" ca="1" si="73"/>
        <v>2.1890266519477608</v>
      </c>
      <c r="AC63" s="922">
        <f t="shared" ca="1" si="73"/>
        <v>2.4777264093652351</v>
      </c>
      <c r="AD63" s="922">
        <f t="shared" ca="1" si="73"/>
        <v>2.6876931599601108</v>
      </c>
      <c r="AE63" s="922">
        <f t="shared" ca="1" si="73"/>
        <v>2.7229974007283055</v>
      </c>
      <c r="AF63" s="921">
        <f t="shared" ca="1" si="73"/>
        <v>2.5535068012166509</v>
      </c>
      <c r="AG63" s="922">
        <f t="shared" ref="AG63:AM63" ca="1" si="74">+AG65/(AG42*AG57/1000)</f>
        <v>2.7048834821251102</v>
      </c>
      <c r="AH63" s="922">
        <f t="shared" ca="1" si="74"/>
        <v>2.7522027450955555</v>
      </c>
      <c r="AI63" s="922">
        <f t="shared" ca="1" si="74"/>
        <v>2.711493972519762</v>
      </c>
      <c r="AJ63" s="922">
        <f t="shared" ca="1" si="74"/>
        <v>2.7363086840878692</v>
      </c>
      <c r="AK63" s="921">
        <f t="shared" ca="1" si="74"/>
        <v>2.7266533400225517</v>
      </c>
      <c r="AL63" s="922">
        <f t="shared" ca="1" si="74"/>
        <v>2.9068921499134639</v>
      </c>
      <c r="AM63" s="922">
        <f t="shared" ca="1" si="74"/>
        <v>2.9088245379598097</v>
      </c>
      <c r="AN63" s="922">
        <f t="shared" ref="AN63:AP63" ca="1" si="75">+AN65/(AN42*AN57/1000)</f>
        <v>3.2152291515979066</v>
      </c>
      <c r="AO63" s="922">
        <f t="shared" ca="1" si="75"/>
        <v>3.27230034438564</v>
      </c>
      <c r="AP63" s="921">
        <f t="shared" ca="1" si="75"/>
        <v>3.099160793089053</v>
      </c>
      <c r="AQ63" s="902"/>
      <c r="AR63" s="902"/>
      <c r="AS63" s="902"/>
      <c r="AT63" s="902"/>
      <c r="AU63" s="902"/>
      <c r="AV63" s="902"/>
      <c r="AY63" s="1043"/>
      <c r="AZ63" s="1043"/>
      <c r="BA63" s="902"/>
      <c r="BB63" s="902"/>
      <c r="BC63" s="902"/>
      <c r="BD63" s="902"/>
      <c r="BE63" s="902"/>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row>
    <row r="64" spans="1:79" s="867" customFormat="1" ht="13.5" customHeight="1" x14ac:dyDescent="0.2">
      <c r="A64" s="872"/>
      <c r="B64" s="920" t="s">
        <v>1035</v>
      </c>
      <c r="C64" s="918" t="s">
        <v>47</v>
      </c>
      <c r="D64" s="918" t="s">
        <v>47</v>
      </c>
      <c r="E64" s="918" t="s">
        <v>47</v>
      </c>
      <c r="F64" s="918" t="s">
        <v>47</v>
      </c>
      <c r="G64" s="919" t="s">
        <v>47</v>
      </c>
      <c r="H64" s="918">
        <f ca="1">+H63/C63-1</f>
        <v>9.3975189872407494E-2</v>
      </c>
      <c r="I64" s="918">
        <f ca="1">+I63/D63-1</f>
        <v>6.3004651683567392E-2</v>
      </c>
      <c r="J64" s="918">
        <f ca="1">+J63/E63-1</f>
        <v>6.5419596433305971E-2</v>
      </c>
      <c r="K64" s="918">
        <f ca="1">+K63/F63-1</f>
        <v>9.3938612168311453E-2</v>
      </c>
      <c r="L64" s="917">
        <f ca="1">+L63/G63-1</f>
        <v>7.700576119524194E-2</v>
      </c>
      <c r="M64" s="918">
        <f ca="1">M63/H63-1</f>
        <v>6.4316064740165269E-2</v>
      </c>
      <c r="N64" s="918">
        <f ca="1">N63/I63-1</f>
        <v>-1.2420987415083129E-2</v>
      </c>
      <c r="O64" s="918">
        <f t="shared" ref="O64:AP64" ca="1" si="76">+O63/J63-1</f>
        <v>-4.8033442808962601E-2</v>
      </c>
      <c r="P64" s="918">
        <f t="shared" ca="1" si="76"/>
        <v>-7.4666832673677352E-2</v>
      </c>
      <c r="Q64" s="917">
        <f t="shared" ca="1" si="76"/>
        <v>-2.4235858112482411E-2</v>
      </c>
      <c r="R64" s="918">
        <f t="shared" ca="1" si="76"/>
        <v>-3.8840164614917239E-3</v>
      </c>
      <c r="S64" s="918">
        <f t="shared" ca="1" si="76"/>
        <v>8.3636953219996313E-2</v>
      </c>
      <c r="T64" s="918">
        <f t="shared" ca="1" si="76"/>
        <v>-7.1601241267321702E-3</v>
      </c>
      <c r="U64" s="918">
        <f t="shared" ca="1" si="76"/>
        <v>-4.1813460637121658E-2</v>
      </c>
      <c r="V64" s="917">
        <f t="shared" ca="1" si="76"/>
        <v>-5.7390947286738436E-3</v>
      </c>
      <c r="W64" s="918">
        <f t="shared" ca="1" si="76"/>
        <v>2.3031744154674794E-2</v>
      </c>
      <c r="X64" s="918">
        <f t="shared" ca="1" si="76"/>
        <v>0.1131596094598204</v>
      </c>
      <c r="Y64" s="918">
        <f t="shared" ca="1" si="76"/>
        <v>0.28389143287682983</v>
      </c>
      <c r="Z64" s="918">
        <f t="shared" ca="1" si="76"/>
        <v>0.27623069932912214</v>
      </c>
      <c r="AA64" s="917">
        <f t="shared" ca="1" si="76"/>
        <v>0.18575392101588473</v>
      </c>
      <c r="AB64" s="918">
        <f t="shared" ca="1" si="76"/>
        <v>0.26029079318123083</v>
      </c>
      <c r="AC64" s="918">
        <f t="shared" ca="1" si="76"/>
        <v>0.25345910595164445</v>
      </c>
      <c r="AD64" s="918">
        <f t="shared" ca="1" si="76"/>
        <v>0.30153901607259459</v>
      </c>
      <c r="AE64" s="918">
        <f t="shared" ca="1" si="76"/>
        <v>0.31920850271422108</v>
      </c>
      <c r="AF64" s="917">
        <f t="shared" ca="1" si="76"/>
        <v>0.30341829599194692</v>
      </c>
      <c r="AG64" s="918">
        <f t="shared" ca="1" si="76"/>
        <v>0.23565580150353505</v>
      </c>
      <c r="AH64" s="918">
        <f t="shared" ca="1" si="76"/>
        <v>0.11077749936105263</v>
      </c>
      <c r="AI64" s="918">
        <f t="shared" ca="1" si="76"/>
        <v>8.8554798271704982E-3</v>
      </c>
      <c r="AJ64" s="918">
        <f t="shared" ca="1" si="76"/>
        <v>4.8884671560844861E-3</v>
      </c>
      <c r="AK64" s="917">
        <f t="shared" ca="1" si="76"/>
        <v>6.7807353684510518E-2</v>
      </c>
      <c r="AL64" s="918">
        <f t="shared" ca="1" si="76"/>
        <v>7.4682946279683859E-2</v>
      </c>
      <c r="AM64" s="918">
        <f t="shared" ca="1" si="76"/>
        <v>5.6907796180116099E-2</v>
      </c>
      <c r="AN64" s="918">
        <f t="shared" ca="1" si="76"/>
        <v>0.18577772408250226</v>
      </c>
      <c r="AO64" s="918">
        <f t="shared" ca="1" si="76"/>
        <v>0.19588128467181321</v>
      </c>
      <c r="AP64" s="917">
        <f t="shared" ca="1" si="76"/>
        <v>0.13661709304910041</v>
      </c>
      <c r="AQ64" s="868"/>
      <c r="AR64" s="868"/>
      <c r="AS64" s="868"/>
      <c r="AT64" s="868"/>
      <c r="AU64" s="868"/>
      <c r="AV64" s="868"/>
      <c r="AY64" s="1041"/>
      <c r="AZ64" s="1041"/>
      <c r="BA64" s="868"/>
      <c r="BB64" s="868"/>
      <c r="BC64" s="868"/>
      <c r="BD64" s="868"/>
      <c r="BE64" s="868"/>
      <c r="BF64" s="868"/>
      <c r="BG64" s="868"/>
      <c r="BH64" s="868"/>
      <c r="BI64" s="868"/>
      <c r="BJ64" s="868"/>
      <c r="BK64" s="868"/>
      <c r="BL64" s="868"/>
      <c r="BM64" s="868"/>
      <c r="BN64" s="868"/>
      <c r="BO64" s="868"/>
      <c r="BP64" s="868"/>
      <c r="BQ64" s="868"/>
      <c r="BR64" s="868"/>
      <c r="BS64" s="868"/>
      <c r="BT64" s="868"/>
      <c r="BU64" s="868"/>
      <c r="BV64" s="868"/>
      <c r="BW64" s="868"/>
      <c r="BX64" s="868"/>
      <c r="BY64" s="868"/>
      <c r="BZ64" s="868"/>
      <c r="CA64" s="868"/>
    </row>
    <row r="65" spans="1:79" ht="13.5" customHeight="1" x14ac:dyDescent="0.2">
      <c r="A65" s="24"/>
      <c r="B65" s="874" t="s">
        <v>1078</v>
      </c>
      <c r="C65" s="873">
        <f ca="1">+SUMIFS(INDIRECT(CONCATENATE("'",$AQ65,$AR65,":",$AS65)),INDIRECT(CONCATENATE("'",$AQ65,$AR$35,":",$AS$35)),C$35)</f>
        <v>214422.15101999999</v>
      </c>
      <c r="D65" s="873">
        <f ca="1">+SUMIFS(INDIRECT(CONCATENATE("'",$AQ65,$AR65,":",$AS65)),INDIRECT(CONCATENATE("'",$AQ65,$AR$35,":",$AS$35)),D$35)</f>
        <v>268717.10787999997</v>
      </c>
      <c r="E65" s="873">
        <f ca="1">+SUMIFS(INDIRECT(CONCATENATE("'",$AQ65,$AR65,":",$AS65)),INDIRECT(CONCATENATE("'",$AQ65,$AR$35,":",$AS$35)),E$35)</f>
        <v>305185.31597000005</v>
      </c>
      <c r="F65" s="873">
        <f ca="1">+SUMIFS(INDIRECT(CONCATENATE("'",$AQ65,$AR65,":",$AS65)),INDIRECT(CONCATENATE("'",$AQ65,$AR$35,":",$AS$35)),F$35)</f>
        <v>340565.25495999999</v>
      </c>
      <c r="G65" s="645">
        <f ca="1">SUM(C65:F65)</f>
        <v>1128889.8298299999</v>
      </c>
      <c r="H65" s="873">
        <f ca="1">+SUMIFS(INDIRECT(CONCATENATE("'",$AQ65,$AR65,":",$AS65)),INDIRECT(CONCATENATE("'",$AQ65,$AR$35,":",$AS$35)),H$35)</f>
        <v>275057.54545999999</v>
      </c>
      <c r="I65" s="873">
        <f ca="1">+SUMIFS(INDIRECT(CONCATENATE("'",$AQ65,$AR65,":",$AS65)),INDIRECT(CONCATENATE("'",$AQ65,$AR$35,":",$AS$35)),I$35)</f>
        <v>315279.75394999998</v>
      </c>
      <c r="J65" s="873">
        <f ca="1">+SUMIFS(INDIRECT(CONCATENATE("'",$AQ65,$AR65,":",$AS65)),INDIRECT(CONCATENATE("'",$AQ65,$AR$35,":",$AS$35)),J$35)</f>
        <v>365789.47778999998</v>
      </c>
      <c r="K65" s="873">
        <f ca="1">+SUMIFS(INDIRECT(CONCATENATE("'",$AQ65,$AR65,":",$AS65)),INDIRECT(CONCATENATE("'",$AQ65,$AR$35,":",$AS$35)),K$35)</f>
        <v>391684.40824000002</v>
      </c>
      <c r="L65" s="645">
        <f ca="1">+SUM(H65:K65)</f>
        <v>1347811.1854399999</v>
      </c>
      <c r="M65" s="873">
        <f ca="1">+SUMIFS(INDIRECT(CONCATENATE("'",$AQ65,$AR65,":",$AS65)),INDIRECT(CONCATENATE("'",$AQ65,$AR$35,":",$AS$35)),M$35)</f>
        <v>321706.25628999999</v>
      </c>
      <c r="N65" s="873">
        <f ca="1">+SUMIFS(INDIRECT(CONCATENATE("'",$AQ65,$AR65,":",$AS65)),INDIRECT(CONCATENATE("'",$AQ65,$AR$35,":",$AS$35)),N$35)</f>
        <v>360853.55104000005</v>
      </c>
      <c r="O65" s="873">
        <f ca="1">+SUMIFS(INDIRECT(CONCATENATE("'",$AQ65,$AR65,":",$AS65)),INDIRECT(CONCATENATE("'",$AQ65,$AR$35,":",$AS$35)),O$35)</f>
        <v>366405.11531000002</v>
      </c>
      <c r="P65" s="873">
        <f ca="1">+SUMIFS(INDIRECT(CONCATENATE("'",$AQ65,$AR65,":",$AS65)),INDIRECT(CONCATENATE("'",$AQ65,$AR$35,":",$AS$35)),P$35)</f>
        <v>414841.17645000003</v>
      </c>
      <c r="Q65" s="645">
        <f ca="1">+SUM(M65:P65)</f>
        <v>1463806.0990900001</v>
      </c>
      <c r="R65" s="873">
        <f ca="1">+SUMIFS(INDIRECT(CONCATENATE("'",$AQ65,$AR65,":",$AS65)),INDIRECT(CONCATENATE("'",$AQ65,$AR$35,":",$AS$35)),R$35)</f>
        <v>298654.90463999996</v>
      </c>
      <c r="S65" s="873">
        <f ca="1">+SUMIFS(INDIRECT(CONCATENATE("'",$AQ65,$AR65,":",$AS65)),INDIRECT(CONCATENATE("'",$AQ65,$AR$35,":",$AS$35)),S$35)</f>
        <v>108624.88222</v>
      </c>
      <c r="T65" s="873">
        <f ca="1">+SUMIFS(INDIRECT(CONCATENATE("'",$AQ65,$AR65,":",$AS65)),INDIRECT(CONCATENATE("'",$AQ65,$AR$35,":",$AS$35)),T$35)</f>
        <v>305501.52506000001</v>
      </c>
      <c r="U65" s="873">
        <f ca="1">+SUMIFS(INDIRECT(CONCATENATE("'",$AQ65,$AR65,":",$AS65)),INDIRECT(CONCATENATE("'",$AQ65,$AR$35,":",$AS$35)),U$35)</f>
        <v>337571.33675999998</v>
      </c>
      <c r="V65" s="645">
        <f ca="1">+SUM(R65:U65)</f>
        <v>1050352.6486800001</v>
      </c>
      <c r="W65" s="873">
        <f ca="1">+SUMIFS(INDIRECT(CONCATENATE("'",$AQ65,$AR65,":",$AS65)),INDIRECT(CONCATENATE("'",$AQ65,$AR$35,":",$AS$35)),W$35)</f>
        <v>250078.92903</v>
      </c>
      <c r="X65" s="873">
        <f ca="1">+SUMIFS(INDIRECT(CONCATENATE("'",$AQ65,$AR65,":",$AS65)),INDIRECT(CONCATENATE("'",$AQ65,$AR$35,":",$AS$35)),X$35)</f>
        <v>249944.68143999999</v>
      </c>
      <c r="Y65" s="873">
        <f ca="1">+SUMIFS(INDIRECT(CONCATENATE("'",$AQ65,$AR65,":",$AS65)),INDIRECT(CONCATENATE("'",$AQ65,$AR$35,":",$AS$35)),Y$35)</f>
        <v>243798.95912000004</v>
      </c>
      <c r="Z65" s="873">
        <f ca="1">+SUMIFS(INDIRECT(CONCATENATE("'",$AQ65,$AR65,":",$AS65)),INDIRECT(CONCATENATE("'",$AQ65,$AR$35,":",$AS$35)),Z$35)</f>
        <v>339046.03587999992</v>
      </c>
      <c r="AA65" s="645">
        <f ca="1">+SUM(W65:Z65)</f>
        <v>1082868.6054699998</v>
      </c>
      <c r="AB65" s="873">
        <f ca="1">+SUMIFS(INDIRECT(CONCATENATE("'",$AQ65,$AR65,":",$AS65)),INDIRECT(CONCATENATE("'",$AQ65,$AR$35,":",$AS$35)),AB$35)</f>
        <v>249984.01542999997</v>
      </c>
      <c r="AC65" s="873">
        <f ca="1">+SUMIFS(INDIRECT(CONCATENATE("'",$AQ65,$AR65,":",$AS65)),INDIRECT(CONCATENATE("'",$AQ65,$AR$35,":",$AS$35)),AC$35)</f>
        <v>329187.05628000002</v>
      </c>
      <c r="AD65" s="873">
        <f ca="1">+SUMIFS(INDIRECT(CONCATENATE("'",$AQ65,$AR65,":",$AS65)),INDIRECT(CONCATENATE("'",$AQ65,$AR$35,":",$AS$35)),AD$35)</f>
        <v>460036.70981000003</v>
      </c>
      <c r="AE65" s="873">
        <f ca="1">+SUMIFS(INDIRECT(CONCATENATE("'",$AQ65,$AR65,":",$AS65)),INDIRECT(CONCATENATE("'",$AQ65,$AR$35,":",$AS$35)),AE$35)</f>
        <v>461462.62537999998</v>
      </c>
      <c r="AF65" s="645">
        <f ca="1">+SUM(AB65:AE65)</f>
        <v>1500670.4069000001</v>
      </c>
      <c r="AG65" s="873">
        <f ca="1">+SUMIFS(INDIRECT(CONCATENATE("'",$AQ65,$AR65,":",$AS65)),INDIRECT(CONCATENATE("'",$AQ65,$AR$35,":",$AS$35)),AG$35)</f>
        <v>369902.34818999982</v>
      </c>
      <c r="AH65" s="873">
        <f ca="1">+SUMIFS(INDIRECT(CONCATENATE("'",$AQ65,$AR65,":",$AS65)),INDIRECT(CONCATENATE("'",$AQ65,$AR$35,":",$AS$35)),AH$35)</f>
        <v>413999.29704000009</v>
      </c>
      <c r="AI65" s="873">
        <f ca="1">+SUMIFS(INDIRECT(CONCATENATE("'",$AQ65,$AR65,":",$AS65)),INDIRECT(CONCATENATE("'",$AQ65,$AR$35,":",$AS$35)),AI$35)</f>
        <v>481071.89130000008</v>
      </c>
      <c r="AJ65" s="873">
        <f ca="1">+SUMIFS(INDIRECT(CONCATENATE("'",$AQ65,$AR65,":",$AS65)),INDIRECT(CONCATENATE("'",$AQ65,$AR$35,":",$AS$35)),AJ$35)</f>
        <v>516751.48728000012</v>
      </c>
      <c r="AK65" s="645">
        <f ca="1">+SUM(AG65:AJ65)</f>
        <v>1781725.0238100002</v>
      </c>
      <c r="AL65" s="873">
        <f ca="1">+SUMIFS(INDIRECT(CONCATENATE("'",$AQ65,$AR65,":",$AS65)),INDIRECT(CONCATENATE("'",$AQ65,$AR$35,":",$AS$35)),AL$35)</f>
        <v>432552.07787999994</v>
      </c>
      <c r="AM65" s="873">
        <f ca="1">+SUMIFS(INDIRECT(CONCATENATE("'",$AQ65,$AR65,":",$AS65)),INDIRECT(CONCATENATE("'",$AQ65,$AR$35,":",$AS$35)),AM$35)</f>
        <v>529168.94435000001</v>
      </c>
      <c r="AN65" s="873">
        <f ca="1">+SUMIFS(INDIRECT(CONCATENATE("'",$AQ65,$AR65,":",$AS65)),INDIRECT(CONCATENATE("'",$AQ65,$AR$35,":",$AS$35)),AN$35)</f>
        <v>695890.14059000008</v>
      </c>
      <c r="AO65" s="873">
        <f ca="1">+SUMIFS(INDIRECT(CONCATENATE("'",$AQ65,$AR65,":",$AS65)),INDIRECT(CONCATENATE("'",$AQ65,$AR$35,":",$AS$35)),AO$35)</f>
        <v>720353.22578999994</v>
      </c>
      <c r="AP65" s="645">
        <f ca="1">+SUM(AL65:AO65)</f>
        <v>2377964.3886100003</v>
      </c>
      <c r="AQ65" s="268" t="s">
        <v>1077</v>
      </c>
      <c r="AR65" s="268" t="str">
        <f>"$"&amp;ROW(IncSAuto!$B$6)</f>
        <v>$6</v>
      </c>
      <c r="AS65" s="268" t="str">
        <f>"$"&amp;ROW(IncSAuto!$B$6)</f>
        <v>$6</v>
      </c>
      <c r="AT65" s="268" t="s">
        <v>1077</v>
      </c>
      <c r="AU65" s="268" t="s">
        <v>1076</v>
      </c>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row>
    <row r="66" spans="1:79" s="867" customFormat="1" ht="13.5" customHeight="1" x14ac:dyDescent="0.2">
      <c r="A66" s="872"/>
      <c r="B66" s="877" t="s">
        <v>1035</v>
      </c>
      <c r="C66" s="876" t="s">
        <v>47</v>
      </c>
      <c r="D66" s="876" t="s">
        <v>47</v>
      </c>
      <c r="E66" s="876" t="s">
        <v>47</v>
      </c>
      <c r="F66" s="876" t="s">
        <v>47</v>
      </c>
      <c r="G66" s="875" t="s">
        <v>47</v>
      </c>
      <c r="H66" s="876">
        <f t="shared" ref="H66:AP66" ca="1" si="77">H65/C65-1</f>
        <v>0.28278512341919515</v>
      </c>
      <c r="I66" s="876">
        <f t="shared" ca="1" si="77"/>
        <v>0.17327756478680678</v>
      </c>
      <c r="J66" s="876">
        <f t="shared" ca="1" si="77"/>
        <v>0.19858151309598848</v>
      </c>
      <c r="K66" s="876">
        <f t="shared" ca="1" si="77"/>
        <v>0.15010090587780023</v>
      </c>
      <c r="L66" s="875">
        <f t="shared" ca="1" si="77"/>
        <v>0.19392623604640624</v>
      </c>
      <c r="M66" s="876">
        <f t="shared" ca="1" si="77"/>
        <v>0.16959618668881005</v>
      </c>
      <c r="N66" s="876">
        <f t="shared" ca="1" si="77"/>
        <v>0.14455034463528404</v>
      </c>
      <c r="O66" s="876">
        <f t="shared" ca="1" si="77"/>
        <v>1.6830378055694428E-3</v>
      </c>
      <c r="P66" s="876">
        <f t="shared" ca="1" si="77"/>
        <v>5.9120985474129473E-2</v>
      </c>
      <c r="Q66" s="875">
        <f t="shared" ca="1" si="77"/>
        <v>8.6061693880462364E-2</v>
      </c>
      <c r="R66" s="876">
        <f t="shared" ca="1" si="77"/>
        <v>-7.1653414253841974E-2</v>
      </c>
      <c r="S66" s="876">
        <f t="shared" ca="1" si="77"/>
        <v>-0.6989779318869469</v>
      </c>
      <c r="T66" s="876">
        <f t="shared" ca="1" si="77"/>
        <v>-0.16621926852323565</v>
      </c>
      <c r="U66" s="876">
        <f t="shared" ca="1" si="77"/>
        <v>-0.18626366927033633</v>
      </c>
      <c r="V66" s="875">
        <f t="shared" ca="1" si="77"/>
        <v>-0.28245096851764073</v>
      </c>
      <c r="W66" s="876">
        <f t="shared" ca="1" si="77"/>
        <v>-0.16264918089509928</v>
      </c>
      <c r="X66" s="876">
        <f t="shared" ca="1" si="77"/>
        <v>1.3009892055282726</v>
      </c>
      <c r="Y66" s="876">
        <f t="shared" ca="1" si="77"/>
        <v>-0.20197138435849604</v>
      </c>
      <c r="Z66" s="876">
        <f t="shared" ca="1" si="77"/>
        <v>4.3685555004582266E-3</v>
      </c>
      <c r="AA66" s="875">
        <f t="shared" ca="1" si="77"/>
        <v>3.0957180743879986E-2</v>
      </c>
      <c r="AB66" s="876">
        <f t="shared" ca="1" si="77"/>
        <v>-3.7953457481676445E-4</v>
      </c>
      <c r="AC66" s="876">
        <f t="shared" ca="1" si="77"/>
        <v>0.31703965206806139</v>
      </c>
      <c r="AD66" s="876">
        <f t="shared" ca="1" si="77"/>
        <v>0.88695108244316101</v>
      </c>
      <c r="AE66" s="876">
        <f t="shared" ca="1" si="77"/>
        <v>0.36106185162220128</v>
      </c>
      <c r="AF66" s="875">
        <f t="shared" ca="1" si="77"/>
        <v>0.38582871395432217</v>
      </c>
      <c r="AG66" s="876">
        <f t="shared" ca="1" si="77"/>
        <v>0.47970400248882772</v>
      </c>
      <c r="AH66" s="876">
        <f t="shared" ca="1" si="77"/>
        <v>0.25764148116401175</v>
      </c>
      <c r="AI66" s="876">
        <f t="shared" ca="1" si="77"/>
        <v>4.5725006377616673E-2</v>
      </c>
      <c r="AJ66" s="876">
        <f t="shared" ca="1" si="77"/>
        <v>0.11981222066352926</v>
      </c>
      <c r="AK66" s="875">
        <f t="shared" ca="1" si="77"/>
        <v>0.18728603937128785</v>
      </c>
      <c r="AL66" s="876">
        <f t="shared" ca="1" si="77"/>
        <v>0.16936829408236198</v>
      </c>
      <c r="AM66" s="876">
        <f t="shared" ca="1" si="77"/>
        <v>0.27818802624409367</v>
      </c>
      <c r="AN66" s="876">
        <f t="shared" ca="1" si="77"/>
        <v>0.44654084592117171</v>
      </c>
      <c r="AO66" s="876">
        <f t="shared" ca="1" si="77"/>
        <v>0.39400319790406124</v>
      </c>
      <c r="AP66" s="875">
        <f t="shared" ca="1" si="77"/>
        <v>0.33464162922571261</v>
      </c>
      <c r="AQ66" s="868"/>
      <c r="AR66" s="868"/>
      <c r="AS66" s="868"/>
      <c r="AT66" s="868"/>
      <c r="AU66" s="868"/>
      <c r="AV66" s="868"/>
      <c r="AY66" s="1041"/>
      <c r="AZ66" s="1041"/>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row>
    <row r="67" spans="1:79" ht="13.5" customHeight="1" x14ac:dyDescent="0.2">
      <c r="A67" s="24"/>
      <c r="B67" s="882" t="s">
        <v>216</v>
      </c>
      <c r="C67" s="881">
        <f ca="1">C65</f>
        <v>214422.15101999999</v>
      </c>
      <c r="D67" s="881">
        <f ca="1">D65</f>
        <v>268717.10787999997</v>
      </c>
      <c r="E67" s="881">
        <f ca="1">E65</f>
        <v>305185.31597000005</v>
      </c>
      <c r="F67" s="881">
        <f ca="1">F65</f>
        <v>340565.25495999999</v>
      </c>
      <c r="G67" s="880">
        <f ca="1">SUM(C67:F67)</f>
        <v>1128889.8298299999</v>
      </c>
      <c r="H67" s="881">
        <f t="shared" ref="H67:P67" ca="1" si="78">H65</f>
        <v>275057.54545999999</v>
      </c>
      <c r="I67" s="881">
        <f t="shared" ca="1" si="78"/>
        <v>315279.75394999998</v>
      </c>
      <c r="J67" s="881">
        <f t="shared" ca="1" si="78"/>
        <v>365789.47778999998</v>
      </c>
      <c r="K67" s="881">
        <f t="shared" ca="1" si="78"/>
        <v>391684.40824000002</v>
      </c>
      <c r="L67" s="880">
        <f t="shared" ca="1" si="78"/>
        <v>1347811.1854399999</v>
      </c>
      <c r="M67" s="881">
        <f t="shared" ca="1" si="78"/>
        <v>321706.25628999999</v>
      </c>
      <c r="N67" s="881">
        <f t="shared" ca="1" si="78"/>
        <v>360853.55104000005</v>
      </c>
      <c r="O67" s="881">
        <f t="shared" ca="1" si="78"/>
        <v>366405.11531000002</v>
      </c>
      <c r="P67" s="881">
        <f t="shared" ca="1" si="78"/>
        <v>414841.17645000003</v>
      </c>
      <c r="Q67" s="880">
        <f ca="1">+SUM(M67:P67)</f>
        <v>1463806.0990900001</v>
      </c>
      <c r="R67" s="881">
        <f ca="1">R65</f>
        <v>298654.90463999996</v>
      </c>
      <c r="S67" s="881">
        <f ca="1">S65</f>
        <v>108624.88222</v>
      </c>
      <c r="T67" s="881">
        <f ca="1">T65</f>
        <v>305501.52506000001</v>
      </c>
      <c r="U67" s="881">
        <f ca="1">U65</f>
        <v>337571.33675999998</v>
      </c>
      <c r="V67" s="880">
        <f ca="1">+SUM(R67:U67)</f>
        <v>1050352.6486800001</v>
      </c>
      <c r="W67" s="881">
        <f ca="1">W65</f>
        <v>250078.92903</v>
      </c>
      <c r="X67" s="881">
        <f ca="1">X65</f>
        <v>249944.68143999999</v>
      </c>
      <c r="Y67" s="881">
        <f ca="1">Y65</f>
        <v>243798.95912000004</v>
      </c>
      <c r="Z67" s="881">
        <f ca="1">Z65</f>
        <v>339046.03587999992</v>
      </c>
      <c r="AA67" s="880">
        <f ca="1">+SUM(W67:Z67)</f>
        <v>1082868.6054699998</v>
      </c>
      <c r="AB67" s="881">
        <f ca="1">AB65</f>
        <v>249984.01542999997</v>
      </c>
      <c r="AC67" s="881">
        <f ca="1">AC65</f>
        <v>329187.05628000002</v>
      </c>
      <c r="AD67" s="881">
        <f ca="1">AD65</f>
        <v>460036.70981000003</v>
      </c>
      <c r="AE67" s="881">
        <f ca="1">AE65</f>
        <v>461462.62537999998</v>
      </c>
      <c r="AF67" s="880">
        <f ca="1">+SUM(AB67:AE67)</f>
        <v>1500670.4069000001</v>
      </c>
      <c r="AG67" s="881">
        <f ca="1">AG65</f>
        <v>369902.34818999982</v>
      </c>
      <c r="AH67" s="881">
        <f ca="1">AH65</f>
        <v>413999.29704000009</v>
      </c>
      <c r="AI67" s="881">
        <f ca="1">AI65</f>
        <v>481071.89130000008</v>
      </c>
      <c r="AJ67" s="881">
        <f ca="1">AJ65</f>
        <v>516751.48728000012</v>
      </c>
      <c r="AK67" s="880">
        <f ca="1">+SUM(AG67:AJ67)</f>
        <v>1781725.0238100002</v>
      </c>
      <c r="AL67" s="881">
        <f ca="1">AL65</f>
        <v>432552.07787999994</v>
      </c>
      <c r="AM67" s="881">
        <f ca="1">AM65</f>
        <v>529168.94435000001</v>
      </c>
      <c r="AN67" s="881">
        <f ca="1">AN65</f>
        <v>695890.14059000008</v>
      </c>
      <c r="AO67" s="881">
        <f ca="1">AO65</f>
        <v>720353.22578999994</v>
      </c>
      <c r="AP67" s="880">
        <f ca="1">+SUM(AL67:AO67)</f>
        <v>2377964.3886100003</v>
      </c>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row>
    <row r="68" spans="1:79" ht="13.5" customHeight="1" x14ac:dyDescent="0.2">
      <c r="A68" s="914"/>
      <c r="B68" s="874" t="s">
        <v>1157</v>
      </c>
      <c r="C68" s="873">
        <f ca="1">+SUMIFS(INDIRECT(CONCATENATE("'",$AQ68,$AR68,":",$AS68)),INDIRECT(CONCATENATE("'",$AQ68,$AR$35,":",$AS$35)),C$35)-C67</f>
        <v>-41103.315629999997</v>
      </c>
      <c r="D68" s="873">
        <f ca="1">+SUMIFS(INDIRECT(CONCATENATE("'",$AQ68,$AR68,":",$AS68)),INDIRECT(CONCATENATE("'",$AQ68,$AR$35,":",$AS$35)),D$35)-D67</f>
        <v>-52946.743019999965</v>
      </c>
      <c r="E68" s="873">
        <f ca="1">+SUMIFS(INDIRECT(CONCATENATE("'",$AQ68,$AR68,":",$AS68)),INDIRECT(CONCATENATE("'",$AQ68,$AR$35,":",$AS$35)),E$35)-E67</f>
        <v>-61019.876960000052</v>
      </c>
      <c r="F68" s="873">
        <f ca="1">+SUMIFS(INDIRECT(CONCATENATE("'",$AQ68,$AR68,":",$AS68)),INDIRECT(CONCATENATE("'",$AQ68,$AR$35,":",$AS$35)),F$35)-F67</f>
        <v>-65737.152109999966</v>
      </c>
      <c r="G68" s="645">
        <f ca="1">SUM(C68:F68)</f>
        <v>-220807.08771999998</v>
      </c>
      <c r="H68" s="873">
        <f ca="1">+SUMIFS(INDIRECT(CONCATENATE("'",$AQ68,$AR68,":",$AS68)),INDIRECT(CONCATENATE("'",$AQ68,$AR$35,":",$AS$35)),H$35)-H67</f>
        <v>-52596.962559999985</v>
      </c>
      <c r="I68" s="873">
        <f ca="1">+SUMIFS(INDIRECT(CONCATENATE("'",$AQ68,$AR68,":",$AS68)),INDIRECT(CONCATENATE("'",$AQ68,$AR$35,":",$AS$35)),I$35)-I67</f>
        <v>-59289.149159999972</v>
      </c>
      <c r="J68" s="873">
        <f ca="1">+SUMIFS(INDIRECT(CONCATENATE("'",$AQ68,$AR68,":",$AS68)),INDIRECT(CONCATENATE("'",$AQ68,$AR$35,":",$AS$35)),J$35)-J67</f>
        <v>-69708.742150000005</v>
      </c>
      <c r="K68" s="916">
        <f ca="1">+SUMIFS(INDIRECT(CONCATENATE("'",$AQ68,$AR68,":",$AS68)),INDIRECT(CONCATENATE("'",$AQ68,$AR$35,":",$AS$35)),K$35)-K67-4105.6676015285</f>
        <v>-69515.308851528491</v>
      </c>
      <c r="L68" s="930">
        <f ca="1">SUM(H68:K68)</f>
        <v>-251110.16272152844</v>
      </c>
      <c r="M68" s="873">
        <f ca="1">+SUMIFS(INDIRECT(CONCATENATE("'",$AQ68,$AR68,":",$AS68)),INDIRECT(CONCATENATE("'",$AQ68,$AR$35,":",$AS$35)),M$35)-M67</f>
        <v>-62799.635449999972</v>
      </c>
      <c r="N68" s="873">
        <f ca="1">+SUMIFS(INDIRECT(CONCATENATE("'",$AQ68,$AR68,":",$AS68)),INDIRECT(CONCATENATE("'",$AQ68,$AR$35,":",$AS$35)),N$35)-N67</f>
        <v>-66748.686060000036</v>
      </c>
      <c r="O68" s="873">
        <f ca="1">+SUMIFS(INDIRECT(CONCATENATE("'",$AQ68,$AR68,":",$AS68)),INDIRECT(CONCATENATE("'",$AQ68,$AR$35,":",$AS$35)),O$35)-O67</f>
        <v>-66613.590469999996</v>
      </c>
      <c r="P68" s="873">
        <f ca="1">+SUMIFS(INDIRECT(CONCATENATE("'",$AQ68,$AR68,":",$AS68)),INDIRECT(CONCATENATE("'",$AQ68,$AR$35,":",$AS$35)),P$35)-P67</f>
        <v>-77497.233100000012</v>
      </c>
      <c r="Q68" s="645">
        <f ca="1">SUM(M68:P68)</f>
        <v>-273659.14508000005</v>
      </c>
      <c r="R68" s="873">
        <f ca="1">+SUMIFS(INDIRECT(CONCATENATE("'",$AQ68,$AR68,":",$AS68)),INDIRECT(CONCATENATE("'",$AQ68,$AR$35,":",$AS$35)),R$35)-R67</f>
        <v>-57894.401809999952</v>
      </c>
      <c r="S68" s="873">
        <f ca="1">+SUMIFS(INDIRECT(CONCATENATE("'",$AQ68,$AR68,":",$AS68)),INDIRECT(CONCATENATE("'",$AQ68,$AR$35,":",$AS$35)),S$35)-S67</f>
        <v>-21747.188200000004</v>
      </c>
      <c r="T68" s="873">
        <f ca="1">+SUMIFS(INDIRECT(CONCATENATE("'",$AQ68,$AR68,":",$AS68)),INDIRECT(CONCATENATE("'",$AQ68,$AR$35,":",$AS$35)),T$35)-T67</f>
        <v>-60044.146310000011</v>
      </c>
      <c r="U68" s="873">
        <f ca="1">+SUMIFS(INDIRECT(CONCATENATE("'",$AQ68,$AR68,":",$AS68)),INDIRECT(CONCATENATE("'",$AQ68,$AR$35,":",$AS$35)),U$35)-U67</f>
        <v>-65009.129129999958</v>
      </c>
      <c r="V68" s="645">
        <f ca="1">SUM(R68:U68)</f>
        <v>-204694.86544999992</v>
      </c>
      <c r="W68" s="873">
        <f ca="1">+SUMIFS(INDIRECT(CONCATENATE("'",$AQ68,$AR68,":",$AS68)),INDIRECT(CONCATENATE("'",$AQ68,$AR$35,":",$AS$35)),W$35)-W67</f>
        <v>-49254.193539999978</v>
      </c>
      <c r="X68" s="873">
        <f ca="1">+SUMIFS(INDIRECT(CONCATENATE("'",$AQ68,$AR68,":",$AS68)),INDIRECT(CONCATENATE("'",$AQ68,$AR$35,":",$AS$35)),X$35)-X67</f>
        <v>-49517.74914</v>
      </c>
      <c r="Y68" s="873">
        <f ca="1">+SUMIFS(INDIRECT(CONCATENATE("'",$AQ68,$AR68,":",$AS68)),INDIRECT(CONCATENATE("'",$AQ68,$AR$35,":",$AS$35)),Y$35)-Y67</f>
        <v>-49478.775010000012</v>
      </c>
      <c r="Z68" s="873">
        <f ca="1">+SUMIFS(INDIRECT(CONCATENATE("'",$AQ68,$AR68,":",$AS68)),INDIRECT(CONCATENATE("'",$AQ68,$AR$35,":",$AS$35)),Z$35)-Z67</f>
        <v>-67104.971710000013</v>
      </c>
      <c r="AA68" s="645">
        <f ca="1">SUM(W68:Z68)</f>
        <v>-215355.6894</v>
      </c>
      <c r="AB68" s="873">
        <f ca="1">+SUMIFS(INDIRECT(CONCATENATE("'",$AQ68,$AR68,":",$AS68)),INDIRECT(CONCATENATE("'",$AQ68,$AR$35,":",$AS$35)),AB$35)-AB67</f>
        <v>-48189.471709999983</v>
      </c>
      <c r="AC68" s="873">
        <f ca="1">+SUMIFS(INDIRECT(CONCATENATE("'",$AQ68,$AR68,":",$AS68)),INDIRECT(CONCATENATE("'",$AQ68,$AR$35,":",$AS$35)),AC$35)-AC67</f>
        <v>-63085.022420000052</v>
      </c>
      <c r="AD68" s="873">
        <f ca="1">+SUMIFS(INDIRECT(CONCATENATE("'",$AQ68,$AR68,":",$AS68)),INDIRECT(CONCATENATE("'",$AQ68,$AR$35,":",$AS$35)),AD$35)-AD67</f>
        <v>-86906.629780000017</v>
      </c>
      <c r="AE68" s="873">
        <f ca="1">+SUMIFS(INDIRECT(CONCATENATE("'",$AQ68,$AR68,":",$AS68)),INDIRECT(CONCATENATE("'",$AQ68,$AR$35,":",$AS$35)),AE$35)-AE67</f>
        <v>-89050.690640000044</v>
      </c>
      <c r="AF68" s="645">
        <f ca="1">SUM(AB68:AE68)</f>
        <v>-287231.81455000013</v>
      </c>
      <c r="AG68" s="873">
        <f ca="1">+SUMIFS(INDIRECT(CONCATENATE("'",$AQ68,$AR68,":",$AS68)),INDIRECT(CONCATENATE("'",$AQ68,$AR$35,":",$AS$35)),AG$35)-AG67</f>
        <v>-72862.59156000003</v>
      </c>
      <c r="AH68" s="916">
        <f ca="1">+SUMIFS(INDIRECT(CONCATENATE("'",$AQ68,$AR68,":",$AS68)),INDIRECT(CONCATENATE("'",$AQ68,$AR$35,":",$AS$35)),AH$35)-AH67</f>
        <v>-83095.65155000001</v>
      </c>
      <c r="AI68" s="873">
        <f ca="1">+SUMIFS(INDIRECT(CONCATENATE("'",$AQ68,$AR68,":",$AS68)),INDIRECT(CONCATENATE("'",$AQ68,$AR$35,":",$AS$35)),AI$35)-AI67</f>
        <v>-95247.513340000005</v>
      </c>
      <c r="AJ68" s="916">
        <f ca="1">+SUMIFS(INDIRECT(CONCATENATE("'",$AQ68,$AR68,":",$AS68)),INDIRECT(CONCATENATE("'",$AQ68,$AR$35,":",$AS$35)),AJ$35)-AJ67</f>
        <v>-103380.24767999997</v>
      </c>
      <c r="AK68" s="930">
        <f ca="1">SUM(AG68:AJ68)</f>
        <v>-354586.00413000002</v>
      </c>
      <c r="AL68" s="873">
        <f ca="1">+SUMIFS(INDIRECT(CONCATENATE("'",$AQ68,$AR68,":",$AS68)),INDIRECT(CONCATENATE("'",$AQ68,$AR$35,":",$AS$35)),AL$35)-AL67</f>
        <v>-85040.23550000001</v>
      </c>
      <c r="AM68" s="873">
        <f ca="1">+SUMIFS(INDIRECT(CONCATENATE("'",$AQ68,$AR68,":",$AS68)),INDIRECT(CONCATENATE("'",$AQ68,$AR$35,":",$AS$35)),AM$35)-AM67</f>
        <v>-101889.77088999999</v>
      </c>
      <c r="AN68" s="873">
        <f ca="1">+SUMIFS(INDIRECT(CONCATENATE("'",$AQ68,$AR68,":",$AS68)),INDIRECT(CONCATENATE("'",$AQ68,$AR$35,":",$AS$35)),AN$35)-AN67</f>
        <v>-133957.97138</v>
      </c>
      <c r="AO68" s="873">
        <f ca="1">+SUMIFS(INDIRECT(CONCATENATE("'",$AQ68,$AR68,":",$AS68)),INDIRECT(CONCATENATE("'",$AQ68,$AR$35,":",$AS$35)),AO$35)-AO67</f>
        <v>-137016.65207999991</v>
      </c>
      <c r="AP68" s="645">
        <f ca="1">SUM(AL68:AO68)</f>
        <v>-457904.62984999991</v>
      </c>
      <c r="AQ68" s="268" t="s">
        <v>1077</v>
      </c>
      <c r="AR68" s="268" t="str">
        <f>"$"&amp;ROW(IncSAuto!$B$11)</f>
        <v>$11</v>
      </c>
      <c r="AS68" s="268" t="str">
        <f>"$"&amp;ROW(IncSAuto!$B$11)</f>
        <v>$11</v>
      </c>
      <c r="AT68" s="268" t="s">
        <v>1077</v>
      </c>
      <c r="AU68" s="268" t="s">
        <v>1076</v>
      </c>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row>
    <row r="69" spans="1:79" s="867" customFormat="1" ht="13.5" customHeight="1" x14ac:dyDescent="0.2">
      <c r="A69" s="872"/>
      <c r="B69" s="877" t="s">
        <v>1156</v>
      </c>
      <c r="C69" s="891">
        <f t="shared" ref="C69:S69" ca="1" si="79">+C68/C67</f>
        <v>-0.19169342082649909</v>
      </c>
      <c r="D69" s="891">
        <f t="shared" ca="1" si="79"/>
        <v>-0.19703525182194281</v>
      </c>
      <c r="E69" s="891">
        <f t="shared" ca="1" si="79"/>
        <v>-0.19994368590787098</v>
      </c>
      <c r="F69" s="891">
        <f t="shared" ca="1" si="79"/>
        <v>-0.19302366037815841</v>
      </c>
      <c r="G69" s="915">
        <f t="shared" ca="1" si="79"/>
        <v>-0.19559666664128902</v>
      </c>
      <c r="H69" s="891">
        <f t="shared" ca="1" si="79"/>
        <v>-0.19122166771334348</v>
      </c>
      <c r="I69" s="891">
        <f t="shared" ca="1" si="79"/>
        <v>-0.18805251024587707</v>
      </c>
      <c r="J69" s="891">
        <f t="shared" ca="1" si="79"/>
        <v>-0.19057065985375296</v>
      </c>
      <c r="K69" s="891">
        <f t="shared" ca="1" si="79"/>
        <v>-0.17747785561311852</v>
      </c>
      <c r="L69" s="878">
        <f t="shared" ca="1" si="79"/>
        <v>-0.18630959991592014</v>
      </c>
      <c r="M69" s="891">
        <f t="shared" ca="1" si="79"/>
        <v>-0.19520800177845984</v>
      </c>
      <c r="N69" s="891">
        <f t="shared" ca="1" si="79"/>
        <v>-0.18497444702324975</v>
      </c>
      <c r="O69" s="891">
        <f t="shared" ca="1" si="79"/>
        <v>-0.18180311269301203</v>
      </c>
      <c r="P69" s="891">
        <f t="shared" ca="1" si="79"/>
        <v>-0.18681181497743776</v>
      </c>
      <c r="Q69" s="878">
        <f t="shared" ca="1" si="79"/>
        <v>-0.18695040637562918</v>
      </c>
      <c r="R69" s="879">
        <f t="shared" ca="1" si="79"/>
        <v>-0.19385049738187338</v>
      </c>
      <c r="S69" s="879">
        <f t="shared" ca="1" si="79"/>
        <v>-0.2002044812896093</v>
      </c>
      <c r="T69" s="879">
        <f t="shared" ref="T69:Y69" ca="1" si="80">+T68/T67</f>
        <v>-0.19654286929732162</v>
      </c>
      <c r="U69" s="879">
        <f t="shared" ca="1" si="80"/>
        <v>-0.19257893680771512</v>
      </c>
      <c r="V69" s="878">
        <f t="shared" ca="1" si="80"/>
        <v>-0.19488203862506959</v>
      </c>
      <c r="W69" s="879">
        <f t="shared" ca="1" si="80"/>
        <v>-0.19695459242026481</v>
      </c>
      <c r="X69" s="879">
        <f t="shared" ca="1" si="80"/>
        <v>-0.1981148342693857</v>
      </c>
      <c r="Y69" s="879">
        <f t="shared" ca="1" si="80"/>
        <v>-0.20294908226267738</v>
      </c>
      <c r="Z69" s="879">
        <f t="shared" ref="Z69:AF69" ca="1" si="81">+Z68/Z67</f>
        <v>-0.19792289131423668</v>
      </c>
      <c r="AA69" s="878">
        <f t="shared" ca="1" si="81"/>
        <v>-0.19887518052712286</v>
      </c>
      <c r="AB69" s="879">
        <f t="shared" ca="1" si="81"/>
        <v>-0.19277021223580554</v>
      </c>
      <c r="AC69" s="879">
        <f t="shared" ca="1" si="81"/>
        <v>-0.19163883031397558</v>
      </c>
      <c r="AD69" s="879">
        <f t="shared" ca="1" si="81"/>
        <v>-0.18891238009221778</v>
      </c>
      <c r="AE69" s="879">
        <f t="shared" ca="1" si="81"/>
        <v>-0.1929748710779548</v>
      </c>
      <c r="AF69" s="878">
        <f t="shared" ca="1" si="81"/>
        <v>-0.19140233140423377</v>
      </c>
      <c r="AG69" s="879">
        <f t="shared" ref="AG69:AM69" ca="1" si="82">+AG68/AG67</f>
        <v>-0.19697791029586614</v>
      </c>
      <c r="AH69" s="879">
        <f t="shared" ca="1" si="82"/>
        <v>-0.20071447498610465</v>
      </c>
      <c r="AI69" s="879">
        <f t="shared" ca="1" si="82"/>
        <v>-0.19799018621232006</v>
      </c>
      <c r="AJ69" s="879">
        <f t="shared" ca="1" si="82"/>
        <v>-0.20005795866047255</v>
      </c>
      <c r="AK69" s="878">
        <f t="shared" ca="1" si="82"/>
        <v>-0.19901275415201913</v>
      </c>
      <c r="AL69" s="879">
        <f t="shared" ca="1" si="82"/>
        <v>-0.19660114896868477</v>
      </c>
      <c r="AM69" s="879">
        <f t="shared" ca="1" si="82"/>
        <v>-0.19254676975640622</v>
      </c>
      <c r="AN69" s="879">
        <f t="shared" ref="AN69:AP69" ca="1" si="83">+AN68/AN67</f>
        <v>-0.19249873445027649</v>
      </c>
      <c r="AO69" s="879">
        <f t="shared" ca="1" si="83"/>
        <v>-0.19020759146283536</v>
      </c>
      <c r="AP69" s="878">
        <f t="shared" ca="1" si="83"/>
        <v>-0.19256160102450504</v>
      </c>
      <c r="AQ69" s="868"/>
      <c r="AR69" s="868"/>
      <c r="AS69" s="868"/>
      <c r="AT69" s="868"/>
      <c r="AU69" s="868"/>
      <c r="AV69" s="868"/>
      <c r="AY69" s="1041"/>
      <c r="AZ69" s="1041"/>
      <c r="BA69" s="868"/>
      <c r="BB69" s="868"/>
      <c r="BC69" s="868"/>
      <c r="BD69" s="868"/>
      <c r="BE69" s="868"/>
      <c r="BF69" s="868"/>
      <c r="BG69" s="868"/>
      <c r="BH69" s="868"/>
      <c r="BI69" s="868"/>
      <c r="BJ69" s="868"/>
      <c r="BK69" s="868"/>
      <c r="BL69" s="868"/>
      <c r="BM69" s="868"/>
      <c r="BN69" s="868"/>
      <c r="BO69" s="868"/>
      <c r="BP69" s="868"/>
      <c r="BQ69" s="868"/>
      <c r="BR69" s="868"/>
      <c r="BS69" s="868"/>
      <c r="BT69" s="868"/>
      <c r="BU69" s="868"/>
      <c r="BV69" s="868"/>
      <c r="BW69" s="868"/>
      <c r="BX69" s="868"/>
      <c r="BY69" s="868"/>
      <c r="BZ69" s="868"/>
      <c r="CA69" s="868"/>
    </row>
    <row r="70" spans="1:79" ht="13.5" customHeight="1" x14ac:dyDescent="0.2">
      <c r="A70" s="24"/>
      <c r="B70" s="882" t="s">
        <v>1155</v>
      </c>
      <c r="C70" s="881">
        <f ca="1">+C67+C68</f>
        <v>173318.83538999999</v>
      </c>
      <c r="D70" s="881">
        <f ca="1">+D67+D68</f>
        <v>215770.36486</v>
      </c>
      <c r="E70" s="881">
        <f ca="1">+E67+E68</f>
        <v>244165.43901</v>
      </c>
      <c r="F70" s="881">
        <f ca="1">+F67+F68</f>
        <v>274828.10285000002</v>
      </c>
      <c r="G70" s="880">
        <f ca="1">SUM(C70:F70)</f>
        <v>908082.74210999999</v>
      </c>
      <c r="H70" s="881">
        <f ca="1">+H67+H68</f>
        <v>222460.58290000001</v>
      </c>
      <c r="I70" s="881">
        <f ca="1">+I67+I68</f>
        <v>255990.60479000001</v>
      </c>
      <c r="J70" s="881">
        <f ca="1">+J67+J68</f>
        <v>296080.73563999997</v>
      </c>
      <c r="K70" s="1022">
        <f ca="1">+K67+K68</f>
        <v>322169.09938847151</v>
      </c>
      <c r="L70" s="1023">
        <f ca="1">+SUM(H70:K70)</f>
        <v>1096701.0227184715</v>
      </c>
      <c r="M70" s="881">
        <f ca="1">+M67+M68</f>
        <v>258906.62084000002</v>
      </c>
      <c r="N70" s="881">
        <f ca="1">+N67+N68</f>
        <v>294104.86498000001</v>
      </c>
      <c r="O70" s="881">
        <f ca="1">+O67+O68</f>
        <v>299791.52484000003</v>
      </c>
      <c r="P70" s="881">
        <f ca="1">+P67+P68</f>
        <v>337343.94335000002</v>
      </c>
      <c r="Q70" s="880">
        <f ca="1">+SUM(M70:P70)</f>
        <v>1190146.9540100002</v>
      </c>
      <c r="R70" s="881">
        <f ca="1">+R67+R68</f>
        <v>240760.50283000001</v>
      </c>
      <c r="S70" s="881">
        <f ca="1">+S67+S68</f>
        <v>86877.694019999995</v>
      </c>
      <c r="T70" s="881">
        <f ca="1">+T67+T68</f>
        <v>245457.37875</v>
      </c>
      <c r="U70" s="881">
        <f ca="1">+U67+U68</f>
        <v>272562.20763000002</v>
      </c>
      <c r="V70" s="880">
        <f ca="1">+SUM(R70:U70)</f>
        <v>845657.78322999994</v>
      </c>
      <c r="W70" s="881">
        <f ca="1">+W67+W68</f>
        <v>200824.73549000002</v>
      </c>
      <c r="X70" s="881">
        <f ca="1">+X67+X68</f>
        <v>200426.93229999999</v>
      </c>
      <c r="Y70" s="881">
        <f ca="1">+Y67+Y68</f>
        <v>194320.18411000003</v>
      </c>
      <c r="Z70" s="881">
        <f ca="1">+Z67+Z68</f>
        <v>271941.06416999991</v>
      </c>
      <c r="AA70" s="880">
        <f ca="1">+SUM(W70:Z70)</f>
        <v>867512.91606999992</v>
      </c>
      <c r="AB70" s="881">
        <f ca="1">+AB67+AB68</f>
        <v>201794.54371999999</v>
      </c>
      <c r="AC70" s="881">
        <f ca="1">+AC67+AC68</f>
        <v>266102.03385999997</v>
      </c>
      <c r="AD70" s="881">
        <f ca="1">+AD67+AD68</f>
        <v>373130.08003000001</v>
      </c>
      <c r="AE70" s="881">
        <f ca="1">+AE67+AE68</f>
        <v>372411.93473999994</v>
      </c>
      <c r="AF70" s="880">
        <f ca="1">+SUM(AB70:AE70)</f>
        <v>1213438.5923499998</v>
      </c>
      <c r="AG70" s="881">
        <f ca="1">+AG67+AG68</f>
        <v>297039.75662999979</v>
      </c>
      <c r="AH70" s="881">
        <f ca="1">+AH67+AH68</f>
        <v>330903.64549000008</v>
      </c>
      <c r="AI70" s="881">
        <f ca="1">+AI67+AI68</f>
        <v>385824.37796000007</v>
      </c>
      <c r="AJ70" s="881">
        <f ca="1">+AJ67+AJ68</f>
        <v>413371.23960000015</v>
      </c>
      <c r="AK70" s="880">
        <f ca="1">+SUM(AG70:AJ70)</f>
        <v>1427139.0196800001</v>
      </c>
      <c r="AL70" s="881">
        <f ca="1">+AL67+AL68</f>
        <v>347511.84237999993</v>
      </c>
      <c r="AM70" s="881">
        <f ca="1">+AM67+AM68</f>
        <v>427279.17346000002</v>
      </c>
      <c r="AN70" s="881">
        <f ca="1">+AN67+AN68</f>
        <v>561932.16921000008</v>
      </c>
      <c r="AO70" s="881">
        <f ca="1">+AO67+AO68</f>
        <v>583336.57371000003</v>
      </c>
      <c r="AP70" s="880">
        <f ca="1">+SUM(AL70:AO70)</f>
        <v>1920059.7587600001</v>
      </c>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row>
    <row r="71" spans="1:79" ht="13.5" customHeight="1" x14ac:dyDescent="0.2">
      <c r="A71" s="914"/>
      <c r="B71" s="874" t="s">
        <v>1154</v>
      </c>
      <c r="C71" s="873">
        <f ca="1">+SUMIFS(INDIRECT(CONCATENATE("'",$AQ71,$AR71,":",$AS71)),INDIRECT(CONCATENATE("'",$AQ71,$AR$35,":",$AS$35)),C$35)</f>
        <v>-141121.33221999998</v>
      </c>
      <c r="D71" s="873">
        <f ca="1">+SUMIFS(INDIRECT(CONCATENATE("'",$AQ71,$AR71,":",$AS71)),INDIRECT(CONCATENATE("'",$AQ71,$AR$35,":",$AS$35)),D$35)</f>
        <v>-170858.86447999999</v>
      </c>
      <c r="E71" s="873">
        <f ca="1">+SUMIFS(INDIRECT(CONCATENATE("'",$AQ71,$AR71,":",$AS71)),INDIRECT(CONCATENATE("'",$AQ71,$AR$35,":",$AS$35)),E$35)</f>
        <v>-191017.84543999998</v>
      </c>
      <c r="F71" s="916">
        <f ca="1">+SUMIFS(INDIRECT(CONCATENATE("'",$AQ71,$AR71,":",$AS71)),INDIRECT(CONCATENATE("'",$AQ71,$AR$35,":",$AS$35)),F$35)-24082.77427</f>
        <v>-208318.11843999999</v>
      </c>
      <c r="G71" s="930">
        <f ca="1">SUM(C71:F71)</f>
        <v>-711316.16057999991</v>
      </c>
      <c r="H71" s="873">
        <v>-175042.63430000001</v>
      </c>
      <c r="I71" s="873">
        <v>-200153.55509000004</v>
      </c>
      <c r="J71" s="873">
        <v>-226765.28566000002</v>
      </c>
      <c r="K71" s="873">
        <v>-241697.69333000001</v>
      </c>
      <c r="L71" s="645">
        <f>+SUM(H71:K71)</f>
        <v>-843659.16838000016</v>
      </c>
      <c r="M71" s="873">
        <f>+M72+M74</f>
        <v>-195011.17071999999</v>
      </c>
      <c r="N71" s="873">
        <f>+N72+N74</f>
        <v>-222627.48254999999</v>
      </c>
      <c r="O71" s="916">
        <f>+O72+O74</f>
        <v>-225630.30535884132</v>
      </c>
      <c r="P71" s="873">
        <f>+P72+P74</f>
        <v>-251808.91704000003</v>
      </c>
      <c r="Q71" s="930">
        <f>+SUM(M71:P71)</f>
        <v>-895077.87566884141</v>
      </c>
      <c r="R71" s="873">
        <f ca="1">+SUMIFS(INDIRECT(CONCATENATE("'",$AQ71,$AR71,":",$AS71)),INDIRECT(CONCATENATE("'",$AQ71,$AR$35,":",$AS$35)),R$35)</f>
        <v>-183937.82206000001</v>
      </c>
      <c r="S71" s="873">
        <f ca="1">+SUMIFS(INDIRECT(CONCATENATE("'",$AQ71,$AR71,":",$AS71)),INDIRECT(CONCATENATE("'",$AQ71,$AR$35,":",$AS$35)),S$35)</f>
        <v>-79168.829530000003</v>
      </c>
      <c r="T71" s="873">
        <f ca="1">+SUMIFS(INDIRECT(CONCATENATE("'",$AQ71,$AR71,":",$AS71)),INDIRECT(CONCATENATE("'",$AQ71,$AR$35,":",$AS$35)),T$35)</f>
        <v>-185716.21622999999</v>
      </c>
      <c r="U71" s="873">
        <f ca="1">+SUMIFS(INDIRECT(CONCATENATE("'",$AQ71,$AR71,":",$AS71)),INDIRECT(CONCATENATE("'",$AQ71,$AR$35,":",$AS$35)),U$35)</f>
        <v>-207385.10715999999</v>
      </c>
      <c r="V71" s="645">
        <f ca="1">+SUM(R71:U71)</f>
        <v>-656207.97498000006</v>
      </c>
      <c r="W71" s="873">
        <f ca="1">+SUMIFS(INDIRECT(CONCATENATE("'",$AQ71,$AR71,":",$AS71)),INDIRECT(CONCATENATE("'",$AQ71,$AR$35,":",$AS$35)),W$35)</f>
        <v>-156515.03270000001</v>
      </c>
      <c r="X71" s="873">
        <f ca="1">+SUMIFS(INDIRECT(CONCATENATE("'",$AQ71,$AR71,":",$AS71)),INDIRECT(CONCATENATE("'",$AQ71,$AR$35,":",$AS$35)),X$35)</f>
        <v>-156748.70746000001</v>
      </c>
      <c r="Y71" s="873">
        <f ca="1">+SUMIFS(INDIRECT(CONCATENATE("'",$AQ71,$AR71,":",$AS71)),INDIRECT(CONCATENATE("'",$AQ71,$AR$35,":",$AS$35)),Y$35)</f>
        <v>-152863.65859000004</v>
      </c>
      <c r="Z71" s="873">
        <f ca="1">+SUMIFS(INDIRECT(CONCATENATE("'",$AQ71,$AR71,":",$AS71)),INDIRECT(CONCATENATE("'",$AQ71,$AR$35,":",$AS$35)),Z$35)</f>
        <v>-211529.13235</v>
      </c>
      <c r="AA71" s="645">
        <f ca="1">+SUM(W71:Z71)</f>
        <v>-677656.53110000002</v>
      </c>
      <c r="AB71" s="873">
        <f ca="1">+SUMIFS(INDIRECT(CONCATENATE("'",$AQ71,$AR71,":",$AS71)),INDIRECT(CONCATENATE("'",$AQ71,$AR$35,":",$AS$35)),AB$35)</f>
        <v>-164595.84351000001</v>
      </c>
      <c r="AC71" s="873">
        <f ca="1">+SUMIFS(INDIRECT(CONCATENATE("'",$AQ71,$AR71,":",$AS71)),INDIRECT(CONCATENATE("'",$AQ71,$AR$35,":",$AS$35)),AC$35)</f>
        <v>-208320.34273</v>
      </c>
      <c r="AD71" s="873">
        <f ca="1">+SUMIFS(INDIRECT(CONCATENATE("'",$AQ71,$AR71,":",$AS71)),INDIRECT(CONCATENATE("'",$AQ71,$AR$35,":",$AS$35)),AD$35)</f>
        <v>-280064.63664000004</v>
      </c>
      <c r="AE71" s="873">
        <f ca="1">+SUMIFS(INDIRECT(CONCATENATE("'",$AQ71,$AR71,":",$AS71)),INDIRECT(CONCATENATE("'",$AQ71,$AR$35,":",$AS$35)),AE$35)</f>
        <v>-288983.05945</v>
      </c>
      <c r="AF71" s="645">
        <f ca="1">+SUM(AB71:AE71)</f>
        <v>-941963.88233000017</v>
      </c>
      <c r="AG71" s="873">
        <f ca="1">+SUMIFS(INDIRECT(CONCATENATE("'",$AQ71,$AR71,":",$AS71)),INDIRECT(CONCATENATE("'",$AQ71,$AR$35,":",$AS$35)),AG$35)</f>
        <v>-235868.56953999994</v>
      </c>
      <c r="AH71" s="873">
        <f ca="1">+SUMIFS(INDIRECT(CONCATENATE("'",$AQ71,$AR71,":",$AS71)),INDIRECT(CONCATENATE("'",$AQ71,$AR$35,":",$AS$35)),AH$35)</f>
        <v>-261388.94050999999</v>
      </c>
      <c r="AI71" s="873">
        <f ca="1">+SUMIFS(INDIRECT(CONCATENATE("'",$AQ71,$AR71,":",$AS71)),INDIRECT(CONCATENATE("'",$AQ71,$AR$35,":",$AS$35)),AI$35)</f>
        <v>-294365.07498999999</v>
      </c>
      <c r="AJ71" s="873">
        <f ca="1">+SUMIFS(INDIRECT(CONCATENATE("'",$AQ71,$AR71,":",$AS71)),INDIRECT(CONCATENATE("'",$AQ71,$AR$35,":",$AS$35)),AJ$35)</f>
        <v>-322356.92486999987</v>
      </c>
      <c r="AK71" s="645">
        <f ca="1">+SUM(AG71:AJ71)</f>
        <v>-1113979.5099099998</v>
      </c>
      <c r="AL71" s="873">
        <f ca="1">+SUMIFS(INDIRECT(CONCATENATE("'",$AQ71,$AR71,":",$AS71)),INDIRECT(CONCATENATE("'",$AQ71,$AR$35,":",$AS$35)),AL$35)</f>
        <v>-272212.08776000008</v>
      </c>
      <c r="AM71" s="873">
        <f ca="1">+SUMIFS(INDIRECT(CONCATENATE("'",$AQ71,$AR71,":",$AS71)),INDIRECT(CONCATENATE("'",$AQ71,$AR$35,":",$AS$35)),AM$35)</f>
        <v>-330865.52973000001</v>
      </c>
      <c r="AN71" s="873">
        <f ca="1">+SUMIFS(INDIRECT(CONCATENATE("'",$AQ71,$AR71,":",$AS71)),INDIRECT(CONCATENATE("'",$AQ71,$AR$35,":",$AS$35)),AN$35)</f>
        <v>-421044.66129999998</v>
      </c>
      <c r="AO71" s="873">
        <f ca="1">+SUMIFS(INDIRECT(CONCATENATE("'",$AQ71,$AR71,":",$AS71)),INDIRECT(CONCATENATE("'",$AQ71,$AR$35,":",$AS$35)),AO$35)</f>
        <v>-438055.93491000007</v>
      </c>
      <c r="AP71" s="645">
        <f ca="1">+SUM(AL71:AO71)</f>
        <v>-1462178.2137000002</v>
      </c>
      <c r="AQ71" s="268" t="s">
        <v>1077</v>
      </c>
      <c r="AR71" s="268" t="str">
        <f>"$"&amp;ROW(IncSAuto!$B$12)</f>
        <v>$12</v>
      </c>
      <c r="AS71" s="268" t="str">
        <f>"$"&amp;ROW(IncSAuto!$B$12)</f>
        <v>$12</v>
      </c>
      <c r="AT71" s="268" t="s">
        <v>1077</v>
      </c>
      <c r="AU71" s="268" t="s">
        <v>1076</v>
      </c>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row>
    <row r="72" spans="1:79" ht="13.5" customHeight="1" x14ac:dyDescent="0.2">
      <c r="A72" s="914"/>
      <c r="B72" s="913" t="s">
        <v>1207</v>
      </c>
      <c r="C72" s="873">
        <v>-112776.14310000002</v>
      </c>
      <c r="D72" s="873">
        <v>-140488.4051</v>
      </c>
      <c r="E72" s="873">
        <v>-160141.14546999999</v>
      </c>
      <c r="F72" s="916">
        <f>-152713.59027-24082.77427</f>
        <v>-176796.36453999998</v>
      </c>
      <c r="G72" s="930">
        <f>+SUM(C72:F72)</f>
        <v>-590202.05820999993</v>
      </c>
      <c r="H72" s="873">
        <v>-143533.71661</v>
      </c>
      <c r="I72" s="873">
        <v>-165525.01438000001</v>
      </c>
      <c r="J72" s="873">
        <v>-191095.73679000002</v>
      </c>
      <c r="K72" s="873">
        <v>-201538.18173000001</v>
      </c>
      <c r="L72" s="645">
        <f>+SUM(H72:K72)</f>
        <v>-701692.64951000013</v>
      </c>
      <c r="M72" s="873">
        <v>-161775.28102999998</v>
      </c>
      <c r="N72" s="873">
        <v>-184641.13052999999</v>
      </c>
      <c r="O72" s="873">
        <v>-187538.66755000001</v>
      </c>
      <c r="P72" s="873">
        <v>-212115.57791000002</v>
      </c>
      <c r="Q72" s="645">
        <f>+SUM(M72:P72)</f>
        <v>-746070.65702000004</v>
      </c>
      <c r="R72" s="873">
        <v>-148016.27359000003</v>
      </c>
      <c r="S72" s="873">
        <v>-52993.215260000004</v>
      </c>
      <c r="T72" s="873">
        <v>-157628.48306</v>
      </c>
      <c r="U72" s="873">
        <v>-176981.08489000003</v>
      </c>
      <c r="V72" s="645">
        <f>+SUM(R72:U72)</f>
        <v>-535619.05680000002</v>
      </c>
      <c r="W72" s="873">
        <v>-128013.06775</v>
      </c>
      <c r="X72" s="873">
        <v>-126923</v>
      </c>
      <c r="Y72" s="873">
        <v>-122330</v>
      </c>
      <c r="Z72" s="873">
        <v>-174967</v>
      </c>
      <c r="AA72" s="645">
        <f>+SUM(W72:Z72)</f>
        <v>-552233.06774999993</v>
      </c>
      <c r="AB72" s="873">
        <v>-130217</v>
      </c>
      <c r="AC72" s="873">
        <v>-169533</v>
      </c>
      <c r="AD72" s="873">
        <v>-239575.8</v>
      </c>
      <c r="AE72" s="873">
        <v>-243113.7</v>
      </c>
      <c r="AF72" s="645">
        <f>+SUM(AB72:AE72)</f>
        <v>-782439.5</v>
      </c>
      <c r="AG72" s="873">
        <v>-192990.3</v>
      </c>
      <c r="AH72" s="873">
        <v>-215290.58989999999</v>
      </c>
      <c r="AI72" s="873">
        <v>-249527.674</v>
      </c>
      <c r="AJ72" s="873">
        <v>-270939</v>
      </c>
      <c r="AK72" s="645">
        <f>+SUM(AG72:AJ72)</f>
        <v>-928747.56389999995</v>
      </c>
      <c r="AL72" s="873">
        <v>-224955.34987000006</v>
      </c>
      <c r="AM72" s="899">
        <v>-275790.3</v>
      </c>
      <c r="AN72" s="899">
        <v>-350751.98436999996</v>
      </c>
      <c r="AO72" s="899">
        <v>-367656.11516000004</v>
      </c>
      <c r="AP72" s="645">
        <f>+SUM(AL72:AO72)</f>
        <v>-1219153.7494000001</v>
      </c>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row>
    <row r="73" spans="1:79" s="867" customFormat="1" ht="13.5" customHeight="1" x14ac:dyDescent="0.2">
      <c r="A73" s="872"/>
      <c r="B73" s="877" t="s">
        <v>1074</v>
      </c>
      <c r="C73" s="879">
        <f t="shared" ref="C73:S73" ca="1" si="84">+C72/C70</f>
        <v>-0.6506860194752202</v>
      </c>
      <c r="D73" s="879">
        <f t="shared" ca="1" si="84"/>
        <v>-0.65110148555921576</v>
      </c>
      <c r="E73" s="879">
        <f t="shared" ca="1" si="84"/>
        <v>-0.65587147025931569</v>
      </c>
      <c r="F73" s="879">
        <f t="shared" ca="1" si="84"/>
        <v>-0.64329798410934225</v>
      </c>
      <c r="G73" s="878">
        <f t="shared" ca="1" si="84"/>
        <v>-0.64994304025492233</v>
      </c>
      <c r="H73" s="879">
        <f t="shared" ca="1" si="84"/>
        <v>-0.64520965799375329</v>
      </c>
      <c r="I73" s="879">
        <f t="shared" ca="1" si="84"/>
        <v>-0.6466058178806493</v>
      </c>
      <c r="J73" s="879">
        <f t="shared" ca="1" si="84"/>
        <v>-0.64541766412776824</v>
      </c>
      <c r="K73" s="879">
        <f t="shared" ca="1" si="84"/>
        <v>-0.62556645597778227</v>
      </c>
      <c r="L73" s="878">
        <f t="shared" ca="1" si="84"/>
        <v>-0.63982127760824392</v>
      </c>
      <c r="M73" s="879">
        <f t="shared" ca="1" si="84"/>
        <v>-0.62484026289144001</v>
      </c>
      <c r="N73" s="879">
        <f t="shared" ca="1" si="84"/>
        <v>-0.62780712771465419</v>
      </c>
      <c r="O73" s="879">
        <f t="shared" ca="1" si="84"/>
        <v>-0.62556360674335332</v>
      </c>
      <c r="P73" s="879">
        <f t="shared" ca="1" si="84"/>
        <v>-0.62878134346679682</v>
      </c>
      <c r="Q73" s="878">
        <f t="shared" ca="1" si="84"/>
        <v>-0.62687271895814234</v>
      </c>
      <c r="R73" s="879">
        <f t="shared" ca="1" si="84"/>
        <v>-0.61478636175848866</v>
      </c>
      <c r="S73" s="879">
        <f t="shared" ca="1" si="84"/>
        <v>-0.60997492921256069</v>
      </c>
      <c r="T73" s="879">
        <f t="shared" ref="T73:Z73" ca="1" si="85">+T72/T70</f>
        <v>-0.64218270341974792</v>
      </c>
      <c r="U73" s="879">
        <f t="shared" ca="1" si="85"/>
        <v>-0.64932364038616008</v>
      </c>
      <c r="V73" s="878">
        <f t="shared" ca="1" si="85"/>
        <v>-0.63337566025135683</v>
      </c>
      <c r="W73" s="879">
        <f t="shared" ca="1" si="85"/>
        <v>-0.63743675517687592</v>
      </c>
      <c r="X73" s="879">
        <f t="shared" ca="1" si="85"/>
        <v>-0.6332631974330728</v>
      </c>
      <c r="Y73" s="879">
        <f t="shared" ca="1" si="85"/>
        <v>-0.62952801614654652</v>
      </c>
      <c r="Z73" s="879">
        <f t="shared" ca="1" si="85"/>
        <v>-0.64340043874588204</v>
      </c>
      <c r="AA73" s="878">
        <f t="shared" ref="AA73:AF73" ca="1" si="86">+AA72/AA70</f>
        <v>-0.63657042739112379</v>
      </c>
      <c r="AB73" s="879">
        <f t="shared" ca="1" si="86"/>
        <v>-0.64529494999965209</v>
      </c>
      <c r="AC73" s="879">
        <f t="shared" ca="1" si="86"/>
        <v>-0.6370977235341001</v>
      </c>
      <c r="AD73" s="879">
        <f t="shared" ca="1" si="86"/>
        <v>-0.64207045430574206</v>
      </c>
      <c r="AE73" s="879">
        <f t="shared" ca="1" si="86"/>
        <v>-0.65280856310292601</v>
      </c>
      <c r="AF73" s="878">
        <f t="shared" ca="1" si="86"/>
        <v>-0.64481178110932869</v>
      </c>
      <c r="AG73" s="879">
        <f t="shared" ref="AG73:AM73" ca="1" si="87">+AG72/AG70</f>
        <v>-0.64971201898873621</v>
      </c>
      <c r="AH73" s="879">
        <f t="shared" ca="1" si="87"/>
        <v>-0.65061413748161945</v>
      </c>
      <c r="AI73" s="879">
        <f t="shared" ca="1" si="87"/>
        <v>-0.64673900420535246</v>
      </c>
      <c r="AJ73" s="879">
        <f t="shared" ca="1" si="87"/>
        <v>-0.65543747132039198</v>
      </c>
      <c r="AK73" s="878">
        <f t="shared" ca="1" si="87"/>
        <v>-0.65077581867830092</v>
      </c>
      <c r="AL73" s="879">
        <f t="shared" ca="1" si="87"/>
        <v>-0.64733146453183066</v>
      </c>
      <c r="AM73" s="879">
        <f t="shared" ca="1" si="87"/>
        <v>-0.64545692168124891</v>
      </c>
      <c r="AN73" s="879">
        <f t="shared" ref="AN73:AP73" ca="1" si="88">+AN72/AN70</f>
        <v>-0.62418918792833911</v>
      </c>
      <c r="AO73" s="879">
        <f t="shared" ca="1" si="88"/>
        <v>-0.63026412491457573</v>
      </c>
      <c r="AP73" s="878">
        <f t="shared" ca="1" si="88"/>
        <v>-0.63495614854578575</v>
      </c>
      <c r="AQ73" s="868"/>
      <c r="AR73" s="868"/>
      <c r="AS73" s="868"/>
      <c r="AT73" s="868"/>
      <c r="AU73" s="868"/>
      <c r="AV73" s="868"/>
      <c r="AY73" s="1041"/>
      <c r="AZ73" s="1041"/>
      <c r="BA73" s="868"/>
      <c r="BB73" s="868"/>
      <c r="BC73" s="868"/>
      <c r="BD73" s="868"/>
      <c r="BE73" s="868"/>
      <c r="BF73" s="868"/>
      <c r="BG73" s="868"/>
      <c r="BH73" s="868"/>
      <c r="BI73" s="868"/>
      <c r="BJ73" s="868"/>
      <c r="BK73" s="868"/>
      <c r="BL73" s="868"/>
      <c r="BM73" s="868"/>
      <c r="BN73" s="868"/>
      <c r="BO73" s="868"/>
      <c r="BP73" s="868"/>
      <c r="BQ73" s="868"/>
      <c r="BR73" s="868"/>
      <c r="BS73" s="868"/>
      <c r="BT73" s="868"/>
      <c r="BU73" s="868"/>
      <c r="BV73" s="868"/>
      <c r="BW73" s="868"/>
      <c r="BX73" s="868"/>
      <c r="BY73" s="868"/>
      <c r="BZ73" s="868"/>
      <c r="CA73" s="868"/>
    </row>
    <row r="74" spans="1:79" ht="13.5" customHeight="1" x14ac:dyDescent="0.2">
      <c r="A74" s="914"/>
      <c r="B74" s="913" t="s">
        <v>1161</v>
      </c>
      <c r="C74" s="873">
        <f ca="1">+C71-C72</f>
        <v>-28345.189119999966</v>
      </c>
      <c r="D74" s="873">
        <f ca="1">+D71-D72</f>
        <v>-30370.459379999986</v>
      </c>
      <c r="E74" s="873">
        <f ca="1">+E71-E72</f>
        <v>-30876.699969999987</v>
      </c>
      <c r="F74" s="873">
        <f ca="1">+F71-F72</f>
        <v>-31521.753900000011</v>
      </c>
      <c r="G74" s="645">
        <f ca="1">SUM(C74:F74)</f>
        <v>-121114.10236999995</v>
      </c>
      <c r="H74" s="873">
        <f>+H71-H72</f>
        <v>-31508.917690000002</v>
      </c>
      <c r="I74" s="873">
        <f>+I71-I72</f>
        <v>-34628.54071000003</v>
      </c>
      <c r="J74" s="873">
        <f>+J71-J72</f>
        <v>-35669.548869999999</v>
      </c>
      <c r="K74" s="873">
        <f>+K71-K72</f>
        <v>-40159.511599999998</v>
      </c>
      <c r="L74" s="645">
        <f>+SUM(H74:K74)</f>
        <v>-141966.51887000003</v>
      </c>
      <c r="M74" s="873">
        <v>-33235.889690000011</v>
      </c>
      <c r="N74" s="873">
        <v>-37986.352019999991</v>
      </c>
      <c r="O74" s="916">
        <f>-43982.50676+5890.86895115869</f>
        <v>-38091.637808841304</v>
      </c>
      <c r="P74" s="873">
        <v>-39693.339130000008</v>
      </c>
      <c r="Q74" s="930">
        <f>+SUM(M74:P74)</f>
        <v>-149007.21864884131</v>
      </c>
      <c r="R74" s="873">
        <f ca="1">+R71-R72</f>
        <v>-35921.54846999998</v>
      </c>
      <c r="S74" s="873">
        <f ca="1">+S71-S72</f>
        <v>-26175.614269999998</v>
      </c>
      <c r="T74" s="873">
        <f ca="1">+T71-T72</f>
        <v>-28087.733169999992</v>
      </c>
      <c r="U74" s="873">
        <f ca="1">+U71-U72</f>
        <v>-30404.022269999958</v>
      </c>
      <c r="V74" s="645">
        <f ca="1">+SUM(R74:U74)</f>
        <v>-120588.91817999992</v>
      </c>
      <c r="W74" s="873">
        <f ca="1">+W71-W72</f>
        <v>-28501.964950000009</v>
      </c>
      <c r="X74" s="873">
        <f ca="1">+X71-X72</f>
        <v>-29825.707460000005</v>
      </c>
      <c r="Y74" s="873">
        <f ca="1">+Y71-Y72</f>
        <v>-30533.658590000035</v>
      </c>
      <c r="Z74" s="873">
        <f ca="1">+Z71-Z72</f>
        <v>-36562.13235</v>
      </c>
      <c r="AA74" s="645">
        <f ca="1">+SUM(W74:Z74)</f>
        <v>-125423.46335000005</v>
      </c>
      <c r="AB74" s="873">
        <f ca="1">+AB71-AB72</f>
        <v>-34378.843510000006</v>
      </c>
      <c r="AC74" s="873">
        <f ca="1">+AC71-AC72</f>
        <v>-38787.342730000004</v>
      </c>
      <c r="AD74" s="873">
        <f ca="1">+AD71-AD72</f>
        <v>-40488.836640000052</v>
      </c>
      <c r="AE74" s="873">
        <f ca="1">+AE71-AE72</f>
        <v>-45869.359449999989</v>
      </c>
      <c r="AF74" s="645">
        <f ca="1">+SUM(AB74:AE74)</f>
        <v>-159524.38233000005</v>
      </c>
      <c r="AG74" s="873">
        <f ca="1">+AG71-AG72</f>
        <v>-42878.26953999995</v>
      </c>
      <c r="AH74" s="873">
        <f ca="1">+AH71-AH72</f>
        <v>-46098.350609999994</v>
      </c>
      <c r="AI74" s="873">
        <f ca="1">+AI71-AI72</f>
        <v>-44837.400989999995</v>
      </c>
      <c r="AJ74" s="873">
        <f ca="1">+AJ71-AJ72</f>
        <v>-51417.924869999872</v>
      </c>
      <c r="AK74" s="645">
        <f ca="1">+SUM(AG74:AJ74)</f>
        <v>-185231.94600999981</v>
      </c>
      <c r="AL74" s="873">
        <f ca="1">+AL71-AL72</f>
        <v>-47256.737890000019</v>
      </c>
      <c r="AM74" s="873">
        <f ca="1">+AM71-AM72</f>
        <v>-55075.229730000021</v>
      </c>
      <c r="AN74" s="873">
        <f ca="1">+AN71-AN72</f>
        <v>-70292.676930000016</v>
      </c>
      <c r="AO74" s="873">
        <f ca="1">+AO71-AO72</f>
        <v>-70399.819750000024</v>
      </c>
      <c r="AP74" s="645">
        <f ca="1">+SUM(AL74:AO74)</f>
        <v>-243024.46430000008</v>
      </c>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row>
    <row r="75" spans="1:79" s="867" customFormat="1" ht="13.5" customHeight="1" x14ac:dyDescent="0.2">
      <c r="A75" s="872"/>
      <c r="B75" s="877" t="s">
        <v>1158</v>
      </c>
      <c r="C75" s="879">
        <f ca="1">+C74/C70</f>
        <v>-0.16354361634278211</v>
      </c>
      <c r="D75" s="879">
        <f ca="1">+D74/D70</f>
        <v>-0.14075361739182993</v>
      </c>
      <c r="E75" s="879">
        <f ca="1">+E74/E70</f>
        <v>-0.12645811010433547</v>
      </c>
      <c r="F75" s="879">
        <f ca="1">+F74/F70</f>
        <v>-0.11469625403339645</v>
      </c>
      <c r="G75" s="878">
        <f t="shared" ref="G75:X75" ca="1" si="89">+G74/G70</f>
        <v>-0.13337342155471651</v>
      </c>
      <c r="H75" s="879">
        <f t="shared" ca="1" si="89"/>
        <v>-0.14163820520134041</v>
      </c>
      <c r="I75" s="879">
        <f t="shared" ca="1" si="89"/>
        <v>-0.13527270166187269</v>
      </c>
      <c r="J75" s="879">
        <f t="shared" ca="1" si="89"/>
        <v>-0.12047237316165701</v>
      </c>
      <c r="K75" s="879">
        <f t="shared" ca="1" si="89"/>
        <v>-0.12465351790792219</v>
      </c>
      <c r="L75" s="878">
        <f t="shared" ca="1" si="89"/>
        <v>-0.12944869743815635</v>
      </c>
      <c r="M75" s="879">
        <f t="shared" ca="1" si="89"/>
        <v>-0.12837018065497535</v>
      </c>
      <c r="N75" s="879">
        <f t="shared" ca="1" si="89"/>
        <v>-0.12915921000689048</v>
      </c>
      <c r="O75" s="879">
        <f t="shared" ca="1" si="89"/>
        <v>-0.12706042250250726</v>
      </c>
      <c r="P75" s="879">
        <f t="shared" ca="1" si="89"/>
        <v>-0.11766430052315331</v>
      </c>
      <c r="Q75" s="878">
        <f t="shared" ca="1" si="89"/>
        <v>-0.12520068899625086</v>
      </c>
      <c r="R75" s="879">
        <f t="shared" ca="1" si="89"/>
        <v>-0.14920033829371104</v>
      </c>
      <c r="S75" s="879">
        <f t="shared" ca="1" si="89"/>
        <v>-0.30129269158518579</v>
      </c>
      <c r="T75" s="879">
        <f t="shared" ca="1" si="89"/>
        <v>-0.11443018463342892</v>
      </c>
      <c r="U75" s="879">
        <f t="shared" ca="1" si="89"/>
        <v>-0.11154892871748771</v>
      </c>
      <c r="V75" s="878">
        <f t="shared" ca="1" si="89"/>
        <v>-0.14259777485806269</v>
      </c>
      <c r="W75" s="879">
        <f t="shared" ca="1" si="89"/>
        <v>-0.14192457358630134</v>
      </c>
      <c r="X75" s="879">
        <f t="shared" ca="1" si="89"/>
        <v>-0.14881087645125829</v>
      </c>
      <c r="Y75" s="879">
        <f t="shared" ref="Y75:AD75" ca="1" si="90">+Y74/Y70</f>
        <v>-0.15713065901952655</v>
      </c>
      <c r="Z75" s="879">
        <f t="shared" ca="1" si="90"/>
        <v>-0.13444873602150695</v>
      </c>
      <c r="AA75" s="878">
        <f t="shared" ca="1" si="90"/>
        <v>-0.14457820860834258</v>
      </c>
      <c r="AB75" s="879">
        <f t="shared" ca="1" si="90"/>
        <v>-0.17036557518474021</v>
      </c>
      <c r="AC75" s="879">
        <f t="shared" ca="1" si="90"/>
        <v>-0.14576116599847777</v>
      </c>
      <c r="AD75" s="879">
        <f t="shared" ca="1" si="90"/>
        <v>-0.10851131765293409</v>
      </c>
      <c r="AE75" s="879">
        <f t="shared" ref="AE75:AM75" ca="1" si="91">+AE74/AE70</f>
        <v>-0.12316833906524442</v>
      </c>
      <c r="AF75" s="878">
        <f t="shared" ca="1" si="91"/>
        <v>-0.13146473446262982</v>
      </c>
      <c r="AG75" s="879">
        <f t="shared" ca="1" si="91"/>
        <v>-0.14435195485771354</v>
      </c>
      <c r="AH75" s="879">
        <f t="shared" ca="1" si="91"/>
        <v>-0.1393104948775582</v>
      </c>
      <c r="AI75" s="879">
        <f t="shared" ca="1" si="91"/>
        <v>-0.11621194396028668</v>
      </c>
      <c r="AJ75" s="879">
        <f t="shared" ca="1" si="91"/>
        <v>-0.12438679797790135</v>
      </c>
      <c r="AK75" s="878">
        <f t="shared" ca="1" si="91"/>
        <v>-0.12979250336209949</v>
      </c>
      <c r="AL75" s="879">
        <f t="shared" ca="1" si="91"/>
        <v>-0.13598597839530704</v>
      </c>
      <c r="AM75" s="879">
        <f t="shared" ca="1" si="91"/>
        <v>-0.1288975291821845</v>
      </c>
      <c r="AN75" s="879">
        <f t="shared" ref="AN75:AP75" ca="1" si="92">+AN74/AN70</f>
        <v>-0.12509103550491144</v>
      </c>
      <c r="AO75" s="879">
        <f t="shared" ca="1" si="92"/>
        <v>-0.12068473489028753</v>
      </c>
      <c r="AP75" s="878">
        <f t="shared" ca="1" si="92"/>
        <v>-0.12657130237287431</v>
      </c>
      <c r="AQ75" s="868"/>
      <c r="AR75" s="868"/>
      <c r="AS75" s="868"/>
      <c r="AT75" s="868"/>
      <c r="AU75" s="868"/>
      <c r="AV75" s="868"/>
      <c r="AY75" s="1041"/>
      <c r="AZ75" s="1041"/>
      <c r="BA75" s="868"/>
      <c r="BB75" s="868"/>
      <c r="BC75" s="868"/>
      <c r="BD75" s="868"/>
      <c r="BE75" s="868"/>
      <c r="BF75" s="868"/>
      <c r="BG75" s="868"/>
      <c r="BH75" s="868"/>
      <c r="BI75" s="868"/>
      <c r="BJ75" s="868"/>
      <c r="BK75" s="868"/>
      <c r="BL75" s="868"/>
      <c r="BM75" s="868"/>
      <c r="BN75" s="868"/>
      <c r="BO75" s="868"/>
      <c r="BP75" s="868"/>
      <c r="BQ75" s="868"/>
      <c r="BR75" s="868"/>
      <c r="BS75" s="868"/>
      <c r="BT75" s="868"/>
      <c r="BU75" s="868"/>
      <c r="BV75" s="868"/>
      <c r="BW75" s="868"/>
      <c r="BX75" s="868"/>
      <c r="BY75" s="868"/>
      <c r="BZ75" s="868"/>
      <c r="CA75" s="868"/>
    </row>
    <row r="76" spans="1:79" ht="13.5" customHeight="1" x14ac:dyDescent="0.2">
      <c r="A76" s="24"/>
      <c r="B76" s="882" t="s">
        <v>1159</v>
      </c>
      <c r="C76" s="881">
        <f t="shared" ref="C76:P76" ca="1" si="93">C70+C71</f>
        <v>32197.503170000011</v>
      </c>
      <c r="D76" s="881">
        <f t="shared" ca="1" si="93"/>
        <v>44911.500380000012</v>
      </c>
      <c r="E76" s="881">
        <f t="shared" ca="1" si="93"/>
        <v>53147.593570000026</v>
      </c>
      <c r="F76" s="1022">
        <f t="shared" ca="1" si="93"/>
        <v>66509.984410000034</v>
      </c>
      <c r="G76" s="1023">
        <f t="shared" ca="1" si="93"/>
        <v>196766.58153000008</v>
      </c>
      <c r="H76" s="881">
        <f t="shared" ca="1" si="93"/>
        <v>47417.948600000003</v>
      </c>
      <c r="I76" s="881">
        <f t="shared" ca="1" si="93"/>
        <v>55837.049699999974</v>
      </c>
      <c r="J76" s="881">
        <f t="shared" ca="1" si="93"/>
        <v>69315.449979999947</v>
      </c>
      <c r="K76" s="1022">
        <f t="shared" ca="1" si="93"/>
        <v>80471.406058471504</v>
      </c>
      <c r="L76" s="1023">
        <f t="shared" ca="1" si="93"/>
        <v>253041.85433847131</v>
      </c>
      <c r="M76" s="881">
        <f t="shared" ca="1" si="93"/>
        <v>63895.450120000023</v>
      </c>
      <c r="N76" s="881">
        <f t="shared" ca="1" si="93"/>
        <v>71477.382430000027</v>
      </c>
      <c r="O76" s="1022">
        <f t="shared" ca="1" si="93"/>
        <v>74161.219481158711</v>
      </c>
      <c r="P76" s="881">
        <f t="shared" ca="1" si="93"/>
        <v>85535.026309999987</v>
      </c>
      <c r="Q76" s="1023">
        <f ca="1">+SUM(M76:P76)</f>
        <v>295069.07834115875</v>
      </c>
      <c r="R76" s="881">
        <f ca="1">R70+R71</f>
        <v>56822.680770000006</v>
      </c>
      <c r="S76" s="881">
        <f ca="1">S70+S71</f>
        <v>7708.8644899999927</v>
      </c>
      <c r="T76" s="881">
        <f ca="1">T70+T71</f>
        <v>59741.162520000013</v>
      </c>
      <c r="U76" s="881">
        <f ca="1">U70+U71</f>
        <v>65177.100470000034</v>
      </c>
      <c r="V76" s="880">
        <f ca="1">+SUM(R76:U76)</f>
        <v>189449.80825000006</v>
      </c>
      <c r="W76" s="881">
        <f ca="1">W70+W71</f>
        <v>44309.70279000001</v>
      </c>
      <c r="X76" s="881">
        <f ca="1">X70+X71</f>
        <v>43678.224839999981</v>
      </c>
      <c r="Y76" s="881">
        <f ca="1">Y70+Y71</f>
        <v>41456.525519999996</v>
      </c>
      <c r="Z76" s="881">
        <f ca="1">Z70+Z71</f>
        <v>60411.931819999911</v>
      </c>
      <c r="AA76" s="880">
        <f ca="1">+SUM(W76:Z76)</f>
        <v>189856.3849699999</v>
      </c>
      <c r="AB76" s="881">
        <f ca="1">AB70+AB71</f>
        <v>37198.700209999981</v>
      </c>
      <c r="AC76" s="881">
        <f ca="1">AC70+AC71</f>
        <v>57781.691129999963</v>
      </c>
      <c r="AD76" s="881">
        <f ca="1">AD70+AD71</f>
        <v>93065.443389999971</v>
      </c>
      <c r="AE76" s="881">
        <f ca="1">AE70+AE71</f>
        <v>83428.875289999938</v>
      </c>
      <c r="AF76" s="880">
        <f ca="1">+SUM(AB76:AE76)</f>
        <v>271474.71001999988</v>
      </c>
      <c r="AG76" s="881">
        <f ca="1">AG70+AG71</f>
        <v>61171.187089999847</v>
      </c>
      <c r="AH76" s="881">
        <f ca="1">AH70+AH71</f>
        <v>69514.704980000097</v>
      </c>
      <c r="AI76" s="881">
        <f ca="1">AI70+AI71</f>
        <v>91459.302970000077</v>
      </c>
      <c r="AJ76" s="881">
        <f ca="1">AJ70+AJ71</f>
        <v>91014.314730000275</v>
      </c>
      <c r="AK76" s="880">
        <f ca="1">+SUM(AG76:AJ76)</f>
        <v>313159.5097700003</v>
      </c>
      <c r="AL76" s="881">
        <f ca="1">AL70+AL71</f>
        <v>75299.754619999847</v>
      </c>
      <c r="AM76" s="881">
        <f ca="1">AM70+AM71</f>
        <v>96413.643730000011</v>
      </c>
      <c r="AN76" s="881">
        <f ca="1">AN70+AN71</f>
        <v>140887.5079100001</v>
      </c>
      <c r="AO76" s="881">
        <f ca="1">AO70+AO71</f>
        <v>145280.63879999996</v>
      </c>
      <c r="AP76" s="880">
        <f ca="1">+SUM(AL76:AO76)</f>
        <v>457881.54505999992</v>
      </c>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row>
    <row r="77" spans="1:79" s="867" customFormat="1" ht="13.5" customHeight="1" x14ac:dyDescent="0.2">
      <c r="A77" s="872"/>
      <c r="B77" s="877" t="s">
        <v>1160</v>
      </c>
      <c r="C77" s="876">
        <f t="shared" ref="C77:X77" ca="1" si="94">ROUND(C76/C70,3)</f>
        <v>0.186</v>
      </c>
      <c r="D77" s="876">
        <f t="shared" ca="1" si="94"/>
        <v>0.20799999999999999</v>
      </c>
      <c r="E77" s="876">
        <f t="shared" ca="1" si="94"/>
        <v>0.218</v>
      </c>
      <c r="F77" s="876">
        <f t="shared" ca="1" si="94"/>
        <v>0.24199999999999999</v>
      </c>
      <c r="G77" s="875">
        <f t="shared" ca="1" si="94"/>
        <v>0.217</v>
      </c>
      <c r="H77" s="876">
        <f t="shared" ca="1" si="94"/>
        <v>0.21299999999999999</v>
      </c>
      <c r="I77" s="876">
        <f t="shared" ca="1" si="94"/>
        <v>0.218</v>
      </c>
      <c r="J77" s="876">
        <f t="shared" ca="1" si="94"/>
        <v>0.23400000000000001</v>
      </c>
      <c r="K77" s="876">
        <f t="shared" ca="1" si="94"/>
        <v>0.25</v>
      </c>
      <c r="L77" s="875">
        <f t="shared" ca="1" si="94"/>
        <v>0.23100000000000001</v>
      </c>
      <c r="M77" s="876">
        <f t="shared" ca="1" si="94"/>
        <v>0.247</v>
      </c>
      <c r="N77" s="876">
        <f t="shared" ca="1" si="94"/>
        <v>0.24299999999999999</v>
      </c>
      <c r="O77" s="876">
        <f t="shared" ca="1" si="94"/>
        <v>0.247</v>
      </c>
      <c r="P77" s="876">
        <f t="shared" ca="1" si="94"/>
        <v>0.254</v>
      </c>
      <c r="Q77" s="875">
        <f t="shared" ca="1" si="94"/>
        <v>0.248</v>
      </c>
      <c r="R77" s="876">
        <f t="shared" ca="1" si="94"/>
        <v>0.23599999999999999</v>
      </c>
      <c r="S77" s="876">
        <f t="shared" ca="1" si="94"/>
        <v>8.8999999999999996E-2</v>
      </c>
      <c r="T77" s="876">
        <f t="shared" ca="1" si="94"/>
        <v>0.24299999999999999</v>
      </c>
      <c r="U77" s="876">
        <f t="shared" ca="1" si="94"/>
        <v>0.23899999999999999</v>
      </c>
      <c r="V77" s="875">
        <f t="shared" ca="1" si="94"/>
        <v>0.224</v>
      </c>
      <c r="W77" s="876">
        <f t="shared" ca="1" si="94"/>
        <v>0.221</v>
      </c>
      <c r="X77" s="876">
        <f t="shared" ca="1" si="94"/>
        <v>0.218</v>
      </c>
      <c r="Y77" s="876">
        <f t="shared" ref="Y77:AD77" ca="1" si="95">ROUND(Y76/Y70,3)</f>
        <v>0.21299999999999999</v>
      </c>
      <c r="Z77" s="876">
        <f t="shared" ca="1" si="95"/>
        <v>0.222</v>
      </c>
      <c r="AA77" s="875">
        <f t="shared" ca="1" si="95"/>
        <v>0.219</v>
      </c>
      <c r="AB77" s="876">
        <f t="shared" ca="1" si="95"/>
        <v>0.184</v>
      </c>
      <c r="AC77" s="876">
        <f t="shared" ca="1" si="95"/>
        <v>0.217</v>
      </c>
      <c r="AD77" s="876">
        <f t="shared" ca="1" si="95"/>
        <v>0.249</v>
      </c>
      <c r="AE77" s="876">
        <f t="shared" ref="AE77:AM77" ca="1" si="96">ROUND(AE76/AE70,3)</f>
        <v>0.224</v>
      </c>
      <c r="AF77" s="875">
        <f t="shared" ca="1" si="96"/>
        <v>0.224</v>
      </c>
      <c r="AG77" s="876">
        <f t="shared" ca="1" si="96"/>
        <v>0.20599999999999999</v>
      </c>
      <c r="AH77" s="876">
        <f t="shared" ca="1" si="96"/>
        <v>0.21</v>
      </c>
      <c r="AI77" s="876">
        <f t="shared" ca="1" si="96"/>
        <v>0.23699999999999999</v>
      </c>
      <c r="AJ77" s="876">
        <f t="shared" ca="1" si="96"/>
        <v>0.22</v>
      </c>
      <c r="AK77" s="875">
        <f t="shared" ca="1" si="96"/>
        <v>0.219</v>
      </c>
      <c r="AL77" s="876">
        <f t="shared" ca="1" si="96"/>
        <v>0.217</v>
      </c>
      <c r="AM77" s="876">
        <f t="shared" ca="1" si="96"/>
        <v>0.22600000000000001</v>
      </c>
      <c r="AN77" s="876">
        <f t="shared" ref="AN77:AP77" ca="1" si="97">ROUND(AN76/AN70,3)</f>
        <v>0.251</v>
      </c>
      <c r="AO77" s="876">
        <f t="shared" ca="1" si="97"/>
        <v>0.249</v>
      </c>
      <c r="AP77" s="875">
        <f t="shared" ca="1" si="97"/>
        <v>0.23799999999999999</v>
      </c>
      <c r="AQ77" s="868"/>
      <c r="AR77" s="868"/>
      <c r="AS77" s="868"/>
      <c r="AT77" s="868"/>
      <c r="AU77" s="868"/>
      <c r="AV77" s="868"/>
      <c r="AY77" s="1041"/>
      <c r="AZ77" s="1041"/>
      <c r="BA77" s="868"/>
      <c r="BB77" s="868"/>
      <c r="BC77" s="868"/>
      <c r="BD77" s="868"/>
      <c r="BE77" s="868"/>
      <c r="BF77" s="868"/>
      <c r="BG77" s="868"/>
      <c r="BH77" s="868"/>
      <c r="BI77" s="868"/>
      <c r="BJ77" s="868"/>
      <c r="BK77" s="868"/>
      <c r="BL77" s="868"/>
      <c r="BM77" s="868"/>
      <c r="BN77" s="868"/>
      <c r="BO77" s="868"/>
      <c r="BP77" s="868"/>
      <c r="BQ77" s="868"/>
      <c r="BR77" s="868"/>
      <c r="BS77" s="868"/>
      <c r="BT77" s="868"/>
      <c r="BU77" s="868"/>
      <c r="BV77" s="868"/>
      <c r="BW77" s="868"/>
      <c r="BX77" s="868"/>
      <c r="BY77" s="868"/>
      <c r="BZ77" s="868"/>
      <c r="CA77" s="868"/>
    </row>
    <row r="78" spans="1:79" ht="13.5" customHeight="1" x14ac:dyDescent="0.2">
      <c r="A78" s="914"/>
      <c r="B78" s="874" t="s">
        <v>1231</v>
      </c>
      <c r="C78" s="873">
        <f ca="1">+SUMIFS(INDIRECT(CONCATENATE("'",$AQ78,$AR78,":",$AS78)),INDIRECT(CONCATENATE("'",$AQ78,$AR$35,":",$AS$35)),C$35)</f>
        <v>-16353.04853</v>
      </c>
      <c r="D78" s="916">
        <f ca="1">+SUMIFS(INDIRECT(CONCATENATE("'",$AQ78,$AR78,":",$AS78)),INDIRECT(CONCATENATE("'",$AQ78,$AR$35,":",$AS$35)),D$35)+15000</f>
        <v>-19622.371769999998</v>
      </c>
      <c r="E78" s="873">
        <f ca="1">+SUMIFS(INDIRECT(CONCATENATE("'",$AQ78,$AR78,":",$AS78)),INDIRECT(CONCATENATE("'",$AQ78,$AR$35,":",$AS$35)),E$35)</f>
        <v>-18277.272819999998</v>
      </c>
      <c r="F78" s="873">
        <f ca="1">+SUMIFS(INDIRECT(CONCATENATE("'",$AQ78,$AR78,":",$AS78)),INDIRECT(CONCATENATE("'",$AQ78,$AR$35,":",$AS$35)),F$35)</f>
        <v>-30661.90698</v>
      </c>
      <c r="G78" s="930">
        <f ca="1">SUM(C78:F78)</f>
        <v>-84914.600099999996</v>
      </c>
      <c r="H78" s="873">
        <f ca="1">+SUMIFS(INDIRECT(CONCATENATE("'",$AQ78,$AR78,":",$AS78)),INDIRECT(CONCATENATE("'",$AQ78,$AR$35,":",$AS$35)),H$35)</f>
        <v>-24805.271980000001</v>
      </c>
      <c r="I78" s="873">
        <f ca="1">+SUMIFS(INDIRECT(CONCATENATE("'",$AQ78,$AR78,":",$AS78)),INDIRECT(CONCATENATE("'",$AQ78,$AR$35,":",$AS$35)),I$35)</f>
        <v>-17589.50963</v>
      </c>
      <c r="J78" s="873">
        <f ca="1">+SUMIFS(INDIRECT(CONCATENATE("'",$AQ78,$AR78,":",$AS78)),INDIRECT(CONCATENATE("'",$AQ78,$AR$35,":",$AS$35)),J$35)</f>
        <v>-19911.637070000001</v>
      </c>
      <c r="K78" s="916">
        <f ca="1">+SUMIFS(INDIRECT(CONCATENATE("'",$AQ78,$AR78,":",$AS78)),INDIRECT(CONCATENATE("'",$AQ78,$AR$35,":",$AS$35)),K$35)+14500</f>
        <v>-18513.308089999999</v>
      </c>
      <c r="L78" s="930">
        <f ca="1">+SUM(H78:K78)</f>
        <v>-80819.726770000008</v>
      </c>
      <c r="M78" s="873">
        <f ca="1">+SUMIFS(INDIRECT(CONCATENATE("'",$AQ78,$AR78,":",$AS78)),INDIRECT(CONCATENATE("'",$AQ78,$AR$35,":",$AS$35)),M$35)</f>
        <v>-21396.712169999999</v>
      </c>
      <c r="N78" s="873">
        <f ca="1">+SUMIFS(INDIRECT(CONCATENATE("'",$AQ78,$AR78,":",$AS78)),INDIRECT(CONCATENATE("'",$AQ78,$AR$35,":",$AS$35)),N$35)</f>
        <v>-22826.147920000003</v>
      </c>
      <c r="O78" s="916">
        <f ca="1">+SUMIFS(INDIRECT(CONCATENATE("'",$AQ78,$AR78,":",$AS78)),INDIRECT(CONCATENATE("'",$AQ78,$AR$35,":",$AS$35)),O$35)-54681.39513</f>
        <v>-24300.850939999997</v>
      </c>
      <c r="P78" s="916">
        <f ca="1">+SUMIFS(INDIRECT(CONCATENATE("'",$AQ78,$AR78,":",$AS78)),INDIRECT(CONCATENATE("'",$AQ78,$AR$35,":",$AS$35)),P$35)+2254</f>
        <v>-28062.098229999996</v>
      </c>
      <c r="Q78" s="930">
        <f ca="1">+SUM(M78:P78)</f>
        <v>-96585.809260000009</v>
      </c>
      <c r="R78" s="916">
        <f ca="1">+SUMIFS(INDIRECT(CONCATENATE("'",$AQ78,$AR78,":",$AS78)),INDIRECT(CONCATENATE("'",$AQ78,$AR$35,":",$AS$35)),R$35)+3317</f>
        <v>-27543.54089</v>
      </c>
      <c r="S78" s="873">
        <f ca="1">+SUMIFS(INDIRECT(CONCATENATE("'",$AQ78,$AR78,":",$AS78)),INDIRECT(CONCATENATE("'",$AQ78,$AR$35,":",$AS$35)),S$35)</f>
        <v>-19363.556400000001</v>
      </c>
      <c r="T78" s="873">
        <f ca="1">+SUMIFS(INDIRECT(CONCATENATE("'",$AQ78,$AR78,":",$AS78)),INDIRECT(CONCATENATE("'",$AQ78,$AR$35,":",$AS$35)),T$35)</f>
        <v>-20948.943660000001</v>
      </c>
      <c r="U78" s="873">
        <f ca="1">+SUMIFS(INDIRECT(CONCATENATE("'",$AQ78,$AR78,":",$AS78)),INDIRECT(CONCATENATE("'",$AQ78,$AR$35,":",$AS$35)),U$35)</f>
        <v>-21931.721740000001</v>
      </c>
      <c r="V78" s="930">
        <f ca="1">+SUM(R78:U78)</f>
        <v>-89787.762690000003</v>
      </c>
      <c r="W78" s="916">
        <f ca="1">+SUMIFS(INDIRECT(CONCATENATE("'",$AQ78,$AR78,":",$AS78)),INDIRECT(CONCATENATE("'",$AQ78,$AR$35,":",$AS$35)),W$35)</f>
        <v>-11188.241210000004</v>
      </c>
      <c r="X78" s="873">
        <f ca="1">+SUMIFS(INDIRECT(CONCATENATE("'",$AQ78,$AR78,":",$AS78)),INDIRECT(CONCATENATE("'",$AQ78,$AR$35,":",$AS$35)),X$35)</f>
        <v>-20227.155319999998</v>
      </c>
      <c r="Y78" s="916">
        <f ca="1">+SUMIFS(INDIRECT(CONCATENATE("'",$AQ78,$AR78,":",$AS78)),INDIRECT(CONCATENATE("'",$AQ78,$AR$35,":",$AS$35)),Y$35)+1159</f>
        <v>-15934.422470000005</v>
      </c>
      <c r="Z78" s="873">
        <f ca="1">+SUMIFS(INDIRECT(CONCATENATE("'",$AQ78,$AR78,":",$AS78)),INDIRECT(CONCATENATE("'",$AQ78,$AR$35,":",$AS$35)),Z$35)</f>
        <v>-23864.233980000005</v>
      </c>
      <c r="AA78" s="930">
        <f ca="1">+SUM(W78:Z78)</f>
        <v>-71214.052980000008</v>
      </c>
      <c r="AB78" s="873">
        <f ca="1">+SUMIFS(INDIRECT(CONCATENATE("'",$AQ78,$AR78,":",$AS78)),INDIRECT(CONCATENATE("'",$AQ78,$AR$35,":",$AS$35)),AB$35)</f>
        <v>-16134.47566</v>
      </c>
      <c r="AC78" s="873">
        <f ca="1">+SUMIFS(INDIRECT(CONCATENATE("'",$AQ78,$AR78,":",$AS78)),INDIRECT(CONCATENATE("'",$AQ78,$AR$35,":",$AS$35)),AC$35)</f>
        <v>-19986.929600000003</v>
      </c>
      <c r="AD78" s="916">
        <f ca="1">+SUMIFS(INDIRECT(CONCATENATE("'",$AQ78,$AR78,":",$AS78)),INDIRECT(CONCATENATE("'",$AQ78,$AR$35,":",$AS$35)),AD$35)+6645</f>
        <v>-19111.751630000006</v>
      </c>
      <c r="AE78" s="916">
        <f ca="1">+SUMIFS(INDIRECT(CONCATENATE("'",$AQ78,$AR78,":",$AS78)),INDIRECT(CONCATENATE("'",$AQ78,$AR$35,":",$AS$35)),AE$35)-5459</f>
        <v>-21966.290939999999</v>
      </c>
      <c r="AF78" s="930">
        <f ca="1">+SUM(AB78:AE78)</f>
        <v>-77199.447830000005</v>
      </c>
      <c r="AG78" s="873">
        <f ca="1">+SUMIFS(INDIRECT(CONCATENATE("'",$AQ78,$AR78,":",$AS78)),INDIRECT(CONCATENATE("'",$AQ78,$AR$35,":",$AS$35)),AG$35)</f>
        <v>-18645.184150000001</v>
      </c>
      <c r="AH78" s="873">
        <f ca="1">+SUMIFS(INDIRECT(CONCATENATE("'",$AQ78,$AR78,":",$AS78)),INDIRECT(CONCATENATE("'",$AQ78,$AR$35,":",$AS$35)),AH$35)</f>
        <v>-23068.069059999994</v>
      </c>
      <c r="AI78" s="873">
        <f ca="1">+SUMIFS(INDIRECT(CONCATENATE("'",$AQ78,$AR78,":",$AS78)),INDIRECT(CONCATENATE("'",$AQ78,$AR$35,":",$AS$35)),AI$35)</f>
        <v>-24624.235850000005</v>
      </c>
      <c r="AJ78" s="873">
        <f ca="1">+SUMIFS(INDIRECT(CONCATENATE("'",$AQ78,$AR78,":",$AS78)),INDIRECT(CONCATENATE("'",$AQ78,$AR$35,":",$AS$35)),AJ$35)</f>
        <v>-28623.659970000001</v>
      </c>
      <c r="AK78" s="645">
        <f ca="1">+SUM(AG78:AJ78)</f>
        <v>-94961.14903</v>
      </c>
      <c r="AL78" s="916">
        <f ca="1">+SUMIFS(INDIRECT(CONCATENATE("'",$AQ78,$AR78,":",$AS78)),INDIRECT(CONCATENATE("'",$AQ78,$AR$35,":",$AS$35)),AL$35)</f>
        <v>-25337.884590000005</v>
      </c>
      <c r="AM78" s="916">
        <f ca="1">+SUMIFS(INDIRECT(CONCATENATE("'",$AQ78,$AR78,":",$AS78)),INDIRECT(CONCATENATE("'",$AQ78,$AR$35,":",$AS$35)),AM$35)</f>
        <v>-21782.948499999999</v>
      </c>
      <c r="AN78" s="916">
        <f ca="1">+SUMIFS(INDIRECT(CONCATENATE("'",$AQ78,$AR78,":",$AS78)),INDIRECT(CONCATENATE("'",$AQ78,$AR$35,":",$AS$35)),AN$35)</f>
        <v>-23322.650829999999</v>
      </c>
      <c r="AO78" s="916">
        <f ca="1">+SUMIFS(INDIRECT(CONCATENATE("'",$AQ78,$AR78,":",$AS78)),INDIRECT(CONCATENATE("'",$AQ78,$AR$35,":",$AS$35)),AO$35)</f>
        <v>-25002.788710000008</v>
      </c>
      <c r="AP78" s="930">
        <f ca="1">+SUM(AL78:AO78)</f>
        <v>-95446.272630000007</v>
      </c>
      <c r="AQ78" s="268" t="s">
        <v>1077</v>
      </c>
      <c r="AR78" s="268" t="str">
        <f>"$"&amp;ROW(IncSAuto!$B$14)</f>
        <v>$14</v>
      </c>
      <c r="AS78" s="268" t="str">
        <f>"$"&amp;ROW(IncSAuto!$B$14)</f>
        <v>$14</v>
      </c>
      <c r="AT78" s="268" t="s">
        <v>1077</v>
      </c>
      <c r="AU78" s="268" t="s">
        <v>1076</v>
      </c>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row>
    <row r="79" spans="1:79" s="867" customFormat="1" ht="13.5" customHeight="1" x14ac:dyDescent="0.2">
      <c r="A79" s="872"/>
      <c r="B79" s="877" t="s">
        <v>1158</v>
      </c>
      <c r="C79" s="891">
        <f t="shared" ref="C79:X79" ca="1" si="98">C78/C70</f>
        <v>-9.4352402571841451E-2</v>
      </c>
      <c r="D79" s="891">
        <f t="shared" ca="1" si="98"/>
        <v>-9.0940995454736037E-2</v>
      </c>
      <c r="E79" s="891">
        <f t="shared" ca="1" si="98"/>
        <v>-7.4856101232457548E-2</v>
      </c>
      <c r="F79" s="891">
        <f t="shared" ca="1" si="98"/>
        <v>-0.1115675822888285</v>
      </c>
      <c r="G79" s="1024">
        <f t="shared" ca="1" si="98"/>
        <v>-9.350976090867491E-2</v>
      </c>
      <c r="H79" s="891">
        <f t="shared" ca="1" si="98"/>
        <v>-0.11150412201855289</v>
      </c>
      <c r="I79" s="891">
        <f t="shared" ca="1" si="98"/>
        <v>-6.8711543708525641E-2</v>
      </c>
      <c r="J79" s="891">
        <f t="shared" ca="1" si="98"/>
        <v>-6.7250701154060413E-2</v>
      </c>
      <c r="K79" s="891">
        <f t="shared" ca="1" si="98"/>
        <v>-5.7464567909030442E-2</v>
      </c>
      <c r="L79" s="885">
        <f t="shared" ca="1" si="98"/>
        <v>-7.3693490838247194E-2</v>
      </c>
      <c r="M79" s="891">
        <f t="shared" ca="1" si="98"/>
        <v>-8.2642584035047956E-2</v>
      </c>
      <c r="N79" s="891">
        <f t="shared" ca="1" si="98"/>
        <v>-7.761227588517533E-2</v>
      </c>
      <c r="O79" s="891">
        <f t="shared" ca="1" si="98"/>
        <v>-8.1059165875251013E-2</v>
      </c>
      <c r="P79" s="891">
        <f t="shared" ca="1" si="98"/>
        <v>-8.3185421831881226E-2</v>
      </c>
      <c r="Q79" s="878">
        <f t="shared" ca="1" si="98"/>
        <v>-8.1154523762439881E-2</v>
      </c>
      <c r="R79" s="891">
        <f t="shared" ca="1" si="98"/>
        <v>-0.11440224026051474</v>
      </c>
      <c r="S79" s="891">
        <f t="shared" ca="1" si="98"/>
        <v>-0.22288294617421986</v>
      </c>
      <c r="T79" s="891">
        <f t="shared" ca="1" si="98"/>
        <v>-8.5346563084325283E-2</v>
      </c>
      <c r="U79" s="891">
        <f t="shared" ca="1" si="98"/>
        <v>-8.0465013586080339E-2</v>
      </c>
      <c r="V79" s="878">
        <f t="shared" ca="1" si="98"/>
        <v>-0.10617505623498737</v>
      </c>
      <c r="W79" s="891">
        <f t="shared" ca="1" si="98"/>
        <v>-5.5711469917793653E-2</v>
      </c>
      <c r="X79" s="891">
        <f t="shared" ca="1" si="98"/>
        <v>-0.10092034582320451</v>
      </c>
      <c r="Y79" s="891">
        <f t="shared" ref="Y79:AD79" ca="1" si="99">Y78/Y70</f>
        <v>-8.2000861325758664E-2</v>
      </c>
      <c r="Z79" s="891">
        <f t="shared" ca="1" si="99"/>
        <v>-8.7755168763631944E-2</v>
      </c>
      <c r="AA79" s="878">
        <f t="shared" ca="1" si="99"/>
        <v>-8.2089905130880755E-2</v>
      </c>
      <c r="AB79" s="891">
        <f t="shared" ca="1" si="99"/>
        <v>-7.995496489928583E-2</v>
      </c>
      <c r="AC79" s="891">
        <f t="shared" ca="1" si="99"/>
        <v>-7.5110021934350971E-2</v>
      </c>
      <c r="AD79" s="891">
        <f t="shared" ca="1" si="99"/>
        <v>-5.1220077535596709E-2</v>
      </c>
      <c r="AE79" s="891">
        <f t="shared" ref="AE79:AM79" ca="1" si="100">AE78/AE70</f>
        <v>-5.8983853337932914E-2</v>
      </c>
      <c r="AF79" s="878">
        <f t="shared" ca="1" si="100"/>
        <v>-6.3620399348344514E-2</v>
      </c>
      <c r="AG79" s="891">
        <f t="shared" ca="1" si="100"/>
        <v>-6.2769995375484069E-2</v>
      </c>
      <c r="AH79" s="891">
        <f t="shared" ca="1" si="100"/>
        <v>-6.9712344890733802E-2</v>
      </c>
      <c r="AI79" s="891">
        <f t="shared" ca="1" si="100"/>
        <v>-6.3822394997946175E-2</v>
      </c>
      <c r="AJ79" s="891">
        <f t="shared" ca="1" si="100"/>
        <v>-6.9244439931761506E-2</v>
      </c>
      <c r="AK79" s="878">
        <f t="shared" ca="1" si="100"/>
        <v>-6.6539522583646149E-2</v>
      </c>
      <c r="AL79" s="891">
        <f t="shared" ca="1" si="100"/>
        <v>-7.2912291035806889E-2</v>
      </c>
      <c r="AM79" s="891">
        <f t="shared" ca="1" si="100"/>
        <v>-5.098059969459106E-2</v>
      </c>
      <c r="AN79" s="891">
        <f t="shared" ref="AN79:AP79" ca="1" si="101">AN78/AN70</f>
        <v>-4.150438808795813E-2</v>
      </c>
      <c r="AO79" s="891">
        <f t="shared" ca="1" si="101"/>
        <v>-4.2861685409133793E-2</v>
      </c>
      <c r="AP79" s="878">
        <f t="shared" ca="1" si="101"/>
        <v>-4.9710053134825585E-2</v>
      </c>
      <c r="AQ79" s="868"/>
      <c r="AR79" s="868"/>
      <c r="AS79" s="868"/>
      <c r="AT79" s="868"/>
      <c r="AU79" s="868"/>
      <c r="AV79" s="868"/>
      <c r="AY79" s="1041"/>
      <c r="AZ79" s="1041"/>
      <c r="BA79" s="868"/>
      <c r="BB79" s="868"/>
      <c r="BC79" s="868"/>
      <c r="BD79" s="868"/>
      <c r="BE79" s="868"/>
      <c r="BF79" s="868"/>
      <c r="BG79" s="868"/>
      <c r="BH79" s="868"/>
      <c r="BI79" s="868"/>
      <c r="BJ79" s="868"/>
      <c r="BK79" s="868"/>
      <c r="BL79" s="868"/>
      <c r="BM79" s="868"/>
      <c r="BN79" s="868"/>
      <c r="BO79" s="868"/>
      <c r="BP79" s="868"/>
      <c r="BQ79" s="868"/>
      <c r="BR79" s="868"/>
      <c r="BS79" s="868"/>
      <c r="BT79" s="868"/>
      <c r="BU79" s="868"/>
      <c r="BV79" s="868"/>
      <c r="BW79" s="868"/>
      <c r="BX79" s="868"/>
      <c r="BY79" s="868"/>
      <c r="BZ79" s="868"/>
      <c r="CA79" s="868"/>
    </row>
    <row r="80" spans="1:79" ht="13.5" customHeight="1" x14ac:dyDescent="0.2">
      <c r="A80" s="24"/>
      <c r="B80" s="937" t="s">
        <v>1068</v>
      </c>
      <c r="C80" s="938">
        <f ca="1">C76+C78</f>
        <v>15844.454640000011</v>
      </c>
      <c r="D80" s="1025">
        <f ca="1">D76+D78</f>
        <v>25289.128610000014</v>
      </c>
      <c r="E80" s="938">
        <f ca="1">E76+E78</f>
        <v>34870.320750000028</v>
      </c>
      <c r="F80" s="938">
        <f ca="1">F76+F78</f>
        <v>35848.077430000034</v>
      </c>
      <c r="G80" s="1023">
        <f ca="1">+SUM(C80:F80)</f>
        <v>111851.98143000009</v>
      </c>
      <c r="H80" s="938">
        <f ca="1">H76+H78</f>
        <v>22612.676620000002</v>
      </c>
      <c r="I80" s="938">
        <f ca="1">I76+I78</f>
        <v>38247.540069999974</v>
      </c>
      <c r="J80" s="938">
        <f ca="1">J76+J78</f>
        <v>49403.81290999995</v>
      </c>
      <c r="K80" s="1025">
        <f ca="1">K76+K78</f>
        <v>61958.097968471506</v>
      </c>
      <c r="L80" s="1023">
        <f ca="1">+SUM(H80:K80)</f>
        <v>172222.12756847142</v>
      </c>
      <c r="M80" s="938">
        <f ca="1">M76+M78</f>
        <v>42498.737950000024</v>
      </c>
      <c r="N80" s="938">
        <f ca="1">N76+N78</f>
        <v>48651.234510000024</v>
      </c>
      <c r="O80" s="1025">
        <f ca="1">O76+O78</f>
        <v>49860.368541158714</v>
      </c>
      <c r="P80" s="1025">
        <f ca="1">P76+P78</f>
        <v>57472.928079999991</v>
      </c>
      <c r="Q80" s="1026">
        <f ca="1">+SUM(M80:P80)</f>
        <v>198483.26908115874</v>
      </c>
      <c r="R80" s="1025">
        <f ca="1">R76+R78</f>
        <v>29279.139880000006</v>
      </c>
      <c r="S80" s="938">
        <f ca="1">S76+S78</f>
        <v>-11654.691910000009</v>
      </c>
      <c r="T80" s="938">
        <f ca="1">T76+T78</f>
        <v>38792.218860000008</v>
      </c>
      <c r="U80" s="938">
        <f ca="1">U76+U78</f>
        <v>43245.378730000033</v>
      </c>
      <c r="V80" s="1026">
        <f ca="1">+SUM(R80:U80)</f>
        <v>99662.045560000028</v>
      </c>
      <c r="W80" s="938">
        <f ca="1">W76+W78</f>
        <v>33121.461580000003</v>
      </c>
      <c r="X80" s="938">
        <f ca="1">X76+X78</f>
        <v>23451.069519999983</v>
      </c>
      <c r="Y80" s="1025">
        <f ca="1">Y76+Y78</f>
        <v>25522.103049999991</v>
      </c>
      <c r="Z80" s="938">
        <f ca="1">Z76+Z78</f>
        <v>36547.697839999906</v>
      </c>
      <c r="AA80" s="1026">
        <f ca="1">+SUM(W80:Z80)</f>
        <v>118642.33198999988</v>
      </c>
      <c r="AB80" s="938">
        <f ca="1">AB76+AB78</f>
        <v>21064.224549999981</v>
      </c>
      <c r="AC80" s="938">
        <f ca="1">AC76+AC78</f>
        <v>37794.76152999996</v>
      </c>
      <c r="AD80" s="1025">
        <f ca="1">AD76+AD78</f>
        <v>73953.691759999958</v>
      </c>
      <c r="AE80" s="1025">
        <f ca="1">AE76+AE78</f>
        <v>61462.584349999939</v>
      </c>
      <c r="AF80" s="1026">
        <f ca="1">+SUM(AB80:AE80)</f>
        <v>194275.26218999983</v>
      </c>
      <c r="AG80" s="938">
        <f ca="1">AG76+AG78</f>
        <v>42526.002939999846</v>
      </c>
      <c r="AH80" s="938">
        <f ca="1">AH76+AH78</f>
        <v>46446.635920000102</v>
      </c>
      <c r="AI80" s="938">
        <f ca="1">AI76+AI78</f>
        <v>66835.06712000008</v>
      </c>
      <c r="AJ80" s="938">
        <f ca="1">AJ76+AJ78</f>
        <v>62390.654760000274</v>
      </c>
      <c r="AK80" s="1134">
        <f ca="1">+SUM(AG80:AJ80)</f>
        <v>218198.36074000029</v>
      </c>
      <c r="AL80" s="938">
        <f ca="1">AL76+AL78</f>
        <v>49961.870029999845</v>
      </c>
      <c r="AM80" s="938">
        <f ca="1">AM76+AM78</f>
        <v>74630.695230000012</v>
      </c>
      <c r="AN80" s="938">
        <f ca="1">AN76+AN78</f>
        <v>117564.8570800001</v>
      </c>
      <c r="AO80" s="938">
        <f ca="1">AO76+AO78</f>
        <v>120277.85008999995</v>
      </c>
      <c r="AP80" s="1134">
        <f ca="1">+SUM(AL80:AO80)</f>
        <v>362435.2724299999</v>
      </c>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row>
    <row r="81" spans="1:79" s="867" customFormat="1" ht="13.5" customHeight="1" x14ac:dyDescent="0.2">
      <c r="A81" s="872"/>
      <c r="B81" s="877" t="s">
        <v>259</v>
      </c>
      <c r="C81" s="876">
        <f t="shared" ref="C81:X81" ca="1" si="102">+C80/C70</f>
        <v>9.1417961610156251E-2</v>
      </c>
      <c r="D81" s="876">
        <f t="shared" ca="1" si="102"/>
        <v>0.11720390159421828</v>
      </c>
      <c r="E81" s="876">
        <f t="shared" ca="1" si="102"/>
        <v>0.14281431840389125</v>
      </c>
      <c r="F81" s="876">
        <f t="shared" ca="1" si="102"/>
        <v>0.13043817956843284</v>
      </c>
      <c r="G81" s="875">
        <f t="shared" ca="1" si="102"/>
        <v>0.12317377728168627</v>
      </c>
      <c r="H81" s="876">
        <f t="shared" ca="1" si="102"/>
        <v>0.10164801478635342</v>
      </c>
      <c r="I81" s="876">
        <f t="shared" ca="1" si="102"/>
        <v>0.14940993674895239</v>
      </c>
      <c r="J81" s="876">
        <f t="shared" ca="1" si="102"/>
        <v>0.1668592615565144</v>
      </c>
      <c r="K81" s="876">
        <f t="shared" ca="1" si="102"/>
        <v>0.19231545820526513</v>
      </c>
      <c r="L81" s="875">
        <f t="shared" ca="1" si="102"/>
        <v>0.15703653411535268</v>
      </c>
      <c r="M81" s="876">
        <f t="shared" ca="1" si="102"/>
        <v>0.16414697241853671</v>
      </c>
      <c r="N81" s="876">
        <f t="shared" ca="1" si="102"/>
        <v>0.16542138639328</v>
      </c>
      <c r="O81" s="876">
        <f t="shared" ca="1" si="102"/>
        <v>0.16631680487888842</v>
      </c>
      <c r="P81" s="876">
        <f t="shared" ca="1" si="102"/>
        <v>0.17036893417816859</v>
      </c>
      <c r="Q81" s="875">
        <f t="shared" ca="1" si="102"/>
        <v>0.16677206828316679</v>
      </c>
      <c r="R81" s="876">
        <f t="shared" ca="1" si="102"/>
        <v>0.12161105968728553</v>
      </c>
      <c r="S81" s="876">
        <f t="shared" ca="1" si="102"/>
        <v>-0.13415056697196634</v>
      </c>
      <c r="T81" s="876">
        <f t="shared" ca="1" si="102"/>
        <v>0.15804054886249783</v>
      </c>
      <c r="U81" s="876">
        <f t="shared" ca="1" si="102"/>
        <v>0.15866241731027189</v>
      </c>
      <c r="V81" s="875">
        <f t="shared" ca="1" si="102"/>
        <v>0.11785150865559312</v>
      </c>
      <c r="W81" s="876">
        <f t="shared" ca="1" si="102"/>
        <v>0.1649272013190291</v>
      </c>
      <c r="X81" s="876">
        <f t="shared" ca="1" si="102"/>
        <v>0.11700558029246444</v>
      </c>
      <c r="Y81" s="876">
        <f t="shared" ref="Y81:AD81" ca="1" si="103">+Y80/Y70</f>
        <v>0.13134046350816822</v>
      </c>
      <c r="Z81" s="876">
        <f t="shared" ca="1" si="103"/>
        <v>0.13439565646897908</v>
      </c>
      <c r="AA81" s="875">
        <f t="shared" ca="1" si="103"/>
        <v>0.13676145886965282</v>
      </c>
      <c r="AB81" s="876">
        <f t="shared" ca="1" si="103"/>
        <v>0.10438450991632185</v>
      </c>
      <c r="AC81" s="876">
        <f t="shared" ca="1" si="103"/>
        <v>0.14203108853307117</v>
      </c>
      <c r="AD81" s="876">
        <f t="shared" ca="1" si="103"/>
        <v>0.19819815050572714</v>
      </c>
      <c r="AE81" s="876">
        <f t="shared" ref="AE81:AM81" ca="1" si="104">+AE80/AE70</f>
        <v>0.16503924449389668</v>
      </c>
      <c r="AF81" s="875">
        <f t="shared" ca="1" si="104"/>
        <v>0.16010308507969703</v>
      </c>
      <c r="AG81" s="876">
        <f t="shared" ca="1" si="104"/>
        <v>0.14316603077806622</v>
      </c>
      <c r="AH81" s="876">
        <f t="shared" ca="1" si="104"/>
        <v>0.1403630227500885</v>
      </c>
      <c r="AI81" s="876">
        <f t="shared" ca="1" si="104"/>
        <v>0.17322665683641467</v>
      </c>
      <c r="AJ81" s="876">
        <f t="shared" ca="1" si="104"/>
        <v>0.15093129076994513</v>
      </c>
      <c r="AK81" s="875">
        <f t="shared" ca="1" si="104"/>
        <v>0.15289215537595333</v>
      </c>
      <c r="AL81" s="876">
        <f t="shared" ca="1" si="104"/>
        <v>0.14377026603705537</v>
      </c>
      <c r="AM81" s="876">
        <f t="shared" ca="1" si="104"/>
        <v>0.17466494944197558</v>
      </c>
      <c r="AN81" s="876">
        <f t="shared" ref="AN81:AP81" ca="1" si="105">+AN80/AN70</f>
        <v>0.2092153884787914</v>
      </c>
      <c r="AO81" s="876">
        <f t="shared" ca="1" si="105"/>
        <v>0.20618945478600298</v>
      </c>
      <c r="AP81" s="875">
        <f t="shared" ca="1" si="105"/>
        <v>0.18876249594651437</v>
      </c>
      <c r="AQ81" s="868"/>
      <c r="AR81" s="868"/>
      <c r="AS81" s="868"/>
      <c r="AT81" s="868"/>
      <c r="AU81" s="868"/>
      <c r="AV81" s="868"/>
      <c r="AY81" s="1041"/>
      <c r="AZ81" s="1041"/>
      <c r="BA81" s="868"/>
      <c r="BB81" s="868"/>
      <c r="BC81" s="868"/>
      <c r="BD81" s="868"/>
      <c r="BE81" s="868"/>
      <c r="BF81" s="868"/>
      <c r="BG81" s="868"/>
      <c r="BH81" s="868"/>
      <c r="BI81" s="868"/>
      <c r="BJ81" s="868"/>
      <c r="BK81" s="868"/>
      <c r="BL81" s="868"/>
      <c r="BM81" s="868"/>
      <c r="BN81" s="868"/>
      <c r="BO81" s="868"/>
      <c r="BP81" s="868"/>
      <c r="BQ81" s="868"/>
      <c r="BR81" s="868"/>
      <c r="BS81" s="868"/>
      <c r="BT81" s="868"/>
      <c r="BU81" s="868"/>
      <c r="BV81" s="868"/>
      <c r="BW81" s="868"/>
      <c r="BX81" s="868"/>
      <c r="BY81" s="868"/>
      <c r="BZ81" s="868"/>
      <c r="CA81" s="868"/>
    </row>
    <row r="82" spans="1:79" ht="13.5" customHeight="1" x14ac:dyDescent="0.2">
      <c r="A82" s="914"/>
      <c r="B82" s="874" t="s">
        <v>1067</v>
      </c>
      <c r="C82" s="873">
        <v>0</v>
      </c>
      <c r="D82" s="873">
        <v>0</v>
      </c>
      <c r="E82" s="873">
        <v>0</v>
      </c>
      <c r="F82" s="873">
        <v>0</v>
      </c>
      <c r="G82" s="645">
        <f>SUM(C82:F82)</f>
        <v>0</v>
      </c>
      <c r="H82" s="873">
        <v>0</v>
      </c>
      <c r="I82" s="873">
        <v>0</v>
      </c>
      <c r="J82" s="873">
        <v>0</v>
      </c>
      <c r="K82" s="873">
        <v>0</v>
      </c>
      <c r="L82" s="645">
        <f>SUM(H82:K82)</f>
        <v>0</v>
      </c>
      <c r="M82" s="873">
        <f ca="1">+SUMIFS(INDIRECT(CONCATENATE("'",$AQ82,$AR82,":",$AS82)),INDIRECT(CONCATENATE("'",$AQ82,$AR$89,":",$AS$89)),M$35)</f>
        <v>-4981</v>
      </c>
      <c r="N82" s="873">
        <f ca="1">+SUMIFS(INDIRECT(CONCATENATE("'",$AQ82,$AR82,":",$AS82)),INDIRECT(CONCATENATE("'",$AQ82,$AR$89,":",$AS$89)),N$35)</f>
        <v>-4381</v>
      </c>
      <c r="O82" s="873">
        <f ca="1">+SUMIFS(INDIRECT(CONCATENATE("'",$AQ82,$AR82,":",$AS82)),INDIRECT(CONCATENATE("'",$AQ82,$AR$89,":",$AS$89)),O$35)</f>
        <v>-4770</v>
      </c>
      <c r="P82" s="873">
        <f ca="1">+SUMIFS(INDIRECT(CONCATENATE("'",$AQ82,$AR82,":",$AS82)),INDIRECT(CONCATENATE("'",$AQ82,$AR$89,":",$AS$89)),P$35)</f>
        <v>-4810.0787082777097</v>
      </c>
      <c r="Q82" s="645">
        <f ca="1">SUM(M82:P82)</f>
        <v>-18942.07870827771</v>
      </c>
      <c r="R82" s="873">
        <f ca="1">+SUMIFS(INDIRECT(CONCATENATE("'",$AQ82,$AR82,":",$AS82)),INDIRECT(CONCATENATE("'",$AQ82,$AR$89,":",$AS$89)),R$35)</f>
        <v>-5221.6656000000103</v>
      </c>
      <c r="S82" s="873">
        <f ca="1">+SUMIFS(INDIRECT(CONCATENATE("'",$AQ82,$AR82,":",$AS82)),INDIRECT(CONCATENATE("'",$AQ82,$AR$89,":",$AS$89)),S$35)</f>
        <v>-4983.0441500000097</v>
      </c>
      <c r="T82" s="873">
        <f ca="1">+SUMIFS(INDIRECT(CONCATENATE("'",$AQ82,$AR82,":",$AS82)),INDIRECT(CONCATENATE("'",$AQ82,$AR$89,":",$AS$89)),T$35)</f>
        <v>-5318.7323999999899</v>
      </c>
      <c r="U82" s="873">
        <f ca="1">+SUMIFS(INDIRECT(CONCATENATE("'",$AQ82,$AR82,":",$AS82)),INDIRECT(CONCATENATE("'",$AQ82,$AR$89,":",$AS$89)),U$35)</f>
        <v>-5262.5423200000096</v>
      </c>
      <c r="V82" s="645">
        <f ca="1">SUM(R82:U82)</f>
        <v>-20785.984470000018</v>
      </c>
      <c r="W82" s="873">
        <f ca="1">+SUMIFS(INDIRECT(CONCATENATE("'",$AQ82,$AR82,":",$AS82)),INDIRECT(CONCATENATE("'",$AQ82,$AR$89,":",$AS$89)),W$35)</f>
        <v>-7298.4094699999896</v>
      </c>
      <c r="X82" s="873">
        <f ca="1">+SUMIFS(INDIRECT(CONCATENATE("'",$AQ82,$AR82,":",$AS82)),INDIRECT(CONCATENATE("'",$AQ82,$AR$89,":",$AS$89)),X$35)</f>
        <v>-6225.2279400000098</v>
      </c>
      <c r="Y82" s="873">
        <f ca="1">+SUMIFS(INDIRECT(CONCATENATE("'",$AQ82,$AR82,":",$AS82)),INDIRECT(CONCATENATE("'",$AQ82,$AR$89,":",$AS$89)),Y$35)</f>
        <v>-5997.3069699999887</v>
      </c>
      <c r="Z82" s="873">
        <f ca="1">+SUMIFS(INDIRECT(CONCATENATE("'",$AQ82,$AR82,":",$AS82)),INDIRECT(CONCATENATE("'",$AQ82,$AR$89,":",$AS$89)),Z$35)</f>
        <v>-5965.6264300000103</v>
      </c>
      <c r="AA82" s="645">
        <f ca="1">SUM(W82:Z82)</f>
        <v>-25486.570809999997</v>
      </c>
      <c r="AB82" s="873">
        <f ca="1">+SUMIFS(INDIRECT(CONCATENATE("'",$AQ82,$AR82,":",$AS82)),INDIRECT(CONCATENATE("'",$AQ82,$AR$89,":",$AS$89)),AB$35)</f>
        <v>-6375.8603899999998</v>
      </c>
      <c r="AC82" s="873">
        <f ca="1">+SUMIFS(INDIRECT(CONCATENATE("'",$AQ82,$AR82,":",$AS82)),INDIRECT(CONCATENATE("'",$AQ82,$AR$89,":",$AS$89)),AC$35)</f>
        <v>-7005.7261199999921</v>
      </c>
      <c r="AD82" s="873">
        <f ca="1">+SUMIFS(INDIRECT(CONCATENATE("'",$AQ82,$AR82,":",$AS82)),INDIRECT(CONCATENATE("'",$AQ82,$AR$89,":",$AS$89)),AD$35)</f>
        <v>-6648.5328399999698</v>
      </c>
      <c r="AE82" s="873">
        <f ca="1">+SUMIFS(INDIRECT(CONCATENATE("'",$AQ82,$AR82,":",$AS82)),INDIRECT(CONCATENATE("'",$AQ82,$AR$89,":",$AS$89)),AE$35)</f>
        <v>-7125.4665299999797</v>
      </c>
      <c r="AF82" s="645">
        <f ca="1">SUM(AB82:AE82)</f>
        <v>-27155.585879999941</v>
      </c>
      <c r="AG82" s="873">
        <f ca="1">+SUMIFS(INDIRECT(CONCATENATE("'",$AQ82,$AR82,":",$AS82)),INDIRECT(CONCATENATE("'",$AQ82,$AR$89,":",$AS$89)),AG$35)</f>
        <v>-7315.9999799999896</v>
      </c>
      <c r="AH82" s="873">
        <f ca="1">+SUMIFS(INDIRECT(CONCATENATE("'",$AQ82,$AR82,":",$AS82)),INDIRECT(CONCATENATE("'",$AQ82,$AR$89,":",$AS$89)),AH$35)</f>
        <v>-7304.5372799999996</v>
      </c>
      <c r="AI82" s="873">
        <f ca="1">+SUMIFS(INDIRECT(CONCATENATE("'",$AQ82,$AR82,":",$AS82)),INDIRECT(CONCATENATE("'",$AQ82,$AR$89,":",$AS$89)),AI$35)</f>
        <v>-7948.7313800000102</v>
      </c>
      <c r="AJ82" s="873">
        <f ca="1">+SUMIFS(INDIRECT(CONCATENATE("'",$AQ82,$AR82,":",$AS82)),INDIRECT(CONCATENATE("'",$AQ82,$AR$89,":",$AS$89)),AJ$35)</f>
        <v>-8621.4421400000192</v>
      </c>
      <c r="AK82" s="645">
        <f ca="1">SUM(AG82:AJ82)</f>
        <v>-31190.710780000023</v>
      </c>
      <c r="AL82" s="873">
        <f ca="1">+SUMIFS(INDIRECT(CONCATENATE("'",$AQ82,$AR82,":",$AS82)),INDIRECT(CONCATENATE("'",$AQ82,$AR$89,":",$AS$89)),AL$35)</f>
        <v>-6907.8126200000097</v>
      </c>
      <c r="AM82" s="873">
        <f ca="1">+SUMIFS(INDIRECT(CONCATENATE("'",$AQ82,$AR82,":",$AS82)),INDIRECT(CONCATENATE("'",$AQ82,$AR$89,":",$AS$89)),AM$35)</f>
        <v>-7069.81412000001</v>
      </c>
      <c r="AN82" s="873">
        <f ca="1">+SUMIFS(INDIRECT(CONCATENATE("'",$AQ82,$AR82,":",$AS82)),INDIRECT(CONCATENATE("'",$AQ82,$AR$89,":",$AS$89)),AN$35)</f>
        <v>-6995.6201300000002</v>
      </c>
      <c r="AO82" s="873">
        <f ca="1">+SUMIFS(INDIRECT(CONCATENATE("'",$AQ82,$AR82,":",$AS82)),INDIRECT(CONCATENATE("'",$AQ82,$AR$89,":",$AS$89)),AO$35)</f>
        <v>-7777.8751400000101</v>
      </c>
      <c r="AP82" s="645">
        <f ca="1">SUM(AL82:AO82)</f>
        <v>-28751.122010000032</v>
      </c>
      <c r="AQ82" s="268" t="s">
        <v>1066</v>
      </c>
      <c r="AR82" s="268" t="str">
        <f>"$"&amp;ROW(Attachments!$B$7)</f>
        <v>$7</v>
      </c>
      <c r="AS82" s="268" t="str">
        <f>"$"&amp;ROW(Attachments!$B$7)</f>
        <v>$7</v>
      </c>
      <c r="AT82" s="268" t="s">
        <v>1066</v>
      </c>
      <c r="AU82" s="268" t="s">
        <v>1065</v>
      </c>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row>
    <row r="83" spans="1:79" ht="13.5" customHeight="1" x14ac:dyDescent="0.2">
      <c r="A83" s="24"/>
      <c r="B83" s="882" t="s">
        <v>1064</v>
      </c>
      <c r="C83" s="881">
        <f ca="1">C76+C78+C82</f>
        <v>15844.454640000011</v>
      </c>
      <c r="D83" s="1022">
        <f ca="1">D76+D78+D82</f>
        <v>25289.128610000014</v>
      </c>
      <c r="E83" s="881">
        <f ca="1">E76+E78+E82</f>
        <v>34870.320750000028</v>
      </c>
      <c r="F83" s="881">
        <f ca="1">F76+F78+F82</f>
        <v>35848.077430000034</v>
      </c>
      <c r="G83" s="1023">
        <f ca="1">SUM(C83:F83)</f>
        <v>111851.98143000009</v>
      </c>
      <c r="H83" s="881">
        <f ca="1">H76+H78+H82</f>
        <v>22612.676620000002</v>
      </c>
      <c r="I83" s="881">
        <f ca="1">I76+I78+I82</f>
        <v>38247.540069999974</v>
      </c>
      <c r="J83" s="881">
        <f ca="1">J76+J78+J82</f>
        <v>49403.81290999995</v>
      </c>
      <c r="K83" s="1022">
        <f ca="1">K76+K78+K82</f>
        <v>61958.097968471506</v>
      </c>
      <c r="L83" s="1023">
        <f ca="1">SUM(H83:K83)</f>
        <v>172222.12756847142</v>
      </c>
      <c r="M83" s="881">
        <f ca="1">M76+M78+M82</f>
        <v>37517.737950000024</v>
      </c>
      <c r="N83" s="881">
        <f ca="1">N76+N78+N82</f>
        <v>44270.234510000024</v>
      </c>
      <c r="O83" s="1022">
        <f ca="1">O76+O78+O82</f>
        <v>45090.368541158714</v>
      </c>
      <c r="P83" s="1022">
        <f ca="1">P76+P78+P82</f>
        <v>52662.849371722281</v>
      </c>
      <c r="Q83" s="1023">
        <f ca="1">SUM(M83:P83)</f>
        <v>179541.19037288104</v>
      </c>
      <c r="R83" s="1022">
        <f ca="1">R76+R78+R82</f>
        <v>24057.474279999995</v>
      </c>
      <c r="S83" s="881">
        <f ca="1">S76+S78+S82</f>
        <v>-16637.736060000017</v>
      </c>
      <c r="T83" s="881">
        <f ca="1">T76+T78+T82</f>
        <v>33473.486460000015</v>
      </c>
      <c r="U83" s="881">
        <f ca="1">U76+U78+U82</f>
        <v>37982.836410000025</v>
      </c>
      <c r="V83" s="1023">
        <f ca="1">SUM(R83:U83)</f>
        <v>78876.061090000017</v>
      </c>
      <c r="W83" s="881">
        <f ca="1">W76+W78+W82</f>
        <v>25823.052110000011</v>
      </c>
      <c r="X83" s="881">
        <f ca="1">X76+X78+X82</f>
        <v>17225.841579999971</v>
      </c>
      <c r="Y83" s="1022">
        <f ca="1">Y76+Y78+Y82</f>
        <v>19524.79608</v>
      </c>
      <c r="Z83" s="881">
        <f ca="1">Z76+Z78+Z82</f>
        <v>30582.071409999895</v>
      </c>
      <c r="AA83" s="1023">
        <f ca="1">SUM(W83:Z83)</f>
        <v>93155.761179999885</v>
      </c>
      <c r="AB83" s="881">
        <f ca="1">AB76+AB78+AB82</f>
        <v>14688.364159999981</v>
      </c>
      <c r="AC83" s="881">
        <f ca="1">AC76+AC78+AC82</f>
        <v>30789.035409999968</v>
      </c>
      <c r="AD83" s="1022">
        <f ca="1">AD76+AD78+AD82</f>
        <v>67305.158919999987</v>
      </c>
      <c r="AE83" s="1022">
        <f ca="1">AE76+AE78+AE82</f>
        <v>54337.117819999956</v>
      </c>
      <c r="AF83" s="1023">
        <f ca="1">SUM(AB83:AE83)</f>
        <v>167119.67630999989</v>
      </c>
      <c r="AG83" s="881">
        <f ca="1">AG76+AG78+AG82</f>
        <v>35210.002959999852</v>
      </c>
      <c r="AH83" s="881">
        <f ca="1">AH76+AH78+AH82</f>
        <v>39142.098640000106</v>
      </c>
      <c r="AI83" s="881">
        <f ca="1">AI76+AI78+AI82</f>
        <v>58886.335740000068</v>
      </c>
      <c r="AJ83" s="881">
        <f ca="1">AJ76+AJ78+AJ82</f>
        <v>53769.212620000253</v>
      </c>
      <c r="AK83" s="880">
        <f ca="1">SUM(AG83:AJ83)</f>
        <v>187007.6499600003</v>
      </c>
      <c r="AL83" s="881">
        <f ca="1">AL76+AL78+AL82</f>
        <v>43054.057409999834</v>
      </c>
      <c r="AM83" s="881">
        <f ca="1">AM76+AM78+AM82</f>
        <v>67560.881110000002</v>
      </c>
      <c r="AN83" s="881">
        <f ca="1">AN76+AN78+AN82</f>
        <v>110569.23695000011</v>
      </c>
      <c r="AO83" s="881">
        <f ca="1">AO76+AO78+AO82</f>
        <v>112499.97494999995</v>
      </c>
      <c r="AP83" s="880">
        <f ca="1">SUM(AL83:AO83)</f>
        <v>333684.1504199999</v>
      </c>
      <c r="BE83" s="268"/>
      <c r="BF83" s="268"/>
      <c r="BG83" s="268"/>
      <c r="BH83" s="268"/>
      <c r="BI83" s="268"/>
      <c r="BJ83" s="268"/>
      <c r="BK83" s="268"/>
      <c r="BL83" s="268"/>
      <c r="BM83" s="268"/>
      <c r="BN83" s="268"/>
      <c r="BO83" s="268"/>
      <c r="BP83" s="268"/>
      <c r="BQ83" s="268"/>
      <c r="BR83" s="268"/>
      <c r="BS83" s="268"/>
      <c r="BT83" s="268"/>
      <c r="BU83" s="268"/>
      <c r="BV83" s="268"/>
      <c r="BW83" s="268"/>
      <c r="BX83" s="268"/>
      <c r="BY83" s="268"/>
      <c r="BZ83" s="268"/>
      <c r="CA83" s="268"/>
    </row>
    <row r="84" spans="1:79" s="867" customFormat="1" ht="13.5" customHeight="1" x14ac:dyDescent="0.2">
      <c r="A84" s="872"/>
      <c r="B84" s="871" t="s">
        <v>1063</v>
      </c>
      <c r="C84" s="870">
        <f t="shared" ref="C84:X84" ca="1" si="106">+C83/C70</f>
        <v>9.1417961610156251E-2</v>
      </c>
      <c r="D84" s="870">
        <f t="shared" ca="1" si="106"/>
        <v>0.11720390159421828</v>
      </c>
      <c r="E84" s="870">
        <f t="shared" ca="1" si="106"/>
        <v>0.14281431840389125</v>
      </c>
      <c r="F84" s="870">
        <f t="shared" ca="1" si="106"/>
        <v>0.13043817956843284</v>
      </c>
      <c r="G84" s="869">
        <f t="shared" ca="1" si="106"/>
        <v>0.12317377728168627</v>
      </c>
      <c r="H84" s="870">
        <f t="shared" ca="1" si="106"/>
        <v>0.10164801478635342</v>
      </c>
      <c r="I84" s="870">
        <f t="shared" ca="1" si="106"/>
        <v>0.14940993674895239</v>
      </c>
      <c r="J84" s="870">
        <f t="shared" ca="1" si="106"/>
        <v>0.1668592615565144</v>
      </c>
      <c r="K84" s="870">
        <f t="shared" ca="1" si="106"/>
        <v>0.19231545820526513</v>
      </c>
      <c r="L84" s="869">
        <f t="shared" ca="1" si="106"/>
        <v>0.15703653411535268</v>
      </c>
      <c r="M84" s="870">
        <f t="shared" ca="1" si="106"/>
        <v>0.14490837595530384</v>
      </c>
      <c r="N84" s="870">
        <f t="shared" ca="1" si="106"/>
        <v>0.15052533902494447</v>
      </c>
      <c r="O84" s="870">
        <f t="shared" ca="1" si="106"/>
        <v>0.15040574801180129</v>
      </c>
      <c r="P84" s="870">
        <f t="shared" ca="1" si="106"/>
        <v>0.15611025604536699</v>
      </c>
      <c r="Q84" s="869">
        <f t="shared" ca="1" si="106"/>
        <v>0.15085632053079426</v>
      </c>
      <c r="R84" s="870">
        <f t="shared" ca="1" si="106"/>
        <v>9.9922844474979677E-2</v>
      </c>
      <c r="S84" s="870">
        <f t="shared" ca="1" si="106"/>
        <v>-0.19150756989670867</v>
      </c>
      <c r="T84" s="870">
        <f t="shared" ca="1" si="106"/>
        <v>0.13637188920726229</v>
      </c>
      <c r="U84" s="870">
        <f t="shared" ca="1" si="106"/>
        <v>0.13935474305213025</v>
      </c>
      <c r="V84" s="869">
        <f t="shared" ca="1" si="106"/>
        <v>9.3271844301759943E-2</v>
      </c>
      <c r="W84" s="870">
        <f t="shared" ca="1" si="106"/>
        <v>0.12858501741328501</v>
      </c>
      <c r="X84" s="870">
        <f t="shared" ca="1" si="106"/>
        <v>8.5945742831688154E-2</v>
      </c>
      <c r="Y84" s="870">
        <f t="shared" ref="Y84:AD84" ca="1" si="107">+Y83/Y70</f>
        <v>0.10047744741198618</v>
      </c>
      <c r="Z84" s="870">
        <f t="shared" ca="1" si="107"/>
        <v>0.11245845309659437</v>
      </c>
      <c r="AA84" s="869">
        <f t="shared" ca="1" si="107"/>
        <v>0.1073825639415415</v>
      </c>
      <c r="AB84" s="870">
        <f t="shared" ca="1" si="107"/>
        <v>7.2788708204027663E-2</v>
      </c>
      <c r="AC84" s="870">
        <f t="shared" ca="1" si="107"/>
        <v>0.11570387104293428</v>
      </c>
      <c r="AD84" s="870">
        <f t="shared" ca="1" si="107"/>
        <v>0.18037987962425486</v>
      </c>
      <c r="AE84" s="870">
        <f t="shared" ref="AE84:AM84" ca="1" si="108">+AE83/AE70</f>
        <v>0.14590595185392088</v>
      </c>
      <c r="AF84" s="869">
        <f t="shared" ca="1" si="108"/>
        <v>0.13772404913078329</v>
      </c>
      <c r="AG84" s="870">
        <f t="shared" ca="1" si="108"/>
        <v>0.11853633116141528</v>
      </c>
      <c r="AH84" s="870">
        <f t="shared" ca="1" si="108"/>
        <v>0.11828850837239561</v>
      </c>
      <c r="AI84" s="870">
        <f t="shared" ca="1" si="108"/>
        <v>0.15262471503577477</v>
      </c>
      <c r="AJ84" s="870">
        <f t="shared" ca="1" si="108"/>
        <v>0.13007487572679266</v>
      </c>
      <c r="AK84" s="869">
        <f t="shared" ca="1" si="108"/>
        <v>0.13103674370975579</v>
      </c>
      <c r="AL84" s="870">
        <f t="shared" ca="1" si="108"/>
        <v>0.1238923459849197</v>
      </c>
      <c r="AM84" s="870">
        <f t="shared" ca="1" si="108"/>
        <v>0.15811882559804838</v>
      </c>
      <c r="AN84" s="870">
        <f t="shared" ref="AN84:AP84" ca="1" si="109">+AN83/AN70</f>
        <v>0.19676616326387819</v>
      </c>
      <c r="AO84" s="870">
        <f t="shared" ca="1" si="109"/>
        <v>0.19285602861227108</v>
      </c>
      <c r="AP84" s="869">
        <f t="shared" ca="1" si="109"/>
        <v>0.17378841929143785</v>
      </c>
      <c r="AQ84" s="868"/>
      <c r="AR84" s="868"/>
      <c r="AS84" s="868"/>
      <c r="AT84" s="868"/>
      <c r="AU84" s="868"/>
      <c r="AV84" s="868"/>
      <c r="AY84" s="1041"/>
      <c r="AZ84" s="1041"/>
      <c r="BA84" s="868"/>
      <c r="BB84" s="868"/>
      <c r="BC84" s="868"/>
      <c r="BD84" s="868"/>
      <c r="BE84" s="868"/>
      <c r="BF84" s="868"/>
      <c r="BG84" s="868"/>
      <c r="BH84" s="868"/>
      <c r="BI84" s="868"/>
      <c r="BJ84" s="868"/>
      <c r="BK84" s="868"/>
      <c r="BL84" s="868"/>
      <c r="BM84" s="868"/>
      <c r="BN84" s="868"/>
      <c r="BO84" s="868"/>
      <c r="BP84" s="868"/>
      <c r="BQ84" s="868"/>
      <c r="BR84" s="868"/>
      <c r="BS84" s="868"/>
      <c r="BT84" s="868"/>
      <c r="BU84" s="868"/>
      <c r="BV84" s="868"/>
      <c r="BW84" s="868"/>
      <c r="BX84" s="868"/>
      <c r="BY84" s="868"/>
      <c r="BZ84" s="868"/>
      <c r="CA84" s="868"/>
    </row>
    <row r="85" spans="1:79" s="284" customFormat="1" ht="13.5" customHeight="1" x14ac:dyDescent="0.2">
      <c r="A85" s="932"/>
      <c r="B85" s="931" t="s">
        <v>1087</v>
      </c>
      <c r="C85" s="1019">
        <v>0</v>
      </c>
      <c r="D85" s="1019">
        <v>-15000</v>
      </c>
      <c r="E85" s="1019">
        <v>0</v>
      </c>
      <c r="F85" s="1019">
        <v>24082.774270000002</v>
      </c>
      <c r="G85" s="1020">
        <f>+SUM(C85:F85)</f>
        <v>9082.7742700000017</v>
      </c>
      <c r="H85" s="1019">
        <v>0</v>
      </c>
      <c r="I85" s="1019">
        <v>0</v>
      </c>
      <c r="J85" s="1019">
        <v>0</v>
      </c>
      <c r="K85" s="1019">
        <f>4105.6676015285-14500</f>
        <v>-10394.332398471499</v>
      </c>
      <c r="L85" s="1020">
        <f>+SUM(H85:K85)</f>
        <v>-10394.332398471499</v>
      </c>
      <c r="M85" s="1019">
        <v>0</v>
      </c>
      <c r="N85" s="1019">
        <v>0</v>
      </c>
      <c r="O85" s="1019">
        <f>54681.39513-5890.86895115869</f>
        <v>48790.526178841304</v>
      </c>
      <c r="P85" s="1019">
        <v>-2254</v>
      </c>
      <c r="Q85" s="1020">
        <f>+SUM(M85:P85)</f>
        <v>46536.526178841304</v>
      </c>
      <c r="R85" s="1019">
        <v>-3317</v>
      </c>
      <c r="S85" s="1019">
        <v>0</v>
      </c>
      <c r="T85" s="1019">
        <v>0</v>
      </c>
      <c r="U85" s="1019">
        <v>0</v>
      </c>
      <c r="V85" s="1020">
        <f>+SUM(R85:U85)</f>
        <v>-3317</v>
      </c>
      <c r="W85" s="1019">
        <v>0</v>
      </c>
      <c r="X85" s="1019">
        <v>0</v>
      </c>
      <c r="Y85" s="1019">
        <v>-1159</v>
      </c>
      <c r="Z85" s="1019">
        <v>0</v>
      </c>
      <c r="AA85" s="1020">
        <f>+SUM(W85:Z85)</f>
        <v>-1159</v>
      </c>
      <c r="AB85" s="1019">
        <v>0</v>
      </c>
      <c r="AC85" s="1019">
        <v>0</v>
      </c>
      <c r="AD85" s="1019">
        <v>-6645</v>
      </c>
      <c r="AE85" s="1019">
        <v>5459</v>
      </c>
      <c r="AF85" s="1020">
        <f>+SUM(AB85:AE85)</f>
        <v>-1186</v>
      </c>
      <c r="AG85" s="1019">
        <v>0</v>
      </c>
      <c r="AH85" s="1019">
        <v>0</v>
      </c>
      <c r="AI85" s="1019">
        <v>0</v>
      </c>
      <c r="AJ85" s="1019">
        <v>0</v>
      </c>
      <c r="AK85" s="1020">
        <f>+SUM(AG85:AJ85)</f>
        <v>0</v>
      </c>
      <c r="AL85" s="1019">
        <v>0</v>
      </c>
      <c r="AM85" s="1019">
        <v>0</v>
      </c>
      <c r="AN85" s="1019">
        <v>0</v>
      </c>
      <c r="AO85" s="1019">
        <v>0</v>
      </c>
      <c r="AP85" s="1020">
        <f>+SUM(AL85:AO85)</f>
        <v>0</v>
      </c>
      <c r="AQ85" s="905"/>
      <c r="AR85" s="905"/>
      <c r="AS85" s="905"/>
      <c r="AT85" s="905"/>
      <c r="AU85" s="905"/>
      <c r="AV85" s="905"/>
      <c r="AY85" s="1042"/>
      <c r="AZ85" s="1042"/>
      <c r="BA85" s="905"/>
      <c r="BB85" s="905"/>
      <c r="BC85" s="905"/>
      <c r="BD85" s="905"/>
      <c r="BE85" s="905"/>
      <c r="BF85" s="905"/>
      <c r="BG85" s="905"/>
      <c r="BH85" s="905"/>
      <c r="BI85" s="905"/>
      <c r="BJ85" s="905"/>
      <c r="BK85" s="905"/>
      <c r="BL85" s="905"/>
      <c r="BM85" s="905"/>
      <c r="BN85" s="905"/>
      <c r="BO85" s="905"/>
      <c r="BP85" s="905"/>
      <c r="BQ85" s="905"/>
      <c r="BR85" s="905"/>
      <c r="BS85" s="905"/>
      <c r="BT85" s="905"/>
      <c r="BU85" s="905"/>
      <c r="BV85" s="905"/>
      <c r="BW85" s="905"/>
      <c r="BX85" s="905"/>
      <c r="BY85" s="905"/>
      <c r="BZ85" s="905"/>
      <c r="CA85" s="905"/>
    </row>
    <row r="86" spans="1:79" ht="13.5" customHeight="1" x14ac:dyDescent="0.2">
      <c r="A86" s="914"/>
      <c r="B86" s="874" t="s">
        <v>1073</v>
      </c>
      <c r="C86" s="873">
        <f ca="1">+SUMIFS(INDIRECT(CONCATENATE("'",$AQ86,$AR86,":",$AS86)),INDIRECT(CONCATENATE("'",$AQ86,$AR$35,":",$AS$35)),C$35)</f>
        <v>-3297.1615999999995</v>
      </c>
      <c r="D86" s="873">
        <f ca="1">+SUMIFS(INDIRECT(CONCATENATE("'",$AQ86,$AR86,":",$AS86)),INDIRECT(CONCATENATE("'",$AQ86,$AR$35,":",$AS$35)),D$35)</f>
        <v>-3490.2046699999996</v>
      </c>
      <c r="E86" s="873">
        <f ca="1">+SUMIFS(INDIRECT(CONCATENATE("'",$AQ86,$AR86,":",$AS86)),INDIRECT(CONCATENATE("'",$AQ86,$AR$35,":",$AS$35)),E$35)</f>
        <v>-3823.40445</v>
      </c>
      <c r="F86" s="873">
        <f ca="1">+SUMIFS(INDIRECT(CONCATENATE("'",$AQ86,$AR86,":",$AS86)),INDIRECT(CONCATENATE("'",$AQ86,$AR$35,":",$AS$35)),F$35)</f>
        <v>-3804.8000499999998</v>
      </c>
      <c r="G86" s="645">
        <f ca="1">SUM(C86:F86)</f>
        <v>-14415.570769999998</v>
      </c>
      <c r="H86" s="873">
        <f ca="1">+SUMIFS(INDIRECT(CONCATENATE("'",$AQ86,$AR86,":",$AS86)),INDIRECT(CONCATENATE("'",$AQ86,$AR$35,":",$AS$35)),H$35)</f>
        <v>-3811.6660800000004</v>
      </c>
      <c r="I86" s="873">
        <f ca="1">+SUMIFS(INDIRECT(CONCATENATE("'",$AQ86,$AR86,":",$AS86)),INDIRECT(CONCATENATE("'",$AQ86,$AR$35,":",$AS$35)),I$35)</f>
        <v>-6190.8721299999997</v>
      </c>
      <c r="J86" s="873">
        <f ca="1">+SUMIFS(INDIRECT(CONCATENATE("'",$AQ86,$AR86,":",$AS86)),INDIRECT(CONCATENATE("'",$AQ86,$AR$35,":",$AS$35)),J$35)</f>
        <v>-4079.5165700000002</v>
      </c>
      <c r="K86" s="873">
        <f ca="1">+SUMIFS(INDIRECT(CONCATENATE("'",$AQ86,$AR86,":",$AS86)),INDIRECT(CONCATENATE("'",$AQ86,$AR$35,":",$AS$35)),K$35)</f>
        <v>-3930.5324799999999</v>
      </c>
      <c r="L86" s="645">
        <f ca="1">+SUM(H86:K86)</f>
        <v>-18012.58726</v>
      </c>
      <c r="M86" s="873">
        <f ca="1">+SUMIFS(INDIRECT(CONCATENATE("'",$AQ86,$AR86,":",$AS86)),INDIRECT(CONCATENATE("'",$AQ86,$AR$35,":",$AS$35)),M$35)-M87</f>
        <v>-3959.39552</v>
      </c>
      <c r="N86" s="873">
        <f ca="1">+SUMIFS(INDIRECT(CONCATENATE("'",$AQ86,$AR86,":",$AS86)),INDIRECT(CONCATENATE("'",$AQ86,$AR$35,":",$AS$35)),N$35)-N87</f>
        <v>-3920.8246600000002</v>
      </c>
      <c r="O86" s="873">
        <f ca="1">+SUMIFS(INDIRECT(CONCATENATE("'",$AQ86,$AR86,":",$AS86)),INDIRECT(CONCATENATE("'",$AQ86,$AR$35,":",$AS$35)),O$35)-O87</f>
        <v>-3876.1679499999991</v>
      </c>
      <c r="P86" s="873">
        <f ca="1">+SUMIFS(INDIRECT(CONCATENATE("'",$AQ86,$AR86,":",$AS86)),INDIRECT(CONCATENATE("'",$AQ86,$AR$35,":",$AS$35)),P$35)-P87</f>
        <v>-3687.1489399999346</v>
      </c>
      <c r="Q86" s="645">
        <f ca="1">+SUM(M86:P86)</f>
        <v>-15443.537069999933</v>
      </c>
      <c r="R86" s="873">
        <f ca="1">+SUMIFS(INDIRECT(CONCATENATE("'",$AQ86,$AR86,":",$AS86)),INDIRECT(CONCATENATE("'",$AQ86,$AR$35,":",$AS$35)),R$35)-R87</f>
        <v>-3726.6724599999948</v>
      </c>
      <c r="S86" s="873">
        <f ca="1">+SUMIFS(INDIRECT(CONCATENATE("'",$AQ86,$AR86,":",$AS86)),INDIRECT(CONCATENATE("'",$AQ86,$AR$35,":",$AS$35)),S$35)-S87</f>
        <v>-3533.704039999996</v>
      </c>
      <c r="T86" s="873">
        <f ca="1">+SUMIFS(INDIRECT(CONCATENATE("'",$AQ86,$AR86,":",$AS86)),INDIRECT(CONCATENATE("'",$AQ86,$AR$35,":",$AS$35)),T$35)-T87</f>
        <v>-3270.7984799999986</v>
      </c>
      <c r="U86" s="873">
        <f ca="1">+SUMIFS(INDIRECT(CONCATENATE("'",$AQ86,$AR86,":",$AS86)),INDIRECT(CONCATENATE("'",$AQ86,$AR$35,":",$AS$35)),U$35)-U87</f>
        <v>-3203.2957599999991</v>
      </c>
      <c r="V86" s="645">
        <f ca="1">+SUM(R86:U86)</f>
        <v>-13734.470739999988</v>
      </c>
      <c r="W86" s="873">
        <f ca="1">+SUMIFS(INDIRECT(CONCATENATE("'",$AQ86,$AR86,":",$AS86)),INDIRECT(CONCATENATE("'",$AQ86,$AR$35,":",$AS$35)),W$35)-W87</f>
        <v>-2543.5521399999943</v>
      </c>
      <c r="X86" s="873">
        <f ca="1">+SUMIFS(INDIRECT(CONCATENATE("'",$AQ86,$AR86,":",$AS86)),INDIRECT(CONCATENATE("'",$AQ86,$AR$35,":",$AS$35)),X$35)-X87</f>
        <v>-3235.7316799999953</v>
      </c>
      <c r="Y86" s="873">
        <f ca="1">+SUMIFS(INDIRECT(CONCATENATE("'",$AQ86,$AR86,":",$AS86)),INDIRECT(CONCATENATE("'",$AQ86,$AR$35,":",$AS$35)),Y$35)-Y87</f>
        <v>-3179.7878699999947</v>
      </c>
      <c r="Z86" s="873">
        <f ca="1">+SUMIFS(INDIRECT(CONCATENATE("'",$AQ86,$AR86,":",$AS86)),INDIRECT(CONCATENATE("'",$AQ86,$AR$35,":",$AS$35)),Z$35)-Z87</f>
        <v>-3346.5489700000007</v>
      </c>
      <c r="AA86" s="645">
        <f ca="1">+SUM(W86:Z86)</f>
        <v>-12305.620659999986</v>
      </c>
      <c r="AB86" s="873">
        <f ca="1">+SUMIFS(INDIRECT(CONCATENATE("'",$AQ86,$AR86,":",$AS86)),INDIRECT(CONCATENATE("'",$AQ86,$AR$35,":",$AS$35)),AB$35)-AB87</f>
        <v>-3489.4372500000072</v>
      </c>
      <c r="AC86" s="873">
        <f ca="1">+SUMIFS(INDIRECT(CONCATENATE("'",$AQ86,$AR86,":",$AS86)),INDIRECT(CONCATENATE("'",$AQ86,$AR$35,":",$AS$35)),AC$35)-AC87</f>
        <v>-3558.22667000001</v>
      </c>
      <c r="AD86" s="873">
        <f ca="1">+SUMIFS(INDIRECT(CONCATENATE("'",$AQ86,$AR86,":",$AS86)),INDIRECT(CONCATENATE("'",$AQ86,$AR$35,":",$AS$35)),AD$35)-AD87</f>
        <v>-3512.3220500000016</v>
      </c>
      <c r="AE86" s="873">
        <f ca="1">+SUMIFS(INDIRECT(CONCATENATE("'",$AQ86,$AR86,":",$AS86)),INDIRECT(CONCATENATE("'",$AQ86,$AR$35,":",$AS$35)),AE$35)-AE87</f>
        <v>-3651.4341799999938</v>
      </c>
      <c r="AF86" s="645">
        <f ca="1">+SUM(AB86:AE86)</f>
        <v>-14211.420150000013</v>
      </c>
      <c r="AG86" s="873">
        <f ca="1">+SUMIFS(INDIRECT(CONCATENATE("'",$AQ86,$AR86,":",$AS86)),INDIRECT(CONCATENATE("'",$AQ86,$AR$35,":",$AS$35)),AG$35)-AG87</f>
        <v>-3991.0161699999981</v>
      </c>
      <c r="AH86" s="873">
        <f ca="1">+SUMIFS(INDIRECT(CONCATENATE("'",$AQ86,$AR86,":",$AS86)),INDIRECT(CONCATENATE("'",$AQ86,$AR$35,":",$AS$35)),AH$35)-AH87</f>
        <v>-3967.8679899999979</v>
      </c>
      <c r="AI86" s="873">
        <f ca="1">+SUMIFS(INDIRECT(CONCATENATE("'",$AQ86,$AR86,":",$AS86)),INDIRECT(CONCATENATE("'",$AQ86,$AR$35,":",$AS$35)),AI$35)-AI87</f>
        <v>-3416.6006800000023</v>
      </c>
      <c r="AJ86" s="873">
        <f ca="1">+SUMIFS(INDIRECT(CONCATENATE("'",$AQ86,$AR86,":",$AS86)),INDIRECT(CONCATENATE("'",$AQ86,$AR$35,":",$AS$35)),AJ$35)-AJ87</f>
        <v>-3431.2899399999951</v>
      </c>
      <c r="AK86" s="645">
        <f ca="1">+SUM(AG86:AJ86)</f>
        <v>-14806.774779999992</v>
      </c>
      <c r="AL86" s="873">
        <f ca="1">+SUMIFS(INDIRECT(CONCATENATE("'",$AQ86,$AR86,":",$AS86)),INDIRECT(CONCATENATE("'",$AQ86,$AR$35,":",$AS$35)),AL$35)-AL87</f>
        <v>-4182.3329899999972</v>
      </c>
      <c r="AM86" s="873">
        <f ca="1">+SUMIFS(INDIRECT(CONCATENATE("'",$AQ86,$AR86,":",$AS86)),INDIRECT(CONCATENATE("'",$AQ86,$AR$35,":",$AS$35)),AM$35)-AM87</f>
        <v>-4126.7560199999989</v>
      </c>
      <c r="AN86" s="873">
        <f ca="1">+SUMIFS(INDIRECT(CONCATENATE("'",$AQ86,$AR86,":",$AS86)),INDIRECT(CONCATENATE("'",$AQ86,$AR$35,":",$AS$35)),AN$35)-AN87</f>
        <v>-4289.6400300000005</v>
      </c>
      <c r="AO86" s="873">
        <f ca="1">+SUMIFS(INDIRECT(CONCATENATE("'",$AQ86,$AR86,":",$AS86)),INDIRECT(CONCATENATE("'",$AQ86,$AR$35,":",$AS$35)),AO$35)-AO87</f>
        <v>-3499.3205999999991</v>
      </c>
      <c r="AP86" s="645">
        <f ca="1">+SUM(AL86:AO86)</f>
        <v>-16098.049639999996</v>
      </c>
      <c r="AQ86" s="268" t="s">
        <v>1077</v>
      </c>
      <c r="AR86" s="268" t="str">
        <f>"$"&amp;ROW(IncSAuto!$B$37)</f>
        <v>$37</v>
      </c>
      <c r="AS86" s="268" t="str">
        <f>"$"&amp;ROW(IncSAuto!$B$37)</f>
        <v>$37</v>
      </c>
      <c r="AT86" s="268" t="s">
        <v>1077</v>
      </c>
      <c r="AU86" s="268" t="s">
        <v>1076</v>
      </c>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row>
    <row r="87" spans="1:79" ht="13.5" customHeight="1" x14ac:dyDescent="0.2">
      <c r="A87" s="914"/>
      <c r="B87" s="874" t="s">
        <v>1070</v>
      </c>
      <c r="C87" s="873">
        <v>0</v>
      </c>
      <c r="D87" s="873">
        <v>0</v>
      </c>
      <c r="E87" s="873">
        <v>0</v>
      </c>
      <c r="F87" s="873">
        <v>0</v>
      </c>
      <c r="G87" s="645" t="s">
        <v>47</v>
      </c>
      <c r="H87" s="873">
        <v>0</v>
      </c>
      <c r="I87" s="873">
        <v>0</v>
      </c>
      <c r="J87" s="873">
        <v>0</v>
      </c>
      <c r="K87" s="873">
        <v>0</v>
      </c>
      <c r="L87" s="645" t="s">
        <v>47</v>
      </c>
      <c r="M87" s="873">
        <f ca="1">SUMIFS(INDIRECT(CONCATENATE("'",$AQ87,$AR87,":",$AS87)),INDIRECT(CONCATENATE("'",$AQ87,$AR$113,":",$AS$113)),M$92)+SUMIFS(INDIRECT(CONCATENATE("'",$AQ87,$AR88,":",$AS88)),INDIRECT(CONCATENATE("'",$AQ87,$AR$113,":",$AS$113)),M$92)</f>
        <v>-4489</v>
      </c>
      <c r="N87" s="873">
        <f ca="1">SUMIFS(INDIRECT(CONCATENATE("'",$AQ87,$AR87,":",$AS87)),INDIRECT(CONCATENATE("'",$AQ87,$AR$113,":",$AS$113)),N$92)+SUMIFS(INDIRECT(CONCATENATE("'",$AQ87,$AR88,":",$AS88)),INDIRECT(CONCATENATE("'",$AQ87,$AR$113,":",$AS$113)),N$92)</f>
        <v>-3680</v>
      </c>
      <c r="O87" s="873">
        <f ca="1">SUMIFS(INDIRECT(CONCATENATE("'",$AQ87,$AR87,":",$AS87)),INDIRECT(CONCATENATE("'",$AQ87,$AR$113,":",$AS$113)),O$92)+SUMIFS(INDIRECT(CONCATENATE("'",$AQ87,$AR88,":",$AS88)),INDIRECT(CONCATENATE("'",$AQ87,$AR$113,":",$AS$113)),O$92)</f>
        <v>-4230.7541600000004</v>
      </c>
      <c r="P87" s="873">
        <f ca="1">SUMIFS(INDIRECT(CONCATENATE("'",$AQ87,$AR87,":",$AS87)),INDIRECT(CONCATENATE("'",$AQ87,$AR$113,":",$AS$113)),P$92)+SUMIFS(INDIRECT(CONCATENATE("'",$AQ87,$AR88,":",$AS88)),INDIRECT(CONCATENATE("'",$AQ87,$AR$113,":",$AS$113)),P$92)</f>
        <v>-4346.2338100000652</v>
      </c>
      <c r="Q87" s="645">
        <f ca="1">+SUM(M87:P87)</f>
        <v>-16745.987970000067</v>
      </c>
      <c r="R87" s="873">
        <f ca="1">SUMIFS(INDIRECT(CONCATENATE("'",$AQ87,$AR87,":",$AS87)),INDIRECT(CONCATENATE("'",$AQ87,$AR$113,":",$AS$113)),R$92)+SUMIFS(INDIRECT(CONCATENATE("'",$AQ87,$AR88,":",$AS88)),INDIRECT(CONCATENATE("'",$AQ87,$AR$113,":",$AS$113)),R$92)</f>
        <v>-4006.8072000000052</v>
      </c>
      <c r="S87" s="873">
        <f ca="1">SUMIFS(INDIRECT(CONCATENATE("'",$AQ87,$AR87,":",$AS87)),INDIRECT(CONCATENATE("'",$AQ87,$AR$113,":",$AS$113)),S$92)+SUMIFS(INDIRECT(CONCATENATE("'",$AQ87,$AR88,":",$AS88)),INDIRECT(CONCATENATE("'",$AQ87,$AR$113,":",$AS$113)),S$92)</f>
        <v>-4259.3547700000036</v>
      </c>
      <c r="T87" s="873">
        <f ca="1">SUMIFS(INDIRECT(CONCATENATE("'",$AQ87,$AR87,":",$AS87)),INDIRECT(CONCATENATE("'",$AQ87,$AR$113,":",$AS$113)),T$92)+SUMIFS(INDIRECT(CONCATENATE("'",$AQ87,$AR88,":",$AS88)),INDIRECT(CONCATENATE("'",$AQ87,$AR$113,":",$AS$113)),T$92)</f>
        <v>-4121.0068000000019</v>
      </c>
      <c r="U87" s="873">
        <f ca="1">SUMIFS(INDIRECT(CONCATENATE("'",$AQ87,$AR87,":",$AS87)),INDIRECT(CONCATENATE("'",$AQ87,$AR$113,":",$AS$113)),U$92)+SUMIFS(INDIRECT(CONCATENATE("'",$AQ87,$AR88,":",$AS88)),INDIRECT(CONCATENATE("'",$AQ87,$AR$113,":",$AS$113)),U$92)</f>
        <v>-4068.5125500000013</v>
      </c>
      <c r="V87" s="645">
        <f ca="1">+SUM(R87:U87)</f>
        <v>-16455.681320000011</v>
      </c>
      <c r="W87" s="873">
        <f ca="1">SUMIFS(INDIRECT(CONCATENATE("'",$AQ87,$AR87,":",$AS87)),INDIRECT(CONCATENATE("'",$AQ87,$AR$113,":",$AS$113)),W$92)+SUMIFS(INDIRECT(CONCATENATE("'",$AQ87,$AR88,":",$AS88)),INDIRECT(CONCATENATE("'",$AQ87,$AR$113,":",$AS$113)),W$92)</f>
        <v>-5679.9586500000059</v>
      </c>
      <c r="X87" s="873">
        <f ca="1">SUMIFS(INDIRECT(CONCATENATE("'",$AQ87,$AR87,":",$AS87)),INDIRECT(CONCATENATE("'",$AQ87,$AR$113,":",$AS$113)),X$92)+SUMIFS(INDIRECT(CONCATENATE("'",$AQ87,$AR88,":",$AS88)),INDIRECT(CONCATENATE("'",$AQ87,$AR$113,":",$AS$113)),X$92)</f>
        <v>-5146.3784100000048</v>
      </c>
      <c r="Y87" s="873">
        <f ca="1">SUMIFS(INDIRECT(CONCATENATE("'",$AQ87,$AR87,":",$AS87)),INDIRECT(CONCATENATE("'",$AQ87,$AR$113,":",$AS$113)),Y$92)+SUMIFS(INDIRECT(CONCATENATE("'",$AQ87,$AR88,":",$AS88)),INDIRECT(CONCATENATE("'",$AQ87,$AR$113,":",$AS$113)),Y$92)</f>
        <v>-4957.5544800000062</v>
      </c>
      <c r="Z87" s="873">
        <f ca="1">SUMIFS(INDIRECT(CONCATENATE("'",$AQ87,$AR87,":",$AS87)),INDIRECT(CONCATENATE("'",$AQ87,$AR$113,":",$AS$113)),Z$92)+SUMIFS(INDIRECT(CONCATENATE("'",$AQ87,$AR88,":",$AS88)),INDIRECT(CONCATENATE("'",$AQ87,$AR$113,":",$AS$113)),Z$92)</f>
        <v>-4823.5264500000003</v>
      </c>
      <c r="AA87" s="645">
        <f ca="1">+SUM(W87:Z87)</f>
        <v>-20607.417990000016</v>
      </c>
      <c r="AB87" s="873">
        <f ca="1">SUMIFS(INDIRECT(CONCATENATE("'",$AQ87,$AR87,":",$AS87)),INDIRECT(CONCATENATE("'",$AQ87,$AR$113,":",$AS$113)),AB$92)+SUMIFS(INDIRECT(CONCATENATE("'",$AQ87,$AR88,":",$AS88)),INDIRECT(CONCATENATE("'",$AQ87,$AR$113,":",$AS$113)),AB$92)</f>
        <v>-5671.5534099999941</v>
      </c>
      <c r="AC87" s="873">
        <f ca="1">SUMIFS(INDIRECT(CONCATENATE("'",$AQ87,$AR87,":",$AS87)),INDIRECT(CONCATENATE("'",$AQ87,$AR$113,":",$AS$113)),AC$92)+SUMIFS(INDIRECT(CONCATENATE("'",$AQ87,$AR88,":",$AS88)),INDIRECT(CONCATENATE("'",$AQ87,$AR$113,":",$AS$113)),AC$92)</f>
        <v>-5759.0405899999923</v>
      </c>
      <c r="AD87" s="873">
        <f ca="1">SUMIFS(INDIRECT(CONCATENATE("'",$AQ87,$AR87,":",$AS87)),INDIRECT(CONCATENATE("'",$AQ87,$AR$113,":",$AS$113)),AD$92)+SUMIFS(INDIRECT(CONCATENATE("'",$AQ87,$AR88,":",$AS88)),INDIRECT(CONCATENATE("'",$AQ87,$AR$113,":",$AS$113)),AD$92)</f>
        <v>-4565.0494599999993</v>
      </c>
      <c r="AE87" s="873">
        <f ca="1">SUMIFS(INDIRECT(CONCATENATE("'",$AQ87,$AR87,":",$AS87)),INDIRECT(CONCATENATE("'",$AQ87,$AR$113,":",$AS$113)),AE$92)+SUMIFS(INDIRECT(CONCATENATE("'",$AQ87,$AR88,":",$AS88)),INDIRECT(CONCATENATE("'",$AQ87,$AR$113,":",$AS$113)),AE$92)</f>
        <v>-5240.7480500000065</v>
      </c>
      <c r="AF87" s="645">
        <f ca="1">+SUM(AB87:AE87)</f>
        <v>-21236.39150999999</v>
      </c>
      <c r="AG87" s="873">
        <f ca="1">SUMIFS(INDIRECT(CONCATENATE("'",$AQ87,$AR87,":",$AS87)),INDIRECT(CONCATENATE("'",$AQ87,$AR$113,":",$AS$113)),AG$92)+SUMIFS(INDIRECT(CONCATENATE("'",$AQ87,$AR88,":",$AS88)),INDIRECT(CONCATENATE("'",$AQ87,$AR$113,":",$AS$113)),AG$92)</f>
        <v>-5200.7011400000019</v>
      </c>
      <c r="AH87" s="873">
        <f ca="1">SUMIFS(INDIRECT(CONCATENATE("'",$AQ87,$AR87,":",$AS87)),INDIRECT(CONCATENATE("'",$AQ87,$AR$113,":",$AS$113)),AH$92)+SUMIFS(INDIRECT(CONCATENATE("'",$AQ87,$AR88,":",$AS88)),INDIRECT(CONCATENATE("'",$AQ87,$AR$113,":",$AS$113)),AH$92)</f>
        <v>-5244.6578900000013</v>
      </c>
      <c r="AI87" s="873">
        <f ca="1">SUMIFS(INDIRECT(CONCATENATE("'",$AQ87,$AR87,":",$AS87)),INDIRECT(CONCATENATE("'",$AQ87,$AR$113,":",$AS$113)),AI$92)+SUMIFS(INDIRECT(CONCATENATE("'",$AQ87,$AR88,":",$AS88)),INDIRECT(CONCATENATE("'",$AQ87,$AR$113,":",$AS$113)),AI$92)</f>
        <v>-6080.8952099999979</v>
      </c>
      <c r="AJ87" s="873">
        <f ca="1">SUMIFS(INDIRECT(CONCATENATE("'",$AQ87,$AR87,":",$AS87)),INDIRECT(CONCATENATE("'",$AQ87,$AR$113,":",$AS$113)),AJ$92)+SUMIFS(INDIRECT(CONCATENATE("'",$AQ87,$AR88,":",$AS88)),INDIRECT(CONCATENATE("'",$AQ87,$AR$113,":",$AS$113)),AJ$92)</f>
        <v>-6534.750340000006</v>
      </c>
      <c r="AK87" s="645">
        <f ca="1">+SUM(AG87:AJ87)</f>
        <v>-23061.004580000008</v>
      </c>
      <c r="AL87" s="873">
        <f ca="1">SUMIFS(INDIRECT(CONCATENATE("'",$AQ87,$AR87,":",$AS87)),INDIRECT(CONCATENATE("'",$AQ87,$AR$113,":",$AS$113)),AL$92)+SUMIFS(INDIRECT(CONCATENATE("'",$AQ87,$AR88,":",$AS88)),INDIRECT(CONCATENATE("'",$AQ87,$AR$113,":",$AS$113)),AL$92)</f>
        <v>-5351.4860000000008</v>
      </c>
      <c r="AM87" s="873">
        <f ca="1">SUMIFS(INDIRECT(CONCATENATE("'",$AQ87,$AR87,":",$AS87)),INDIRECT(CONCATENATE("'",$AQ87,$AR$113,":",$AS$113)),AM$92)+SUMIFS(INDIRECT(CONCATENATE("'",$AQ87,$AR88,":",$AS88)),INDIRECT(CONCATENATE("'",$AQ87,$AR$113,":",$AS$113)),AM$92)</f>
        <v>-5413.1781100000026</v>
      </c>
      <c r="AN87" s="873">
        <f ca="1">SUMIFS(INDIRECT(CONCATENATE("'",$AQ87,$AR87,":",$AS87)),INDIRECT(CONCATENATE("'",$AQ87,$AR$113,":",$AS$113)),AN$92)+SUMIFS(INDIRECT(CONCATENATE("'",$AQ87,$AR88,":",$AS88)),INDIRECT(CONCATENATE("'",$AQ87,$AR$113,":",$AS$113)),AN$92)</f>
        <v>-5122.9498800000001</v>
      </c>
      <c r="AO87" s="873">
        <f ca="1">SUMIFS(INDIRECT(CONCATENATE("'",$AQ87,$AR87,":",$AS87)),INDIRECT(CONCATENATE("'",$AQ87,$AR$113,":",$AS$113)),AO$92)+SUMIFS(INDIRECT(CONCATENATE("'",$AQ87,$AR88,":",$AS88)),INDIRECT(CONCATENATE("'",$AQ87,$AR$113,":",$AS$113)),AO$92)</f>
        <v>-6478.1988800000017</v>
      </c>
      <c r="AP87" s="645">
        <f ca="1">+SUM(AL87:AO87)</f>
        <v>-22365.812870000005</v>
      </c>
      <c r="AQ87" s="268" t="s">
        <v>1066</v>
      </c>
      <c r="AR87" s="268" t="str">
        <f>"$"&amp;ROW(Attachments!$B$8)</f>
        <v>$8</v>
      </c>
      <c r="AS87" s="268" t="str">
        <f>"$"&amp;ROW(Attachments!$B$8)</f>
        <v>$8</v>
      </c>
      <c r="AT87" s="268" t="s">
        <v>1066</v>
      </c>
      <c r="AU87" s="268" t="s">
        <v>1065</v>
      </c>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row>
    <row r="88" spans="1:79" ht="13.5" customHeight="1" x14ac:dyDescent="0.2">
      <c r="A88" s="24"/>
      <c r="B88" s="882" t="s">
        <v>1151</v>
      </c>
      <c r="C88" s="881">
        <f ca="1">+C76+C78+C86+C87+C85</f>
        <v>12547.293040000011</v>
      </c>
      <c r="D88" s="881">
        <f ca="1">+D76+D78+D86+D87+D85</f>
        <v>6798.9239400000151</v>
      </c>
      <c r="E88" s="881">
        <f ca="1">+E76+E78+E86+E87+E85</f>
        <v>31046.916300000026</v>
      </c>
      <c r="F88" s="881">
        <f ca="1">+F76+F78+F86+F87+F85</f>
        <v>56126.051650000038</v>
      </c>
      <c r="G88" s="880">
        <f ca="1">+SUM(C88:F88)</f>
        <v>106519.18493000009</v>
      </c>
      <c r="H88" s="881">
        <f ca="1">+H76+H78+H86+H87+H85</f>
        <v>18801.010540000003</v>
      </c>
      <c r="I88" s="881">
        <f ca="1">+I76+I78+I86+I87+I85</f>
        <v>32056.667939999974</v>
      </c>
      <c r="J88" s="881">
        <f ca="1">+J76+J78+J86+J87+J85</f>
        <v>45324.29633999995</v>
      </c>
      <c r="K88" s="881">
        <f ca="1">+K76+K78+K86+K87+K85</f>
        <v>47633.233090000009</v>
      </c>
      <c r="L88" s="880">
        <f ca="1">+SUM(H88:K88)</f>
        <v>143815.20790999994</v>
      </c>
      <c r="M88" s="881">
        <f ca="1">+M76+M78+M86+M87+M85</f>
        <v>34050.342430000026</v>
      </c>
      <c r="N88" s="881">
        <f ca="1">+N76+N78+N86+N87+N85</f>
        <v>41050.409850000025</v>
      </c>
      <c r="O88" s="881">
        <f ca="1">+O76+O78+O86+O87+O85</f>
        <v>90543.972610000026</v>
      </c>
      <c r="P88" s="881">
        <f ca="1">+P76+P78+P86+P87+P85</f>
        <v>47185.545329999994</v>
      </c>
      <c r="Q88" s="880">
        <f ca="1">+SUM(M88:P88)</f>
        <v>212830.27022000006</v>
      </c>
      <c r="R88" s="881">
        <f ca="1">+R76+R78+R86+R87+R85</f>
        <v>18228.660220000005</v>
      </c>
      <c r="S88" s="881">
        <f ca="1">+S76+S78+S86+S87+S85</f>
        <v>-19447.750720000011</v>
      </c>
      <c r="T88" s="881">
        <f ca="1">+T76+T78+T86+T87+T85</f>
        <v>31400.413580000008</v>
      </c>
      <c r="U88" s="881">
        <f ca="1">+U76+U78+U86+U87+U85</f>
        <v>35973.570420000033</v>
      </c>
      <c r="V88" s="880">
        <f ca="1">+SUM(R88:U88)</f>
        <v>66154.893500000035</v>
      </c>
      <c r="W88" s="881">
        <f ca="1">+W76+W78+W86+W87+W85</f>
        <v>24897.950790000003</v>
      </c>
      <c r="X88" s="881">
        <f ca="1">+X76+X78+X86+X87+X85</f>
        <v>15068.959429999981</v>
      </c>
      <c r="Y88" s="881">
        <f ca="1">+Y76+Y78+Y86+Y87+Y85</f>
        <v>16225.760699999992</v>
      </c>
      <c r="Z88" s="881">
        <f ca="1">+Z76+Z78+Z86+Z87+Z85</f>
        <v>28377.622419999901</v>
      </c>
      <c r="AA88" s="880">
        <f ca="1">+SUM(W88:Z88)</f>
        <v>84570.293339999873</v>
      </c>
      <c r="AB88" s="881">
        <f ca="1">+AB76+AB78+AB86+AB87+AB85</f>
        <v>11903.233889999981</v>
      </c>
      <c r="AC88" s="881">
        <f ca="1">+AC76+AC78+AC86+AC87+AC85</f>
        <v>28477.494269999956</v>
      </c>
      <c r="AD88" s="881">
        <f ca="1">+AD76+AD78+AD86+AD87+AD85</f>
        <v>59231.320249999961</v>
      </c>
      <c r="AE88" s="881">
        <f ca="1">+AE76+AE78+AE86+AE87+AE85</f>
        <v>58029.402119999933</v>
      </c>
      <c r="AF88" s="880">
        <f ca="1">+SUM(AB88:AE88)</f>
        <v>157641.45052999983</v>
      </c>
      <c r="AG88" s="881">
        <f ca="1">+AG76+AG78+AG86+AG87+AG85</f>
        <v>33334.285629999846</v>
      </c>
      <c r="AH88" s="881">
        <f ca="1">+AH76+AH78+AH86+AH87+AH85</f>
        <v>37234.110040000101</v>
      </c>
      <c r="AI88" s="881">
        <f ca="1">+AI76+AI78+AI86+AI87+AI85</f>
        <v>57337.571230000081</v>
      </c>
      <c r="AJ88" s="881">
        <f ca="1">+AJ76+AJ78+AJ86+AJ87+AJ85</f>
        <v>52424.614480000273</v>
      </c>
      <c r="AK88" s="880">
        <f ca="1">+SUM(AG88:AJ88)</f>
        <v>180330.58138000031</v>
      </c>
      <c r="AL88" s="881">
        <f ca="1">+AL76+AL78+AL86+AL87+AL85</f>
        <v>40428.051039999846</v>
      </c>
      <c r="AM88" s="881">
        <f ca="1">+AM76+AM78+AM86+AM87+AM85</f>
        <v>65090.761100000011</v>
      </c>
      <c r="AN88" s="881">
        <f ca="1">+AN76+AN78+AN86+AN87+AN85</f>
        <v>108152.26717000011</v>
      </c>
      <c r="AO88" s="881">
        <f ca="1">+AO76+AO78+AO86+AO87+AO85</f>
        <v>110300.33060999996</v>
      </c>
      <c r="AP88" s="880">
        <f ca="1">+SUM(AL88:AO88)</f>
        <v>323971.40991999989</v>
      </c>
      <c r="AR88" s="268" t="str">
        <f>"$"&amp;ROW(Attachments!$B$9)</f>
        <v>$9</v>
      </c>
      <c r="AS88" s="268" t="str">
        <f>"$"&amp;ROW(Attachments!$B$9)</f>
        <v>$9</v>
      </c>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8"/>
    </row>
    <row r="89" spans="1:79" s="867" customFormat="1" ht="13.5" customHeight="1" x14ac:dyDescent="0.2">
      <c r="A89" s="872"/>
      <c r="B89" s="871" t="s">
        <v>1069</v>
      </c>
      <c r="C89" s="870">
        <f t="shared" ref="C89:X89" ca="1" si="110">ROUND(C88/C70,3)</f>
        <v>7.1999999999999995E-2</v>
      </c>
      <c r="D89" s="870">
        <f t="shared" ca="1" si="110"/>
        <v>3.2000000000000001E-2</v>
      </c>
      <c r="E89" s="870">
        <f t="shared" ca="1" si="110"/>
        <v>0.127</v>
      </c>
      <c r="F89" s="870">
        <f t="shared" ca="1" si="110"/>
        <v>0.20399999999999999</v>
      </c>
      <c r="G89" s="869">
        <f t="shared" ca="1" si="110"/>
        <v>0.11700000000000001</v>
      </c>
      <c r="H89" s="870">
        <f t="shared" ca="1" si="110"/>
        <v>8.5000000000000006E-2</v>
      </c>
      <c r="I89" s="870">
        <f t="shared" ca="1" si="110"/>
        <v>0.125</v>
      </c>
      <c r="J89" s="870">
        <f t="shared" ca="1" si="110"/>
        <v>0.153</v>
      </c>
      <c r="K89" s="870">
        <f t="shared" ca="1" si="110"/>
        <v>0.14799999999999999</v>
      </c>
      <c r="L89" s="869">
        <f t="shared" ca="1" si="110"/>
        <v>0.13100000000000001</v>
      </c>
      <c r="M89" s="870">
        <f t="shared" ca="1" si="110"/>
        <v>0.13200000000000001</v>
      </c>
      <c r="N89" s="870">
        <f t="shared" ca="1" si="110"/>
        <v>0.14000000000000001</v>
      </c>
      <c r="O89" s="870">
        <f t="shared" ca="1" si="110"/>
        <v>0.30199999999999999</v>
      </c>
      <c r="P89" s="870">
        <f t="shared" ca="1" si="110"/>
        <v>0.14000000000000001</v>
      </c>
      <c r="Q89" s="869">
        <f t="shared" ca="1" si="110"/>
        <v>0.17899999999999999</v>
      </c>
      <c r="R89" s="870">
        <f t="shared" ca="1" si="110"/>
        <v>7.5999999999999998E-2</v>
      </c>
      <c r="S89" s="870">
        <f t="shared" ca="1" si="110"/>
        <v>-0.224</v>
      </c>
      <c r="T89" s="870">
        <f t="shared" ca="1" si="110"/>
        <v>0.128</v>
      </c>
      <c r="U89" s="870">
        <f t="shared" ca="1" si="110"/>
        <v>0.13200000000000001</v>
      </c>
      <c r="V89" s="869">
        <f t="shared" ca="1" si="110"/>
        <v>7.8E-2</v>
      </c>
      <c r="W89" s="870">
        <f t="shared" ca="1" si="110"/>
        <v>0.124</v>
      </c>
      <c r="X89" s="870">
        <f t="shared" ca="1" si="110"/>
        <v>7.4999999999999997E-2</v>
      </c>
      <c r="Y89" s="870">
        <f t="shared" ref="Y89:AD89" ca="1" si="111">ROUND(Y88/Y70,3)</f>
        <v>8.4000000000000005E-2</v>
      </c>
      <c r="Z89" s="870">
        <f t="shared" ca="1" si="111"/>
        <v>0.104</v>
      </c>
      <c r="AA89" s="869">
        <f t="shared" ca="1" si="111"/>
        <v>9.7000000000000003E-2</v>
      </c>
      <c r="AB89" s="870">
        <f t="shared" ca="1" si="111"/>
        <v>5.8999999999999997E-2</v>
      </c>
      <c r="AC89" s="870">
        <f t="shared" ca="1" si="111"/>
        <v>0.107</v>
      </c>
      <c r="AD89" s="870">
        <f t="shared" ca="1" si="111"/>
        <v>0.159</v>
      </c>
      <c r="AE89" s="870">
        <f t="shared" ref="AE89:AM89" ca="1" si="112">ROUND(AE88/AE70,3)</f>
        <v>0.156</v>
      </c>
      <c r="AF89" s="869">
        <f t="shared" ca="1" si="112"/>
        <v>0.13</v>
      </c>
      <c r="AG89" s="870">
        <f t="shared" ca="1" si="112"/>
        <v>0.112</v>
      </c>
      <c r="AH89" s="870">
        <f t="shared" ca="1" si="112"/>
        <v>0.113</v>
      </c>
      <c r="AI89" s="870">
        <f t="shared" ca="1" si="112"/>
        <v>0.14899999999999999</v>
      </c>
      <c r="AJ89" s="870">
        <f t="shared" ca="1" si="112"/>
        <v>0.127</v>
      </c>
      <c r="AK89" s="869">
        <f t="shared" ca="1" si="112"/>
        <v>0.126</v>
      </c>
      <c r="AL89" s="870">
        <f t="shared" ca="1" si="112"/>
        <v>0.11600000000000001</v>
      </c>
      <c r="AM89" s="870">
        <f t="shared" ca="1" si="112"/>
        <v>0.152</v>
      </c>
      <c r="AN89" s="870">
        <f t="shared" ref="AN89:AP89" ca="1" si="113">ROUND(AN88/AN70,3)</f>
        <v>0.192</v>
      </c>
      <c r="AO89" s="870">
        <f t="shared" ca="1" si="113"/>
        <v>0.189</v>
      </c>
      <c r="AP89" s="869">
        <f t="shared" ca="1" si="113"/>
        <v>0.16900000000000001</v>
      </c>
      <c r="AQ89" s="868"/>
      <c r="AR89" s="268" t="str">
        <f>"$"&amp;ROW(Attachments!$B$5)</f>
        <v>$5</v>
      </c>
      <c r="AS89" s="268" t="str">
        <f>"$"&amp;ROW(Attachments!$B$5)</f>
        <v>$5</v>
      </c>
      <c r="AT89" s="868"/>
      <c r="AU89" s="868"/>
      <c r="AV89" s="868"/>
      <c r="AY89" s="1041"/>
      <c r="AZ89" s="1041"/>
      <c r="BA89" s="868"/>
      <c r="BB89" s="868"/>
      <c r="BC89" s="868"/>
      <c r="BD89" s="868"/>
      <c r="BE89" s="868"/>
      <c r="BF89" s="868"/>
      <c r="BG89" s="868"/>
      <c r="BH89" s="868"/>
      <c r="BI89" s="868"/>
      <c r="BJ89" s="868"/>
      <c r="BK89" s="868"/>
      <c r="BL89" s="868"/>
      <c r="BM89" s="868"/>
      <c r="BN89" s="868"/>
      <c r="BO89" s="868"/>
      <c r="BP89" s="868"/>
      <c r="BQ89" s="868"/>
      <c r="BR89" s="868"/>
      <c r="BS89" s="868"/>
      <c r="BT89" s="868"/>
      <c r="BU89" s="868"/>
      <c r="BV89" s="868"/>
      <c r="BW89" s="868"/>
      <c r="BX89" s="868"/>
      <c r="BY89" s="868"/>
      <c r="BZ89" s="868"/>
      <c r="CA89" s="868"/>
    </row>
    <row r="90" spans="1:79" ht="13.5" customHeight="1" x14ac:dyDescent="0.2">
      <c r="A90" s="759"/>
      <c r="B90" s="9" t="s">
        <v>1208</v>
      </c>
      <c r="C90" s="855">
        <f ca="1">+SUMIFS(INDIRECT(CONCATENATE("'",$AQ90,$AR90,":",$AS90)),INDIRECT(CONCATENATE("'",$AQ90,$AR$35,":",$AS$35)),C$35)-C88</f>
        <v>0</v>
      </c>
      <c r="D90" s="855">
        <f ca="1">+SUMIFS(INDIRECT(CONCATENATE("'",$AQ90,$AR90,":",$AS90)),INDIRECT(CONCATENATE("'",$AQ90,$AR$35,":",$AS$35)),D$35)-D88</f>
        <v>0</v>
      </c>
      <c r="E90" s="855">
        <f ca="1">+SUMIFS(INDIRECT(CONCATENATE("'",$AQ90,$AR90,":",$AS90)),INDIRECT(CONCATENATE("'",$AQ90,$AR$35,":",$AS$35)),E$35)-E88</f>
        <v>0</v>
      </c>
      <c r="F90" s="855">
        <f ca="1">+SUMIFS(INDIRECT(CONCATENATE("'",$AQ90,$AR90,":",$AS90)),INDIRECT(CONCATENATE("'",$AQ90,$AR$35,":",$AS$35)),F$35)-F88</f>
        <v>0</v>
      </c>
      <c r="H90" s="855">
        <f ca="1">+SUMIFS(INDIRECT(CONCATENATE("'",$AQ90,$AR90,":",$AS90)),INDIRECT(CONCATENATE("'",$AQ90,$AR$35,":",$AS$35)),H$35)-H88</f>
        <v>0</v>
      </c>
      <c r="I90" s="855">
        <f ca="1">+SUMIFS(INDIRECT(CONCATENATE("'",$AQ90,$AR90,":",$AS90)),INDIRECT(CONCATENATE("'",$AQ90,$AR$35,":",$AS$35)),I$35)-I88</f>
        <v>0</v>
      </c>
      <c r="J90" s="855">
        <f ca="1">+SUMIFS(INDIRECT(CONCATENATE("'",$AQ90,$AR90,":",$AS90)),INDIRECT(CONCATENATE("'",$AQ90,$AR$35,":",$AS$35)),J$35)-J88</f>
        <v>0</v>
      </c>
      <c r="K90" s="855">
        <f ca="1">+SUMIFS(INDIRECT(CONCATENATE("'",$AQ90,$AR90,":",$AS90)),INDIRECT(CONCATENATE("'",$AQ90,$AR$35,":",$AS$35)),K$35)-K88</f>
        <v>0</v>
      </c>
      <c r="M90" s="855">
        <f ca="1">+SUMIFS(INDIRECT(CONCATENATE("'",$AQ90,$AR90,":",$AS90)),INDIRECT(CONCATENATE("'",$AQ90,$AR$35,":",$AS$35)),M$35)-M88</f>
        <v>0</v>
      </c>
      <c r="N90" s="855">
        <f ca="1">+SUMIFS(INDIRECT(CONCATENATE("'",$AQ90,$AR90,":",$AS90)),INDIRECT(CONCATENATE("'",$AQ90,$AR$35,":",$AS$35)),N$35)-N88</f>
        <v>0</v>
      </c>
      <c r="O90" s="855">
        <f ca="1">+SUMIFS(INDIRECT(CONCATENATE("'",$AQ90,$AR90,":",$AS90)),INDIRECT(CONCATENATE("'",$AQ90,$AR$35,":",$AS$35)),O$35)-O88</f>
        <v>0</v>
      </c>
      <c r="P90" s="855">
        <f ca="1">+SUMIFS(INDIRECT(CONCATENATE("'",$AQ90,$AR90,":",$AS90)),INDIRECT(CONCATENATE("'",$AQ90,$AR$35,":",$AS$35)),P$35)-P88</f>
        <v>0</v>
      </c>
      <c r="R90" s="855">
        <f ca="1">+SUMIFS(INDIRECT(CONCATENATE("'",$AQ90,$AR90,":",$AS90)),INDIRECT(CONCATENATE("'",$AQ90,$AR$35,":",$AS$35)),R$35)-R88</f>
        <v>0</v>
      </c>
      <c r="S90" s="855">
        <f ca="1">+SUMIFS(INDIRECT(CONCATENATE("'",$AQ90,$AR90,":",$AS90)),INDIRECT(CONCATENATE("'",$AQ90,$AR$35,":",$AS$35)),S$35)-S88</f>
        <v>0</v>
      </c>
      <c r="T90" s="855">
        <f ca="1">+SUMIFS(INDIRECT(CONCATENATE("'",$AQ90,$AR90,":",$AS90)),INDIRECT(CONCATENATE("'",$AQ90,$AR$35,":",$AS$35)),T$35)-T88</f>
        <v>0</v>
      </c>
      <c r="U90" s="855">
        <f ca="1">+SUMIFS(INDIRECT(CONCATENATE("'",$AQ90,$AR90,":",$AS90)),INDIRECT(CONCATENATE("'",$AQ90,$AR$35,":",$AS$35)),U$35)-U88</f>
        <v>0</v>
      </c>
      <c r="W90" s="855">
        <f ca="1">+SUMIFS(INDIRECT(CONCATENATE("'",$AQ90,$AR90,":",$AS90)),INDIRECT(CONCATENATE("'",$AQ90,$AR$35,":",$AS$35)),W$35)-W88</f>
        <v>0</v>
      </c>
      <c r="X90" s="855">
        <f ca="1">+SUMIFS(INDIRECT(CONCATENATE("'",$AQ90,$AR90,":",$AS90)),INDIRECT(CONCATENATE("'",$AQ90,$AR$35,":",$AS$35)),X$35)-X88</f>
        <v>0</v>
      </c>
      <c r="Y90" s="855">
        <f ca="1">+SUMIFS(INDIRECT(CONCATENATE("'",$AQ90,$AR90,":",$AS90)),INDIRECT(CONCATENATE("'",$AQ90,$AR$35,":",$AS$35)),Y$35)-Y88</f>
        <v>0</v>
      </c>
      <c r="Z90" s="855">
        <f ca="1">+SUMIFS(INDIRECT(CONCATENATE("'",$AQ90,$AR90,":",$AS90)),INDIRECT(CONCATENATE("'",$AQ90,$AR$35,":",$AS$35)),Z$35)-Z88</f>
        <v>0</v>
      </c>
      <c r="AB90" s="855">
        <f ca="1">+SUMIFS(INDIRECT(CONCATENATE("'",$AQ90,$AR90,":",$AS90)),INDIRECT(CONCATENATE("'",$AQ90,$AR$35,":",$AS$35)),AB$35)-AB88</f>
        <v>0</v>
      </c>
      <c r="AC90" s="855">
        <f ca="1">+SUMIFS(INDIRECT(CONCATENATE("'",$AQ90,$AR90,":",$AS90)),INDIRECT(CONCATENATE("'",$AQ90,$AR$35,":",$AS$35)),AC$35)-AC88</f>
        <v>0</v>
      </c>
      <c r="AD90" s="855">
        <f ca="1">+SUMIFS(INDIRECT(CONCATENATE("'",$AQ90,$AR90,":",$AS90)),INDIRECT(CONCATENATE("'",$AQ90,$AR$35,":",$AS$35)),AD$35)-AD88</f>
        <v>0</v>
      </c>
      <c r="AE90" s="855">
        <f ca="1">+SUMIFS(INDIRECT(CONCATENATE("'",$AQ90,$AR90,":",$AS90)),INDIRECT(CONCATENATE("'",$AQ90,$AR$35,":",$AS$35)),AE$35)-AE88</f>
        <v>0</v>
      </c>
      <c r="AG90" s="855">
        <f ca="1">+SUMIFS(INDIRECT(CONCATENATE("'",$AQ90,$AR90,":",$AS90)),INDIRECT(CONCATENATE("'",$AQ90,$AR$35,":",$AS$35)),AG$35)-AG88</f>
        <v>0</v>
      </c>
      <c r="AH90" s="855">
        <f ca="1">+SUMIFS(INDIRECT(CONCATENATE("'",$AQ90,$AR90,":",$AS90)),INDIRECT(CONCATENATE("'",$AQ90,$AR$35,":",$AS$35)),AH$35)-AH88</f>
        <v>0</v>
      </c>
      <c r="AI90" s="855">
        <f ca="1">+SUMIFS(INDIRECT(CONCATENATE("'",$AQ90,$AR90,":",$AS90)),INDIRECT(CONCATENATE("'",$AQ90,$AR$35,":",$AS$35)),AI$35)-AI88</f>
        <v>0</v>
      </c>
      <c r="AJ90" s="855">
        <f ca="1">+SUMIFS(INDIRECT(CONCATENATE("'",$AQ90,$AR90,":",$AS90)),INDIRECT(CONCATENATE("'",$AQ90,$AR$35,":",$AS$35)),AJ$35)-AJ88</f>
        <v>0</v>
      </c>
      <c r="AL90" s="855">
        <f ca="1">+SUMIFS(INDIRECT(CONCATENATE("'",$AQ90,$AR90,":",$AS90)),INDIRECT(CONCATENATE("'",$AQ90,$AR$35,":",$AS$35)),AL$35)-AL88</f>
        <v>0</v>
      </c>
      <c r="AM90" s="855">
        <f ca="1">+SUMIFS(INDIRECT(CONCATENATE("'",$AQ90,$AR90,":",$AS90)),INDIRECT(CONCATENATE("'",$AQ90,$AR$35,":",$AS$35)),AM$35)-AM88</f>
        <v>0</v>
      </c>
      <c r="AN90" s="855">
        <f ca="1">+SUMIFS(INDIRECT(CONCATENATE("'",$AQ90,$AR90,":",$AS90)),INDIRECT(CONCATENATE("'",$AQ90,$AR$35,":",$AS$35)),AN$35)-AN88</f>
        <v>0</v>
      </c>
      <c r="AO90" s="855">
        <f ca="1">+SUMIFS(INDIRECT(CONCATENATE("'",$AQ90,$AR90,":",$AS90)),INDIRECT(CONCATENATE("'",$AQ90,$AR$35,":",$AS$35)),AO$35)-AO88</f>
        <v>0</v>
      </c>
      <c r="AQ90" s="268" t="s">
        <v>1077</v>
      </c>
      <c r="AR90" s="268" t="str">
        <f>"$"&amp;ROW(IncSAuto!$B$40)</f>
        <v>$40</v>
      </c>
      <c r="AS90" s="268" t="str">
        <f>"$"&amp;ROW(IncSAuto!$B$40)</f>
        <v>$40</v>
      </c>
      <c r="AT90" s="268" t="s">
        <v>1077</v>
      </c>
      <c r="AU90" s="268" t="s">
        <v>1076</v>
      </c>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row>
    <row r="91" spans="1:79" ht="12.75" x14ac:dyDescent="0.2">
      <c r="B91" s="1154" t="s">
        <v>766</v>
      </c>
      <c r="C91" s="38"/>
      <c r="D91" s="38"/>
      <c r="E91" s="38"/>
      <c r="F91" s="38"/>
      <c r="G91" s="38"/>
      <c r="H91" s="38"/>
      <c r="I91" s="38"/>
      <c r="J91" s="38"/>
      <c r="K91" s="38"/>
      <c r="L91" s="38"/>
      <c r="M91" s="38"/>
      <c r="N91" s="38"/>
      <c r="O91" s="38"/>
      <c r="AC91" s="276"/>
      <c r="AV91" s="1194"/>
      <c r="AW91" s="276"/>
      <c r="AX91" s="276"/>
      <c r="AY91" s="276"/>
      <c r="AZ91" s="276"/>
      <c r="BA91" s="276"/>
      <c r="BB91" s="276"/>
      <c r="BC91" s="276"/>
      <c r="BD91" s="276"/>
    </row>
    <row r="92" spans="1:79" ht="13.5" customHeight="1" x14ac:dyDescent="0.2">
      <c r="B92" s="884" t="s">
        <v>1075</v>
      </c>
      <c r="C92" s="883" t="str">
        <f t="shared" ref="C92:AH92" si="114">C5</f>
        <v>1Q17</v>
      </c>
      <c r="D92" s="883" t="str">
        <f t="shared" si="114"/>
        <v>2Q17</v>
      </c>
      <c r="E92" s="883" t="str">
        <f t="shared" si="114"/>
        <v>3Q17</v>
      </c>
      <c r="F92" s="883" t="str">
        <f t="shared" si="114"/>
        <v>4Q17</v>
      </c>
      <c r="G92" s="883" t="str">
        <f t="shared" si="114"/>
        <v>2017</v>
      </c>
      <c r="H92" s="883" t="str">
        <f t="shared" si="114"/>
        <v>1Q18</v>
      </c>
      <c r="I92" s="883" t="str">
        <f t="shared" si="114"/>
        <v>2Q18</v>
      </c>
      <c r="J92" s="883" t="str">
        <f t="shared" si="114"/>
        <v>3Q18</v>
      </c>
      <c r="K92" s="883" t="str">
        <f t="shared" si="114"/>
        <v>4Q18</v>
      </c>
      <c r="L92" s="883" t="str">
        <f t="shared" si="114"/>
        <v>2018</v>
      </c>
      <c r="M92" s="883" t="str">
        <f t="shared" si="114"/>
        <v>1Q19</v>
      </c>
      <c r="N92" s="883" t="str">
        <f t="shared" si="114"/>
        <v>2Q19</v>
      </c>
      <c r="O92" s="883" t="str">
        <f t="shared" si="114"/>
        <v>3Q19</v>
      </c>
      <c r="P92" s="883" t="str">
        <f t="shared" si="114"/>
        <v>4Q19</v>
      </c>
      <c r="Q92" s="883" t="str">
        <f t="shared" si="114"/>
        <v>2019</v>
      </c>
      <c r="R92" s="883" t="str">
        <f t="shared" si="114"/>
        <v>1Q20</v>
      </c>
      <c r="S92" s="883" t="str">
        <f t="shared" si="114"/>
        <v>2Q20</v>
      </c>
      <c r="T92" s="883" t="str">
        <f t="shared" si="114"/>
        <v>3Q20</v>
      </c>
      <c r="U92" s="883" t="str">
        <f t="shared" si="114"/>
        <v>4Q20</v>
      </c>
      <c r="V92" s="883" t="str">
        <f t="shared" si="114"/>
        <v>2020</v>
      </c>
      <c r="W92" s="883" t="str">
        <f t="shared" si="114"/>
        <v>1Q21</v>
      </c>
      <c r="X92" s="883" t="str">
        <f t="shared" si="114"/>
        <v>2Q21</v>
      </c>
      <c r="Y92" s="883" t="str">
        <f t="shared" si="114"/>
        <v>3Q21</v>
      </c>
      <c r="Z92" s="883" t="str">
        <f t="shared" si="114"/>
        <v>4Q21</v>
      </c>
      <c r="AA92" s="883" t="str">
        <f t="shared" si="114"/>
        <v>2021</v>
      </c>
      <c r="AB92" s="883" t="str">
        <f t="shared" si="114"/>
        <v>1Q22</v>
      </c>
      <c r="AC92" s="883" t="str">
        <f t="shared" si="114"/>
        <v>2Q22</v>
      </c>
      <c r="AD92" s="883" t="str">
        <f t="shared" si="114"/>
        <v>3Q22</v>
      </c>
      <c r="AE92" s="883" t="str">
        <f t="shared" si="114"/>
        <v>4Q22</v>
      </c>
      <c r="AF92" s="883" t="str">
        <f t="shared" si="114"/>
        <v>2022</v>
      </c>
      <c r="AG92" s="883" t="str">
        <f t="shared" si="114"/>
        <v>1Q23</v>
      </c>
      <c r="AH92" s="883" t="str">
        <f t="shared" si="114"/>
        <v>2Q23</v>
      </c>
      <c r="AI92" s="883" t="str">
        <f t="shared" ref="AI92:AN92" si="115">AI5</f>
        <v>3Q23</v>
      </c>
      <c r="AJ92" s="883" t="str">
        <f t="shared" si="115"/>
        <v>4Q23</v>
      </c>
      <c r="AK92" s="883" t="str">
        <f t="shared" si="115"/>
        <v>2023</v>
      </c>
      <c r="AL92" s="883" t="str">
        <f t="shared" si="115"/>
        <v>1Q24</v>
      </c>
      <c r="AM92" s="883" t="str">
        <f t="shared" si="115"/>
        <v>2Q24</v>
      </c>
      <c r="AN92" s="883" t="str">
        <f t="shared" si="115"/>
        <v>3Q24</v>
      </c>
      <c r="AO92" s="883" t="str">
        <f t="shared" ref="AO92:AP92" si="116">AO5</f>
        <v>4Q24</v>
      </c>
      <c r="AP92" s="883" t="str">
        <f t="shared" si="116"/>
        <v>2024</v>
      </c>
      <c r="AR92" s="268" t="str">
        <f>"$"&amp;ROW(IncSIntLog!$B$5)</f>
        <v>$5</v>
      </c>
      <c r="AS92" s="268" t="str">
        <f>"$"&amp;ROW(IncSIntLog!$B$5)</f>
        <v>$5</v>
      </c>
      <c r="AT92" s="268" t="s">
        <v>1072</v>
      </c>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row>
    <row r="93" spans="1:79" ht="13.5" customHeight="1" x14ac:dyDescent="0.2">
      <c r="B93" s="874" t="s">
        <v>267</v>
      </c>
      <c r="C93" s="873">
        <f ca="1">+SUMIFS(INDIRECT(CONCATENATE("'",$AQ93,$AR93,":",$AS93)),INDIRECT(CONCATENATE("'",$AQ93,$AR$92,":",$AS$92)),C$92)</f>
        <v>14711.21329</v>
      </c>
      <c r="D93" s="873">
        <f ca="1">+SUMIFS(INDIRECT(CONCATENATE("'",$AQ93,$AR93,":",$AS93)),INDIRECT(CONCATENATE("'",$AQ93,$AR$92,":",$AS$92)),D$92)</f>
        <v>15228.65266</v>
      </c>
      <c r="E93" s="873">
        <f ca="1">+SUMIFS(INDIRECT(CONCATENATE("'",$AQ93,$AR93,":",$AS93)),INDIRECT(CONCATENATE("'",$AQ93,$AR$92,":",$AS$92)),E$92)</f>
        <v>15248.51109</v>
      </c>
      <c r="F93" s="873">
        <f ca="1">+SUMIFS(INDIRECT(CONCATENATE("'",$AQ93,$AR93,":",$AS93)),INDIRECT(CONCATENATE("'",$AQ93,$AR$92,":",$AS$92)),F$92)</f>
        <v>18348.92193</v>
      </c>
      <c r="G93" s="645">
        <f ca="1">SUM(C93:F93)</f>
        <v>63537.298970000003</v>
      </c>
      <c r="H93" s="873">
        <f ca="1">+SUMIFS(INDIRECT(CONCATENATE("'",$AQ93,$AR93,":",$AS93)),INDIRECT(CONCATENATE("'",$AQ93,$AR$92,":",$AS$92)),H$92)</f>
        <v>13420.595569999999</v>
      </c>
      <c r="I93" s="873">
        <f ca="1">+SUMIFS(INDIRECT(CONCATENATE("'",$AQ93,$AR93,":",$AS93)),INDIRECT(CONCATENATE("'",$AQ93,$AR$92,":",$AS$92)),I$92)</f>
        <v>11588.4</v>
      </c>
      <c r="J93" s="873">
        <f ca="1">+SUMIFS(INDIRECT(CONCATENATE("'",$AQ93,$AR93,":",$AS93)),INDIRECT(CONCATENATE("'",$AQ93,$AR$92,":",$AS$92)),J$92)</f>
        <v>10761.402389999999</v>
      </c>
      <c r="K93" s="873">
        <f ca="1">+SUMIFS(INDIRECT(CONCATENATE("'",$AQ93,$AR93,":",$AS93)),INDIRECT(CONCATENATE("'",$AQ93,$AR$92,":",$AS$92)),K$92)</f>
        <v>12177.346869999994</v>
      </c>
      <c r="L93" s="645">
        <f ca="1">+SUM(H93:K93)</f>
        <v>47947.744829999996</v>
      </c>
      <c r="M93" s="873">
        <f ca="1">+SUMIFS(INDIRECT(CONCATENATE("'",$AQ93,$AR93,":",$AS93)),INDIRECT(CONCATENATE("'",$AQ93,$AR$92,":",$AS$92)),M$92)</f>
        <v>8489.4</v>
      </c>
      <c r="N93" s="873">
        <f ca="1">+SUMIFS(INDIRECT(CONCATENATE("'",$AQ93,$AR93,":",$AS93)),INDIRECT(CONCATENATE("'",$AQ93,$AR$92,":",$AS$92)),N$92)</f>
        <v>8685.1920200000004</v>
      </c>
      <c r="O93" s="873">
        <f ca="1">+SUMIFS(INDIRECT(CONCATENATE("'",$AQ93,$AR93,":",$AS93)),INDIRECT(CONCATENATE("'",$AQ93,$AR$92,":",$AS$92)),O$92)</f>
        <v>8764.0848000000005</v>
      </c>
      <c r="P93" s="873">
        <f ca="1">+SUMIFS(INDIRECT(CONCATENATE("'",$AQ93,$AR93,":",$AS93)),INDIRECT(CONCATENATE("'",$AQ93,$AR$92,":",$AS$92)),P$92)</f>
        <v>10631.25776</v>
      </c>
      <c r="Q93" s="645">
        <f ca="1">+SUM(M93:P93)</f>
        <v>36569.934580000001</v>
      </c>
      <c r="R93" s="873">
        <f ca="1">+SUMIFS(INDIRECT(CONCATENATE("'",$AQ$93,$AR93,":",$AS93)),INDIRECT(CONCATENATE("'",$AQ93,$AR$92,":",$AS$92)),R$92)</f>
        <v>8671.6252599999989</v>
      </c>
      <c r="S93" s="873">
        <f ca="1">+SUMIFS(INDIRECT(CONCATENATE("'",$AQ$93,$AR93,":",$AS93)),INDIRECT(CONCATENATE("'",$AQ93,$AR$92,":",$AS$92)),S$92)</f>
        <v>11829.77543</v>
      </c>
      <c r="T93" s="873">
        <f ca="1">+SUMIFS(INDIRECT(CONCATENATE("'",$AQ$93,$AR93,":",$AS93)),INDIRECT(CONCATENATE("'",$AQ93,$AR$92,":",$AS$92)),T$92)</f>
        <v>9323.1470300000019</v>
      </c>
      <c r="U93" s="873">
        <f ca="1">+SUMIFS(INDIRECT(CONCATENATE("'",$AQ$93,$AR93,":",$AS93)),INDIRECT(CONCATENATE("'",$AQ93,$AR$92,":",$AS$92)),U$92)</f>
        <v>5179.5571500000005</v>
      </c>
      <c r="V93" s="645">
        <f ca="1">+SUM(R93:U93)</f>
        <v>35004.104870000003</v>
      </c>
      <c r="W93" s="873">
        <f ca="1">+SUMIFS(INDIRECT(CONCATENATE("'",$AQ$93,$AR93,":",$AS93)),INDIRECT(CONCATENATE("'",$AQ93,$AR$92,":",$AS$92)),W$92)</f>
        <v>1367.5780099999999</v>
      </c>
      <c r="X93" s="873">
        <f ca="1">+SUMIFS(INDIRECT(CONCATENATE("'",$AQ$93,$AR93,":",$AS93)),INDIRECT(CONCATENATE("'",$AQ93,$AR$92,":",$AS$92)),X$92)</f>
        <v>431.86840000000001</v>
      </c>
      <c r="Y93" s="873">
        <f ca="1">+SUMIFS(INDIRECT(CONCATENATE("'",$AQ$93,$AR93,":",$AS93)),INDIRECT(CONCATENATE("'",$AQ93,$AR$92,":",$AS$92)),Y$92)</f>
        <v>420.28199999999998</v>
      </c>
      <c r="Z93" s="873">
        <f ca="1">+SUMIFS(INDIRECT(CONCATENATE("'",$AQ$93,$AR93,":",$AS93)),INDIRECT(CONCATENATE("'",$AQ93,$AR$92,":",$AS$92)),Z$92)</f>
        <v>638.75400000000002</v>
      </c>
      <c r="AA93" s="645">
        <f ca="1">+SUM(W93:Z93)</f>
        <v>2858.4824100000001</v>
      </c>
      <c r="AB93" s="873">
        <f ca="1">+SUMIFS(INDIRECT(CONCATENATE("'",$AQ$93,$AR93,":",$AS93)),INDIRECT(CONCATENATE("'",$AQ93,$AR$92,":",$AS$92)),AB$92)</f>
        <v>931.00256000000002</v>
      </c>
      <c r="AC93" s="873">
        <f ca="1">+SUMIFS(INDIRECT(CONCATENATE("'",$AQ$93,$AR93,":",$AS93)),INDIRECT(CONCATENATE("'",$AQ93,$AR$92,":",$AS$92)),AC$92)</f>
        <v>946.8376200000057</v>
      </c>
      <c r="AD93" s="873">
        <f ca="1">+SUMIFS(INDIRECT(CONCATENATE("'",$AQ$93,$AR93,":",$AS93)),INDIRECT(CONCATENATE("'",$AQ93,$AR$92,":",$AS$92)),AD$92)</f>
        <v>1066.48</v>
      </c>
      <c r="AE93" s="873">
        <f ca="1">+SUMIFS(INDIRECT(CONCATENATE("'",$AQ$93,$AR93,":",$AS93)),INDIRECT(CONCATENATE("'",$AQ93,$AR$92,":",$AS$92)),AE$92)</f>
        <v>1579.9119099999998</v>
      </c>
      <c r="AF93" s="645">
        <f ca="1">+SUM(AB93:AE93)</f>
        <v>4524.232090000005</v>
      </c>
      <c r="AG93" s="873">
        <f ca="1">+SUMIFS(INDIRECT(CONCATENATE("'",$AQ$93,$AR93,":",$AS93)),INDIRECT(CONCATENATE("'",$AQ93,$AR$92,":",$AS$92)),AG$92)</f>
        <v>1308</v>
      </c>
      <c r="AH93" s="873">
        <f ca="1">+SUMIFS(INDIRECT(CONCATENATE("'",$AQ$93,$AR93,":",$AS93)),INDIRECT(CONCATENATE("'",$AQ93,$AR$92,":",$AS$92)),AH$92)</f>
        <v>1469.99</v>
      </c>
      <c r="AI93" s="873">
        <f ca="1">+SUMIFS(INDIRECT(CONCATENATE("'",$AQ$93,$AR93,":",$AS93)),INDIRECT(CONCATENATE("'",$AQ93,$AR$92,":",$AS$92)),AI$92)</f>
        <v>1493.4783099999986</v>
      </c>
      <c r="AJ93" s="873">
        <f ca="1">+SUMIFS(INDIRECT(CONCATENATE("'",$AQ$93,$AR93,":",$AS93)),INDIRECT(CONCATENATE("'",$AQ93,$AR$92,":",$AS$92)),AJ$92)</f>
        <v>1226.0999999999999</v>
      </c>
      <c r="AK93" s="645">
        <f ca="1">+SUM(AG93:AJ93)</f>
        <v>5497.5683099999987</v>
      </c>
      <c r="AL93" s="873">
        <f ca="1">+SUMIFS(INDIRECT(CONCATENATE("'",$AQ$93,$AR93,":",$AS93)),INDIRECT(CONCATENATE("'",$AQ93,$AR$92,":",$AS$92)),AL$92)</f>
        <v>872.82729000000108</v>
      </c>
      <c r="AM93" s="873">
        <f ca="1">+SUMIFS(INDIRECT(CONCATENATE("'",$AQ$93,$AR93,":",$AS93)),INDIRECT(CONCATENATE("'",$AQ93,$AR$92,":",$AS$92)),AM$92)</f>
        <v>0</v>
      </c>
      <c r="AN93" s="873">
        <f ca="1">+SUMIFS(INDIRECT(CONCATENATE("'",$AQ$93,$AR93,":",$AS93)),INDIRECT(CONCATENATE("'",$AQ93,$AR$92,":",$AS$92)),AN$92)</f>
        <v>0</v>
      </c>
      <c r="AO93" s="873">
        <f ca="1">+SUMIFS(INDIRECT(CONCATENATE("'",$AQ$93,$AR93,":",$AS93)),INDIRECT(CONCATENATE("'",$AQ93,$AR$92,":",$AS$92)),AO$92)</f>
        <v>0</v>
      </c>
      <c r="AP93" s="645">
        <f ca="1">+SUM(AL93:AO93)</f>
        <v>872.82729000000108</v>
      </c>
      <c r="AQ93" s="268" t="s">
        <v>1072</v>
      </c>
      <c r="AR93" s="268" t="str">
        <f>"$"&amp;ROW(IncSIntLog!$B$6)</f>
        <v>$6</v>
      </c>
      <c r="AS93" s="268" t="str">
        <f>"$"&amp;ROW(IncSIntLog!$B$6)</f>
        <v>$6</v>
      </c>
      <c r="AT93" s="268" t="s">
        <v>1072</v>
      </c>
      <c r="AU93" s="268" t="s">
        <v>1071</v>
      </c>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row>
    <row r="94" spans="1:79" s="867" customFormat="1" ht="13.5" customHeight="1" x14ac:dyDescent="0.2">
      <c r="A94" s="872"/>
      <c r="B94" s="877" t="s">
        <v>1035</v>
      </c>
      <c r="C94" s="891">
        <v>0.02</v>
      </c>
      <c r="D94" s="891">
        <v>0.02</v>
      </c>
      <c r="E94" s="891">
        <v>0.02</v>
      </c>
      <c r="F94" s="891">
        <v>0.02</v>
      </c>
      <c r="G94" s="915" t="s">
        <v>47</v>
      </c>
      <c r="H94" s="891">
        <v>0.02</v>
      </c>
      <c r="I94" s="891">
        <v>0.02</v>
      </c>
      <c r="J94" s="891">
        <v>0.02</v>
      </c>
      <c r="K94" s="891">
        <v>0.02</v>
      </c>
      <c r="L94" s="878">
        <f ca="1">+L93/G93-1</f>
        <v>-0.24536066834318571</v>
      </c>
      <c r="M94" s="891">
        <v>0.02</v>
      </c>
      <c r="N94" s="891">
        <v>0.02</v>
      </c>
      <c r="O94" s="891">
        <v>0.02</v>
      </c>
      <c r="P94" s="891">
        <v>0.02</v>
      </c>
      <c r="Q94" s="878">
        <f ca="1">+Q93/L93-1</f>
        <v>-0.23729604573354435</v>
      </c>
      <c r="R94" s="891">
        <v>0.02</v>
      </c>
      <c r="S94" s="891">
        <v>0.02</v>
      </c>
      <c r="T94" s="891">
        <v>0.02</v>
      </c>
      <c r="U94" s="891">
        <v>1.02</v>
      </c>
      <c r="V94" s="878">
        <f ca="1">+V93/Q93-1</f>
        <v>-4.2817405280685006E-2</v>
      </c>
      <c r="W94" s="891">
        <v>1.02</v>
      </c>
      <c r="X94" s="891">
        <v>1.02</v>
      </c>
      <c r="Y94" s="891">
        <v>1.02</v>
      </c>
      <c r="Z94" s="891">
        <v>2.02</v>
      </c>
      <c r="AA94" s="878">
        <f ca="1">+AA93/V93-1</f>
        <v>-0.91833865140628579</v>
      </c>
      <c r="AB94" s="891">
        <v>1.02</v>
      </c>
      <c r="AC94" s="891">
        <v>1.02</v>
      </c>
      <c r="AD94" s="891">
        <v>1.02</v>
      </c>
      <c r="AE94" s="891">
        <v>2.02</v>
      </c>
      <c r="AF94" s="878">
        <f ca="1">+AF93/AA93-1</f>
        <v>0.58273917452582991</v>
      </c>
      <c r="AG94" s="891">
        <v>2.02</v>
      </c>
      <c r="AH94" s="891">
        <v>2.02</v>
      </c>
      <c r="AI94" s="891">
        <v>2.02</v>
      </c>
      <c r="AJ94" s="891">
        <v>2.02</v>
      </c>
      <c r="AK94" s="878">
        <f ca="1">+AK93/AF93-1</f>
        <v>0.21513843689659007</v>
      </c>
      <c r="AL94" s="891">
        <v>2.02</v>
      </c>
      <c r="AM94" s="891">
        <v>2.02</v>
      </c>
      <c r="AN94" s="891">
        <v>2.02</v>
      </c>
      <c r="AO94" s="891">
        <v>2.02</v>
      </c>
      <c r="AP94" s="878">
        <f ca="1">+AP93/AK93-1</f>
        <v>-0.84123393457206519</v>
      </c>
      <c r="AQ94" s="868"/>
      <c r="AR94" s="868"/>
      <c r="AS94" s="868"/>
      <c r="AT94" s="868"/>
      <c r="AU94" s="868"/>
      <c r="AV94" s="868"/>
      <c r="AY94" s="1041"/>
      <c r="AZ94" s="1041"/>
      <c r="BA94" s="868"/>
      <c r="BB94" s="868"/>
      <c r="BC94" s="868"/>
      <c r="BD94" s="868"/>
      <c r="BE94" s="868"/>
      <c r="BF94" s="868"/>
      <c r="BG94" s="868"/>
      <c r="BH94" s="868"/>
      <c r="BI94" s="868"/>
      <c r="BJ94" s="868"/>
      <c r="BK94" s="868"/>
      <c r="BL94" s="868"/>
      <c r="BM94" s="868"/>
      <c r="BN94" s="868"/>
      <c r="BO94" s="868"/>
      <c r="BP94" s="868"/>
      <c r="BQ94" s="868"/>
      <c r="BR94" s="868"/>
      <c r="BS94" s="868"/>
      <c r="BT94" s="868"/>
      <c r="BU94" s="868"/>
      <c r="BV94" s="868"/>
      <c r="BW94" s="868"/>
      <c r="BX94" s="868"/>
      <c r="BY94" s="868"/>
      <c r="BZ94" s="868"/>
      <c r="CA94" s="868"/>
    </row>
    <row r="95" spans="1:79" ht="13.5" customHeight="1" x14ac:dyDescent="0.2">
      <c r="B95" s="874" t="s">
        <v>268</v>
      </c>
      <c r="C95" s="873">
        <f ca="1">+SUMIFS(INDIRECT(CONCATENATE("'",$AQ95,$AR95,":",$AS95)),INDIRECT(CONCATENATE("'",$AQ95,$AR$92,":",$AS$92)),C$92)</f>
        <v>34006.128879999997</v>
      </c>
      <c r="D95" s="873">
        <f ca="1">+SUMIFS(INDIRECT(CONCATENATE("'",$AQ95,$AR95,":",$AS95)),INDIRECT(CONCATENATE("'",$AQ95,$AR$92,":",$AS$92)),D$92)</f>
        <v>32821.211210000001</v>
      </c>
      <c r="E95" s="873">
        <f ca="1">+SUMIFS(INDIRECT(CONCATENATE("'",$AQ95,$AR95,":",$AS95)),INDIRECT(CONCATENATE("'",$AQ95,$AR$92,":",$AS$92)),E$92)</f>
        <v>35196.763349999994</v>
      </c>
      <c r="F95" s="873">
        <f ca="1">+SUMIFS(INDIRECT(CONCATENATE("'",$AQ95,$AR95,":",$AS95)),INDIRECT(CONCATENATE("'",$AQ95,$AR$92,":",$AS$92)),F$92)</f>
        <v>35738.6976</v>
      </c>
      <c r="G95" s="645">
        <f ca="1">SUM(C95:F95)</f>
        <v>137762.80103999999</v>
      </c>
      <c r="H95" s="873">
        <f ca="1">+SUMIFS(INDIRECT(CONCATENATE("'",$AQ95,$AR95,":",$AS95)),INDIRECT(CONCATENATE("'",$AQ95,$AR$92,":",$AS$92)),H$92)</f>
        <v>34371.302250000008</v>
      </c>
      <c r="I95" s="873">
        <f ca="1">+SUMIFS(INDIRECT(CONCATENATE("'",$AQ95,$AR95,":",$AS95)),INDIRECT(CONCATENATE("'",$AQ95,$AR$92,":",$AS$92)),I$92)</f>
        <v>33530.382989999991</v>
      </c>
      <c r="J95" s="873">
        <f ca="1">+SUMIFS(INDIRECT(CONCATENATE("'",$AQ95,$AR95,":",$AS95)),INDIRECT(CONCATENATE("'",$AQ95,$AR$92,":",$AS$92)),J$92)</f>
        <v>39294.710639999998</v>
      </c>
      <c r="K95" s="873">
        <f ca="1">+SUMIFS(INDIRECT(CONCATENATE("'",$AQ95,$AR95,":",$AS95)),INDIRECT(CONCATENATE("'",$AQ95,$AR$92,":",$AS$92)),K$92)</f>
        <v>35764.443149999999</v>
      </c>
      <c r="L95" s="645">
        <f ca="1">+SUM(H95:K95)</f>
        <v>142960.83903</v>
      </c>
      <c r="M95" s="873">
        <f ca="1">+SUMIFS(INDIRECT(CONCATENATE("'",$AQ95,$AR95,":",$AS95)),INDIRECT(CONCATENATE("'",$AQ95,$AR$92,":",$AS$92)),M$92)</f>
        <v>37086.800000000003</v>
      </c>
      <c r="N95" s="873">
        <f ca="1">+SUMIFS(INDIRECT(CONCATENATE("'",$AQ95,$AR95,":",$AS95)),INDIRECT(CONCATENATE("'",$AQ95,$AR$92,":",$AS$92)),N$92)</f>
        <v>36792.112699999998</v>
      </c>
      <c r="O95" s="873">
        <f ca="1">+SUMIFS(INDIRECT(CONCATENATE("'",$AQ95,$AR95,":",$AS95)),INDIRECT(CONCATENATE("'",$AQ95,$AR$92,":",$AS$92)),O$92)</f>
        <v>40679.987550000005</v>
      </c>
      <c r="P95" s="873">
        <f ca="1">+SUMIFS(INDIRECT(CONCATENATE("'",$AQ95,$AR95,":",$AS95)),INDIRECT(CONCATENATE("'",$AQ95,$AR$92,":",$AS$92)),P$92)</f>
        <v>38374.866529999999</v>
      </c>
      <c r="Q95" s="645">
        <f ca="1">+SUM(M95:P95)</f>
        <v>152933.76678000001</v>
      </c>
      <c r="R95" s="873">
        <f ca="1">+SUMIFS(INDIRECT(CONCATENATE("'",$AQ$93,$AR95,":",$AS95)),INDIRECT(CONCATENATE("'",$AQ95,$AR$92,":",$AS$92)),R$92)</f>
        <v>38126.811840000002</v>
      </c>
      <c r="S95" s="873">
        <f ca="1">+SUMIFS(INDIRECT(CONCATENATE("'",$AQ$93,$AR95,":",$AS95)),INDIRECT(CONCATENATE("'",$AQ95,$AR$92,":",$AS$92)),S$92)</f>
        <v>39810.467429999997</v>
      </c>
      <c r="T95" s="873">
        <f ca="1">+SUMIFS(INDIRECT(CONCATENATE("'",$AQ$93,$AR95,":",$AS95)),INDIRECT(CONCATENATE("'",$AQ95,$AR$92,":",$AS$92)),T$92)</f>
        <v>43491.398690000002</v>
      </c>
      <c r="U95" s="873">
        <f ca="1">+SUMIFS(INDIRECT(CONCATENATE("'",$AQ$93,$AR95,":",$AS95)),INDIRECT(CONCATENATE("'",$AQ95,$AR$92,":",$AS$92)),U$92)</f>
        <v>43978.259429999998</v>
      </c>
      <c r="V95" s="645">
        <f ca="1">+SUM(R95:U95)</f>
        <v>165406.93739000001</v>
      </c>
      <c r="W95" s="873">
        <f ca="1">+SUMIFS(INDIRECT(CONCATENATE("'",$AQ$93,$AR95,":",$AS95)),INDIRECT(CONCATENATE("'",$AQ95,$AR$92,":",$AS$92)),W$92)</f>
        <v>39318.226990000003</v>
      </c>
      <c r="X95" s="873">
        <f ca="1">+SUMIFS(INDIRECT(CONCATENATE("'",$AQ$93,$AR95,":",$AS95)),INDIRECT(CONCATENATE("'",$AQ95,$AR$92,":",$AS$92)),X$92)</f>
        <v>44334.720099999999</v>
      </c>
      <c r="Y95" s="873">
        <f ca="1">+SUMIFS(INDIRECT(CONCATENATE("'",$AQ$93,$AR95,":",$AS95)),INDIRECT(CONCATENATE("'",$AQ95,$AR$92,":",$AS$92)),Y$92)</f>
        <v>45062.793720000001</v>
      </c>
      <c r="Z95" s="873">
        <f ca="1">+SUMIFS(INDIRECT(CONCATENATE("'",$AQ$93,$AR95,":",$AS95)),INDIRECT(CONCATENATE("'",$AQ95,$AR$92,":",$AS$92)),Z$92)</f>
        <v>39797.487730000008</v>
      </c>
      <c r="AA95" s="645">
        <f ca="1">+SUM(W95:Z95)</f>
        <v>168513.22854000001</v>
      </c>
      <c r="AB95" s="873">
        <f ca="1">+SUMIFS(INDIRECT(CONCATENATE("'",$AQ$93,$AR95,":",$AS95)),INDIRECT(CONCATENATE("'",$AQ95,$AR$92,":",$AS$92)),AB$92)</f>
        <v>47423.771669999995</v>
      </c>
      <c r="AC95" s="873">
        <f ca="1">+SUMIFS(INDIRECT(CONCATENATE("'",$AQ$93,$AR95,":",$AS95)),INDIRECT(CONCATENATE("'",$AQ95,$AR$92,":",$AS$92)),AC$92)</f>
        <v>45697.330499999996</v>
      </c>
      <c r="AD95" s="873">
        <f ca="1">+SUMIFS(INDIRECT(CONCATENATE("'",$AQ$93,$AR95,":",$AS95)),INDIRECT(CONCATENATE("'",$AQ95,$AR$92,":",$AS$92)),AD$92)</f>
        <v>50307.146229999998</v>
      </c>
      <c r="AE95" s="873">
        <f ca="1">+SUMIFS(INDIRECT(CONCATENATE("'",$AQ$93,$AR95,":",$AS95)),INDIRECT(CONCATENATE("'",$AQ95,$AR$92,":",$AS$92)),AE$92)</f>
        <v>43257.92398</v>
      </c>
      <c r="AF95" s="645">
        <f ca="1">+SUM(AB95:AE95)</f>
        <v>186686.17237999997</v>
      </c>
      <c r="AG95" s="873">
        <f ca="1">+SUMIFS(INDIRECT(CONCATENATE("'",$AQ$93,$AR95,":",$AS95)),INDIRECT(CONCATENATE("'",$AQ95,$AR$92,":",$AS$92)),AG$92)</f>
        <v>46015.97638</v>
      </c>
      <c r="AH95" s="873">
        <f ca="1">+SUMIFS(INDIRECT(CONCATENATE("'",$AQ$93,$AR95,":",$AS95)),INDIRECT(CONCATENATE("'",$AQ95,$AR$92,":",$AS$92)),AH$92)</f>
        <v>41674.159630000002</v>
      </c>
      <c r="AI95" s="873">
        <f ca="1">+SUMIFS(INDIRECT(CONCATENATE("'",$AQ$93,$AR95,":",$AS95)),INDIRECT(CONCATENATE("'",$AQ95,$AR$92,":",$AS$92)),AI$92)</f>
        <v>48533.991850000006</v>
      </c>
      <c r="AJ95" s="873">
        <f ca="1">+SUMIFS(INDIRECT(CONCATENATE("'",$AQ$93,$AR95,":",$AS95)),INDIRECT(CONCATENATE("'",$AQ95,$AR$92,":",$AS$92)),AJ$92)</f>
        <v>47992.6</v>
      </c>
      <c r="AK95" s="645">
        <f ca="1">+SUM(AG95:AJ95)</f>
        <v>184216.72786000001</v>
      </c>
      <c r="AL95" s="873">
        <f ca="1">+SUMIFS(INDIRECT(CONCATENATE("'",$AQ$93,$AR95,":",$AS95)),INDIRECT(CONCATENATE("'",$AQ95,$AR$92,":",$AS$92)),AL$92)</f>
        <v>49810.86</v>
      </c>
      <c r="AM95" s="873">
        <f ca="1">+SUMIFS(INDIRECT(CONCATENATE("'",$AQ$93,$AR95,":",$AS95)),INDIRECT(CONCATENATE("'",$AQ95,$AR$92,":",$AS$92)),AM$92)</f>
        <v>55719.131580000001</v>
      </c>
      <c r="AN95" s="873">
        <f ca="1">+SUMIFS(INDIRECT(CONCATENATE("'",$AQ$93,$AR95,":",$AS95)),INDIRECT(CONCATENATE("'",$AQ95,$AR$92,":",$AS$92)),AN$92)</f>
        <v>50868.375529999998</v>
      </c>
      <c r="AO95" s="873">
        <f ca="1">+SUMIFS(INDIRECT(CONCATENATE("'",$AQ$93,$AR95,":",$AS95)),INDIRECT(CONCATENATE("'",$AQ95,$AR$92,":",$AS$92)),AO$92)</f>
        <v>49988.152990000002</v>
      </c>
      <c r="AP95" s="645">
        <f ca="1">+SUM(AL95:AO95)</f>
        <v>206386.52009999999</v>
      </c>
      <c r="AQ95" s="268" t="s">
        <v>1072</v>
      </c>
      <c r="AR95" s="268" t="str">
        <f>"$"&amp;ROW(IncSIntLog!$B$7)</f>
        <v>$7</v>
      </c>
      <c r="AS95" s="268" t="str">
        <f>"$"&amp;ROW(IncSIntLog!$B$7)</f>
        <v>$7</v>
      </c>
      <c r="AT95" s="268" t="s">
        <v>1072</v>
      </c>
      <c r="AU95" s="268" t="s">
        <v>1071</v>
      </c>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row>
    <row r="96" spans="1:79" s="867" customFormat="1" ht="13.5" customHeight="1" x14ac:dyDescent="0.2">
      <c r="A96" s="872"/>
      <c r="B96" s="877" t="s">
        <v>1035</v>
      </c>
      <c r="C96" s="891" t="s">
        <v>47</v>
      </c>
      <c r="D96" s="891" t="s">
        <v>47</v>
      </c>
      <c r="E96" s="891" t="s">
        <v>47</v>
      </c>
      <c r="F96" s="891" t="s">
        <v>47</v>
      </c>
      <c r="G96" s="915" t="s">
        <v>47</v>
      </c>
      <c r="H96" s="891">
        <f t="shared" ref="H96:U96" ca="1" si="117">+H95/C95-1</f>
        <v>1.0738457508310484E-2</v>
      </c>
      <c r="I96" s="891">
        <f t="shared" ca="1" si="117"/>
        <v>2.1607117892831429E-2</v>
      </c>
      <c r="J96" s="891">
        <f t="shared" ca="1" si="117"/>
        <v>0.11642966284284784</v>
      </c>
      <c r="K96" s="891">
        <f t="shared" ca="1" si="117"/>
        <v>7.2038299459453725E-4</v>
      </c>
      <c r="L96" s="878">
        <f t="shared" ca="1" si="117"/>
        <v>3.7731796615334101E-2</v>
      </c>
      <c r="M96" s="891">
        <f t="shared" ca="1" si="117"/>
        <v>7.9004796799632349E-2</v>
      </c>
      <c r="N96" s="891">
        <f t="shared" ca="1" si="117"/>
        <v>9.727684026075023E-2</v>
      </c>
      <c r="O96" s="891">
        <f t="shared" ca="1" si="117"/>
        <v>3.5253521083060679E-2</v>
      </c>
      <c r="P96" s="891">
        <f t="shared" ca="1" si="117"/>
        <v>7.2989347801434956E-2</v>
      </c>
      <c r="Q96" s="878">
        <f t="shared" ca="1" si="117"/>
        <v>6.9759857438352002E-2</v>
      </c>
      <c r="R96" s="891">
        <f t="shared" ca="1" si="117"/>
        <v>2.8042641586764061E-2</v>
      </c>
      <c r="S96" s="891">
        <f t="shared" ca="1" si="117"/>
        <v>8.2038092093580595E-2</v>
      </c>
      <c r="T96" s="891">
        <f t="shared" ca="1" si="117"/>
        <v>6.9110422822634243E-2</v>
      </c>
      <c r="U96" s="891">
        <f t="shared" ca="1" si="117"/>
        <v>0.14601726094915479</v>
      </c>
      <c r="V96" s="878">
        <f ca="1">+V95/Q95-1</f>
        <v>8.1559297679125731E-2</v>
      </c>
      <c r="W96" s="891">
        <f t="shared" ref="W96:AP96" ca="1" si="118">+W95/R95-1</f>
        <v>3.1248748387350034E-2</v>
      </c>
      <c r="X96" s="891">
        <f t="shared" ca="1" si="118"/>
        <v>0.1136448015325402</v>
      </c>
      <c r="Y96" s="891">
        <f t="shared" ca="1" si="118"/>
        <v>3.6131167939680742E-2</v>
      </c>
      <c r="Z96" s="891">
        <f t="shared" ca="1" si="118"/>
        <v>-9.5064510378236045E-2</v>
      </c>
      <c r="AA96" s="878">
        <f t="shared" ca="1" si="118"/>
        <v>1.8779690858285569E-2</v>
      </c>
      <c r="AB96" s="891">
        <f t="shared" ca="1" si="118"/>
        <v>0.20615234461262744</v>
      </c>
      <c r="AC96" s="891">
        <f t="shared" ca="1" si="118"/>
        <v>3.0734611539816603E-2</v>
      </c>
      <c r="AD96" s="891">
        <f t="shared" ca="1" si="118"/>
        <v>0.11637877009104347</v>
      </c>
      <c r="AE96" s="891">
        <f t="shared" ca="1" si="118"/>
        <v>8.6951122982354967E-2</v>
      </c>
      <c r="AF96" s="878">
        <f t="shared" ca="1" si="118"/>
        <v>0.10784283226575453</v>
      </c>
      <c r="AG96" s="891">
        <f t="shared" ca="1" si="118"/>
        <v>-2.9685434971224778E-2</v>
      </c>
      <c r="AH96" s="891">
        <f t="shared" ca="1" si="118"/>
        <v>-8.8039516225132508E-2</v>
      </c>
      <c r="AI96" s="891">
        <f t="shared" ca="1" si="118"/>
        <v>-3.5246570574551828E-2</v>
      </c>
      <c r="AJ96" s="891">
        <f t="shared" ca="1" si="118"/>
        <v>0.10945222480369243</v>
      </c>
      <c r="AK96" s="878">
        <f t="shared" ca="1" si="118"/>
        <v>-1.322778483546927E-2</v>
      </c>
      <c r="AL96" s="891">
        <f t="shared" ca="1" si="118"/>
        <v>8.2468827536372302E-2</v>
      </c>
      <c r="AM96" s="891">
        <f t="shared" ca="1" si="118"/>
        <v>0.33701872034605906</v>
      </c>
      <c r="AN96" s="891">
        <f t="shared" ca="1" si="118"/>
        <v>4.8097912226438666E-2</v>
      </c>
      <c r="AO96" s="891">
        <f t="shared" ca="1" si="118"/>
        <v>4.158043094143693E-2</v>
      </c>
      <c r="AP96" s="878">
        <f t="shared" ca="1" si="118"/>
        <v>0.12034624921168091</v>
      </c>
      <c r="AQ96" s="868"/>
      <c r="AR96" s="868"/>
      <c r="AS96" s="868"/>
      <c r="AT96" s="868"/>
      <c r="AU96" s="868"/>
      <c r="AV96" s="868"/>
      <c r="AY96" s="1041"/>
      <c r="AZ96" s="1041"/>
      <c r="BA96" s="868"/>
      <c r="BB96" s="868"/>
      <c r="BC96" s="868"/>
      <c r="BD96" s="868"/>
      <c r="BE96" s="868"/>
      <c r="BF96" s="868"/>
      <c r="BG96" s="868"/>
      <c r="BH96" s="868"/>
      <c r="BI96" s="868"/>
      <c r="BJ96" s="868"/>
      <c r="BK96" s="868"/>
      <c r="BL96" s="868"/>
      <c r="BM96" s="868"/>
      <c r="BN96" s="868"/>
      <c r="BO96" s="868"/>
      <c r="BP96" s="868"/>
      <c r="BQ96" s="868"/>
      <c r="BR96" s="868"/>
      <c r="BS96" s="868"/>
      <c r="BT96" s="868"/>
      <c r="BU96" s="868"/>
      <c r="BV96" s="868"/>
      <c r="BW96" s="868"/>
      <c r="BX96" s="868"/>
      <c r="BY96" s="868"/>
      <c r="BZ96" s="868"/>
      <c r="CA96" s="868"/>
    </row>
    <row r="97" spans="1:79" ht="13.5" customHeight="1" x14ac:dyDescent="0.2">
      <c r="B97" s="882" t="s">
        <v>216</v>
      </c>
      <c r="C97" s="881">
        <f ca="1">+C93+C95</f>
        <v>48717.342169999996</v>
      </c>
      <c r="D97" s="881">
        <f ca="1">+D93+D95</f>
        <v>48049.863870000001</v>
      </c>
      <c r="E97" s="881">
        <f ca="1">+E93+E95</f>
        <v>50445.274439999994</v>
      </c>
      <c r="F97" s="881">
        <f ca="1">+F93+F95</f>
        <v>54087.619529999996</v>
      </c>
      <c r="G97" s="880">
        <f ca="1">SUM(C97:F97)</f>
        <v>201300.10000999997</v>
      </c>
      <c r="H97" s="881">
        <f ca="1">+H93+H95</f>
        <v>47791.897820000006</v>
      </c>
      <c r="I97" s="881">
        <f ca="1">+I93+I95</f>
        <v>45118.782989999992</v>
      </c>
      <c r="J97" s="881">
        <f ca="1">+J93+J95</f>
        <v>50056.113029999993</v>
      </c>
      <c r="K97" s="881">
        <f ca="1">+K93+K95</f>
        <v>47941.790019999993</v>
      </c>
      <c r="L97" s="880">
        <f ca="1">+SUM(H97:K97)</f>
        <v>190908.58385999998</v>
      </c>
      <c r="M97" s="881">
        <f ca="1">+M93+M95</f>
        <v>45576.200000000004</v>
      </c>
      <c r="N97" s="881">
        <f ca="1">+N93+N95</f>
        <v>45477.30472</v>
      </c>
      <c r="O97" s="881">
        <f ca="1">+O93+O95</f>
        <v>49444.072350000002</v>
      </c>
      <c r="P97" s="881">
        <f ca="1">+P93+P95</f>
        <v>49006.12429</v>
      </c>
      <c r="Q97" s="880">
        <f ca="1">+SUM(M97:P97)</f>
        <v>189503.70136000001</v>
      </c>
      <c r="R97" s="881">
        <f ca="1">+R93+R95</f>
        <v>46798.437100000003</v>
      </c>
      <c r="S97" s="881">
        <f ca="1">+S93+S95</f>
        <v>51640.242859999998</v>
      </c>
      <c r="T97" s="881">
        <f ca="1">+T93+T95</f>
        <v>52814.545720000002</v>
      </c>
      <c r="U97" s="881">
        <f ca="1">+U93+U95</f>
        <v>49157.816579999999</v>
      </c>
      <c r="V97" s="880">
        <f ca="1">+SUM(R97:U97)</f>
        <v>200411.04226000002</v>
      </c>
      <c r="W97" s="881">
        <f ca="1">+W93+W95</f>
        <v>40685.805</v>
      </c>
      <c r="X97" s="881">
        <f ca="1">+X93+X95</f>
        <v>44766.588499999998</v>
      </c>
      <c r="Y97" s="881">
        <f ca="1">+Y93+Y95</f>
        <v>45483.075720000001</v>
      </c>
      <c r="Z97" s="881">
        <f ca="1">+Z93+Z95</f>
        <v>40436.241730000009</v>
      </c>
      <c r="AA97" s="880">
        <f ca="1">+SUM(W97:Z97)</f>
        <v>171371.71095000001</v>
      </c>
      <c r="AB97" s="881">
        <f ca="1">+AB93+AB95</f>
        <v>48354.774229999995</v>
      </c>
      <c r="AC97" s="881">
        <f ca="1">+AC93+AC95</f>
        <v>46644.168120000002</v>
      </c>
      <c r="AD97" s="881">
        <f ca="1">+AD93+AD95</f>
        <v>51373.626230000002</v>
      </c>
      <c r="AE97" s="881">
        <f ca="1">+AE93+AE95</f>
        <v>44837.835890000002</v>
      </c>
      <c r="AF97" s="880">
        <f ca="1">+SUM(AB97:AE97)</f>
        <v>191210.40447000001</v>
      </c>
      <c r="AG97" s="881">
        <f ca="1">+AG93+AG95</f>
        <v>47323.97638</v>
      </c>
      <c r="AH97" s="881">
        <f ca="1">+AH93+AH95</f>
        <v>43144.14963</v>
      </c>
      <c r="AI97" s="881">
        <f ca="1">+AI93+AI95</f>
        <v>50027.470160000004</v>
      </c>
      <c r="AJ97" s="881">
        <f ca="1">+AJ93+AJ95</f>
        <v>49218.7</v>
      </c>
      <c r="AK97" s="880">
        <f ca="1">+SUM(AG97:AJ97)</f>
        <v>189714.29616999999</v>
      </c>
      <c r="AL97" s="881">
        <f ca="1">+AL93+AL95</f>
        <v>50683.687290000002</v>
      </c>
      <c r="AM97" s="881">
        <f ca="1">+AM93+AM95</f>
        <v>55719.131580000001</v>
      </c>
      <c r="AN97" s="881">
        <f ca="1">+AN93+AN95</f>
        <v>50868.375529999998</v>
      </c>
      <c r="AO97" s="881">
        <f ca="1">+AO93+AO95</f>
        <v>49988.152990000002</v>
      </c>
      <c r="AP97" s="880">
        <f ca="1">+SUM(AL97:AO97)</f>
        <v>207259.34739000001</v>
      </c>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row>
    <row r="98" spans="1:79" ht="13.5" customHeight="1" x14ac:dyDescent="0.2">
      <c r="B98" s="895" t="s">
        <v>1157</v>
      </c>
      <c r="C98" s="873">
        <f ca="1">+SUMIFS(INDIRECT(CONCATENATE("'",$AQ98,$AR98,":",$AS98)),INDIRECT(CONCATENATE("'",$AQ98,$AR$92,":",$AS$92)),C$92)-C97</f>
        <v>-8521.600689999992</v>
      </c>
      <c r="D98" s="873">
        <f ca="1">+SUMIFS(INDIRECT(CONCATENATE("'",$AQ98,$AR98,":",$AS98)),INDIRECT(CONCATENATE("'",$AQ98,$AR$92,":",$AS$92)),D$92)-D97</f>
        <v>1286.1736299999975</v>
      </c>
      <c r="E98" s="873">
        <f ca="1">+SUMIFS(INDIRECT(CONCATENATE("'",$AQ98,$AR98,":",$AS98)),INDIRECT(CONCATENATE("'",$AQ98,$AR$92,":",$AS$92)),E$92)-E97</f>
        <v>-8731.8596199999956</v>
      </c>
      <c r="F98" s="873">
        <f ca="1">+SUMIFS(INDIRECT(CONCATENATE("'",$AQ98,$AR98,":",$AS98)),INDIRECT(CONCATENATE("'",$AQ98,$AR$92,":",$AS$92)),F$92)-F97</f>
        <v>-9440.1161999999968</v>
      </c>
      <c r="G98" s="645">
        <f ca="1">SUM(C98:F98)</f>
        <v>-25407.402879999987</v>
      </c>
      <c r="H98" s="873">
        <f ca="1">+SUMIFS(INDIRECT(CONCATENATE("'",$AQ98,$AR98,":",$AS98)),INDIRECT(CONCATENATE("'",$AQ98,$AR$92,":",$AS$92)),H$92)-H97</f>
        <v>-8180.1162800000093</v>
      </c>
      <c r="I98" s="873">
        <f ca="1">+SUMIFS(INDIRECT(CONCATENATE("'",$AQ98,$AR98,":",$AS98)),INDIRECT(CONCATENATE("'",$AQ98,$AR$92,":",$AS$92)),I$92)-I97</f>
        <v>-7834.0642799999914</v>
      </c>
      <c r="J98" s="916">
        <f ca="1">+SUMIFS(INDIRECT(CONCATENATE("'",$AQ98,$AR98,":",$AS98)),INDIRECT(CONCATENATE("'",$AQ98,$AR$92,":",$AS$92)),J$92)-J97+5251.75993</f>
        <v>-9679.4215399999957</v>
      </c>
      <c r="K98" s="916">
        <f ca="1">+SUMIFS(INDIRECT(CONCATENATE("'",$AQ98,$AR98,":",$AS98)),INDIRECT(CONCATENATE("'",$AQ98,$AR$92,":",$AS$92)),K$92)-K97-372.347081014</f>
        <v>-7363.4351610139938</v>
      </c>
      <c r="L98" s="930">
        <f ca="1">+SUM(H98:K98)</f>
        <v>-33057.037261013989</v>
      </c>
      <c r="M98" s="873">
        <f ca="1">+SUMIFS(INDIRECT(CONCATENATE("'",$AQ98,$AR98,":",$AS98)),INDIRECT(CONCATENATE("'",$AQ98,$AR$92,":",$AS$92)),M$92)-M97</f>
        <v>-7802.054750000003</v>
      </c>
      <c r="N98" s="873">
        <f ca="1">+SUMIFS(INDIRECT(CONCATENATE("'",$AQ98,$AR98,":",$AS98)),INDIRECT(CONCATENATE("'",$AQ98,$AR$92,":",$AS$92)),N$92)-N97</f>
        <v>-7994.1580099999992</v>
      </c>
      <c r="O98" s="873">
        <f ca="1">+SUMIFS(INDIRECT(CONCATENATE("'",$AQ98,$AR98,":",$AS98)),INDIRECT(CONCATENATE("'",$AQ98,$AR$92,":",$AS$92)),O$92)-O97</f>
        <v>-8512.4502900000007</v>
      </c>
      <c r="P98" s="873">
        <f ca="1">+SUMIFS(INDIRECT(CONCATENATE("'",$AQ98,$AR98,":",$AS98)),INDIRECT(CONCATENATE("'",$AQ98,$AR$92,":",$AS$92)),P$92)-P97</f>
        <v>-8021.5480800000078</v>
      </c>
      <c r="Q98" s="645">
        <f ca="1">+SUM(M98:P98)</f>
        <v>-32330.211130000011</v>
      </c>
      <c r="R98" s="873">
        <f ca="1">+SUMIFS(INDIRECT(CONCATENATE("'",$AQ$93,$AR98,":",$AS98)),INDIRECT(CONCATENATE("'",$AQ98,$AR$92,":",$AS$92)),R$92)-R97</f>
        <v>-7812.5165100000013</v>
      </c>
      <c r="S98" s="873">
        <f ca="1">+SUMIFS(INDIRECT(CONCATENATE("'",$AQ$93,$AR98,":",$AS98)),INDIRECT(CONCATENATE("'",$AQ98,$AR$92,":",$AS$92)),S$92)-S97</f>
        <v>-8377.3944399999964</v>
      </c>
      <c r="T98" s="873">
        <f ca="1">+SUMIFS(INDIRECT(CONCATENATE("'",$AQ$93,$AR98,":",$AS98)),INDIRECT(CONCATENATE("'",$AQ98,$AR$92,":",$AS$92)),T$92)-T97</f>
        <v>-9090.4414899999974</v>
      </c>
      <c r="U98" s="873">
        <f ca="1">+SUMIFS(INDIRECT(CONCATENATE("'",$AQ$93,$AR98,":",$AS98)),INDIRECT(CONCATENATE("'",$AQ98,$AR$92,":",$AS$92)),U$92)-U97</f>
        <v>-8753.4944399999949</v>
      </c>
      <c r="V98" s="645">
        <f ca="1">+SUM(R98:U98)</f>
        <v>-34033.84687999999</v>
      </c>
      <c r="W98" s="873">
        <f ca="1">+SUMIFS(INDIRECT(CONCATENATE("'",$AQ$93,$AR98,":",$AS98)),INDIRECT(CONCATENATE("'",$AQ98,$AR$92,":",$AS$92)),W$92)-W97</f>
        <v>-7598.3961899999995</v>
      </c>
      <c r="X98" s="873">
        <f ca="1">+SUMIFS(INDIRECT(CONCATENATE("'",$AQ$93,$AR98,":",$AS98)),INDIRECT(CONCATENATE("'",$AQ98,$AR$92,":",$AS$92)),X$92)-X97</f>
        <v>-8127.262569999999</v>
      </c>
      <c r="Y98" s="873">
        <f ca="1">+SUMIFS(INDIRECT(CONCATENATE("'",$AQ$93,$AR98,":",$AS98)),INDIRECT(CONCATENATE("'",$AQ98,$AR$92,":",$AS$92)),Y$92)-Y97</f>
        <v>-8364.7450699999972</v>
      </c>
      <c r="Z98" s="873">
        <f ca="1">+SUMIFS(INDIRECT(CONCATENATE("'",$AQ$93,$AR98,":",$AS98)),INDIRECT(CONCATENATE("'",$AQ98,$AR$92,":",$AS$92)),Z$92)-Z97</f>
        <v>-7451.2142800000001</v>
      </c>
      <c r="AA98" s="645">
        <f ca="1">+SUM(W98:Z98)</f>
        <v>-31541.618109999996</v>
      </c>
      <c r="AB98" s="873">
        <f ca="1">+SUMIFS(INDIRECT(CONCATENATE("'",$AQ$93,$AR98,":",$AS98)),INDIRECT(CONCATENATE("'",$AQ98,$AR$92,":",$AS$92)),AB$92)-AB97</f>
        <v>-9083.2088399999993</v>
      </c>
      <c r="AC98" s="873">
        <f ca="1">+SUMIFS(INDIRECT(CONCATENATE("'",$AQ$93,$AR98,":",$AS98)),INDIRECT(CONCATENATE("'",$AQ98,$AR$92,":",$AS$92)),AC$92)-AC97</f>
        <v>-8211.0274199999985</v>
      </c>
      <c r="AD98" s="873">
        <f ca="1">+SUMIFS(INDIRECT(CONCATENATE("'",$AQ$93,$AR98,":",$AS98)),INDIRECT(CONCATENATE("'",$AQ98,$AR$92,":",$AS$92)),AD$92)-AD97</f>
        <v>-8995.0151800000021</v>
      </c>
      <c r="AE98" s="873">
        <f ca="1">+SUMIFS(INDIRECT(CONCATENATE("'",$AQ$93,$AR98,":",$AS98)),INDIRECT(CONCATENATE("'",$AQ98,$AR$92,":",$AS$92)),AE$92)-AE97</f>
        <v>-7850.2991499999989</v>
      </c>
      <c r="AF98" s="645">
        <f ca="1">+SUM(AB98:AE98)</f>
        <v>-34139.550589999999</v>
      </c>
      <c r="AG98" s="873">
        <f ca="1">+SUMIFS(INDIRECT(CONCATENATE("'",$AQ$93,$AR98,":",$AS98)),INDIRECT(CONCATENATE("'",$AQ98,$AR$92,":",$AS$92)),AG$92)-AG97</f>
        <v>-8325.7838399999964</v>
      </c>
      <c r="AH98" s="873">
        <f ca="1">+SUMIFS(INDIRECT(CONCATENATE("'",$AQ$93,$AR98,":",$AS98)),INDIRECT(CONCATENATE("'",$AQ98,$AR$92,":",$AS$92)),AH$92)-AH97</f>
        <v>-7397.0650800000003</v>
      </c>
      <c r="AI98" s="873">
        <f ca="1">+SUMIFS(INDIRECT(CONCATENATE("'",$AQ$93,$AR98,":",$AS98)),INDIRECT(CONCATENATE("'",$AQ98,$AR$92,":",$AS$92)),AI$92)-AI97</f>
        <v>-8874.2566299999962</v>
      </c>
      <c r="AJ98" s="873">
        <f ca="1">+SUMIFS(INDIRECT(CONCATENATE("'",$AQ$93,$AR98,":",$AS98)),INDIRECT(CONCATENATE("'",$AQ98,$AR$92,":",$AS$92)),AJ$92)-AJ97</f>
        <v>-8788.6658699999971</v>
      </c>
      <c r="AK98" s="645">
        <f ca="1">+SUM(AG98:AJ98)</f>
        <v>-33385.77141999999</v>
      </c>
      <c r="AL98" s="873">
        <f ca="1">+SUMIFS(INDIRECT(CONCATENATE("'",$AQ$93,$AR98,":",$AS98)),INDIRECT(CONCATENATE("'",$AQ98,$AR$92,":",$AS$92)),AL$92)-AL97</f>
        <v>-9024.7368700000006</v>
      </c>
      <c r="AM98" s="873">
        <f ca="1">+SUMIFS(INDIRECT(CONCATENATE("'",$AQ$93,$AR98,":",$AS98)),INDIRECT(CONCATENATE("'",$AQ98,$AR$92,":",$AS$92)),AM$92)-AM97</f>
        <v>-10156.115299999998</v>
      </c>
      <c r="AN98" s="873">
        <f ca="1">+SUMIFS(INDIRECT(CONCATENATE("'",$AQ$93,$AR98,":",$AS98)),INDIRECT(CONCATENATE("'",$AQ98,$AR$92,":",$AS$92)),AN$92)-AN97</f>
        <v>-9046.2838300000003</v>
      </c>
      <c r="AO98" s="873">
        <f ca="1">+SUMIFS(INDIRECT(CONCATENATE("'",$AQ$93,$AR98,":",$AS98)),INDIRECT(CONCATENATE("'",$AQ98,$AR$92,":",$AS$92)),AO$92)-AO97</f>
        <v>-8964.5530199999994</v>
      </c>
      <c r="AP98" s="645">
        <f ca="1">+SUM(AL98:AO98)</f>
        <v>-37191.689019999998</v>
      </c>
      <c r="AQ98" s="268" t="s">
        <v>1072</v>
      </c>
      <c r="AR98" s="268" t="str">
        <f>"$"&amp;ROW(IncSIntLog!$B$12)</f>
        <v>$12</v>
      </c>
      <c r="AS98" s="268" t="str">
        <f>"$"&amp;ROW(IncSIntLog!$B$12)</f>
        <v>$12</v>
      </c>
      <c r="AT98" s="268" t="s">
        <v>1072</v>
      </c>
      <c r="AU98" s="268" t="s">
        <v>1071</v>
      </c>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row>
    <row r="99" spans="1:79" s="867" customFormat="1" ht="13.5" customHeight="1" x14ac:dyDescent="0.2">
      <c r="A99" s="872"/>
      <c r="B99" s="877" t="s">
        <v>1156</v>
      </c>
      <c r="C99" s="891">
        <f t="shared" ref="C99:S99" ca="1" si="119">+C100/C97-1</f>
        <v>-0.17491924457339481</v>
      </c>
      <c r="D99" s="891">
        <f t="shared" ca="1" si="119"/>
        <v>2.6767477083385005E-2</v>
      </c>
      <c r="E99" s="891">
        <f t="shared" ca="1" si="119"/>
        <v>-0.1730956906654505</v>
      </c>
      <c r="F99" s="891">
        <f t="shared" ca="1" si="119"/>
        <v>-0.17453377098180456</v>
      </c>
      <c r="G99" s="915">
        <f t="shared" ca="1" si="119"/>
        <v>-0.1262165437510353</v>
      </c>
      <c r="H99" s="891">
        <f t="shared" ca="1" si="119"/>
        <v>-0.17116115185065506</v>
      </c>
      <c r="I99" s="891">
        <f t="shared" ca="1" si="119"/>
        <v>-0.17363199450074518</v>
      </c>
      <c r="J99" s="891">
        <f t="shared" ca="1" si="119"/>
        <v>-0.19337141767677513</v>
      </c>
      <c r="K99" s="891">
        <f t="shared" ca="1" si="119"/>
        <v>-0.15359116040394338</v>
      </c>
      <c r="L99" s="878">
        <f t="shared" ca="1" si="119"/>
        <v>-0.1731563693608239</v>
      </c>
      <c r="M99" s="891">
        <f t="shared" ca="1" si="119"/>
        <v>-0.17118703950746228</v>
      </c>
      <c r="N99" s="891">
        <f t="shared" ca="1" si="119"/>
        <v>-0.17578346076618589</v>
      </c>
      <c r="O99" s="891">
        <f t="shared" ca="1" si="119"/>
        <v>-0.17216321159274417</v>
      </c>
      <c r="P99" s="891">
        <f t="shared" ca="1" si="119"/>
        <v>-0.16368460465331791</v>
      </c>
      <c r="Q99" s="878">
        <f t="shared" ca="1" si="119"/>
        <v>-0.17060464200951064</v>
      </c>
      <c r="R99" s="891">
        <f t="shared" ca="1" si="119"/>
        <v>-0.16693968846237395</v>
      </c>
      <c r="S99" s="891">
        <f t="shared" ca="1" si="119"/>
        <v>-0.1622260852395998</v>
      </c>
      <c r="T99" s="891">
        <f t="shared" ref="T99:Y99" ca="1" si="120">+T100/T97-1</f>
        <v>-0.17212003560900835</v>
      </c>
      <c r="U99" s="891">
        <f t="shared" ca="1" si="120"/>
        <v>-0.17806922782574075</v>
      </c>
      <c r="V99" s="878">
        <f t="shared" ca="1" si="120"/>
        <v>-0.16982021796906155</v>
      </c>
      <c r="W99" s="891">
        <f t="shared" ca="1" si="120"/>
        <v>-0.18675791691967258</v>
      </c>
      <c r="X99" s="891">
        <f t="shared" ca="1" si="120"/>
        <v>-0.18154750769091998</v>
      </c>
      <c r="Y99" s="891">
        <f t="shared" ca="1" si="120"/>
        <v>-0.1839089581692871</v>
      </c>
      <c r="Z99" s="891">
        <f t="shared" ref="Z99:AF99" ca="1" si="121">+Z100/Z97-1</f>
        <v>-0.18427069285402653</v>
      </c>
      <c r="AA99" s="878">
        <f t="shared" ca="1" si="121"/>
        <v>-0.18405382040681562</v>
      </c>
      <c r="AB99" s="891">
        <f t="shared" ca="1" si="121"/>
        <v>-0.18784512976517309</v>
      </c>
      <c r="AC99" s="891">
        <f t="shared" ca="1" si="121"/>
        <v>-0.17603545632705342</v>
      </c>
      <c r="AD99" s="891">
        <f t="shared" ca="1" si="121"/>
        <v>-0.17509013554404884</v>
      </c>
      <c r="AE99" s="891">
        <f t="shared" ca="1" si="121"/>
        <v>-0.17508202602059164</v>
      </c>
      <c r="AF99" s="878">
        <f t="shared" ca="1" si="121"/>
        <v>-0.17854441908968577</v>
      </c>
      <c r="AG99" s="891">
        <f t="shared" ref="AG99:AM99" ca="1" si="122">+AG100/AG97-1</f>
        <v>-0.17593162022451325</v>
      </c>
      <c r="AH99" s="891">
        <f t="shared" ca="1" si="122"/>
        <v>-0.17145001450802733</v>
      </c>
      <c r="AI99" s="891">
        <f t="shared" ca="1" si="122"/>
        <v>-0.17738767524358057</v>
      </c>
      <c r="AJ99" s="891">
        <f t="shared" ca="1" si="122"/>
        <v>-0.17856355145503633</v>
      </c>
      <c r="AK99" s="878">
        <f t="shared" ca="1" si="122"/>
        <v>-0.17597920712355553</v>
      </c>
      <c r="AL99" s="891">
        <f t="shared" ca="1" si="122"/>
        <v>-0.17805999035473885</v>
      </c>
      <c r="AM99" s="891">
        <f t="shared" ca="1" si="122"/>
        <v>-0.18227339536722909</v>
      </c>
      <c r="AN99" s="891">
        <f t="shared" ref="AN99:AP99" ca="1" si="123">+AN100/AN97-1</f>
        <v>-0.177837089070495</v>
      </c>
      <c r="AO99" s="891">
        <f t="shared" ca="1" si="123"/>
        <v>-0.17933355172761301</v>
      </c>
      <c r="AP99" s="878">
        <f t="shared" ca="1" si="123"/>
        <v>-0.17944517093367263</v>
      </c>
      <c r="AQ99" s="868"/>
      <c r="AR99" s="868"/>
      <c r="AS99" s="868"/>
      <c r="AT99" s="868"/>
      <c r="AU99" s="868"/>
      <c r="AV99" s="868"/>
      <c r="AY99" s="1041"/>
      <c r="AZ99" s="1041"/>
      <c r="BA99" s="868"/>
      <c r="BB99" s="868"/>
      <c r="BC99" s="868"/>
      <c r="BD99" s="868"/>
      <c r="BE99" s="868"/>
      <c r="BF99" s="868"/>
      <c r="BG99" s="868"/>
      <c r="BH99" s="868"/>
      <c r="BI99" s="868"/>
      <c r="BJ99" s="868"/>
      <c r="BK99" s="868"/>
      <c r="BL99" s="868"/>
      <c r="BM99" s="868"/>
      <c r="BN99" s="868"/>
      <c r="BO99" s="868"/>
      <c r="BP99" s="868"/>
      <c r="BQ99" s="868"/>
      <c r="BR99" s="868"/>
      <c r="BS99" s="868"/>
      <c r="BT99" s="868"/>
      <c r="BU99" s="868"/>
      <c r="BV99" s="868"/>
      <c r="BW99" s="868"/>
      <c r="BX99" s="868"/>
      <c r="BY99" s="868"/>
      <c r="BZ99" s="868"/>
      <c r="CA99" s="868"/>
    </row>
    <row r="100" spans="1:79" ht="13.5" customHeight="1" x14ac:dyDescent="0.2">
      <c r="B100" s="882" t="s">
        <v>1155</v>
      </c>
      <c r="C100" s="881">
        <f ca="1">+C98+C97</f>
        <v>40195.741480000004</v>
      </c>
      <c r="D100" s="881">
        <f ca="1">+D98+D97</f>
        <v>49336.037499999999</v>
      </c>
      <c r="E100" s="881">
        <f ca="1">+E98+E97</f>
        <v>41713.414819999998</v>
      </c>
      <c r="F100" s="881">
        <f ca="1">+F98+F97</f>
        <v>44647.50333</v>
      </c>
      <c r="G100" s="880">
        <f ca="1">SUM(C100:F100)</f>
        <v>175892.69713000002</v>
      </c>
      <c r="H100" s="881">
        <f ca="1">+H98+H97</f>
        <v>39611.781539999996</v>
      </c>
      <c r="I100" s="881">
        <f ca="1">+I98+I97</f>
        <v>37284.718710000001</v>
      </c>
      <c r="J100" s="1022">
        <f ca="1">+J98+J97</f>
        <v>40376.691489999997</v>
      </c>
      <c r="K100" s="1022">
        <f ca="1">+K98+K97</f>
        <v>40578.354858986</v>
      </c>
      <c r="L100" s="1023">
        <f ca="1">+SUM(H100:K100)</f>
        <v>157851.54659898599</v>
      </c>
      <c r="M100" s="881">
        <f ca="1">+M98+M97</f>
        <v>37774.145250000001</v>
      </c>
      <c r="N100" s="881">
        <f ca="1">+N98+N97</f>
        <v>37483.146710000001</v>
      </c>
      <c r="O100" s="881">
        <f ca="1">+O98+O97</f>
        <v>40931.622060000002</v>
      </c>
      <c r="P100" s="881">
        <f ca="1">+P98+P97</f>
        <v>40984.576209999992</v>
      </c>
      <c r="Q100" s="880">
        <f ca="1">+SUM(M100:P100)</f>
        <v>157173.49023</v>
      </c>
      <c r="R100" s="881">
        <f ca="1">+R98+R97</f>
        <v>38985.920590000002</v>
      </c>
      <c r="S100" s="881">
        <f ca="1">+S98+S97</f>
        <v>43262.848420000002</v>
      </c>
      <c r="T100" s="881">
        <f ca="1">+T98+T97</f>
        <v>43724.104230000004</v>
      </c>
      <c r="U100" s="881">
        <f ca="1">+U98+U97</f>
        <v>40404.322140000004</v>
      </c>
      <c r="V100" s="880">
        <f ca="1">+SUM(R100:U100)</f>
        <v>166377.19538000002</v>
      </c>
      <c r="W100" s="881">
        <f ca="1">+W98+W97</f>
        <v>33087.408810000001</v>
      </c>
      <c r="X100" s="881">
        <f ca="1">+X98+X97</f>
        <v>36639.325929999999</v>
      </c>
      <c r="Y100" s="881">
        <f ca="1">+Y98+Y97</f>
        <v>37118.330650000004</v>
      </c>
      <c r="Z100" s="881">
        <f ca="1">+Z98+Z97</f>
        <v>32985.027450000009</v>
      </c>
      <c r="AA100" s="880">
        <f ca="1">+SUM(W100:Z100)</f>
        <v>139830.09284</v>
      </c>
      <c r="AB100" s="881">
        <f ca="1">+AB98+AB97</f>
        <v>39271.565389999996</v>
      </c>
      <c r="AC100" s="881">
        <f ca="1">+AC98+AC97</f>
        <v>38433.140700000004</v>
      </c>
      <c r="AD100" s="881">
        <f ca="1">+AD98+AD97</f>
        <v>42378.61105</v>
      </c>
      <c r="AE100" s="881">
        <f ca="1">+AE98+AE97</f>
        <v>36987.536740000003</v>
      </c>
      <c r="AF100" s="880">
        <f ca="1">+SUM(AB100:AE100)</f>
        <v>157070.85388000001</v>
      </c>
      <c r="AG100" s="881">
        <f ca="1">+AG98+AG97</f>
        <v>38998.192540000004</v>
      </c>
      <c r="AH100" s="881">
        <f ca="1">+AH98+AH97</f>
        <v>35747.08455</v>
      </c>
      <c r="AI100" s="881">
        <f ca="1">+AI98+AI97</f>
        <v>41153.213530000008</v>
      </c>
      <c r="AJ100" s="881">
        <f ca="1">+AJ98+AJ97</f>
        <v>40430.03413</v>
      </c>
      <c r="AK100" s="880">
        <f ca="1">+SUM(AG100:AJ100)</f>
        <v>156328.52475000001</v>
      </c>
      <c r="AL100" s="881">
        <f ca="1">+AL98+AL97</f>
        <v>41658.950420000001</v>
      </c>
      <c r="AM100" s="881">
        <f ca="1">+AM98+AM97</f>
        <v>45563.016280000003</v>
      </c>
      <c r="AN100" s="881">
        <f ca="1">+AN98+AN97</f>
        <v>41822.091699999997</v>
      </c>
      <c r="AO100" s="881">
        <f ca="1">+AO98+AO97</f>
        <v>41023.599970000003</v>
      </c>
      <c r="AP100" s="880">
        <f ca="1">+SUM(AL100:AO100)</f>
        <v>170067.65837000002</v>
      </c>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row>
    <row r="101" spans="1:79" ht="13.5" customHeight="1" x14ac:dyDescent="0.2">
      <c r="B101" s="895" t="s">
        <v>1161</v>
      </c>
      <c r="C101" s="873">
        <f ca="1">+SUMIFS(INDIRECT(CONCATENATE("'",$AQ101,$AR101,":",$AS101)),INDIRECT(CONCATENATE("'",$AQ101,$AR$92,":",$AS$92)),C$92)</f>
        <v>-33763.876869999993</v>
      </c>
      <c r="D101" s="873">
        <f ca="1">+SUMIFS(INDIRECT(CONCATENATE("'",$AQ101,$AR101,":",$AS101)),INDIRECT(CONCATENATE("'",$AQ101,$AR$92,":",$AS$92)),D$92)</f>
        <v>-35062.16257</v>
      </c>
      <c r="E101" s="873">
        <f ca="1">+SUMIFS(INDIRECT(CONCATENATE("'",$AQ101,$AR101,":",$AS101)),INDIRECT(CONCATENATE("'",$AQ101,$AR$92,":",$AS$92)),E$92)</f>
        <v>-35168.157510000005</v>
      </c>
      <c r="F101" s="916">
        <f ca="1">+SUMIFS(INDIRECT(CONCATENATE("'",$AQ101,$AR101,":",$AS101)),INDIRECT(CONCATENATE("'",$AQ101,$AR$92,":",$AS$92)),F$92)-5147.63034</f>
        <v>-39024.335300000006</v>
      </c>
      <c r="G101" s="930">
        <f ca="1">SUM(C101:F101)</f>
        <v>-143018.53224999999</v>
      </c>
      <c r="H101" s="873">
        <f ca="1">+SUMIFS(INDIRECT(CONCATENATE("'",$AQ101,$AR101,":",$AS101)),INDIRECT(CONCATENATE("'",$AQ101,$AR$92,":",$AS$92)),H$92)</f>
        <v>-32103.398359999996</v>
      </c>
      <c r="I101" s="873">
        <f ca="1">+SUMIFS(INDIRECT(CONCATENATE("'",$AQ101,$AR101,":",$AS101)),INDIRECT(CONCATENATE("'",$AQ101,$AR$92,":",$AS$92)),I$92)</f>
        <v>-29829.59719</v>
      </c>
      <c r="J101" s="873">
        <f ca="1">+SUMIFS(INDIRECT(CONCATENATE("'",$AQ101,$AR101,":",$AS101)),INDIRECT(CONCATENATE("'",$AQ101,$AR$92,":",$AS$92)),J$92)</f>
        <v>-31606.118449999998</v>
      </c>
      <c r="K101" s="873">
        <f ca="1">+SUMIFS(INDIRECT(CONCATENATE("'",$AQ101,$AR101,":",$AS101)),INDIRECT(CONCATENATE("'",$AQ101,$AR$92,":",$AS$92)),K$92)</f>
        <v>-32730.792299999997</v>
      </c>
      <c r="L101" s="645">
        <f ca="1">+SUM(H101:K101)</f>
        <v>-126269.90629999999</v>
      </c>
      <c r="M101" s="873">
        <f ca="1">+SUMIFS(INDIRECT(CONCATENATE("'",$AQ101,$AR101,":",$AS101)),INDIRECT(CONCATENATE("'",$AQ101,$AR$92,":",$AS$92)),M$92)</f>
        <v>-24847.719380000002</v>
      </c>
      <c r="N101" s="873">
        <f ca="1">+SUMIFS(INDIRECT(CONCATENATE("'",$AQ101,$AR101,":",$AS101)),INDIRECT(CONCATENATE("'",$AQ101,$AR$92,":",$AS$92)),N$92)</f>
        <v>-27137.973819999999</v>
      </c>
      <c r="O101" s="916">
        <f ca="1">+SUMIFS(INDIRECT(CONCATENATE("'",$AQ101,$AR101,":",$AS101)),INDIRECT(CONCATENATE("'",$AQ101,$AR$92,":",$AS$92)),O$92)+193.292048841321</f>
        <v>-26075.299731158677</v>
      </c>
      <c r="P101" s="873">
        <f ca="1">+SUMIFS(INDIRECT(CONCATENATE("'",$AQ101,$AR101,":",$AS101)),INDIRECT(CONCATENATE("'",$AQ101,$AR$92,":",$AS$92)),P$92)</f>
        <v>-27258.207099999996</v>
      </c>
      <c r="Q101" s="930">
        <f ca="1">+SUM(M101:P101)</f>
        <v>-105319.20003115867</v>
      </c>
      <c r="R101" s="873">
        <f ca="1">+SUMIFS(INDIRECT(CONCATENATE("'",$AQ101,$AR101,":",$AS101)),INDIRECT(CONCATENATE("'",$AQ101,$AR$92,":",$AS$92)),R$92)</f>
        <v>-23949.649169999997</v>
      </c>
      <c r="S101" s="873">
        <f ca="1">+SUMIFS(INDIRECT(CONCATENATE("'",$AQ101,$AR101,":",$AS101)),INDIRECT(CONCATENATE("'",$AQ101,$AR$92,":",$AS$92)),S$92)</f>
        <v>-26755.184610000004</v>
      </c>
      <c r="T101" s="873">
        <f ca="1">+SUMIFS(INDIRECT(CONCATENATE("'",$AQ101,$AR101,":",$AS101)),INDIRECT(CONCATENATE("'",$AQ101,$AR$92,":",$AS$92)),T$92)</f>
        <v>-26649.67727</v>
      </c>
      <c r="U101" s="916">
        <f ca="1">+SUMIFS(INDIRECT(CONCATENATE("'",$AQ101,$AR101,":",$AS101)),INDIRECT(CONCATENATE("'",$AQ101,$AR$92,":",$AS$92)),U$92)+2875</f>
        <v>-25813.472970000003</v>
      </c>
      <c r="V101" s="930">
        <f ca="1">+SUM(R101:U101)</f>
        <v>-103167.98402</v>
      </c>
      <c r="W101" s="873">
        <f ca="1">+SUMIFS(INDIRECT(CONCATENATE("'",$AQ101,$AR101,":",$AS101)),INDIRECT(CONCATENATE("'",$AQ101,$AR$92,":",$AS$92)),W$92)</f>
        <v>-22940.262020000002</v>
      </c>
      <c r="X101" s="873">
        <f ca="1">+SUMIFS(INDIRECT(CONCATENATE("'",$AQ101,$AR101,":",$AS101)),INDIRECT(CONCATENATE("'",$AQ101,$AR$92,":",$AS$92)),X$92)</f>
        <v>-24186.268790000002</v>
      </c>
      <c r="Y101" s="873">
        <f ca="1">+SUMIFS(INDIRECT(CONCATENATE("'",$AQ101,$AR101,":",$AS101)),INDIRECT(CONCATENATE("'",$AQ101,$AR$92,":",$AS$92)),Y$92)</f>
        <v>-25173.943309999999</v>
      </c>
      <c r="Z101" s="873">
        <f ca="1">+SUMIFS(INDIRECT(CONCATENATE("'",$AQ101,$AR101,":",$AS101)),INDIRECT(CONCATENATE("'",$AQ101,$AR$92,":",$AS$92)),Z$92)</f>
        <v>-22896.50952</v>
      </c>
      <c r="AA101" s="645">
        <f ca="1">+SUM(W101:Z101)</f>
        <v>-95196.983639999991</v>
      </c>
      <c r="AB101" s="873">
        <f ca="1">+SUMIFS(INDIRECT(CONCATENATE("'",$AQ101,$AR101,":",$AS101)),INDIRECT(CONCATENATE("'",$AQ101,$AR$92,":",$AS$92)),AB$92)</f>
        <v>-25044.119490000005</v>
      </c>
      <c r="AC101" s="873">
        <f ca="1">+SUMIFS(INDIRECT(CONCATENATE("'",$AQ101,$AR101,":",$AS101)),INDIRECT(CONCATENATE("'",$AQ101,$AR$92,":",$AS$92)),AC$92)</f>
        <v>-26249.11119</v>
      </c>
      <c r="AD101" s="873">
        <f ca="1">+SUMIFS(INDIRECT(CONCATENATE("'",$AQ101,$AR101,":",$AS101)),INDIRECT(CONCATENATE("'",$AQ101,$AR$92,":",$AS$92)),AD$92)</f>
        <v>-28395.833310000005</v>
      </c>
      <c r="AE101" s="873">
        <f ca="1">+SUMIFS(INDIRECT(CONCATENATE("'",$AQ101,$AR101,":",$AS101)),INDIRECT(CONCATENATE("'",$AQ101,$AR$92,":",$AS$92)),AE$92)</f>
        <v>-25579.179450000003</v>
      </c>
      <c r="AF101" s="645">
        <f ca="1">+SUM(AB101:AE101)</f>
        <v>-105268.24344000002</v>
      </c>
      <c r="AG101" s="873">
        <f ca="1">+SUMIFS(INDIRECT(CONCATENATE("'",$AQ101,$AR101,":",$AS101)),INDIRECT(CONCATENATE("'",$AQ101,$AR$92,":",$AS$92)),AG$92)</f>
        <v>-27962.731210000002</v>
      </c>
      <c r="AH101" s="873">
        <f ca="1">+SUMIFS(INDIRECT(CONCATENATE("'",$AQ101,$AR101,":",$AS101)),INDIRECT(CONCATENATE("'",$AQ101,$AR$92,":",$AS$92)),AH$92)</f>
        <v>-24097.067410000003</v>
      </c>
      <c r="AI101" s="873">
        <f ca="1">+SUMIFS(INDIRECT(CONCATENATE("'",$AQ101,$AR101,":",$AS101)),INDIRECT(CONCATENATE("'",$AQ101,$AR$92,":",$AS$92)),AI$92)</f>
        <v>-28659.82591</v>
      </c>
      <c r="AJ101" s="873">
        <f ca="1">+SUMIFS(INDIRECT(CONCATENATE("'",$AQ101,$AR101,":",$AS101)),INDIRECT(CONCATENATE("'",$AQ101,$AR$92,":",$AS$92)),AJ$92)</f>
        <v>-26994.540899999996</v>
      </c>
      <c r="AK101" s="645">
        <f ca="1">+SUM(AG101:AJ101)</f>
        <v>-107714.16542999999</v>
      </c>
      <c r="AL101" s="873">
        <f ca="1">+SUMIFS(INDIRECT(CONCATENATE("'",$AQ101,$AR101,":",$AS101)),INDIRECT(CONCATENATE("'",$AQ101,$AR$92,":",$AS$92)),AL$92)</f>
        <v>-30761.998070000005</v>
      </c>
      <c r="AM101" s="873">
        <f ca="1">+SUMIFS(INDIRECT(CONCATENATE("'",$AQ101,$AR101,":",$AS101)),INDIRECT(CONCATENATE("'",$AQ101,$AR$92,":",$AS$92)),AM$92)</f>
        <v>-33179.92899</v>
      </c>
      <c r="AN101" s="873">
        <f ca="1">+SUMIFS(INDIRECT(CONCATENATE("'",$AQ101,$AR101,":",$AS101)),INDIRECT(CONCATENATE("'",$AQ101,$AR$92,":",$AS$92)),AN$92)</f>
        <v>-30561.183870000001</v>
      </c>
      <c r="AO101" s="873">
        <f ca="1">+SUMIFS(INDIRECT(CONCATENATE("'",$AQ101,$AR101,":",$AS101)),INDIRECT(CONCATENATE("'",$AQ101,$AR$92,":",$AS$92)),AO$92)</f>
        <v>-31888.350020000002</v>
      </c>
      <c r="AP101" s="645">
        <f ca="1">+SUM(AL101:AO101)</f>
        <v>-126391.46094999999</v>
      </c>
      <c r="AQ101" s="268" t="s">
        <v>1072</v>
      </c>
      <c r="AR101" s="268" t="str">
        <f>"$"&amp;ROW(IncSIntLog!$B$13)</f>
        <v>$13</v>
      </c>
      <c r="AS101" s="268" t="str">
        <f>"$"&amp;ROW(IncSIntLog!$B$13)</f>
        <v>$13</v>
      </c>
      <c r="AT101" s="268" t="s">
        <v>1072</v>
      </c>
      <c r="AU101" s="268" t="s">
        <v>1071</v>
      </c>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row>
    <row r="102" spans="1:79" s="867" customFormat="1" ht="13.5" customHeight="1" x14ac:dyDescent="0.2">
      <c r="A102" s="872"/>
      <c r="B102" s="877" t="s">
        <v>1158</v>
      </c>
      <c r="C102" s="891">
        <f t="shared" ref="C102:S102" ca="1" si="124">+C101/C100</f>
        <v>-0.8399864171382363</v>
      </c>
      <c r="D102" s="891">
        <f t="shared" ca="1" si="124"/>
        <v>-0.71068055617559478</v>
      </c>
      <c r="E102" s="891">
        <f t="shared" ca="1" si="124"/>
        <v>-0.84308987077073849</v>
      </c>
      <c r="F102" s="891">
        <f t="shared" ca="1" si="124"/>
        <v>-0.87405414389158875</v>
      </c>
      <c r="G102" s="915">
        <f t="shared" ca="1" si="124"/>
        <v>-0.81310102456554434</v>
      </c>
      <c r="H102" s="891">
        <f t="shared" ca="1" si="124"/>
        <v>-0.81045075762578278</v>
      </c>
      <c r="I102" s="891">
        <f t="shared" ca="1" si="124"/>
        <v>-0.80004887315938122</v>
      </c>
      <c r="J102" s="891">
        <f t="shared" ca="1" si="124"/>
        <v>-0.78278128503490219</v>
      </c>
      <c r="K102" s="891">
        <f t="shared" ca="1" si="124"/>
        <v>-0.8066071779830134</v>
      </c>
      <c r="L102" s="878">
        <f t="shared" ca="1" si="124"/>
        <v>-0.79992821749654697</v>
      </c>
      <c r="M102" s="891">
        <f t="shared" ca="1" si="124"/>
        <v>-0.65779699886127807</v>
      </c>
      <c r="N102" s="891">
        <f t="shared" ca="1" si="124"/>
        <v>-0.72400468482439206</v>
      </c>
      <c r="O102" s="891">
        <f t="shared" ca="1" si="124"/>
        <v>-0.63704535561615305</v>
      </c>
      <c r="P102" s="891">
        <f t="shared" ca="1" si="124"/>
        <v>-0.66508451765689247</v>
      </c>
      <c r="Q102" s="878">
        <f t="shared" ca="1" si="124"/>
        <v>-0.67008246668722382</v>
      </c>
      <c r="R102" s="891">
        <f t="shared" ca="1" si="124"/>
        <v>-0.61431534275846111</v>
      </c>
      <c r="S102" s="891">
        <f t="shared" ca="1" si="124"/>
        <v>-0.61843326519460839</v>
      </c>
      <c r="T102" s="891">
        <f t="shared" ref="T102:Y102" ca="1" si="125">+T101/T100</f>
        <v>-0.60949624330359886</v>
      </c>
      <c r="U102" s="891">
        <f t="shared" ca="1" si="125"/>
        <v>-0.63887900112658591</v>
      </c>
      <c r="V102" s="878">
        <f t="shared" ca="1" si="125"/>
        <v>-0.62008488473656342</v>
      </c>
      <c r="W102" s="891">
        <f t="shared" ca="1" si="125"/>
        <v>-0.69332301455612233</v>
      </c>
      <c r="X102" s="891">
        <f t="shared" ca="1" si="125"/>
        <v>-0.66011773350329217</v>
      </c>
      <c r="Y102" s="891">
        <f t="shared" ca="1" si="125"/>
        <v>-0.67820785227042524</v>
      </c>
      <c r="Z102" s="891">
        <f t="shared" ref="Z102:AF102" ca="1" si="126">+Z101/Z100</f>
        <v>-0.69414856648845968</v>
      </c>
      <c r="AA102" s="878">
        <f t="shared" ca="1" si="126"/>
        <v>-0.68080469451542702</v>
      </c>
      <c r="AB102" s="891">
        <f t="shared" ca="1" si="126"/>
        <v>-0.6377163538374554</v>
      </c>
      <c r="AC102" s="891">
        <f t="shared" ca="1" si="126"/>
        <v>-0.68298116448234991</v>
      </c>
      <c r="AD102" s="891">
        <f t="shared" ca="1" si="126"/>
        <v>-0.67005106128885283</v>
      </c>
      <c r="AE102" s="891">
        <f t="shared" ca="1" si="126"/>
        <v>-0.69156212347435175</v>
      </c>
      <c r="AF102" s="878">
        <f t="shared" ca="1" si="126"/>
        <v>-0.67019590738599744</v>
      </c>
      <c r="AG102" s="891">
        <f t="shared" ref="AG102:AM102" ca="1" si="127">+AG101/AG100</f>
        <v>-0.71702633862630805</v>
      </c>
      <c r="AH102" s="891">
        <f t="shared" ca="1" si="127"/>
        <v>-0.67409881710199504</v>
      </c>
      <c r="AI102" s="891">
        <f t="shared" ca="1" si="127"/>
        <v>-0.69641769017885957</v>
      </c>
      <c r="AJ102" s="891">
        <f t="shared" ca="1" si="127"/>
        <v>-0.66768533544149145</v>
      </c>
      <c r="AK102" s="878">
        <f t="shared" ca="1" si="127"/>
        <v>-0.68902438376013642</v>
      </c>
      <c r="AL102" s="891">
        <f t="shared" ca="1" si="127"/>
        <v>-0.73842470249158054</v>
      </c>
      <c r="AM102" s="891">
        <f t="shared" ca="1" si="127"/>
        <v>-0.72822064250747176</v>
      </c>
      <c r="AN102" s="891">
        <f t="shared" ref="AN102:AP102" ca="1" si="128">+AN101/AN100</f>
        <v>-0.73074259626282645</v>
      </c>
      <c r="AO102" s="891">
        <f t="shared" ca="1" si="128"/>
        <v>-0.77731720383680403</v>
      </c>
      <c r="AP102" s="878">
        <f t="shared" ca="1" si="128"/>
        <v>-0.74318340219056889</v>
      </c>
      <c r="AQ102" s="868"/>
      <c r="AR102" s="868"/>
      <c r="AS102" s="868"/>
      <c r="AT102" s="868"/>
      <c r="AU102" s="868"/>
      <c r="AV102" s="868"/>
      <c r="AY102" s="1041"/>
      <c r="AZ102" s="1041"/>
      <c r="BA102" s="868"/>
      <c r="BB102" s="868"/>
      <c r="BC102" s="868"/>
      <c r="BD102" s="868"/>
      <c r="BE102" s="868"/>
      <c r="BF102" s="868"/>
      <c r="BG102" s="868"/>
      <c r="BH102" s="868"/>
      <c r="BI102" s="868"/>
      <c r="BJ102" s="868"/>
      <c r="BK102" s="868"/>
      <c r="BL102" s="868"/>
      <c r="BM102" s="868"/>
      <c r="BN102" s="868"/>
      <c r="BO102" s="868"/>
      <c r="BP102" s="868"/>
      <c r="BQ102" s="868"/>
      <c r="BR102" s="868"/>
      <c r="BS102" s="868"/>
      <c r="BT102" s="868"/>
      <c r="BU102" s="868"/>
      <c r="BV102" s="868"/>
      <c r="BW102" s="868"/>
      <c r="BX102" s="868"/>
      <c r="BY102" s="868"/>
      <c r="BZ102" s="868"/>
      <c r="CA102" s="868"/>
    </row>
    <row r="103" spans="1:79" ht="13.5" customHeight="1" x14ac:dyDescent="0.2">
      <c r="B103" s="895" t="s">
        <v>1231</v>
      </c>
      <c r="C103" s="873">
        <f ca="1">+SUMIFS(INDIRECT(CONCATENATE("'",$AQ$93,$AR103,":",$AS103)),INDIRECT(CONCATENATE("'",$AQ103,$AR$92,":",$AS$92)),C$92)</f>
        <v>-1342.9465300000002</v>
      </c>
      <c r="D103" s="873">
        <f ca="1">+SUMIFS(INDIRECT(CONCATENATE("'",$AQ$93,$AR103,":",$AS103)),INDIRECT(CONCATENATE("'",$AQ103,$AR$92,":",$AS$92)),D$92)</f>
        <v>-4629.9583400000001</v>
      </c>
      <c r="E103" s="916">
        <f ca="1">+SUMIFS(INDIRECT(CONCATENATE("'",$AQ$93,$AR103,":",$AS103)),INDIRECT(CONCATENATE("'",$AQ103,$AR$92,":",$AS$92)),E$92)+5733</f>
        <v>-441.93514000000141</v>
      </c>
      <c r="F103" s="916">
        <f ca="1">+SUMIFS(INDIRECT(CONCATENATE("'",$AQ$93,$AR103,":",$AS103)),INDIRECT(CONCATENATE("'",$AQ103,$AR$92,":",$AS$92)),F$92)+5731</f>
        <v>-3461.1338500000002</v>
      </c>
      <c r="G103" s="930">
        <f ca="1">SUM(C103:F103)</f>
        <v>-9875.9738600000019</v>
      </c>
      <c r="H103" s="873">
        <f ca="1">+SUMIFS(INDIRECT(CONCATENATE("'",$AQ$93,$AR103,":",$AS103)),INDIRECT(CONCATENATE("'",$AQ103,$AR$92,":",$AS$92)),H$92)</f>
        <v>-667.74580000000003</v>
      </c>
      <c r="I103" s="873">
        <f ca="1">+SUMIFS(INDIRECT(CONCATENATE("'",$AQ$93,$AR103,":",$AS103)),INDIRECT(CONCATENATE("'",$AQ103,$AR$92,":",$AS$92)),I$92)</f>
        <v>-554.25487999999996</v>
      </c>
      <c r="J103" s="873">
        <f ca="1">+SUMIFS(INDIRECT(CONCATENATE("'",$AQ$93,$AR103,":",$AS103)),INDIRECT(CONCATENATE("'",$AQ103,$AR$92,":",$AS$92)),J$92)</f>
        <v>-382.59770999999995</v>
      </c>
      <c r="K103" s="916">
        <f ca="1">+SUMIFS(INDIRECT(CONCATENATE("'",$AQ$93,$AR103,":",$AS103)),INDIRECT(CONCATENATE("'",$AQ103,$AR$92,":",$AS$92)),K$92)+2859.05403</f>
        <v>-1731.2877800000001</v>
      </c>
      <c r="L103" s="930">
        <f ca="1">+SUM(H103:K103)</f>
        <v>-3335.8861700000002</v>
      </c>
      <c r="M103" s="873">
        <f ca="1">+SUMIFS(INDIRECT(CONCATENATE("'",$AQ$93,$AR103,":",$AS103)),INDIRECT(CONCATENATE("'",$AQ103,$AR$92,":",$AS$92)),M$92)</f>
        <v>600.34452999999996</v>
      </c>
      <c r="N103" s="873">
        <f ca="1">+SUMIFS(INDIRECT(CONCATENATE("'",$AQ$93,$AR103,":",$AS103)),INDIRECT(CONCATENATE("'",$AQ103,$AR$92,":",$AS$92)),N$92)</f>
        <v>446.94294000000008</v>
      </c>
      <c r="O103" s="916">
        <f ca="1">+SUMIFS(INDIRECT(CONCATENATE("'",$AQ$93,$AR103,":",$AS103)),INDIRECT(CONCATENATE("'",$AQ103,$AR$92,":",$AS$92)),O$92)-1794.21006</f>
        <v>-198.85109000000011</v>
      </c>
      <c r="P103" s="873">
        <f ca="1">+SUMIFS(INDIRECT(CONCATENATE("'",$AQ$93,$AR103,":",$AS103)),INDIRECT(CONCATENATE("'",$AQ103,$AR$92,":",$AS$92)),P$92)</f>
        <v>-1102.86581</v>
      </c>
      <c r="Q103" s="930">
        <f ca="1">+SUM(M103:P103)</f>
        <v>-254.42943000000014</v>
      </c>
      <c r="R103" s="873">
        <f ca="1">+SUMIFS(INDIRECT(CONCATENATE("'",$AQ$93,$AR103,":",$AS103)),INDIRECT(CONCATENATE("'",$AQ103,$AR$92,":",$AS$92)),R$92)</f>
        <v>-95.066719999999975</v>
      </c>
      <c r="S103" s="873">
        <f ca="1">+SUMIFS(INDIRECT(CONCATENATE("'",$AQ$93,$AR103,":",$AS103)),INDIRECT(CONCATENATE("'",$AQ103,$AR$92,":",$AS$92)),S$92)</f>
        <v>-199.52291000000005</v>
      </c>
      <c r="T103" s="873">
        <f ca="1">+SUMIFS(INDIRECT(CONCATENATE("'",$AQ$93,$AR103,":",$AS103)),INDIRECT(CONCATENATE("'",$AQ103,$AR$92,":",$AS$92)),T$92)</f>
        <v>-557.19947999999999</v>
      </c>
      <c r="U103" s="916">
        <f ca="1">+SUMIFS(INDIRECT(CONCATENATE("'",$AQ$93,$AR103,":",$AS103)),INDIRECT(CONCATENATE("'",$AQ103,$AR$92,":",$AS$92)),U$92)+2345</f>
        <v>499.13855000000012</v>
      </c>
      <c r="V103" s="930">
        <f ca="1">+SUM(R103:U103)</f>
        <v>-352.65055999999993</v>
      </c>
      <c r="W103" s="873">
        <f ca="1">+SUMIFS(INDIRECT(CONCATENATE("'",$AQ$93,$AR103,":",$AS103)),INDIRECT(CONCATENATE("'",$AQ103,$AR$92,":",$AS$92)),W$92)</f>
        <v>-76.880210000000019</v>
      </c>
      <c r="X103" s="916">
        <f ca="1">+SUMIFS(INDIRECT(CONCATENATE("'",$AQ$93,$AR103,":",$AS103)),INDIRECT(CONCATENATE("'",$AQ103,$AR$92,":",$AS$92)),X$92)-5732.71379</f>
        <v>-581.52906999999959</v>
      </c>
      <c r="Y103" s="873">
        <f ca="1">+SUMIFS(INDIRECT(CONCATENATE("'",$AQ$93,$AR103,":",$AS103)),INDIRECT(CONCATENATE("'",$AQ103,$AR$92,":",$AS$92)),Y$92)</f>
        <v>13.98998000000006</v>
      </c>
      <c r="Z103" s="916">
        <f ca="1">+SUMIFS(INDIRECT(CONCATENATE("'",$AQ$93,$AR103,":",$AS103)),INDIRECT(CONCATENATE("'",$AQ103,$AR$92,":",$AS$92)),Z$92)-2591</f>
        <v>-763.55877000000032</v>
      </c>
      <c r="AA103" s="930">
        <f ca="1">+SUM(W103:Z103)</f>
        <v>-1407.9780699999999</v>
      </c>
      <c r="AB103" s="873">
        <f ca="1">+SUMIFS(INDIRECT(CONCATENATE("'",$AQ$93,$AR103,":",$AS103)),INDIRECT(CONCATENATE("'",$AQ103,$AR$92,":",$AS$92)),AB$92)</f>
        <v>-202.53901000000008</v>
      </c>
      <c r="AC103" s="873">
        <f ca="1">+SUMIFS(INDIRECT(CONCATENATE("'",$AQ$93,$AR103,":",$AS103)),INDIRECT(CONCATENATE("'",$AQ103,$AR$92,":",$AS$92)),AC$92)</f>
        <v>-829.83764999999994</v>
      </c>
      <c r="AD103" s="873">
        <f ca="1">+SUMIFS(INDIRECT(CONCATENATE("'",$AQ$93,$AR103,":",$AS103)),INDIRECT(CONCATENATE("'",$AQ103,$AR$92,":",$AS$92)),AD$92)</f>
        <v>-11.300450000000097</v>
      </c>
      <c r="AE103" s="873">
        <f ca="1">+SUMIFS(INDIRECT(CONCATENATE("'",$AQ$93,$AR103,":",$AS103)),INDIRECT(CONCATENATE("'",$AQ103,$AR$92,":",$AS$92)),AE$92)</f>
        <v>-142.48084999999998</v>
      </c>
      <c r="AF103" s="645">
        <f ca="1">+SUM(AB103:AE103)</f>
        <v>-1186.15796</v>
      </c>
      <c r="AG103" s="873">
        <f ca="1">+SUMIFS(INDIRECT(CONCATENATE("'",$AQ$93,$AR103,":",$AS103)),INDIRECT(CONCATENATE("'",$AQ103,$AR$92,":",$AS$92)),AG$92)</f>
        <v>92.010109999999983</v>
      </c>
      <c r="AH103" s="873">
        <f ca="1">+SUMIFS(INDIRECT(CONCATENATE("'",$AQ$93,$AR103,":",$AS103)),INDIRECT(CONCATENATE("'",$AQ103,$AR$92,":",$AS$92)),AH$92)</f>
        <v>-84.018460000000218</v>
      </c>
      <c r="AI103" s="873">
        <f ca="1">+SUMIFS(INDIRECT(CONCATENATE("'",$AQ$93,$AR103,":",$AS103)),INDIRECT(CONCATENATE("'",$AQ103,$AR$92,":",$AS$92)),AI$92)</f>
        <v>-74.616739999999965</v>
      </c>
      <c r="AJ103" s="873">
        <f ca="1">+SUMIFS(INDIRECT(CONCATENATE("'",$AQ$93,$AR103,":",$AS103)),INDIRECT(CONCATENATE("'",$AQ103,$AR$92,":",$AS$92)),AJ$92)</f>
        <v>-1699.2201799999996</v>
      </c>
      <c r="AK103" s="645">
        <f ca="1">+SUM(AG103:AJ103)</f>
        <v>-1765.8452699999998</v>
      </c>
      <c r="AL103" s="916">
        <f ca="1">+SUMIFS(INDIRECT(CONCATENATE("'",$AQ$93,$AR103,":",$AS103)),INDIRECT(CONCATENATE("'",$AQ103,$AR$92,":",$AS$92)),AL$92)</f>
        <v>-2540.4430400000001</v>
      </c>
      <c r="AM103" s="916">
        <f ca="1">+SUMIFS(INDIRECT(CONCATENATE("'",$AQ$93,$AR103,":",$AS103)),INDIRECT(CONCATENATE("'",$AQ103,$AR$92,":",$AS$92)),AM$92)</f>
        <v>-1844.8559499999999</v>
      </c>
      <c r="AN103" s="916">
        <f ca="1">+SUMIFS(INDIRECT(CONCATENATE("'",$AQ$93,$AR103,":",$AS103)),INDIRECT(CONCATENATE("'",$AQ103,$AR$92,":",$AS$92)),AN$92)</f>
        <v>-3253.43165</v>
      </c>
      <c r="AO103" s="916">
        <f ca="1">+SUMIFS(INDIRECT(CONCATENATE("'",$AQ$93,$AR103,":",$AS103)),INDIRECT(CONCATENATE("'",$AQ103,$AR$92,":",$AS$92)),AO$92)</f>
        <v>-3407.9472599999999</v>
      </c>
      <c r="AP103" s="930">
        <f ca="1">+SUM(AL103:AO103)</f>
        <v>-11046.677899999999</v>
      </c>
      <c r="AQ103" s="268" t="s">
        <v>1072</v>
      </c>
      <c r="AR103" s="268" t="str">
        <f>"$"&amp;ROW(IncSIntLog!$B$15)</f>
        <v>$15</v>
      </c>
      <c r="AS103" s="268" t="str">
        <f>"$"&amp;ROW(IncSIntLog!$B$15)</f>
        <v>$15</v>
      </c>
      <c r="AT103" s="268" t="s">
        <v>1072</v>
      </c>
      <c r="AU103" s="268" t="s">
        <v>1071</v>
      </c>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row>
    <row r="104" spans="1:79" s="867" customFormat="1" ht="13.5" customHeight="1" x14ac:dyDescent="0.2">
      <c r="A104" s="872"/>
      <c r="B104" s="877" t="s">
        <v>1158</v>
      </c>
      <c r="C104" s="891">
        <f t="shared" ref="C104:S104" ca="1" si="129">+C103/C100</f>
        <v>-3.3410169350108973E-2</v>
      </c>
      <c r="D104" s="891">
        <f t="shared" ca="1" si="129"/>
        <v>-9.3845362834418966E-2</v>
      </c>
      <c r="E104" s="891">
        <f t="shared" ca="1" si="129"/>
        <v>-1.0594556736891997E-2</v>
      </c>
      <c r="F104" s="891">
        <f t="shared" ca="1" si="129"/>
        <v>-7.7521330239184061E-2</v>
      </c>
      <c r="G104" s="915">
        <f t="shared" ca="1" si="129"/>
        <v>-5.6147719724263467E-2</v>
      </c>
      <c r="H104" s="891">
        <f t="shared" ca="1" si="129"/>
        <v>-1.68572524143028E-2</v>
      </c>
      <c r="I104" s="891">
        <f t="shared" ca="1" si="129"/>
        <v>-1.4865470336815099E-2</v>
      </c>
      <c r="J104" s="891">
        <f t="shared" ca="1" si="129"/>
        <v>-9.4757072925293305E-3</v>
      </c>
      <c r="K104" s="891">
        <f t="shared" ca="1" si="129"/>
        <v>-4.266530237651095E-2</v>
      </c>
      <c r="L104" s="878">
        <f t="shared" ca="1" si="129"/>
        <v>-2.1133059775933986E-2</v>
      </c>
      <c r="M104" s="891">
        <f t="shared" ca="1" si="129"/>
        <v>1.5893001046794034E-2</v>
      </c>
      <c r="N104" s="891">
        <f t="shared" ca="1" si="129"/>
        <v>1.1923837223643811E-2</v>
      </c>
      <c r="O104" s="891">
        <f t="shared" ca="1" si="129"/>
        <v>-4.8581287521054601E-3</v>
      </c>
      <c r="P104" s="891">
        <f t="shared" ca="1" si="129"/>
        <v>-2.6909289103028651E-2</v>
      </c>
      <c r="Q104" s="878">
        <f t="shared" ca="1" si="129"/>
        <v>-1.6187808111131246E-3</v>
      </c>
      <c r="R104" s="891">
        <f t="shared" ca="1" si="129"/>
        <v>-2.4384885251211652E-3</v>
      </c>
      <c r="S104" s="891">
        <f t="shared" ca="1" si="129"/>
        <v>-4.6118764086685174E-3</v>
      </c>
      <c r="T104" s="891">
        <f t="shared" ref="T104:Y104" ca="1" si="130">+T103/T100</f>
        <v>-1.274353105255142E-2</v>
      </c>
      <c r="U104" s="891">
        <f t="shared" ca="1" si="130"/>
        <v>1.2353592971328589E-2</v>
      </c>
      <c r="V104" s="878">
        <f t="shared" ca="1" si="130"/>
        <v>-2.119584713485269E-3</v>
      </c>
      <c r="W104" s="891">
        <f t="shared" ca="1" si="130"/>
        <v>-2.3235488291474954E-3</v>
      </c>
      <c r="X104" s="891">
        <f t="shared" ca="1" si="130"/>
        <v>-1.5871718576674142E-2</v>
      </c>
      <c r="Y104" s="891">
        <f t="shared" ca="1" si="130"/>
        <v>3.7690218700608665E-4</v>
      </c>
      <c r="Z104" s="891">
        <f t="shared" ref="Z104:AF104" ca="1" si="131">+Z103/Z100</f>
        <v>-2.3148647402444412E-2</v>
      </c>
      <c r="AA104" s="878">
        <f t="shared" ca="1" si="131"/>
        <v>-1.0069206430486125E-2</v>
      </c>
      <c r="AB104" s="891">
        <f t="shared" ca="1" si="131"/>
        <v>-5.1573958916232574E-3</v>
      </c>
      <c r="AC104" s="891">
        <f t="shared" ca="1" si="131"/>
        <v>-2.1591720970126176E-2</v>
      </c>
      <c r="AD104" s="891">
        <f t="shared" ca="1" si="131"/>
        <v>-2.6665456276203506E-4</v>
      </c>
      <c r="AE104" s="891">
        <f t="shared" ca="1" si="131"/>
        <v>-3.852131354449314E-3</v>
      </c>
      <c r="AF104" s="878">
        <f t="shared" ca="1" si="131"/>
        <v>-7.5517381531917342E-3</v>
      </c>
      <c r="AG104" s="891">
        <f t="shared" ref="AG104:AM104" ca="1" si="132">+AG103/AG100</f>
        <v>2.3593429337943356E-3</v>
      </c>
      <c r="AH104" s="891">
        <f t="shared" ca="1" si="132"/>
        <v>-2.3503583874786294E-3</v>
      </c>
      <c r="AI104" s="891">
        <f t="shared" ca="1" si="132"/>
        <v>-1.8131449186976759E-3</v>
      </c>
      <c r="AJ104" s="891">
        <f t="shared" ca="1" si="132"/>
        <v>-4.2028660538259099E-2</v>
      </c>
      <c r="AK104" s="878">
        <f t="shared" ca="1" si="132"/>
        <v>-1.1295732962515528E-2</v>
      </c>
      <c r="AL104" s="891">
        <f t="shared" ca="1" si="132"/>
        <v>-6.098192619803406E-2</v>
      </c>
      <c r="AM104" s="891">
        <f t="shared" ca="1" si="132"/>
        <v>-4.0490206764686995E-2</v>
      </c>
      <c r="AN104" s="891">
        <f t="shared" ref="AN104:AP104" ca="1" si="133">+AN103/AN100</f>
        <v>-7.7792179151096846E-2</v>
      </c>
      <c r="AO104" s="891">
        <f t="shared" ca="1" si="133"/>
        <v>-8.3072847397405031E-2</v>
      </c>
      <c r="AP104" s="878">
        <f t="shared" ca="1" si="133"/>
        <v>-6.4954606924538194E-2</v>
      </c>
      <c r="AQ104" s="868"/>
      <c r="AR104" s="868"/>
      <c r="AS104" s="868"/>
      <c r="AT104" s="868"/>
      <c r="AU104" s="868"/>
      <c r="AV104" s="868"/>
      <c r="AY104" s="1041"/>
      <c r="AZ104" s="1041"/>
      <c r="BA104" s="868"/>
      <c r="BB104" s="868"/>
      <c r="BC104" s="868"/>
      <c r="BD104" s="868"/>
      <c r="BE104" s="868"/>
      <c r="BF104" s="868"/>
      <c r="BG104" s="868"/>
      <c r="BH104" s="868"/>
      <c r="BI104" s="868"/>
      <c r="BJ104" s="868"/>
      <c r="BK104" s="868"/>
      <c r="BL104" s="868"/>
      <c r="BM104" s="868"/>
      <c r="BN104" s="868"/>
      <c r="BO104" s="868"/>
      <c r="BP104" s="868"/>
      <c r="BQ104" s="868"/>
      <c r="BR104" s="868"/>
      <c r="BS104" s="868"/>
      <c r="BT104" s="868"/>
      <c r="BU104" s="868"/>
      <c r="BV104" s="868"/>
      <c r="BW104" s="868"/>
      <c r="BX104" s="868"/>
      <c r="BY104" s="868"/>
      <c r="BZ104" s="868"/>
      <c r="CA104" s="868"/>
    </row>
    <row r="105" spans="1:79" ht="13.5" customHeight="1" x14ac:dyDescent="0.2">
      <c r="A105" s="24"/>
      <c r="B105" s="937" t="s">
        <v>1153</v>
      </c>
      <c r="C105" s="938">
        <f ca="1">+C113-C112-C111-C110</f>
        <v>5088.9180800000113</v>
      </c>
      <c r="D105" s="938">
        <f t="shared" ref="D105:X105" ca="1" si="134">+D113-D112-D111-D110</f>
        <v>9643.9165899999971</v>
      </c>
      <c r="E105" s="1025">
        <f t="shared" ca="1" si="134"/>
        <v>6103.3221699999922</v>
      </c>
      <c r="F105" s="1025">
        <f t="shared" ca="1" si="134"/>
        <v>2162.0341799999933</v>
      </c>
      <c r="G105" s="1026">
        <f ca="1">+SUM(C105:F105)</f>
        <v>22998.191019999991</v>
      </c>
      <c r="H105" s="938">
        <f t="shared" ca="1" si="134"/>
        <v>6840.637380000001</v>
      </c>
      <c r="I105" s="938">
        <f t="shared" ca="1" si="134"/>
        <v>6900.8666400000002</v>
      </c>
      <c r="J105" s="1025">
        <f t="shared" ca="1" si="134"/>
        <v>8387.9753299999993</v>
      </c>
      <c r="K105" s="1025">
        <f t="shared" ca="1" si="134"/>
        <v>6116.2747789860023</v>
      </c>
      <c r="L105" s="1026">
        <f ca="1">+SUM(H105:K105)</f>
        <v>28245.754128986002</v>
      </c>
      <c r="M105" s="938">
        <f t="shared" ca="1" si="134"/>
        <v>13526.770400000001</v>
      </c>
      <c r="N105" s="938">
        <f t="shared" ca="1" si="134"/>
        <v>10792.115830000002</v>
      </c>
      <c r="O105" s="1025">
        <f t="shared" ca="1" si="134"/>
        <v>14657.471238841325</v>
      </c>
      <c r="P105" s="938">
        <f t="shared" ca="1" si="134"/>
        <v>12623.503299999997</v>
      </c>
      <c r="Q105" s="1026">
        <f ca="1">+SUM(M105:P105)</f>
        <v>51599.860768841325</v>
      </c>
      <c r="R105" s="938">
        <f t="shared" ca="1" si="134"/>
        <v>14941.204700000004</v>
      </c>
      <c r="S105" s="938">
        <f t="shared" ca="1" si="134"/>
        <v>16308.140899999999</v>
      </c>
      <c r="T105" s="938">
        <f t="shared" ca="1" si="134"/>
        <v>16517.227480000005</v>
      </c>
      <c r="U105" s="1025">
        <f t="shared" ca="1" si="134"/>
        <v>15089.987720000001</v>
      </c>
      <c r="V105" s="1026">
        <f ca="1">+SUM(R105:U105)</f>
        <v>62856.560800000007</v>
      </c>
      <c r="W105" s="938">
        <f t="shared" ca="1" si="134"/>
        <v>10070.26658</v>
      </c>
      <c r="X105" s="1025">
        <f t="shared" ca="1" si="134"/>
        <v>11871.528069999995</v>
      </c>
      <c r="Y105" s="938">
        <f ca="1">+Y113-Y112-Y111-Y110</f>
        <v>11958.377320000003</v>
      </c>
      <c r="Z105" s="1025">
        <f ca="1">+Z113-Z112-Z111-Z110</f>
        <v>9324.9591600000094</v>
      </c>
      <c r="AA105" s="1026">
        <f ca="1">+SUM(W105:Z105)</f>
        <v>43225.131130000009</v>
      </c>
      <c r="AB105" s="938">
        <f ca="1">+AB113-AB112-AB111-AB110</f>
        <v>14024.906889999991</v>
      </c>
      <c r="AC105" s="938">
        <f ca="1">+AC113-AC112-AC111-AC110</f>
        <v>11354.191860000004</v>
      </c>
      <c r="AD105" s="938">
        <f ca="1">+AD113-AD112-AD111-AD110</f>
        <v>13971.477289999993</v>
      </c>
      <c r="AE105" s="938">
        <f ca="1">+AE113-AE112-AE111-AE110</f>
        <v>11265.87644</v>
      </c>
      <c r="AF105" s="1134">
        <f ca="1">+SUM(AB105:AE105)</f>
        <v>50616.452479999993</v>
      </c>
      <c r="AG105" s="938">
        <f ca="1">+AG113-AG112-AG111-AG110</f>
        <v>11127.471440000001</v>
      </c>
      <c r="AH105" s="938">
        <f ca="1">+AH113-AH112-AH111-AH110</f>
        <v>11565.998679999997</v>
      </c>
      <c r="AI105" s="938">
        <f ca="1">+AI113-AI112-AI111-AI110</f>
        <v>12418.770880000007</v>
      </c>
      <c r="AJ105" s="938">
        <f ca="1">+AJ113-AJ112-AJ111-AJ110</f>
        <v>11736.273050000003</v>
      </c>
      <c r="AK105" s="1134">
        <f ca="1">+SUM(AG105:AJ105)</f>
        <v>46848.514050000013</v>
      </c>
      <c r="AL105" s="938">
        <f ca="1">+AL113-AL112-AL111-AL110</f>
        <v>8356.5093099999958</v>
      </c>
      <c r="AM105" s="938">
        <f ca="1">+AM113-AM112-AM111-AM110</f>
        <v>10538.231340000004</v>
      </c>
      <c r="AN105" s="938">
        <f ca="1">+AN113-AN112-AN111-AN110</f>
        <v>8007.476179999996</v>
      </c>
      <c r="AO105" s="938">
        <f ca="1">+AO113-AO112-AO111-AO110</f>
        <v>5727.3026900000013</v>
      </c>
      <c r="AP105" s="1134">
        <f ca="1">+SUM(AL105:AO105)</f>
        <v>32629.519519999998</v>
      </c>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row>
    <row r="106" spans="1:79" s="867" customFormat="1" ht="13.5" customHeight="1" x14ac:dyDescent="0.2">
      <c r="A106" s="872"/>
      <c r="B106" s="877" t="s">
        <v>259</v>
      </c>
      <c r="C106" s="876">
        <f t="shared" ref="C106:X106" ca="1" si="135">+C105/C100</f>
        <v>0.12660341351165469</v>
      </c>
      <c r="D106" s="876">
        <f t="shared" ca="1" si="135"/>
        <v>0.19547408098998623</v>
      </c>
      <c r="E106" s="876">
        <f t="shared" ca="1" si="135"/>
        <v>0.14631557249236957</v>
      </c>
      <c r="F106" s="876">
        <f t="shared" ca="1" si="135"/>
        <v>4.8424525869227214E-2</v>
      </c>
      <c r="G106" s="875">
        <f t="shared" ca="1" si="135"/>
        <v>0.13075125571019203</v>
      </c>
      <c r="H106" s="876">
        <f t="shared" ca="1" si="135"/>
        <v>0.17269198995991439</v>
      </c>
      <c r="I106" s="876">
        <f t="shared" ca="1" si="135"/>
        <v>0.18508565650380362</v>
      </c>
      <c r="J106" s="876">
        <f t="shared" ca="1" si="135"/>
        <v>0.20774300767256845</v>
      </c>
      <c r="K106" s="876">
        <f t="shared" ca="1" si="135"/>
        <v>0.15072751964047565</v>
      </c>
      <c r="L106" s="875">
        <f t="shared" ca="1" si="135"/>
        <v>0.17893872272751901</v>
      </c>
      <c r="M106" s="876">
        <f t="shared" ca="1" si="135"/>
        <v>0.35809600218551607</v>
      </c>
      <c r="N106" s="876">
        <f t="shared" ca="1" si="135"/>
        <v>0.28791915239925175</v>
      </c>
      <c r="O106" s="876">
        <f t="shared" ca="1" si="135"/>
        <v>0.3580965156317415</v>
      </c>
      <c r="P106" s="876">
        <f t="shared" ca="1" si="135"/>
        <v>0.30800619324007888</v>
      </c>
      <c r="Q106" s="875">
        <f t="shared" ca="1" si="135"/>
        <v>0.32829875250166307</v>
      </c>
      <c r="R106" s="876">
        <f t="shared" ca="1" si="135"/>
        <v>0.3832461687164177</v>
      </c>
      <c r="S106" s="876">
        <f t="shared" ca="1" si="135"/>
        <v>0.37695485839672316</v>
      </c>
      <c r="T106" s="876">
        <f t="shared" ca="1" si="135"/>
        <v>0.3777602256438497</v>
      </c>
      <c r="U106" s="876">
        <f t="shared" ca="1" si="135"/>
        <v>0.37347459184474269</v>
      </c>
      <c r="V106" s="875">
        <f t="shared" ca="1" si="135"/>
        <v>0.37779553054995124</v>
      </c>
      <c r="W106" s="876">
        <f t="shared" ca="1" si="135"/>
        <v>0.30435343661473013</v>
      </c>
      <c r="X106" s="876">
        <f t="shared" ca="1" si="135"/>
        <v>0.32401054792003359</v>
      </c>
      <c r="Y106" s="876">
        <f t="shared" ref="Y106:AD106" ca="1" si="136">+Y105/Y100</f>
        <v>0.32216904991658085</v>
      </c>
      <c r="Z106" s="876">
        <f t="shared" ca="1" si="136"/>
        <v>0.28270278610909588</v>
      </c>
      <c r="AA106" s="875">
        <f t="shared" ca="1" si="136"/>
        <v>0.30912609905408689</v>
      </c>
      <c r="AB106" s="876">
        <f t="shared" ca="1" si="136"/>
        <v>0.35712625027092132</v>
      </c>
      <c r="AC106" s="876">
        <f t="shared" ca="1" si="136"/>
        <v>0.29542711454752391</v>
      </c>
      <c r="AD106" s="876">
        <f t="shared" ca="1" si="136"/>
        <v>0.32968228414838513</v>
      </c>
      <c r="AE106" s="876">
        <f t="shared" ref="AE106:AM106" ca="1" si="137">+AE105/AE100</f>
        <v>0.30458574517119896</v>
      </c>
      <c r="AF106" s="875">
        <f t="shared" ca="1" si="137"/>
        <v>0.32225235446081085</v>
      </c>
      <c r="AG106" s="876">
        <f t="shared" ca="1" si="137"/>
        <v>0.28533300430748632</v>
      </c>
      <c r="AH106" s="876">
        <f t="shared" ca="1" si="137"/>
        <v>0.32355082451052636</v>
      </c>
      <c r="AI106" s="876">
        <f t="shared" ca="1" si="137"/>
        <v>0.30176916490244265</v>
      </c>
      <c r="AJ106" s="876">
        <f t="shared" ca="1" si="137"/>
        <v>0.29028600402024946</v>
      </c>
      <c r="AK106" s="875">
        <f t="shared" ca="1" si="137"/>
        <v>0.29967988327734801</v>
      </c>
      <c r="AL106" s="876">
        <f t="shared" ca="1" si="137"/>
        <v>0.2005933713103854</v>
      </c>
      <c r="AM106" s="876">
        <f t="shared" ca="1" si="137"/>
        <v>0.2312891507278412</v>
      </c>
      <c r="AN106" s="876">
        <f t="shared" ref="AN106:AP106" ca="1" si="138">+AN105/AN100</f>
        <v>0.19146522458607676</v>
      </c>
      <c r="AO106" s="876">
        <f t="shared" ca="1" si="138"/>
        <v>0.13960994876579089</v>
      </c>
      <c r="AP106" s="875">
        <f t="shared" ca="1" si="138"/>
        <v>0.19186199088489275</v>
      </c>
      <c r="AQ106" s="868"/>
      <c r="AR106" s="868"/>
      <c r="AS106" s="868"/>
      <c r="AT106" s="868"/>
      <c r="AU106" s="868"/>
      <c r="AV106" s="868"/>
      <c r="AY106" s="1041"/>
      <c r="AZ106" s="1041"/>
      <c r="BA106" s="868"/>
      <c r="BB106" s="868"/>
      <c r="BC106" s="868"/>
      <c r="BD106" s="868"/>
      <c r="BE106" s="868"/>
      <c r="BF106" s="868"/>
      <c r="BG106" s="868"/>
      <c r="BH106" s="868"/>
      <c r="BI106" s="868"/>
      <c r="BJ106" s="868"/>
      <c r="BK106" s="868"/>
      <c r="BL106" s="868"/>
      <c r="BM106" s="868"/>
      <c r="BN106" s="868"/>
      <c r="BO106" s="868"/>
      <c r="BP106" s="868"/>
      <c r="BQ106" s="868"/>
      <c r="BR106" s="868"/>
      <c r="BS106" s="868"/>
      <c r="BT106" s="868"/>
      <c r="BU106" s="868"/>
      <c r="BV106" s="868"/>
      <c r="BW106" s="868"/>
      <c r="BX106" s="868"/>
      <c r="BY106" s="868"/>
      <c r="BZ106" s="868"/>
      <c r="CA106" s="868"/>
    </row>
    <row r="107" spans="1:79" ht="13.5" customHeight="1" x14ac:dyDescent="0.2">
      <c r="A107" s="914"/>
      <c r="B107" s="874" t="s">
        <v>1067</v>
      </c>
      <c r="C107" s="873">
        <v>0</v>
      </c>
      <c r="D107" s="873">
        <v>0</v>
      </c>
      <c r="E107" s="873">
        <v>0</v>
      </c>
      <c r="F107" s="873">
        <v>0</v>
      </c>
      <c r="G107" s="645" t="s">
        <v>47</v>
      </c>
      <c r="H107" s="873">
        <v>0</v>
      </c>
      <c r="I107" s="873">
        <v>0</v>
      </c>
      <c r="J107" s="873">
        <v>0</v>
      </c>
      <c r="K107" s="873">
        <v>0</v>
      </c>
      <c r="L107" s="645" t="s">
        <v>47</v>
      </c>
      <c r="M107" s="873">
        <f ca="1">+SUMIFS(INDIRECT(CONCATENATE("'",$AQ107,$AR107,":",$AS107)),INDIRECT(CONCATENATE("'",$AQ107,$AR$89,":",$AS$89)),M$35)</f>
        <v>-4719</v>
      </c>
      <c r="N107" s="873">
        <f ca="1">+SUMIFS(INDIRECT(CONCATENATE("'",$AQ107,$AR107,":",$AS107)),INDIRECT(CONCATENATE("'",$AQ107,$AR$89,":",$AS$89)),N$35)</f>
        <v>-3891</v>
      </c>
      <c r="O107" s="873">
        <f ca="1">+SUMIFS(INDIRECT(CONCATENATE("'",$AQ107,$AR107,":",$AS107)),INDIRECT(CONCATENATE("'",$AQ107,$AR$89,":",$AS$89)),O$35)</f>
        <v>-4334</v>
      </c>
      <c r="P107" s="873">
        <f ca="1">+SUMIFS(INDIRECT(CONCATENATE("'",$AQ107,$AR107,":",$AS107)),INDIRECT(CONCATENATE("'",$AQ107,$AR$89,":",$AS$89)),P$35)</f>
        <v>-4368.29738</v>
      </c>
      <c r="Q107" s="645">
        <f ca="1">SUM(M107:P107)</f>
        <v>-17312.29738</v>
      </c>
      <c r="R107" s="873">
        <f ca="1">+SUMIFS(INDIRECT(CONCATENATE("'",$AQ107,$AR107,":",$AS107)),INDIRECT(CONCATENATE("'",$AQ107,$AR$89,":",$AS$89)),R$35)</f>
        <v>-4649.11193</v>
      </c>
      <c r="S107" s="873">
        <f ca="1">+SUMIFS(INDIRECT(CONCATENATE("'",$AQ107,$AR107,":",$AS107)),INDIRECT(CONCATENATE("'",$AQ107,$AR$89,":",$AS$89)),S$35)</f>
        <v>-4410.0316700000003</v>
      </c>
      <c r="T107" s="873">
        <f ca="1">+SUMIFS(INDIRECT(CONCATENATE("'",$AQ107,$AR107,":",$AS107)),INDIRECT(CONCATENATE("'",$AQ107,$AR$89,":",$AS$89)),T$35)</f>
        <v>-4105.63141</v>
      </c>
      <c r="U107" s="873">
        <f ca="1">+SUMIFS(INDIRECT(CONCATENATE("'",$AQ107,$AR107,":",$AS107)),INDIRECT(CONCATENATE("'",$AQ107,$AR$89,":",$AS$89)),U$35)</f>
        <v>-4024.5754499999998</v>
      </c>
      <c r="V107" s="645">
        <f ca="1">SUM(R107:U107)</f>
        <v>-17189.350459999998</v>
      </c>
      <c r="W107" s="873">
        <f ca="1">+SUMIFS(INDIRECT(CONCATENATE("'",$AQ107,$AR107,":",$AS107)),INDIRECT(CONCATENATE("'",$AQ107,$AR$89,":",$AS$89)),W$35)</f>
        <v>-2208.1629600000001</v>
      </c>
      <c r="X107" s="873">
        <f ca="1">+SUMIFS(INDIRECT(CONCATENATE("'",$AQ107,$AR107,":",$AS107)),INDIRECT(CONCATENATE("'",$AQ107,$AR$89,":",$AS$89)),X$35)</f>
        <v>-2587.8254499999998</v>
      </c>
      <c r="Y107" s="873">
        <f ca="1">+SUMIFS(INDIRECT(CONCATENATE("'",$AQ107,$AR107,":",$AS107)),INDIRECT(CONCATENATE("'",$AQ107,$AR$89,":",$AS$89)),Y$35)</f>
        <v>-2588.4667799999984</v>
      </c>
      <c r="Z107" s="873">
        <f ca="1">+SUMIFS(INDIRECT(CONCATENATE("'",$AQ107,$AR107,":",$AS107)),INDIRECT(CONCATENATE("'",$AQ107,$AR$89,":",$AS$89)),Z$35)</f>
        <v>-2576.5198399999999</v>
      </c>
      <c r="AA107" s="645">
        <f ca="1">SUM(W107:Z107)</f>
        <v>-9960.9750299999978</v>
      </c>
      <c r="AB107" s="873">
        <f ca="1">+SUMIFS(INDIRECT(CONCATENATE("'",$AQ107,$AR107,":",$AS107)),INDIRECT(CONCATENATE("'",$AQ107,$AR$89,":",$AS$89)),AB$35)</f>
        <v>-2932.1561299999998</v>
      </c>
      <c r="AC107" s="873">
        <f ca="1">+SUMIFS(INDIRECT(CONCATENATE("'",$AQ107,$AR107,":",$AS107)),INDIRECT(CONCATENATE("'",$AQ107,$AR$89,":",$AS$89)),AC$35)</f>
        <v>-2939.8680899999995</v>
      </c>
      <c r="AD107" s="873">
        <f ca="1">+SUMIFS(INDIRECT(CONCATENATE("'",$AQ107,$AR107,":",$AS107)),INDIRECT(CONCATENATE("'",$AQ107,$AR$89,":",$AS$89)),AD$35)</f>
        <v>-2957.4588600000002</v>
      </c>
      <c r="AE107" s="873">
        <f ca="1">+SUMIFS(INDIRECT(CONCATENATE("'",$AQ107,$AR107,":",$AS107)),INDIRECT(CONCATENATE("'",$AQ107,$AR$89,":",$AS$89)),AE$35)</f>
        <v>-2981.36715</v>
      </c>
      <c r="AF107" s="645">
        <f ca="1">SUM(AB107:AE107)</f>
        <v>-11810.85023</v>
      </c>
      <c r="AG107" s="873">
        <f ca="1">+SUMIFS(INDIRECT(CONCATENATE("'",$AQ107,$AR107,":",$AS107)),INDIRECT(CONCATENATE("'",$AQ107,$AR$89,":",$AS$89)),AG$35)</f>
        <v>-2965.89284</v>
      </c>
      <c r="AH107" s="873">
        <f ca="1">+SUMIFS(INDIRECT(CONCATENATE("'",$AQ107,$AR107,":",$AS107)),INDIRECT(CONCATENATE("'",$AQ107,$AR$89,":",$AS$89)),AH$35)</f>
        <v>-2687.7272699999999</v>
      </c>
      <c r="AI107" s="873">
        <f ca="1">+SUMIFS(INDIRECT(CONCATENATE("'",$AQ107,$AR107,":",$AS107)),INDIRECT(CONCATENATE("'",$AQ107,$AR$89,":",$AS$89)),AI$35)</f>
        <v>-2919.9746599999999</v>
      </c>
      <c r="AJ107" s="873">
        <f ca="1">+SUMIFS(INDIRECT(CONCATENATE("'",$AQ107,$AR107,":",$AS107)),INDIRECT(CONCATENATE("'",$AQ107,$AR$89,":",$AS$89)),AJ$35)</f>
        <v>-2809.4375100000002</v>
      </c>
      <c r="AK107" s="645">
        <f ca="1">SUM(AG107:AJ107)</f>
        <v>-11383.032279999999</v>
      </c>
      <c r="AL107" s="873">
        <f ca="1">+SUMIFS(INDIRECT(CONCATENATE("'",$AQ107,$AR107,":",$AS107)),INDIRECT(CONCATENATE("'",$AQ107,$AR$89,":",$AS$89)),AL$35)</f>
        <v>-2823.2623800000001</v>
      </c>
      <c r="AM107" s="873">
        <f ca="1">+SUMIFS(INDIRECT(CONCATENATE("'",$AQ107,$AR107,":",$AS107)),INDIRECT(CONCATENATE("'",$AQ107,$AR$89,":",$AS$89)),AM$35)</f>
        <v>-2831.43163</v>
      </c>
      <c r="AN107" s="873">
        <f ca="1">+SUMIFS(INDIRECT(CONCATENATE("'",$AQ107,$AR107,":",$AS107)),INDIRECT(CONCATENATE("'",$AQ107,$AR$89,":",$AS$89)),AN$35)</f>
        <v>-2885.5690199999999</v>
      </c>
      <c r="AO107" s="873">
        <f ca="1">+SUMIFS(INDIRECT(CONCATENATE("'",$AQ107,$AR107,":",$AS107)),INDIRECT(CONCATENATE("'",$AQ107,$AR$89,":",$AS$89)),AO$35)</f>
        <v>-2612.3018499999998</v>
      </c>
      <c r="AP107" s="645">
        <f ca="1">SUM(AL107:AO107)</f>
        <v>-11152.56488</v>
      </c>
      <c r="AQ107" s="268" t="s">
        <v>1066</v>
      </c>
      <c r="AR107" s="268" t="str">
        <f>"$"&amp;ROW(Attachments!$B$13)</f>
        <v>$13</v>
      </c>
      <c r="AS107" s="268" t="str">
        <f>"$"&amp;ROW(Attachments!$B$13)</f>
        <v>$13</v>
      </c>
      <c r="AT107" s="268" t="s">
        <v>1066</v>
      </c>
      <c r="AU107" s="268" t="s">
        <v>1065</v>
      </c>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row>
    <row r="108" spans="1:79" ht="13.5" customHeight="1" x14ac:dyDescent="0.2">
      <c r="A108" s="24"/>
      <c r="B108" s="882" t="s">
        <v>1152</v>
      </c>
      <c r="C108" s="881">
        <f ca="1">+C113-C111-C112+C107-C110</f>
        <v>5088.9180800000113</v>
      </c>
      <c r="D108" s="881">
        <f ca="1">+D113-D111-D112+D107-D110</f>
        <v>9643.9165899999971</v>
      </c>
      <c r="E108" s="1022">
        <f ca="1">+E113-E111-E112+E107-E110</f>
        <v>6103.3221699999922</v>
      </c>
      <c r="F108" s="1022">
        <f ca="1">+F113-F111-F112+F107-F110</f>
        <v>2162.0341799999933</v>
      </c>
      <c r="G108" s="1023">
        <f ca="1">SUM(C108:F108)</f>
        <v>22998.191019999991</v>
      </c>
      <c r="H108" s="881">
        <f ca="1">+H113-H111-H112+H107-H110</f>
        <v>6840.637380000001</v>
      </c>
      <c r="I108" s="881">
        <f ca="1">+I113-I111-I112+I107-I110</f>
        <v>6900.8666400000002</v>
      </c>
      <c r="J108" s="1022">
        <f ca="1">+J113-J111-J112+J107-J110</f>
        <v>8387.9753299999993</v>
      </c>
      <c r="K108" s="1022">
        <f ca="1">+K113-K111-K112+K107-K110</f>
        <v>6116.2747789860023</v>
      </c>
      <c r="L108" s="1023">
        <f ca="1">SUM(H108:K108)</f>
        <v>28245.754128986002</v>
      </c>
      <c r="M108" s="881">
        <f ca="1">+M113-M111-M112+M107-M110</f>
        <v>8807.7704000000012</v>
      </c>
      <c r="N108" s="881">
        <f ca="1">+N113-N111-N112+N107-N110</f>
        <v>6901.1158300000025</v>
      </c>
      <c r="O108" s="1022">
        <f ca="1">+O113-O111-O112+O107-O110</f>
        <v>10323.471238841325</v>
      </c>
      <c r="P108" s="881">
        <f ca="1">+P113-P111-P112+P107-P110</f>
        <v>8255.2059199999985</v>
      </c>
      <c r="Q108" s="1023">
        <f ca="1">SUM(M108:P108)</f>
        <v>34287.563388841329</v>
      </c>
      <c r="R108" s="881">
        <f ca="1">+R113-R111-R112+R107-R110</f>
        <v>10292.092770000003</v>
      </c>
      <c r="S108" s="881">
        <f ca="1">+S113-S111-S112+S107-S110</f>
        <v>11898.109229999998</v>
      </c>
      <c r="T108" s="881">
        <f ca="1">+T113-T111-T112+T107-T110</f>
        <v>12411.596070000005</v>
      </c>
      <c r="U108" s="1022">
        <f ca="1">+U113-U111-U112+U107-U110</f>
        <v>11065.412270000001</v>
      </c>
      <c r="V108" s="1023">
        <f ca="1">SUM(R108:U108)</f>
        <v>45667.210340000005</v>
      </c>
      <c r="W108" s="881">
        <f ca="1">+W113-W111-W112+W107-W110</f>
        <v>7862.1036199999999</v>
      </c>
      <c r="X108" s="1022">
        <f ca="1">+X113-X111-X112+X107-X110</f>
        <v>9283.7026199999946</v>
      </c>
      <c r="Y108" s="881">
        <f ca="1">+Y113-Y111-Y112+Y107-Y110</f>
        <v>9369.9105400000062</v>
      </c>
      <c r="Z108" s="1022">
        <f ca="1">+Z113-Z111-Z112+Z107-Z110</f>
        <v>6748.4393200000086</v>
      </c>
      <c r="AA108" s="1023">
        <f ca="1">SUM(W108:Z108)</f>
        <v>33264.156100000007</v>
      </c>
      <c r="AB108" s="881">
        <f ca="1">+AB113-AB111-AB112+AB107-AB110</f>
        <v>11092.750759999994</v>
      </c>
      <c r="AC108" s="881">
        <f ca="1">+AC113-AC111-AC112+AC107-AC110</f>
        <v>8414.3237700000027</v>
      </c>
      <c r="AD108" s="881">
        <f ca="1">+AD113-AD111-AD112+AD107-AD110</f>
        <v>11014.018429999993</v>
      </c>
      <c r="AE108" s="881">
        <f ca="1">+AE113-AE111-AE112+AE107-AE110</f>
        <v>8284.50929</v>
      </c>
      <c r="AF108" s="880">
        <f ca="1">SUM(AB108:AE108)</f>
        <v>38805.602249999989</v>
      </c>
      <c r="AG108" s="881">
        <f ca="1">+AG113-AG111-AG112+AG107-AG110</f>
        <v>8161.5786000000007</v>
      </c>
      <c r="AH108" s="881">
        <f ca="1">+AH113-AH111-AH112+AH107-AH110</f>
        <v>8878.2714099999976</v>
      </c>
      <c r="AI108" s="881">
        <f ca="1">+AI113-AI111-AI112+AI107-AI110</f>
        <v>9498.7962200000075</v>
      </c>
      <c r="AJ108" s="881">
        <f ca="1">+AJ113-AJ111-AJ112+AJ107-AJ110</f>
        <v>8926.8355400000037</v>
      </c>
      <c r="AK108" s="880">
        <f ca="1">SUM(AG108:AJ108)</f>
        <v>35465.481770000013</v>
      </c>
      <c r="AL108" s="881">
        <f ca="1">+AL113-AL111-AL112+AL107-AL110</f>
        <v>5533.2469299999957</v>
      </c>
      <c r="AM108" s="881">
        <f ca="1">+AM113-AM111-AM112+AM107-AM110</f>
        <v>7706.7997100000039</v>
      </c>
      <c r="AN108" s="881">
        <f ca="1">+AN113-AN111-AN112+AN107-AN110</f>
        <v>5121.9071599999961</v>
      </c>
      <c r="AO108" s="881">
        <f ca="1">+AO113-AO111-AO112+AO107-AO110</f>
        <v>3115.0008400000015</v>
      </c>
      <c r="AP108" s="880">
        <f ca="1">SUM(AL108:AO108)</f>
        <v>21476.954639999996</v>
      </c>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row>
    <row r="109" spans="1:79" s="867" customFormat="1" ht="13.5" customHeight="1" x14ac:dyDescent="0.2">
      <c r="A109" s="872"/>
      <c r="B109" s="871" t="s">
        <v>1063</v>
      </c>
      <c r="C109" s="870">
        <f t="shared" ref="C109:X109" ca="1" si="139">+C108/C100</f>
        <v>0.12660341351165469</v>
      </c>
      <c r="D109" s="870">
        <f t="shared" ca="1" si="139"/>
        <v>0.19547408098998623</v>
      </c>
      <c r="E109" s="870">
        <f t="shared" ca="1" si="139"/>
        <v>0.14631557249236957</v>
      </c>
      <c r="F109" s="870">
        <f t="shared" ca="1" si="139"/>
        <v>4.8424525869227214E-2</v>
      </c>
      <c r="G109" s="869">
        <f t="shared" ca="1" si="139"/>
        <v>0.13075125571019203</v>
      </c>
      <c r="H109" s="870">
        <f t="shared" ca="1" si="139"/>
        <v>0.17269198995991439</v>
      </c>
      <c r="I109" s="870">
        <f t="shared" ca="1" si="139"/>
        <v>0.18508565650380362</v>
      </c>
      <c r="J109" s="870">
        <f t="shared" ca="1" si="139"/>
        <v>0.20774300767256845</v>
      </c>
      <c r="K109" s="870">
        <f t="shared" ca="1" si="139"/>
        <v>0.15072751964047565</v>
      </c>
      <c r="L109" s="869">
        <f t="shared" ca="1" si="139"/>
        <v>0.17893872272751901</v>
      </c>
      <c r="M109" s="870">
        <f t="shared" ca="1" si="139"/>
        <v>0.23316928395620021</v>
      </c>
      <c r="N109" s="870">
        <f t="shared" ca="1" si="139"/>
        <v>0.18411249950257985</v>
      </c>
      <c r="O109" s="870">
        <f t="shared" ca="1" si="139"/>
        <v>0.25221261018457974</v>
      </c>
      <c r="P109" s="870">
        <f t="shared" ca="1" si="139"/>
        <v>0.20142225889323159</v>
      </c>
      <c r="Q109" s="869">
        <f t="shared" ca="1" si="139"/>
        <v>0.21815105930819878</v>
      </c>
      <c r="R109" s="870">
        <f t="shared" ca="1" si="139"/>
        <v>0.26399511962890404</v>
      </c>
      <c r="S109" s="870">
        <f t="shared" ca="1" si="139"/>
        <v>0.27501909061770458</v>
      </c>
      <c r="T109" s="870">
        <f t="shared" ca="1" si="139"/>
        <v>0.28386164310449508</v>
      </c>
      <c r="U109" s="870">
        <f t="shared" ca="1" si="139"/>
        <v>0.27386704401718742</v>
      </c>
      <c r="V109" s="869">
        <f t="shared" ca="1" si="139"/>
        <v>0.27447998648911953</v>
      </c>
      <c r="W109" s="870">
        <f t="shared" ca="1" si="139"/>
        <v>0.23761617795902584</v>
      </c>
      <c r="X109" s="870">
        <f t="shared" ca="1" si="139"/>
        <v>0.25338082468374701</v>
      </c>
      <c r="Y109" s="870">
        <f t="shared" ref="Y109:AD109" ca="1" si="140">+Y108/Y100</f>
        <v>0.25243351131147934</v>
      </c>
      <c r="Z109" s="870">
        <f t="shared" ca="1" si="140"/>
        <v>0.20459098693276992</v>
      </c>
      <c r="AA109" s="869">
        <f t="shared" ca="1" si="140"/>
        <v>0.23788982345926338</v>
      </c>
      <c r="AB109" s="870">
        <f t="shared" ca="1" si="140"/>
        <v>0.28246265841046969</v>
      </c>
      <c r="AC109" s="870">
        <f t="shared" ca="1" si="140"/>
        <v>0.21893406619251396</v>
      </c>
      <c r="AD109" s="870">
        <f t="shared" ca="1" si="140"/>
        <v>0.25989569164985632</v>
      </c>
      <c r="AE109" s="870">
        <f t="shared" ref="AE109:AM109" ca="1" si="141">+AE108/AE100</f>
        <v>0.22398110337098376</v>
      </c>
      <c r="AF109" s="869">
        <f t="shared" ca="1" si="141"/>
        <v>0.24705794417879043</v>
      </c>
      <c r="AG109" s="870">
        <f t="shared" ca="1" si="141"/>
        <v>0.20928094530608726</v>
      </c>
      <c r="AH109" s="870">
        <f t="shared" ca="1" si="141"/>
        <v>0.24836351052858094</v>
      </c>
      <c r="AI109" s="870">
        <f t="shared" ca="1" si="141"/>
        <v>0.23081541889980337</v>
      </c>
      <c r="AJ109" s="870">
        <f t="shared" ca="1" si="141"/>
        <v>0.22079713094716608</v>
      </c>
      <c r="AK109" s="869">
        <f t="shared" ca="1" si="141"/>
        <v>0.2268650703812134</v>
      </c>
      <c r="AL109" s="870">
        <f t="shared" ca="1" si="141"/>
        <v>0.13282252371254041</v>
      </c>
      <c r="AM109" s="870">
        <f t="shared" ca="1" si="141"/>
        <v>0.16914595080007735</v>
      </c>
      <c r="AN109" s="870">
        <f t="shared" ref="AN109:AP109" ca="1" si="142">+AN108/AN100</f>
        <v>0.12246893810909024</v>
      </c>
      <c r="AO109" s="870">
        <f t="shared" ca="1" si="142"/>
        <v>7.5931923143701646E-2</v>
      </c>
      <c r="AP109" s="869">
        <f t="shared" ca="1" si="142"/>
        <v>0.12628476716763296</v>
      </c>
      <c r="AQ109" s="868"/>
      <c r="AR109" s="868"/>
      <c r="AS109" s="868"/>
      <c r="AT109" s="868"/>
      <c r="AU109" s="868"/>
      <c r="AV109" s="868"/>
      <c r="AY109" s="1041"/>
      <c r="AZ109" s="1041"/>
      <c r="BA109" s="868"/>
      <c r="BB109" s="868"/>
      <c r="BC109" s="868"/>
      <c r="BD109" s="868"/>
      <c r="BE109" s="868"/>
      <c r="BF109" s="868"/>
      <c r="BG109" s="868"/>
      <c r="BH109" s="868"/>
      <c r="BI109" s="868"/>
      <c r="BJ109" s="868"/>
      <c r="BK109" s="868"/>
      <c r="BL109" s="868"/>
      <c r="BM109" s="868"/>
      <c r="BN109" s="868"/>
      <c r="BO109" s="868"/>
      <c r="BP109" s="868"/>
      <c r="BQ109" s="868"/>
      <c r="BR109" s="868"/>
      <c r="BS109" s="868"/>
      <c r="BT109" s="868"/>
      <c r="BU109" s="868"/>
      <c r="BV109" s="868"/>
      <c r="BW109" s="868"/>
      <c r="BX109" s="868"/>
      <c r="BY109" s="868"/>
      <c r="BZ109" s="868"/>
      <c r="CA109" s="868"/>
    </row>
    <row r="110" spans="1:79" s="284" customFormat="1" ht="13.5" customHeight="1" x14ac:dyDescent="0.2">
      <c r="A110" s="932"/>
      <c r="B110" s="931" t="s">
        <v>1087</v>
      </c>
      <c r="C110" s="1019">
        <v>0</v>
      </c>
      <c r="D110" s="1019"/>
      <c r="E110" s="1019">
        <v>-5733</v>
      </c>
      <c r="F110" s="1019">
        <f>5147.63034-5731</f>
        <v>-583.36966000000029</v>
      </c>
      <c r="G110" s="1020">
        <f>+SUM(C110:F110)</f>
        <v>-6316.3696600000003</v>
      </c>
      <c r="H110" s="1019">
        <v>0</v>
      </c>
      <c r="I110" s="1019">
        <v>0</v>
      </c>
      <c r="J110" s="1019">
        <v>-5251.7599300000002</v>
      </c>
      <c r="K110" s="1019">
        <f>-2859.05403+372.347081014</f>
        <v>-2486.7069489859996</v>
      </c>
      <c r="L110" s="1020">
        <f>+SUM(H110:K110)</f>
        <v>-7738.4668789859998</v>
      </c>
      <c r="M110" s="1019">
        <v>0</v>
      </c>
      <c r="N110" s="1019">
        <v>0</v>
      </c>
      <c r="O110" s="1019">
        <f>-193.292048841321+1794.21006</f>
        <v>1600.9180111586791</v>
      </c>
      <c r="P110" s="1019">
        <v>0</v>
      </c>
      <c r="Q110" s="1020">
        <f>+SUM(M110:P110)</f>
        <v>1600.9180111586791</v>
      </c>
      <c r="R110" s="1019"/>
      <c r="S110" s="1019">
        <v>0</v>
      </c>
      <c r="T110" s="1019">
        <v>0</v>
      </c>
      <c r="U110" s="1019">
        <f>-2875-2345</f>
        <v>-5220</v>
      </c>
      <c r="V110" s="1020">
        <f>+SUM(R110:U110)</f>
        <v>-5220</v>
      </c>
      <c r="W110" s="1019">
        <v>0</v>
      </c>
      <c r="X110" s="1019">
        <v>5732.7137899999998</v>
      </c>
      <c r="Y110" s="1021">
        <v>0</v>
      </c>
      <c r="Z110" s="1019">
        <v>2591</v>
      </c>
      <c r="AA110" s="1020">
        <f>+SUM(W110:Z110)</f>
        <v>8323.7137899999998</v>
      </c>
      <c r="AB110" s="1019">
        <v>0</v>
      </c>
      <c r="AC110" s="1019">
        <v>0</v>
      </c>
      <c r="AD110" s="1019">
        <v>0</v>
      </c>
      <c r="AE110" s="1021">
        <v>0</v>
      </c>
      <c r="AF110" s="1020">
        <f>+SUM(AB110:AE110)</f>
        <v>0</v>
      </c>
      <c r="AG110" s="1021">
        <v>0</v>
      </c>
      <c r="AH110" s="1021">
        <v>0</v>
      </c>
      <c r="AI110" s="1021">
        <v>0</v>
      </c>
      <c r="AJ110" s="1021">
        <v>0</v>
      </c>
      <c r="AK110" s="1020">
        <f>+SUM(AG110:AJ110)</f>
        <v>0</v>
      </c>
      <c r="AL110" s="1021">
        <v>0</v>
      </c>
      <c r="AM110" s="1021">
        <v>0</v>
      </c>
      <c r="AN110" s="1021">
        <v>0</v>
      </c>
      <c r="AO110" s="1021">
        <v>0</v>
      </c>
      <c r="AP110" s="1020">
        <f>+SUM(AL110:AO110)</f>
        <v>0</v>
      </c>
      <c r="AQ110" s="905"/>
      <c r="AR110" s="905"/>
      <c r="AS110" s="905"/>
      <c r="AT110" s="905"/>
      <c r="AU110" s="905"/>
      <c r="AV110" s="905"/>
      <c r="AY110" s="1042"/>
      <c r="AZ110" s="1042"/>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905"/>
      <c r="CA110" s="905"/>
    </row>
    <row r="111" spans="1:79" ht="13.5" customHeight="1" x14ac:dyDescent="0.2">
      <c r="A111" s="914"/>
      <c r="B111" s="874" t="s">
        <v>1073</v>
      </c>
      <c r="C111" s="873">
        <f ca="1">+SUMIFS(INDIRECT(CONCATENATE("'",$AQ111,$AR111,":",$AS111)),INDIRECT(CONCATENATE("'",$AQ111,$AR$92,":",$AS$92)),C$92)</f>
        <v>-3275.6654100000001</v>
      </c>
      <c r="D111" s="873">
        <f ca="1">+SUMIFS(INDIRECT(CONCATENATE("'",$AQ111,$AR111,":",$AS111)),INDIRECT(CONCATENATE("'",$AQ111,$AR$92,":",$AS$92)),D$92)</f>
        <v>-3339.7341299999998</v>
      </c>
      <c r="E111" s="873">
        <f ca="1">+SUMIFS(INDIRECT(CONCATENATE("'",$AQ111,$AR111,":",$AS111)),INDIRECT(CONCATENATE("'",$AQ111,$AR$92,":",$AS$92)),E$92)</f>
        <v>-3481.3923999999997</v>
      </c>
      <c r="F111" s="873">
        <f ca="1">+SUMIFS(INDIRECT(CONCATENATE("'",$AQ111,$AR111,":",$AS111)),INDIRECT(CONCATENATE("'",$AQ111,$AR$92,":",$AS$92)),F$92)</f>
        <v>-3632.3136199999999</v>
      </c>
      <c r="G111" s="645">
        <f ca="1">SUM(C111:F111)</f>
        <v>-13729.10556</v>
      </c>
      <c r="H111" s="873">
        <f ca="1">+SUMIFS(INDIRECT(CONCATENATE("'",$AQ111,$AR111,":",$AS111)),INDIRECT(CONCATENATE("'",$AQ111,$AR$92,":",$AS$92)),H$92)</f>
        <v>-3098.15454</v>
      </c>
      <c r="I111" s="873">
        <f ca="1">+SUMIFS(INDIRECT(CONCATENATE("'",$AQ111,$AR111,":",$AS111)),INDIRECT(CONCATENATE("'",$AQ111,$AR$92,":",$AS$92)),I$92)</f>
        <v>-2719.4558000000002</v>
      </c>
      <c r="J111" s="873">
        <f ca="1">+SUMIFS(INDIRECT(CONCATENATE("'",$AQ111,$AR111,":",$AS111)),INDIRECT(CONCATENATE("'",$AQ111,$AR$92,":",$AS$92)),J$92)</f>
        <v>-2774.3335099999999</v>
      </c>
      <c r="K111" s="873">
        <f ca="1">+SUMIFS(INDIRECT(CONCATENATE("'",$AQ111,$AR111,":",$AS111)),INDIRECT(CONCATENATE("'",$AQ111,$AR$92,":",$AS$92)),K$92)</f>
        <v>-2686.27648</v>
      </c>
      <c r="L111" s="645">
        <f ca="1">+SUM(H111:K111)</f>
        <v>-11278.22033</v>
      </c>
      <c r="M111" s="873">
        <f ca="1">+SUMIFS(INDIRECT(CONCATENATE("'",$AQ$93,$AR111,":",$AS111)),INDIRECT(CONCATENATE("'",$AQ111,$AR$92,":",$AS$92)),M$92)-M112</f>
        <v>-2511.038230000001</v>
      </c>
      <c r="N111" s="873">
        <f ca="1">+SUMIFS(INDIRECT(CONCATENATE("'",$AQ$93,$AR111,":",$AS111)),INDIRECT(CONCATENATE("'",$AQ111,$AR$92,":",$AS$92)),N$92)-N112</f>
        <v>-2576.3358799999996</v>
      </c>
      <c r="O111" s="873">
        <f ca="1">+SUMIFS(INDIRECT(CONCATENATE("'",$AQ$93,$AR111,":",$AS111)),INDIRECT(CONCATENATE("'",$AQ111,$AR$92,":",$AS$92)),O$92)-O112</f>
        <v>-2680.99467</v>
      </c>
      <c r="P111" s="873">
        <f ca="1">+SUMIFS(INDIRECT(CONCATENATE("'",$AQ$93,$AR111,":",$AS111)),INDIRECT(CONCATENATE("'",$AQ111,$AR$92,":",$AS$92)),P$92)-P112</f>
        <v>-2600.5471800000278</v>
      </c>
      <c r="Q111" s="645">
        <f ca="1">+SUM(M111:P111)</f>
        <v>-10368.915960000028</v>
      </c>
      <c r="R111" s="873">
        <f ca="1">+SUMIFS(INDIRECT(CONCATENATE("'",$AQ$93,$AR111,":",$AS111)),INDIRECT(CONCATENATE("'",$AQ111,$AR$92,":",$AS$92)),R$92)-R112</f>
        <v>-2544.9265800000007</v>
      </c>
      <c r="S111" s="873">
        <f ca="1">+SUMIFS(INDIRECT(CONCATENATE("'",$AQ$93,$AR111,":",$AS111)),INDIRECT(CONCATENATE("'",$AQ111,$AR$92,":",$AS$92)),S$92)-S112</f>
        <v>-2420.8554599999998</v>
      </c>
      <c r="T111" s="873">
        <f ca="1">+SUMIFS(INDIRECT(CONCATENATE("'",$AQ$93,$AR111,":",$AS111)),INDIRECT(CONCATENATE("'",$AQ111,$AR$92,":",$AS$92)),T$92)-T112</f>
        <v>-2400.105170000003</v>
      </c>
      <c r="U111" s="873">
        <f ca="1">+SUMIFS(INDIRECT(CONCATENATE("'",$AQ$93,$AR111,":",$AS111)),INDIRECT(CONCATENATE("'",$AQ111,$AR$92,":",$AS$92)),U$92)-U112</f>
        <v>-2324.7594200000008</v>
      </c>
      <c r="V111" s="645">
        <f ca="1">+SUM(R111:U111)</f>
        <v>-9690.6466300000029</v>
      </c>
      <c r="W111" s="873">
        <f ca="1">+SUMIFS(INDIRECT(CONCATENATE("'",$AQ$93,$AR111,":",$AS111)),INDIRECT(CONCATENATE("'",$AQ111,$AR$92,":",$AS$92)),W$92)-W112</f>
        <v>-2903.3228899999999</v>
      </c>
      <c r="X111" s="873">
        <f ca="1">+SUMIFS(INDIRECT(CONCATENATE("'",$AQ$93,$AR111,":",$AS111)),INDIRECT(CONCATENATE("'",$AQ111,$AR$92,":",$AS$92)),X$92)-X112</f>
        <v>-2303.34087</v>
      </c>
      <c r="Y111" s="873">
        <f ca="1">+SUMIFS(INDIRECT(CONCATENATE("'",$AQ$93,$AR111,":",$AS111)),INDIRECT(CONCATENATE("'",$AQ111,$AR$92,":",$AS$92)),Y$92)-Y112</f>
        <v>-2306.79727</v>
      </c>
      <c r="Z111" s="873">
        <f ca="1">+SUMIFS(INDIRECT(CONCATENATE("'",$AQ$93,$AR111,":",$AS111)),INDIRECT(CONCATENATE("'",$AQ111,$AR$92,":",$AS$92)),Z$92)-Z112</f>
        <v>-2197.2099300000004</v>
      </c>
      <c r="AA111" s="645">
        <f ca="1">+SUM(W111:Z111)</f>
        <v>-9710.6709599999995</v>
      </c>
      <c r="AB111" s="873">
        <f ca="1">+SUMIFS(INDIRECT(CONCATENATE("'",$AQ$93,$AR111,":",$AS111)),INDIRECT(CONCATENATE("'",$AQ111,$AR$92,":",$AS$92)),AB$92)-AB112</f>
        <v>-2197.8351100000009</v>
      </c>
      <c r="AC111" s="873">
        <f ca="1">+SUMIFS(INDIRECT(CONCATENATE("'",$AQ$93,$AR111,":",$AS111)),INDIRECT(CONCATENATE("'",$AQ111,$AR$92,":",$AS$92)),AC$92)-AC112</f>
        <v>-1930.6501700000008</v>
      </c>
      <c r="AD111" s="873">
        <f ca="1">+SUMIFS(INDIRECT(CONCATENATE("'",$AQ$93,$AR111,":",$AS111)),INDIRECT(CONCATENATE("'",$AQ111,$AR$92,":",$AS$92)),AD$92)-AD112</f>
        <v>-2000.7181099999998</v>
      </c>
      <c r="AE111" s="873">
        <f ca="1">+SUMIFS(INDIRECT(CONCATENATE("'",$AQ$93,$AR111,":",$AS111)),INDIRECT(CONCATENATE("'",$AQ111,$AR$92,":",$AS$92)),AE$92)-AE112</f>
        <v>-1993.4262699999999</v>
      </c>
      <c r="AF111" s="645">
        <f ca="1">+SUM(AB111:AE111)</f>
        <v>-8122.6296600000014</v>
      </c>
      <c r="AG111" s="873">
        <f ca="1">+SUMIFS(INDIRECT(CONCATENATE("'",$AQ$93,$AR111,":",$AS111)),INDIRECT(CONCATENATE("'",$AQ111,$AR$92,":",$AS$92)),AG$92)-AG112</f>
        <v>-2013.4723500000005</v>
      </c>
      <c r="AH111" s="873">
        <f ca="1">+SUMIFS(INDIRECT(CONCATENATE("'",$AQ$93,$AR111,":",$AS111)),INDIRECT(CONCATENATE("'",$AQ111,$AR$92,":",$AS$92)),AH$92)-AH112</f>
        <v>-2079.9376399999992</v>
      </c>
      <c r="AI111" s="873">
        <f ca="1">+SUMIFS(INDIRECT(CONCATENATE("'",$AQ$93,$AR111,":",$AS111)),INDIRECT(CONCATENATE("'",$AQ111,$AR$92,":",$AS$92)),AI$92)-AI112</f>
        <v>-1875.6750399999992</v>
      </c>
      <c r="AJ111" s="873">
        <f ca="1">+SUMIFS(INDIRECT(CONCATENATE("'",$AQ$93,$AR111,":",$AS111)),INDIRECT(CONCATENATE("'",$AQ111,$AR$92,":",$AS$92)),AJ$92)-AJ112</f>
        <v>-1815.5740800000003</v>
      </c>
      <c r="AK111" s="645">
        <f ca="1">+SUM(AG111:AJ111)</f>
        <v>-7784.6591099999987</v>
      </c>
      <c r="AL111" s="873">
        <f ca="1">+SUMIFS(INDIRECT(CONCATENATE("'",$AQ$93,$AR111,":",$AS111)),INDIRECT(CONCATENATE("'",$AQ111,$AR$92,":",$AS$92)),AL$92)-AL112</f>
        <v>-2141.16192</v>
      </c>
      <c r="AM111" s="873">
        <f ca="1">+SUMIFS(INDIRECT(CONCATENATE("'",$AQ$93,$AR111,":",$AS111)),INDIRECT(CONCATENATE("'",$AQ111,$AR$92,":",$AS$92)),AM$92)-AM112</f>
        <v>-2229.8068200000016</v>
      </c>
      <c r="AN111" s="873">
        <f ca="1">+SUMIFS(INDIRECT(CONCATENATE("'",$AQ$93,$AR111,":",$AS111)),INDIRECT(CONCATENATE("'",$AQ111,$AR$92,":",$AS$92)),AN$92)-AN112</f>
        <v>-2275.3238800000004</v>
      </c>
      <c r="AO111" s="873">
        <f ca="1">+SUMIFS(INDIRECT(CONCATENATE("'",$AQ$93,$AR111,":",$AS111)),INDIRECT(CONCATENATE("'",$AQ111,$AR$92,":",$AS$92)),AO$92)-AO112</f>
        <v>-1703.5113299999998</v>
      </c>
      <c r="AP111" s="645">
        <f ca="1">+SUM(AL111:AO111)</f>
        <v>-8349.8039500000014</v>
      </c>
      <c r="AQ111" s="268" t="s">
        <v>1072</v>
      </c>
      <c r="AR111" s="268" t="str">
        <f>"$"&amp;ROW(IncSIntLog!$B$37)</f>
        <v>$37</v>
      </c>
      <c r="AS111" s="268" t="str">
        <f>"$"&amp;ROW(IncSIntLog!$B$37)</f>
        <v>$37</v>
      </c>
      <c r="AT111" s="268" t="s">
        <v>1072</v>
      </c>
      <c r="AU111" s="268" t="s">
        <v>1071</v>
      </c>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row>
    <row r="112" spans="1:79" ht="13.5" customHeight="1" x14ac:dyDescent="0.2">
      <c r="A112" s="914"/>
      <c r="B112" s="874" t="s">
        <v>1070</v>
      </c>
      <c r="C112" s="873">
        <v>0</v>
      </c>
      <c r="D112" s="873">
        <v>0</v>
      </c>
      <c r="E112" s="873">
        <v>0</v>
      </c>
      <c r="F112" s="873">
        <v>0</v>
      </c>
      <c r="G112" s="645" t="s">
        <v>47</v>
      </c>
      <c r="H112" s="873">
        <v>0</v>
      </c>
      <c r="I112" s="873">
        <v>0</v>
      </c>
      <c r="J112" s="873">
        <v>0</v>
      </c>
      <c r="K112" s="873">
        <v>0</v>
      </c>
      <c r="L112" s="645" t="s">
        <v>47</v>
      </c>
      <c r="M112" s="873">
        <f ca="1">+SUMIFS(INDIRECT(CONCATENATE("'",$AQ$112,$AR112,":",$AS112)),INDIRECT(CONCATENATE("'",$AQ112,$AR$113,":",$AS$113)),M$92)</f>
        <v>-4441</v>
      </c>
      <c r="N112" s="873">
        <f ca="1">+SUMIFS(INDIRECT(CONCATENATE("'",$AQ$112,$AR112,":",$AS112)),INDIRECT(CONCATENATE("'",$AQ112,$AR$113,":",$AS$113)),N$92)</f>
        <v>-3463</v>
      </c>
      <c r="O112" s="873">
        <f ca="1">+SUMIFS(INDIRECT(CONCATENATE("'",$AQ$112,$AR112,":",$AS112)),INDIRECT(CONCATENATE("'",$AQ112,$AR$113,":",$AS$113)),O$92)</f>
        <v>-4045</v>
      </c>
      <c r="P112" s="873">
        <f ca="1">+SUMIFS(INDIRECT(CONCATENATE("'",$AQ$112,$AR112,":",$AS112)),INDIRECT(CONCATENATE("'",$AQ112,$AR$113,":",$AS$113)),P$92)</f>
        <v>-4098.6000999999724</v>
      </c>
      <c r="Q112" s="645">
        <f ca="1">+SUM(M112:P112)</f>
        <v>-16047.600099999972</v>
      </c>
      <c r="R112" s="873">
        <f ca="1">+SUMIFS(INDIRECT(CONCATENATE("'",$AQ$112,$AR112,":",$AS112)),INDIRECT(CONCATENATE("'",$AQ112,$AR$113,":",$AS$113)),R$92)</f>
        <v>-3874.5827399999985</v>
      </c>
      <c r="S112" s="873">
        <f ca="1">+SUMIFS(INDIRECT(CONCATENATE("'",$AQ$112,$AR112,":",$AS112)),INDIRECT(CONCATENATE("'",$AQ112,$AR$113,":",$AS$113)),S$92)</f>
        <v>-3625.8885200000004</v>
      </c>
      <c r="T112" s="873">
        <f ca="1">+SUMIFS(INDIRECT(CONCATENATE("'",$AQ$112,$AR112,":",$AS112)),INDIRECT(CONCATENATE("'",$AQ112,$AR$113,":",$AS$113)),T$92)</f>
        <v>-3404.3640799999971</v>
      </c>
      <c r="U112" s="873">
        <f ca="1">+SUMIFS(INDIRECT(CONCATENATE("'",$AQ$112,$AR112,":",$AS112)),INDIRECT(CONCATENATE("'",$AQ112,$AR$113,":",$AS$113)),U$92)</f>
        <v>-3263.7494699999993</v>
      </c>
      <c r="V112" s="645">
        <f ca="1">+SUM(R112:U112)</f>
        <v>-14168.584809999995</v>
      </c>
      <c r="W112" s="873">
        <f ca="1">+SUMIFS(INDIRECT(CONCATENATE("'",$AQ$112,$AR112,":",$AS112)),INDIRECT(CONCATENATE("'",$AQ112,$AR$113,":",$AS$113)),W$92)</f>
        <v>-1832.6725199999996</v>
      </c>
      <c r="X112" s="873">
        <f ca="1">+SUMIFS(INDIRECT(CONCATENATE("'",$AQ$112,$AR112,":",$AS112)),INDIRECT(CONCATENATE("'",$AQ112,$AR$113,":",$AS$113)),X$92)</f>
        <v>-2154.1461500000005</v>
      </c>
      <c r="Y112" s="873">
        <f ca="1">+SUMIFS(INDIRECT(CONCATENATE("'",$AQ$112,$AR112,":",$AS112)),INDIRECT(CONCATENATE("'",$AQ112,$AR$113,":",$AS$113)),Y$92)</f>
        <v>-2149.62075</v>
      </c>
      <c r="Z112" s="873">
        <f ca="1">+SUMIFS(INDIRECT(CONCATENATE("'",$AQ$112,$AR112,":",$AS112)),INDIRECT(CONCATENATE("'",$AQ112,$AR$113,":",$AS$113)),Z$92)</f>
        <v>-2105.9890599999994</v>
      </c>
      <c r="AA112" s="645">
        <f ca="1">+SUM(W112:Z112)</f>
        <v>-8242.4284800000005</v>
      </c>
      <c r="AB112" s="873">
        <f ca="1">+SUMIFS(INDIRECT(CONCATENATE("'",$AQ$112,$AR112,":",$AS112)),INDIRECT(CONCATENATE("'",$AQ112,$AR$113,":",$AS$113)),AB$92)</f>
        <v>-2128.59656</v>
      </c>
      <c r="AC112" s="873">
        <f ca="1">+SUMIFS(INDIRECT(CONCATENATE("'",$AQ$112,$AR112,":",$AS112)),INDIRECT(CONCATENATE("'",$AQ112,$AR$113,":",$AS$113)),AC$92)</f>
        <v>-2442.54612</v>
      </c>
      <c r="AD112" s="873">
        <f ca="1">+SUMIFS(INDIRECT(CONCATENATE("'",$AQ$112,$AR112,":",$AS112)),INDIRECT(CONCATENATE("'",$AQ112,$AR$113,":",$AS$113)),AD$92)</f>
        <v>-2467.9047399999999</v>
      </c>
      <c r="AE112" s="873">
        <f ca="1">+SUMIFS(INDIRECT(CONCATENATE("'",$AQ$112,$AR112,":",$AS112)),INDIRECT(CONCATENATE("'",$AQ112,$AR$113,":",$AS$113)),AE$92)</f>
        <v>-2486.7018399999997</v>
      </c>
      <c r="AF112" s="645">
        <f ca="1">+SUM(AB112:AE112)</f>
        <v>-9525.7492600000005</v>
      </c>
      <c r="AG112" s="873">
        <f ca="1">+SUMIFS(INDIRECT(CONCATENATE("'",$AQ$112,$AR112,":",$AS112)),INDIRECT(CONCATENATE("'",$AQ112,$AR$113,":",$AS$113)),AG$92)</f>
        <v>-2208.9716399999993</v>
      </c>
      <c r="AH112" s="873">
        <f ca="1">+SUMIFS(INDIRECT(CONCATENATE("'",$AQ$112,$AR112,":",$AS112)),INDIRECT(CONCATENATE("'",$AQ112,$AR$113,":",$AS$113)),AH$92)</f>
        <v>-2098.15398</v>
      </c>
      <c r="AI112" s="873">
        <f ca="1">+SUMIFS(INDIRECT(CONCATENATE("'",$AQ$112,$AR112,":",$AS112)),INDIRECT(CONCATENATE("'",$AQ112,$AR$113,":",$AS$113)),AI$92)</f>
        <v>-2411.6025400000008</v>
      </c>
      <c r="AJ112" s="873">
        <f ca="1">+SUMIFS(INDIRECT(CONCATENATE("'",$AQ$112,$AR112,":",$AS112)),INDIRECT(CONCATENATE("'",$AQ112,$AR$113,":",$AS$113)),AJ$92)</f>
        <v>-2392.4915899999996</v>
      </c>
      <c r="AK112" s="645">
        <f ca="1">+SUM(AG112:AJ112)</f>
        <v>-9111.2197500000002</v>
      </c>
      <c r="AL112" s="873">
        <f ca="1">+SUMIFS(INDIRECT(CONCATENATE("'",$AQ$112,$AR112,":",$AS112)),INDIRECT(CONCATENATE("'",$AQ112,$AR$113,":",$AS$113)),AL$92)</f>
        <v>-2162.65724</v>
      </c>
      <c r="AM112" s="873">
        <f ca="1">+SUMIFS(INDIRECT(CONCATENATE("'",$AQ$112,$AR112,":",$AS112)),INDIRECT(CONCATENATE("'",$AQ112,$AR$113,":",$AS$113)),AM$92)</f>
        <v>-2159.1878899999992</v>
      </c>
      <c r="AN112" s="873">
        <f ca="1">+SUMIFS(INDIRECT(CONCATENATE("'",$AQ$112,$AR112,":",$AS112)),INDIRECT(CONCATENATE("'",$AQ112,$AR$113,":",$AS$113)),AN$92)</f>
        <v>-2155.9959599999997</v>
      </c>
      <c r="AO112" s="873">
        <f ca="1">+SUMIFS(INDIRECT(CONCATENATE("'",$AQ$112,$AR112,":",$AS112)),INDIRECT(CONCATENATE("'",$AQ112,$AR$113,":",$AS$113)),AO$92)</f>
        <v>-2343.9818299999997</v>
      </c>
      <c r="AP112" s="645">
        <f ca="1">+SUM(AL112:AO112)</f>
        <v>-8821.8229199999987</v>
      </c>
      <c r="AQ112" s="268" t="s">
        <v>1066</v>
      </c>
      <c r="AR112" s="268" t="str">
        <f>"$"&amp;ROW(Attachments!$B$14)</f>
        <v>$14</v>
      </c>
      <c r="AS112" s="268" t="str">
        <f>"$"&amp;ROW(Attachments!$B$14)</f>
        <v>$14</v>
      </c>
      <c r="AT112" s="268" t="s">
        <v>1066</v>
      </c>
      <c r="AU112" s="268" t="s">
        <v>1065</v>
      </c>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c r="CA112" s="268"/>
    </row>
    <row r="113" spans="1:79" ht="13.5" customHeight="1" x14ac:dyDescent="0.2">
      <c r="A113" s="24"/>
      <c r="B113" s="882" t="s">
        <v>1151</v>
      </c>
      <c r="C113" s="881">
        <f ca="1">+C100+C101+C103+C111+C110</f>
        <v>1813.2526700000112</v>
      </c>
      <c r="D113" s="881">
        <f ca="1">+D100+D101+D103+D111+D110</f>
        <v>6304.1824599999973</v>
      </c>
      <c r="E113" s="881">
        <f ca="1">+E100+E101+E103+E111+E110</f>
        <v>-3111.0702300000075</v>
      </c>
      <c r="F113" s="881">
        <f ca="1">+F100+F101+F103+F111+F110</f>
        <v>-2053.6491000000069</v>
      </c>
      <c r="G113" s="880">
        <f ca="1">+G100+G101+G103+G111</f>
        <v>9269.0854600000239</v>
      </c>
      <c r="H113" s="881">
        <f ca="1">+H100+H101+H103+H111+H110</f>
        <v>3742.482840000001</v>
      </c>
      <c r="I113" s="881">
        <f ca="1">+I100+I101+I103+I111+I110</f>
        <v>4181.4108400000005</v>
      </c>
      <c r="J113" s="881">
        <f ca="1">+J100+J101+J103+J111+J110</f>
        <v>361.88188999999875</v>
      </c>
      <c r="K113" s="881">
        <f ca="1">+K100+K101+K103+K111+K110</f>
        <v>943.29135000000269</v>
      </c>
      <c r="L113" s="880">
        <f ca="1">+L100+L101+L103+L111</f>
        <v>16967.533798986005</v>
      </c>
      <c r="M113" s="881">
        <f ca="1">+M100+M101+M103+M111+M112+M110</f>
        <v>6574.7321699999993</v>
      </c>
      <c r="N113" s="881">
        <f ca="1">+N100+N101+N103+N111+N112+N110</f>
        <v>4752.7799500000037</v>
      </c>
      <c r="O113" s="881">
        <f ca="1">+O100+O101+O103+O111+O112+O110</f>
        <v>9532.3945800000038</v>
      </c>
      <c r="P113" s="881">
        <f ca="1">+P100+P101+P103+P111+P112+P110</f>
        <v>5924.3560199999974</v>
      </c>
      <c r="Q113" s="880">
        <f ca="1">+Q100+Q101+Q103+Q111+Q112</f>
        <v>25183.344708841316</v>
      </c>
      <c r="R113" s="881">
        <f ca="1">+R100+R101+R103+R111+R112+R110</f>
        <v>8521.6953800000047</v>
      </c>
      <c r="S113" s="881">
        <f ca="1">+S100+S101+S103+S111+S112+S110</f>
        <v>10261.396919999999</v>
      </c>
      <c r="T113" s="881">
        <f ca="1">+T100+T101+T103+T111+T112+T110</f>
        <v>10712.758230000005</v>
      </c>
      <c r="U113" s="881">
        <f ca="1">+U100+U101+U103+U111+U112+U110</f>
        <v>4281.4788300000018</v>
      </c>
      <c r="V113" s="880">
        <f ca="1">+V100+V101+V103+V111+V112</f>
        <v>38997.329360000018</v>
      </c>
      <c r="W113" s="881">
        <f ca="1">+W100+W101+W103+W111+W112+W110</f>
        <v>5334.27117</v>
      </c>
      <c r="X113" s="881">
        <f ca="1">+X100+X101+X103+X111+X112+X110</f>
        <v>13146.754839999996</v>
      </c>
      <c r="Y113" s="881">
        <f ca="1">+Y100+Y101+Y103+Y111+Y112+Y110</f>
        <v>7501.9593000000041</v>
      </c>
      <c r="Z113" s="881">
        <f ca="1">+Z100+Z101+Z103+Z111+Z112+Z110</f>
        <v>7612.7601700000087</v>
      </c>
      <c r="AA113" s="880">
        <f ca="1">+AA100+AA101+AA103+AA111+AA112</f>
        <v>25272.031690000003</v>
      </c>
      <c r="AB113" s="881">
        <f ca="1">+AB100+AB101+AB103+AB111+AB112+AB110</f>
        <v>9698.4752199999912</v>
      </c>
      <c r="AC113" s="881">
        <f ca="1">+AC100+AC101+AC103+AC111+AC112+AC110</f>
        <v>6980.9955700000037</v>
      </c>
      <c r="AD113" s="881">
        <f ca="1">+AD100+AD101+AD103+AD111+AD112+AD110</f>
        <v>9502.8544399999937</v>
      </c>
      <c r="AE113" s="881">
        <f ca="1">+AE100+AE101+AE103+AE111+AE112+AE110</f>
        <v>6785.7483300000004</v>
      </c>
      <c r="AF113" s="880">
        <f ca="1">+AF100+AF101+AF103+AF111+AF112</f>
        <v>32968.07355999999</v>
      </c>
      <c r="AG113" s="881">
        <f ca="1">+AG100+AG101+AG103+AG111+AG112+AG110</f>
        <v>6905.0274500000014</v>
      </c>
      <c r="AH113" s="881">
        <f ca="1">+AH100+AH101+AH103+AH111+AH112+AH110</f>
        <v>7387.9070599999968</v>
      </c>
      <c r="AI113" s="881">
        <f ca="1">+AI100+AI101+AI103+AI111+AI112+AI110</f>
        <v>8131.4933000000083</v>
      </c>
      <c r="AJ113" s="881">
        <f ca="1">+AJ100+AJ101+AJ103+AJ111+AJ112+AJ110</f>
        <v>7528.2073800000035</v>
      </c>
      <c r="AK113" s="880">
        <f ca="1">+AK100+AK101+AK103+AK111+AK112</f>
        <v>29952.635190000019</v>
      </c>
      <c r="AL113" s="881">
        <f ca="1">+AL100+AL101+AL103+AL111+AL112+AL110</f>
        <v>4052.6901499999954</v>
      </c>
      <c r="AM113" s="881">
        <f ca="1">+AM100+AM101+AM103+AM111+AM112+AM110</f>
        <v>6149.2366300000031</v>
      </c>
      <c r="AN113" s="881">
        <f ca="1">+AN100+AN101+AN103+AN111+AN112+AN110</f>
        <v>3576.1563399999964</v>
      </c>
      <c r="AO113" s="881">
        <f ca="1">+AO100+AO101+AO103+AO111+AO112+AO110</f>
        <v>1679.8095300000018</v>
      </c>
      <c r="AP113" s="880">
        <f ca="1">+AP100+AP101+AP103+AP111+AP112</f>
        <v>15457.892650000027</v>
      </c>
      <c r="AR113" s="268" t="str">
        <f>"$"&amp;ROW(Attachments!$B$5)</f>
        <v>$5</v>
      </c>
      <c r="AS113" s="268" t="str">
        <f>"$"&amp;ROW(Attachments!$B$5)</f>
        <v>$5</v>
      </c>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c r="CA113" s="268"/>
    </row>
    <row r="114" spans="1:79" s="867" customFormat="1" ht="13.5" customHeight="1" x14ac:dyDescent="0.2">
      <c r="A114" s="872"/>
      <c r="B114" s="871" t="s">
        <v>1069</v>
      </c>
      <c r="C114" s="870">
        <f ca="1">ROUND(C113/C100,3)</f>
        <v>4.4999999999999998E-2</v>
      </c>
      <c r="D114" s="870">
        <f ca="1">ROUND(D113/D100,3)</f>
        <v>0.128</v>
      </c>
      <c r="E114" s="870">
        <f ca="1">ROUND(E113/E100,3)</f>
        <v>-7.4999999999999997E-2</v>
      </c>
      <c r="F114" s="870">
        <f ca="1">ROUND(F113/F100,3)</f>
        <v>-4.5999999999999999E-2</v>
      </c>
      <c r="G114" s="869">
        <f ca="1">ROUND(G113/G97,3)</f>
        <v>4.5999999999999999E-2</v>
      </c>
      <c r="H114" s="870">
        <f t="shared" ref="H114:X114" ca="1" si="143">ROUND(H113/H100,3)</f>
        <v>9.4E-2</v>
      </c>
      <c r="I114" s="870">
        <f t="shared" ca="1" si="143"/>
        <v>0.112</v>
      </c>
      <c r="J114" s="870">
        <f t="shared" ca="1" si="143"/>
        <v>8.9999999999999993E-3</v>
      </c>
      <c r="K114" s="870">
        <f t="shared" ca="1" si="143"/>
        <v>2.3E-2</v>
      </c>
      <c r="L114" s="869">
        <f t="shared" ca="1" si="143"/>
        <v>0.107</v>
      </c>
      <c r="M114" s="870">
        <f t="shared" ca="1" si="143"/>
        <v>0.17399999999999999</v>
      </c>
      <c r="N114" s="870">
        <f t="shared" ca="1" si="143"/>
        <v>0.127</v>
      </c>
      <c r="O114" s="870">
        <f t="shared" ca="1" si="143"/>
        <v>0.23300000000000001</v>
      </c>
      <c r="P114" s="870">
        <f t="shared" ca="1" si="143"/>
        <v>0.14499999999999999</v>
      </c>
      <c r="Q114" s="869">
        <f t="shared" ca="1" si="143"/>
        <v>0.16</v>
      </c>
      <c r="R114" s="870">
        <f t="shared" ca="1" si="143"/>
        <v>0.219</v>
      </c>
      <c r="S114" s="870">
        <f t="shared" ca="1" si="143"/>
        <v>0.23699999999999999</v>
      </c>
      <c r="T114" s="870">
        <f t="shared" ca="1" si="143"/>
        <v>0.245</v>
      </c>
      <c r="U114" s="870">
        <f t="shared" ca="1" si="143"/>
        <v>0.106</v>
      </c>
      <c r="V114" s="869">
        <f t="shared" ca="1" si="143"/>
        <v>0.23400000000000001</v>
      </c>
      <c r="W114" s="870">
        <f t="shared" ca="1" si="143"/>
        <v>0.161</v>
      </c>
      <c r="X114" s="870">
        <f t="shared" ca="1" si="143"/>
        <v>0.35899999999999999</v>
      </c>
      <c r="Y114" s="870">
        <f t="shared" ref="Y114:AD114" ca="1" si="144">ROUND(Y113/Y100,3)</f>
        <v>0.20200000000000001</v>
      </c>
      <c r="Z114" s="870">
        <f t="shared" ca="1" si="144"/>
        <v>0.23100000000000001</v>
      </c>
      <c r="AA114" s="869">
        <f t="shared" ca="1" si="144"/>
        <v>0.18099999999999999</v>
      </c>
      <c r="AB114" s="870">
        <f t="shared" ca="1" si="144"/>
        <v>0.247</v>
      </c>
      <c r="AC114" s="870">
        <f t="shared" ca="1" si="144"/>
        <v>0.182</v>
      </c>
      <c r="AD114" s="870">
        <f t="shared" ca="1" si="144"/>
        <v>0.224</v>
      </c>
      <c r="AE114" s="870">
        <f t="shared" ref="AE114:AM114" ca="1" si="145">ROUND(AE113/AE100,3)</f>
        <v>0.183</v>
      </c>
      <c r="AF114" s="869">
        <f t="shared" ca="1" si="145"/>
        <v>0.21</v>
      </c>
      <c r="AG114" s="870">
        <f t="shared" ca="1" si="145"/>
        <v>0.17699999999999999</v>
      </c>
      <c r="AH114" s="870">
        <f t="shared" ca="1" si="145"/>
        <v>0.20699999999999999</v>
      </c>
      <c r="AI114" s="870">
        <f t="shared" ca="1" si="145"/>
        <v>0.19800000000000001</v>
      </c>
      <c r="AJ114" s="870">
        <f t="shared" ca="1" si="145"/>
        <v>0.186</v>
      </c>
      <c r="AK114" s="869">
        <f t="shared" ca="1" si="145"/>
        <v>0.192</v>
      </c>
      <c r="AL114" s="870">
        <f t="shared" ca="1" si="145"/>
        <v>9.7000000000000003E-2</v>
      </c>
      <c r="AM114" s="870">
        <f t="shared" ca="1" si="145"/>
        <v>0.13500000000000001</v>
      </c>
      <c r="AN114" s="870">
        <f t="shared" ref="AN114:AP114" ca="1" si="146">ROUND(AN113/AN100,3)</f>
        <v>8.5999999999999993E-2</v>
      </c>
      <c r="AO114" s="870">
        <f t="shared" ca="1" si="146"/>
        <v>4.1000000000000002E-2</v>
      </c>
      <c r="AP114" s="869">
        <f t="shared" ca="1" si="146"/>
        <v>9.0999999999999998E-2</v>
      </c>
      <c r="AQ114" s="868"/>
      <c r="AR114" s="868"/>
      <c r="AS114" s="868"/>
      <c r="AT114" s="868"/>
      <c r="AU114" s="868"/>
      <c r="AV114" s="868"/>
      <c r="AY114" s="1041"/>
      <c r="AZ114" s="1041"/>
      <c r="BA114" s="868"/>
      <c r="BB114" s="868"/>
      <c r="BC114" s="868"/>
      <c r="BD114" s="868"/>
      <c r="BE114" s="868"/>
      <c r="BF114" s="868"/>
      <c r="BG114" s="868"/>
      <c r="BH114" s="868"/>
      <c r="BI114" s="868"/>
      <c r="BJ114" s="868"/>
      <c r="BK114" s="868"/>
      <c r="BL114" s="868"/>
      <c r="BM114" s="868"/>
      <c r="BN114" s="868"/>
      <c r="BO114" s="868"/>
      <c r="BP114" s="868"/>
      <c r="BQ114" s="868"/>
      <c r="BR114" s="868"/>
      <c r="BS114" s="868"/>
      <c r="BT114" s="868"/>
      <c r="BU114" s="868"/>
      <c r="BV114" s="868"/>
      <c r="BW114" s="868"/>
      <c r="BX114" s="868"/>
      <c r="BY114" s="868"/>
      <c r="BZ114" s="868"/>
      <c r="CA114" s="868"/>
    </row>
    <row r="115" spans="1:79" ht="13.5" customHeight="1" x14ac:dyDescent="0.2">
      <c r="A115" s="633"/>
      <c r="B115" s="9"/>
      <c r="C115" s="1027">
        <f ca="1">+SUMIFS(INDIRECT(CONCATENATE("'",$AQ115,$AR115,":",$AS115)),INDIRECT(CONCATENATE("'",$AQ115,$AR$92,":",$AS$92)),C$92)-C113</f>
        <v>0</v>
      </c>
      <c r="D115" s="1027">
        <f ca="1">+SUMIFS(INDIRECT(CONCATENATE("'",$AQ115,$AR115,":",$AS115)),INDIRECT(CONCATENATE("'",$AQ115,$AR$92,":",$AS$92)),D$92)-D113</f>
        <v>0</v>
      </c>
      <c r="E115" s="1027">
        <f ca="1">+SUMIFS(INDIRECT(CONCATENATE("'",$AQ115,$AR115,":",$AS115)),INDIRECT(CONCATENATE("'",$AQ115,$AR$92,":",$AS$92)),E$92)-E113</f>
        <v>0</v>
      </c>
      <c r="F115" s="1027">
        <f ca="1">+SUMIFS(INDIRECT(CONCATENATE("'",$AQ115,$AR115,":",$AS115)),INDIRECT(CONCATENATE("'",$AQ115,$AR$92,":",$AS$92)),F$92)-F113</f>
        <v>3.637978807091713E-12</v>
      </c>
      <c r="G115" s="276"/>
      <c r="H115" s="1027">
        <f ca="1">+SUMIFS(INDIRECT(CONCATENATE("'",$AQ115,$AR115,":",$AS115)),INDIRECT(CONCATENATE("'",$AQ115,$AR$92,":",$AS$92)),H$92)-H113</f>
        <v>0</v>
      </c>
      <c r="I115" s="1027">
        <f ca="1">+SUMIFS(INDIRECT(CONCATENATE("'",$AQ115,$AR115,":",$AS115)),INDIRECT(CONCATENATE("'",$AQ115,$AR$92,":",$AS$92)),I$92)-I113</f>
        <v>0</v>
      </c>
      <c r="J115" s="1027">
        <f ca="1">+SUMIFS(INDIRECT(CONCATENATE("'",$AQ115,$AR115,":",$AS115)),INDIRECT(CONCATENATE("'",$AQ115,$AR$92,":",$AS$92)),J$92)-J113</f>
        <v>4.5474735088646412E-13</v>
      </c>
      <c r="K115" s="1027">
        <f ca="1">+SUMIFS(INDIRECT(CONCATENATE("'",$AQ115,$AR115,":",$AS115)),INDIRECT(CONCATENATE("'",$AQ115,$AR$92,":",$AS$92)),K$92)-K113</f>
        <v>-9.0949470177292824E-13</v>
      </c>
      <c r="L115" s="276"/>
      <c r="M115" s="1027">
        <f ca="1">+SUMIFS(INDIRECT(CONCATENATE("'",$AQ115,$AR115,":",$AS115)),INDIRECT(CONCATENATE("'",$AQ115,$AR$92,":",$AS$92)),M$92)-M113</f>
        <v>0</v>
      </c>
      <c r="N115" s="1027">
        <f ca="1">+SUMIFS(INDIRECT(CONCATENATE("'",$AQ115,$AR115,":",$AS115)),INDIRECT(CONCATENATE("'",$AQ115,$AR$92,":",$AS$92)),N$92)-N113</f>
        <v>0</v>
      </c>
      <c r="O115" s="1027">
        <f ca="1">+SUMIFS(INDIRECT(CONCATENATE("'",$AQ115,$AR115,":",$AS115)),INDIRECT(CONCATENATE("'",$AQ115,$AR$92,":",$AS$92)),O$92)-O113</f>
        <v>0</v>
      </c>
      <c r="P115" s="1027">
        <f ca="1">+SUMIFS(INDIRECT(CONCATENATE("'",$AQ115,$AR115,":",$AS115)),INDIRECT(CONCATENATE("'",$AQ115,$AR$92,":",$AS$92)),P$92)-P113</f>
        <v>0</v>
      </c>
      <c r="Q115" s="276"/>
      <c r="R115" s="1027">
        <f ca="1">+SUMIFS(INDIRECT(CONCATENATE("'",$AQ115,$AR115,":",$AS115)),INDIRECT(CONCATENATE("'",$AQ115,$AR$92,":",$AS$92)),R$92)-R113</f>
        <v>0</v>
      </c>
      <c r="S115" s="1027">
        <f ca="1">+SUMIFS(INDIRECT(CONCATENATE("'",$AQ115,$AR115,":",$AS115)),INDIRECT(CONCATENATE("'",$AQ115,$AR$92,":",$AS$92)),S$92)-S113</f>
        <v>0</v>
      </c>
      <c r="T115" s="1027">
        <f ca="1">+SUMIFS(INDIRECT(CONCATENATE("'",$AQ115,$AR115,":",$AS115)),INDIRECT(CONCATENATE("'",$AQ115,$AR$92,":",$AS$92)),T$92)-T113</f>
        <v>0</v>
      </c>
      <c r="U115" s="1027">
        <f ca="1">+SUMIFS(INDIRECT(CONCATENATE("'",$AQ115,$AR115,":",$AS115)),INDIRECT(CONCATENATE("'",$AQ115,$AR$92,":",$AS$92)),U$92)-U113</f>
        <v>0</v>
      </c>
      <c r="V115" s="276"/>
      <c r="W115" s="1027">
        <f ca="1">+SUMIFS(INDIRECT(CONCATENATE("'",$AQ115,$AR115,":",$AS115)),INDIRECT(CONCATENATE("'",$AQ115,$AR$92,":",$AS$92)),W$92)-W113</f>
        <v>0</v>
      </c>
      <c r="X115" s="1027">
        <f ca="1">+SUMIFS(INDIRECT(CONCATENATE("'",$AQ115,$AR115,":",$AS115)),INDIRECT(CONCATENATE("'",$AQ115,$AR$92,":",$AS$92)),X$92)-X113</f>
        <v>0</v>
      </c>
      <c r="Y115" s="1027">
        <f ca="1">+SUMIFS(INDIRECT(CONCATENATE("'",$AQ115,$AR115,":",$AS115)),INDIRECT(CONCATENATE("'",$AQ115,$AR$92,":",$AS$92)),Y$92)-Y113</f>
        <v>0</v>
      </c>
      <c r="Z115" s="1027">
        <f ca="1">+SUMIFS(INDIRECT(CONCATENATE("'",$AQ115,$AR115,":",$AS115)),INDIRECT(CONCATENATE("'",$AQ115,$AR$92,":",$AS$92)),Z$92)-Z113</f>
        <v>0</v>
      </c>
      <c r="AA115" s="276"/>
      <c r="AB115" s="1027">
        <f ca="1">+SUMIFS(INDIRECT(CONCATENATE("'",$AQ115,$AR115,":",$AS115)),INDIRECT(CONCATENATE("'",$AQ115,$AR$92,":",$AS$92)),AB$92)-AB113</f>
        <v>0</v>
      </c>
      <c r="AC115" s="1027">
        <f ca="1">+SUMIFS(INDIRECT(CONCATENATE("'",$AQ115,$AR115,":",$AS115)),INDIRECT(CONCATENATE("'",$AQ115,$AR$92,":",$AS$92)),AC$92)-AC113</f>
        <v>0</v>
      </c>
      <c r="AD115" s="1027">
        <f ca="1">+SUMIFS(INDIRECT(CONCATENATE("'",$AQ115,$AR115,":",$AS115)),INDIRECT(CONCATENATE("'",$AQ115,$AR$92,":",$AS$92)),AD$92)-AD113</f>
        <v>0</v>
      </c>
      <c r="AE115" s="1027">
        <f ca="1">+SUMIFS(INDIRECT(CONCATENATE("'",$AQ115,$AR115,":",$AS115)),INDIRECT(CONCATENATE("'",$AQ115,$AR$92,":",$AS$92)),AE$92)-AE113</f>
        <v>0</v>
      </c>
      <c r="AF115" s="276"/>
      <c r="AG115" s="1027">
        <f ca="1">+SUMIFS(INDIRECT(CONCATENATE("'",$AQ115,$AR115,":",$AS115)),INDIRECT(CONCATENATE("'",$AQ115,$AR$92,":",$AS$92)),AG$92)-AG113</f>
        <v>0</v>
      </c>
      <c r="AH115" s="1027">
        <f ca="1">+SUMIFS(INDIRECT(CONCATENATE("'",$AQ115,$AR115,":",$AS115)),INDIRECT(CONCATENATE("'",$AQ115,$AR$92,":",$AS$92)),AH$92)-AH113</f>
        <v>0</v>
      </c>
      <c r="AI115" s="1027">
        <f ca="1">+SUMIFS(INDIRECT(CONCATENATE("'",$AQ115,$AR115,":",$AS115)),INDIRECT(CONCATENATE("'",$AQ115,$AR$92,":",$AS$92)),AI$92)-AI113</f>
        <v>0</v>
      </c>
      <c r="AJ115" s="1027">
        <f ca="1">+SUMIFS(INDIRECT(CONCATENATE("'",$AQ115,$AR115,":",$AS115)),INDIRECT(CONCATENATE("'",$AQ115,$AR$92,":",$AS$92)),AJ$92)-AJ113</f>
        <v>0</v>
      </c>
      <c r="AK115" s="276"/>
      <c r="AL115" s="1027">
        <f ca="1">+SUMIFS(INDIRECT(CONCATENATE("'",$AQ115,$AR115,":",$AS115)),INDIRECT(CONCATENATE("'",$AQ115,$AR$92,":",$AS$92)),AL$92)-AL113</f>
        <v>0</v>
      </c>
      <c r="AM115" s="1027">
        <f ca="1">+SUMIFS(INDIRECT(CONCATENATE("'",$AQ115,$AR115,":",$AS115)),INDIRECT(CONCATENATE("'",$AQ115,$AR$92,":",$AS$92)),AM$92)-AM113</f>
        <v>0</v>
      </c>
      <c r="AN115" s="1027">
        <f ca="1">+SUMIFS(INDIRECT(CONCATENATE("'",$AQ115,$AR115,":",$AS115)),INDIRECT(CONCATENATE("'",$AQ115,$AR$92,":",$AS$92)),AN$92)-AN113</f>
        <v>0</v>
      </c>
      <c r="AO115" s="1027">
        <f ca="1">+SUMIFS(INDIRECT(CONCATENATE("'",$AQ115,$AR115,":",$AS115)),INDIRECT(CONCATENATE("'",$AQ115,$AR$92,":",$AS$92)),AO$92)-AO113</f>
        <v>0</v>
      </c>
      <c r="AP115" s="276"/>
      <c r="AQ115" s="268" t="s">
        <v>1072</v>
      </c>
      <c r="AR115" s="268" t="str">
        <f>"$"&amp;ROW(IncSIntLog!$B$40)</f>
        <v>$40</v>
      </c>
      <c r="AS115" s="268" t="str">
        <f>"$"&amp;ROW(IncSIntLog!$B$40)</f>
        <v>$40</v>
      </c>
      <c r="AT115" s="268" t="s">
        <v>1072</v>
      </c>
      <c r="AU115" s="268" t="s">
        <v>1071</v>
      </c>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row>
    <row r="116" spans="1:79" ht="14.25" customHeight="1" x14ac:dyDescent="0.2">
      <c r="B116" s="884" t="s">
        <v>600</v>
      </c>
      <c r="C116" s="883" t="str">
        <f t="shared" ref="C116:AH116" si="147">C5</f>
        <v>1Q17</v>
      </c>
      <c r="D116" s="883" t="str">
        <f t="shared" si="147"/>
        <v>2Q17</v>
      </c>
      <c r="E116" s="883" t="str">
        <f t="shared" si="147"/>
        <v>3Q17</v>
      </c>
      <c r="F116" s="883" t="str">
        <f t="shared" si="147"/>
        <v>4Q17</v>
      </c>
      <c r="G116" s="883" t="str">
        <f t="shared" si="147"/>
        <v>2017</v>
      </c>
      <c r="H116" s="883" t="str">
        <f t="shared" si="147"/>
        <v>1Q18</v>
      </c>
      <c r="I116" s="883" t="str">
        <f t="shared" si="147"/>
        <v>2Q18</v>
      </c>
      <c r="J116" s="883" t="str">
        <f t="shared" si="147"/>
        <v>3Q18</v>
      </c>
      <c r="K116" s="883" t="str">
        <f t="shared" si="147"/>
        <v>4Q18</v>
      </c>
      <c r="L116" s="883" t="str">
        <f t="shared" si="147"/>
        <v>2018</v>
      </c>
      <c r="M116" s="883" t="str">
        <f t="shared" si="147"/>
        <v>1Q19</v>
      </c>
      <c r="N116" s="883" t="str">
        <f t="shared" si="147"/>
        <v>2Q19</v>
      </c>
      <c r="O116" s="883" t="str">
        <f t="shared" si="147"/>
        <v>3Q19</v>
      </c>
      <c r="P116" s="883" t="str">
        <f t="shared" si="147"/>
        <v>4Q19</v>
      </c>
      <c r="Q116" s="883" t="str">
        <f t="shared" si="147"/>
        <v>2019</v>
      </c>
      <c r="R116" s="883" t="str">
        <f t="shared" si="147"/>
        <v>1Q20</v>
      </c>
      <c r="S116" s="883" t="str">
        <f t="shared" si="147"/>
        <v>2Q20</v>
      </c>
      <c r="T116" s="883" t="str">
        <f t="shared" si="147"/>
        <v>3Q20</v>
      </c>
      <c r="U116" s="883" t="str">
        <f t="shared" si="147"/>
        <v>4Q20</v>
      </c>
      <c r="V116" s="883" t="str">
        <f t="shared" si="147"/>
        <v>2020</v>
      </c>
      <c r="W116" s="883" t="str">
        <f t="shared" si="147"/>
        <v>1Q21</v>
      </c>
      <c r="X116" s="883" t="str">
        <f t="shared" si="147"/>
        <v>2Q21</v>
      </c>
      <c r="Y116" s="883" t="str">
        <f t="shared" si="147"/>
        <v>3Q21</v>
      </c>
      <c r="Z116" s="883" t="str">
        <f t="shared" si="147"/>
        <v>4Q21</v>
      </c>
      <c r="AA116" s="883" t="str">
        <f t="shared" si="147"/>
        <v>2021</v>
      </c>
      <c r="AB116" s="883" t="str">
        <f t="shared" si="147"/>
        <v>1Q22</v>
      </c>
      <c r="AC116" s="883" t="str">
        <f t="shared" si="147"/>
        <v>2Q22</v>
      </c>
      <c r="AD116" s="883" t="str">
        <f t="shared" si="147"/>
        <v>3Q22</v>
      </c>
      <c r="AE116" s="883" t="str">
        <f t="shared" si="147"/>
        <v>4Q22</v>
      </c>
      <c r="AF116" s="883" t="str">
        <f t="shared" si="147"/>
        <v>2022</v>
      </c>
      <c r="AG116" s="883" t="str">
        <f t="shared" si="147"/>
        <v>1Q23</v>
      </c>
      <c r="AH116" s="883" t="str">
        <f t="shared" si="147"/>
        <v>2Q23</v>
      </c>
      <c r="AI116" s="883" t="str">
        <f t="shared" ref="AI116:AN116" si="148">AI5</f>
        <v>3Q23</v>
      </c>
      <c r="AJ116" s="883" t="str">
        <f t="shared" si="148"/>
        <v>4Q23</v>
      </c>
      <c r="AK116" s="883" t="str">
        <f t="shared" si="148"/>
        <v>2023</v>
      </c>
      <c r="AL116" s="883" t="str">
        <f t="shared" si="148"/>
        <v>1Q24</v>
      </c>
      <c r="AM116" s="883" t="str">
        <f t="shared" si="148"/>
        <v>2Q24</v>
      </c>
      <c r="AN116" s="883" t="str">
        <f t="shared" si="148"/>
        <v>3Q24</v>
      </c>
      <c r="AO116" s="883" t="str">
        <f t="shared" ref="AO116:AP116" si="149">AO5</f>
        <v>4Q24</v>
      </c>
      <c r="AP116" s="883" t="str">
        <f t="shared" si="149"/>
        <v>2024</v>
      </c>
      <c r="AR116" s="268" t="str">
        <f>"$"&amp;ROW(BalSheet!$B$5)</f>
        <v>$5</v>
      </c>
      <c r="AS116" s="268" t="str">
        <f>"$"&amp;ROW(BalSheet!$B$5)</f>
        <v>$5</v>
      </c>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row>
    <row r="117" spans="1:79" ht="14.25" hidden="1" customHeight="1" x14ac:dyDescent="0.2">
      <c r="B117" s="874" t="s">
        <v>166</v>
      </c>
      <c r="C117" s="873">
        <v>126013</v>
      </c>
      <c r="D117" s="873">
        <v>183030</v>
      </c>
      <c r="E117" s="873">
        <v>145307</v>
      </c>
      <c r="F117" s="873">
        <v>148732</v>
      </c>
      <c r="G117" s="645">
        <f>+F117</f>
        <v>148732</v>
      </c>
      <c r="H117" s="873">
        <v>125466</v>
      </c>
      <c r="I117" s="873">
        <v>90689</v>
      </c>
      <c r="J117" s="873">
        <v>97964</v>
      </c>
      <c r="K117" s="873">
        <v>83542</v>
      </c>
      <c r="L117" s="645">
        <f>+K117</f>
        <v>83542</v>
      </c>
      <c r="M117" s="873">
        <v>107994</v>
      </c>
      <c r="N117" s="873">
        <v>106775</v>
      </c>
      <c r="O117" s="873">
        <v>112108</v>
      </c>
      <c r="P117" s="873">
        <v>67332</v>
      </c>
      <c r="Q117" s="645">
        <f>+P117</f>
        <v>67332</v>
      </c>
      <c r="R117" s="873">
        <f t="shared" ref="R117:U118" ca="1" si="150">+SUMIFS(INDIRECT(CONCATENATE("'",$AQ117,$AR117,":",$AS117)),INDIRECT(CONCATENATE("'",$AQ117,$AR$116,":",$AS$116)),R$92)</f>
        <v>125940</v>
      </c>
      <c r="S117" s="873">
        <f t="shared" ca="1" si="150"/>
        <v>286503</v>
      </c>
      <c r="T117" s="873">
        <f t="shared" ca="1" si="150"/>
        <v>247793</v>
      </c>
      <c r="U117" s="873">
        <f t="shared" ca="1" si="150"/>
        <v>260387</v>
      </c>
      <c r="V117" s="645">
        <f ca="1">+U117</f>
        <v>260387</v>
      </c>
      <c r="W117" s="873">
        <f t="shared" ref="W117:Z118" ca="1" si="151">+SUMIFS(INDIRECT(CONCATENATE("'",$AQ117,$AR117,":",$AS117)),INDIRECT(CONCATENATE("'",$AQ117,$AR$116,":",$AS$116)),W$92)</f>
        <v>304909</v>
      </c>
      <c r="X117" s="873">
        <f t="shared" ca="1" si="151"/>
        <v>244529</v>
      </c>
      <c r="Y117" s="873">
        <f t="shared" ca="1" si="151"/>
        <v>221421</v>
      </c>
      <c r="Z117" s="873">
        <f t="shared" ca="1" si="151"/>
        <v>147128</v>
      </c>
      <c r="AA117" s="645">
        <f ca="1">+Z117</f>
        <v>147128</v>
      </c>
      <c r="AB117" s="873">
        <f t="shared" ref="AB117:AE118" ca="1" si="152">+SUMIFS(INDIRECT(CONCATENATE("'",$AQ117,$AR117,":",$AS117)),INDIRECT(CONCATENATE("'",$AQ117,$AR$116,":",$AS$116)),AB$92)</f>
        <v>210504</v>
      </c>
      <c r="AC117" s="873">
        <f t="shared" ca="1" si="152"/>
        <v>0</v>
      </c>
      <c r="AD117" s="873">
        <f t="shared" ca="1" si="152"/>
        <v>137242</v>
      </c>
      <c r="AE117" s="873">
        <f t="shared" ca="1" si="152"/>
        <v>190299</v>
      </c>
      <c r="AF117" s="645">
        <f ca="1">+AE117</f>
        <v>190299</v>
      </c>
      <c r="AG117" s="873">
        <f t="shared" ref="AG117:AJ118" ca="1" si="153">+SUMIFS(INDIRECT(CONCATENATE("'",$AQ117,$AR117,":",$AS117)),INDIRECT(CONCATENATE("'",$AQ117,$AR$116,":",$AS$116)),AG$92)</f>
        <v>242048</v>
      </c>
      <c r="AH117" s="873">
        <f t="shared" ca="1" si="153"/>
        <v>237038</v>
      </c>
      <c r="AI117" s="873">
        <f t="shared" ca="1" si="153"/>
        <v>258630</v>
      </c>
      <c r="AJ117" s="873">
        <f t="shared" ca="1" si="153"/>
        <v>232539</v>
      </c>
      <c r="AK117" s="645">
        <f ca="1">+AJ117</f>
        <v>232539</v>
      </c>
      <c r="AL117" s="873">
        <f t="shared" ref="AL117:AO118" ca="1" si="154">+SUMIFS(INDIRECT(CONCATENATE("'",$AQ117,$AR117,":",$AS117)),INDIRECT(CONCATENATE("'",$AQ117,$AR$116,":",$AS$116)),AL$92)</f>
        <v>299796</v>
      </c>
      <c r="AM117" s="873">
        <f t="shared" ca="1" si="154"/>
        <v>282802</v>
      </c>
      <c r="AN117" s="873">
        <f t="shared" ca="1" si="154"/>
        <v>264126</v>
      </c>
      <c r="AO117" s="873">
        <f t="shared" ca="1" si="154"/>
        <v>241335</v>
      </c>
      <c r="AP117" s="645">
        <f ca="1">+AO117</f>
        <v>241335</v>
      </c>
      <c r="AQ117" s="268" t="s">
        <v>1060</v>
      </c>
      <c r="AR117" s="268" t="str">
        <f>"$"&amp;ROW(BalSheet!$B$7)</f>
        <v>$7</v>
      </c>
      <c r="AS117" s="268" t="str">
        <f>"$"&amp;ROW(BalSheet!$B$7)</f>
        <v>$7</v>
      </c>
      <c r="AT117" s="268" t="s">
        <v>1060</v>
      </c>
      <c r="AU117" s="268" t="s">
        <v>1059</v>
      </c>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row>
    <row r="118" spans="1:79" ht="14.25" customHeight="1" x14ac:dyDescent="0.2">
      <c r="B118" s="874" t="s">
        <v>831</v>
      </c>
      <c r="C118" s="873">
        <v>116130</v>
      </c>
      <c r="D118" s="873">
        <v>123239</v>
      </c>
      <c r="E118" s="873">
        <v>137433</v>
      </c>
      <c r="F118" s="873">
        <v>171180</v>
      </c>
      <c r="G118" s="645">
        <f>+F118</f>
        <v>171180</v>
      </c>
      <c r="H118" s="873">
        <v>149456</v>
      </c>
      <c r="I118" s="873">
        <v>175884</v>
      </c>
      <c r="J118" s="873">
        <v>190482</v>
      </c>
      <c r="K118" s="873">
        <v>226227</v>
      </c>
      <c r="L118" s="645">
        <f>+K118</f>
        <v>226227</v>
      </c>
      <c r="M118" s="873">
        <v>202605</v>
      </c>
      <c r="N118" s="873">
        <v>215878</v>
      </c>
      <c r="O118" s="873">
        <v>222773</v>
      </c>
      <c r="P118" s="873">
        <v>261173</v>
      </c>
      <c r="Q118" s="645">
        <f>+P118</f>
        <v>261173</v>
      </c>
      <c r="R118" s="873">
        <f t="shared" ca="1" si="150"/>
        <v>208452</v>
      </c>
      <c r="S118" s="873">
        <f t="shared" ca="1" si="150"/>
        <v>127444</v>
      </c>
      <c r="T118" s="873">
        <f t="shared" ca="1" si="150"/>
        <v>199717</v>
      </c>
      <c r="U118" s="873">
        <f t="shared" ca="1" si="150"/>
        <v>212138</v>
      </c>
      <c r="V118" s="645">
        <f ca="1">+U118</f>
        <v>212138</v>
      </c>
      <c r="W118" s="873">
        <f t="shared" ca="1" si="151"/>
        <v>169120</v>
      </c>
      <c r="X118" s="916">
        <f t="shared" ca="1" si="151"/>
        <v>197088</v>
      </c>
      <c r="Y118" s="916">
        <f t="shared" ca="1" si="151"/>
        <v>196436</v>
      </c>
      <c r="Z118" s="916">
        <f t="shared" ca="1" si="151"/>
        <v>302669</v>
      </c>
      <c r="AA118" s="930">
        <f ca="1">+Z118</f>
        <v>302669</v>
      </c>
      <c r="AB118" s="916">
        <f t="shared" ca="1" si="152"/>
        <v>223696</v>
      </c>
      <c r="AC118" s="916">
        <f t="shared" ca="1" si="152"/>
        <v>0</v>
      </c>
      <c r="AD118" s="873">
        <f t="shared" ca="1" si="152"/>
        <v>289087</v>
      </c>
      <c r="AE118" s="873">
        <f t="shared" ca="1" si="152"/>
        <v>314053</v>
      </c>
      <c r="AF118" s="1149">
        <f ca="1">+AE118</f>
        <v>314053</v>
      </c>
      <c r="AG118" s="873">
        <f t="shared" ca="1" si="153"/>
        <v>259933</v>
      </c>
      <c r="AH118" s="873">
        <f t="shared" ca="1" si="153"/>
        <v>264045</v>
      </c>
      <c r="AI118" s="873">
        <f t="shared" ca="1" si="153"/>
        <v>280755</v>
      </c>
      <c r="AJ118" s="873">
        <f t="shared" ca="1" si="153"/>
        <v>345505</v>
      </c>
      <c r="AK118" s="1149">
        <f ca="1">+AJ118</f>
        <v>345505</v>
      </c>
      <c r="AL118" s="873">
        <f t="shared" ca="1" si="154"/>
        <v>294190</v>
      </c>
      <c r="AM118" s="873">
        <f t="shared" ca="1" si="154"/>
        <v>342942</v>
      </c>
      <c r="AN118" s="873">
        <f t="shared" ca="1" si="154"/>
        <v>395339</v>
      </c>
      <c r="AO118" s="873">
        <f t="shared" ca="1" si="154"/>
        <v>437934</v>
      </c>
      <c r="AP118" s="1149">
        <f ca="1">+AO118</f>
        <v>437934</v>
      </c>
      <c r="AQ118" s="268" t="s">
        <v>1060</v>
      </c>
      <c r="AR118" s="268" t="str">
        <f>"$"&amp;ROW(BalSheet!$B$8)</f>
        <v>$8</v>
      </c>
      <c r="AS118" s="268" t="str">
        <f>"$"&amp;ROW(BalSheet!$B$8)</f>
        <v>$8</v>
      </c>
      <c r="AT118" s="268" t="s">
        <v>1060</v>
      </c>
      <c r="AU118" s="268" t="s">
        <v>1059</v>
      </c>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row>
    <row r="119" spans="1:79" s="284" customFormat="1" ht="14.1" customHeight="1" x14ac:dyDescent="0.2">
      <c r="A119" s="909"/>
      <c r="B119" s="908" t="s">
        <v>832</v>
      </c>
      <c r="C119" s="907">
        <f ca="1">+C118/(C8/90)</f>
        <v>39.719237402548863</v>
      </c>
      <c r="D119" s="907">
        <f ca="1">+D118/(D8/90)</f>
        <v>35.014730035534399</v>
      </c>
      <c r="E119" s="907">
        <f ca="1">+E118/(E8/90)</f>
        <v>34.780388227402035</v>
      </c>
      <c r="F119" s="907">
        <f ca="1">+F118/(F8/90)</f>
        <v>39.037343944115563</v>
      </c>
      <c r="G119" s="906">
        <f ca="1">+F119</f>
        <v>39.037343944115563</v>
      </c>
      <c r="H119" s="907">
        <f ca="1">+H118/(H8/90)</f>
        <v>41.663506875971962</v>
      </c>
      <c r="I119" s="907">
        <f ca="1">+I118/(I8/90)</f>
        <v>43.922375863127726</v>
      </c>
      <c r="J119" s="907">
        <f ca="1">+J118/(J8/90)</f>
        <v>41.225349933842544</v>
      </c>
      <c r="K119" s="907">
        <f ca="1">+K118/(K8/90)</f>
        <v>46.313049769519438</v>
      </c>
      <c r="L119" s="906">
        <f ca="1">+K119</f>
        <v>46.313049769519438</v>
      </c>
      <c r="M119" s="907">
        <f ca="1">+M118/(M8/90)</f>
        <v>49.646939808097962</v>
      </c>
      <c r="N119" s="907">
        <f ca="1">+N118/(N8/90)</f>
        <v>47.815763249532246</v>
      </c>
      <c r="O119" s="907">
        <f ca="1">+O118/(O8/90)</f>
        <v>48.213560576659368</v>
      </c>
      <c r="P119" s="907">
        <f ca="1">+P118/(P8/90)</f>
        <v>50.675232910702135</v>
      </c>
      <c r="Q119" s="906">
        <f ca="1">+P119</f>
        <v>50.675232910702135</v>
      </c>
      <c r="R119" s="907">
        <f ca="1">+R118/(R8/90)</f>
        <v>54.307420809725244</v>
      </c>
      <c r="S119" s="907">
        <f ca="1">+S118/(S8/90)</f>
        <v>71.568658460625841</v>
      </c>
      <c r="T119" s="907">
        <f ca="1">+T118/(T8/90)</f>
        <v>50.163895693743683</v>
      </c>
      <c r="U119" s="907">
        <f ca="1">+U118/(U8/90)</f>
        <v>49.36897007920826</v>
      </c>
      <c r="V119" s="906">
        <f ca="1">+U119</f>
        <v>49.36897007920826</v>
      </c>
      <c r="W119" s="907">
        <f ca="1">+W118/(W8/90)</f>
        <v>52.347476219140027</v>
      </c>
      <c r="X119" s="1140">
        <f ca="1">+X118/(X8/90)</f>
        <v>60.187450597363473</v>
      </c>
      <c r="Y119" s="1140">
        <f ca="1">+Y118/(Y8/90)</f>
        <v>61.114199538102213</v>
      </c>
      <c r="Z119" s="1140">
        <f ca="1">+Z118/(Z8/90)</f>
        <v>71.782561682617512</v>
      </c>
      <c r="AA119" s="1020">
        <f ca="1">+Z119</f>
        <v>71.782561682617512</v>
      </c>
      <c r="AB119" s="1140">
        <f ca="1">+AB118/(AB8/90)</f>
        <v>67.482475285711402</v>
      </c>
      <c r="AC119" s="1140">
        <f ca="1">+AC118/(AC8/90)</f>
        <v>0</v>
      </c>
      <c r="AD119" s="907">
        <f ca="1">+AD118/(AD8/90)</f>
        <v>50.874665931595509</v>
      </c>
      <c r="AE119" s="907">
        <f ca="1">+AE118/(AE8/90)</f>
        <v>55.826079891574423</v>
      </c>
      <c r="AF119" s="1150">
        <f ca="1">+AE119</f>
        <v>55.826079891574423</v>
      </c>
      <c r="AG119" s="907">
        <f ca="1">+AG118/(AG8/90)</f>
        <v>56.070215665586787</v>
      </c>
      <c r="AH119" s="907">
        <f ca="1">+AH118/(AH8/90)</f>
        <v>51.983792337188738</v>
      </c>
      <c r="AI119" s="907">
        <f ca="1">+AI118/(AI8/90)</f>
        <v>47.576690603690487</v>
      </c>
      <c r="AJ119" s="907">
        <f ca="1">+AJ118/(AJ8/90)</f>
        <v>54.941851530098845</v>
      </c>
      <c r="AK119" s="1150">
        <f ca="1">+AJ119</f>
        <v>54.941851530098845</v>
      </c>
      <c r="AL119" s="907">
        <f ca="1">+AL118/(AL8/90)</f>
        <v>54.791267344803188</v>
      </c>
      <c r="AM119" s="907">
        <f ca="1">+AM118/(AM8/90)</f>
        <v>52.770403894665691</v>
      </c>
      <c r="AN119" s="907">
        <f ca="1">+AN118/(AN8/90)</f>
        <v>47.646607614023388</v>
      </c>
      <c r="AO119" s="907">
        <f ca="1">+AO118/(AO8/90)</f>
        <v>51.164407216993304</v>
      </c>
      <c r="AP119" s="1150">
        <f ca="1">+AO119</f>
        <v>51.164407216993304</v>
      </c>
      <c r="AQ119" s="905"/>
      <c r="AR119" s="905"/>
      <c r="AS119" s="905"/>
      <c r="AT119" s="905"/>
      <c r="AU119" s="905"/>
      <c r="AV119" s="905"/>
      <c r="AY119" s="1042"/>
      <c r="AZ119" s="1042"/>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row>
    <row r="120" spans="1:79" ht="3" customHeight="1" x14ac:dyDescent="0.2">
      <c r="B120" s="900"/>
      <c r="C120" s="1077"/>
      <c r="D120" s="1077"/>
      <c r="E120" s="1077"/>
      <c r="F120" s="1077"/>
      <c r="G120" s="873"/>
      <c r="H120" s="1077"/>
      <c r="I120" s="1077"/>
      <c r="J120" s="1077"/>
      <c r="K120" s="1077"/>
      <c r="L120" s="873"/>
      <c r="M120" s="1077"/>
      <c r="N120" s="1077"/>
      <c r="O120" s="1077"/>
      <c r="P120" s="1077"/>
      <c r="Q120" s="873"/>
      <c r="R120" s="1077"/>
      <c r="S120" s="1077"/>
      <c r="T120" s="1077"/>
      <c r="U120" s="1077"/>
      <c r="V120" s="873"/>
      <c r="W120" s="1077"/>
      <c r="X120" s="1077"/>
      <c r="Y120" s="1077"/>
      <c r="Z120" s="1077"/>
      <c r="AA120" s="873"/>
      <c r="AB120" s="1077"/>
      <c r="AC120" s="1077"/>
      <c r="AD120" s="1077"/>
      <c r="AE120" s="1077"/>
      <c r="AF120" s="1151"/>
      <c r="AG120" s="1077"/>
      <c r="AH120" s="1077"/>
      <c r="AI120" s="1077"/>
      <c r="AJ120" s="1077"/>
      <c r="AK120" s="1151"/>
      <c r="AL120" s="1077"/>
      <c r="AM120" s="1077"/>
      <c r="AN120" s="1077"/>
      <c r="AO120" s="1077"/>
      <c r="AP120" s="1151"/>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row>
    <row r="121" spans="1:79" ht="13.5" customHeight="1" x14ac:dyDescent="0.2">
      <c r="B121" s="874" t="s">
        <v>183</v>
      </c>
      <c r="C121" s="873">
        <v>214161</v>
      </c>
      <c r="D121" s="873">
        <v>216033</v>
      </c>
      <c r="E121" s="873">
        <v>214285</v>
      </c>
      <c r="F121" s="873">
        <v>210100</v>
      </c>
      <c r="G121" s="645">
        <f ca="1">+G122+F121+G24</f>
        <v>156725.32367000001</v>
      </c>
      <c r="H121" s="873">
        <v>193695</v>
      </c>
      <c r="I121" s="873">
        <v>189509</v>
      </c>
      <c r="J121" s="873">
        <v>197392</v>
      </c>
      <c r="K121" s="873">
        <v>202166</v>
      </c>
      <c r="L121" s="645">
        <f ca="1">+L122+K121+L24</f>
        <v>137435.10702</v>
      </c>
      <c r="M121" s="873">
        <v>201707</v>
      </c>
      <c r="N121" s="873">
        <v>210345</v>
      </c>
      <c r="O121" s="873">
        <v>208236</v>
      </c>
      <c r="P121" s="873">
        <v>209033</v>
      </c>
      <c r="Q121" s="645">
        <f ca="1">+Q122+P121+Q24</f>
        <v>147210.87786000001</v>
      </c>
      <c r="R121" s="873">
        <f ca="1">+SUMIFS(INDIRECT(CONCATENATE("'",$AQ121,$AR121,":",$AS121)),INDIRECT(CONCATENATE("'",$AQ121,$AR$116,":",$AS$116)),R$92)</f>
        <v>207833</v>
      </c>
      <c r="S121" s="873">
        <f ca="1">+SUMIFS(INDIRECT(CONCATENATE("'",$AQ121,$AR121,":",$AS121)),INDIRECT(CONCATENATE("'",$AQ121,$AR$116,":",$AS$116)),S$92)</f>
        <v>204713</v>
      </c>
      <c r="T121" s="873">
        <f ca="1">+SUMIFS(INDIRECT(CONCATENATE("'",$AQ121,$AR121,":",$AS121)),INDIRECT(CONCATENATE("'",$AQ121,$AR$116,":",$AS$116)),T$92)</f>
        <v>203615</v>
      </c>
      <c r="U121" s="873">
        <f ca="1">+SUMIFS(INDIRECT(CONCATENATE("'",$AQ121,$AR121,":",$AS121)),INDIRECT(CONCATENATE("'",$AQ121,$AR$116,":",$AS$116)),U$92)</f>
        <v>202117</v>
      </c>
      <c r="V121" s="645">
        <f ca="1">+V122+U121+V24</f>
        <v>158920.88263000001</v>
      </c>
      <c r="W121" s="873">
        <f ca="1">+SUMIFS(INDIRECT(CONCATENATE("'",$AQ121,$AR121,":",$AS121)),INDIRECT(CONCATENATE("'",$AQ121,$AR$116,":",$AS$116)),W$92)</f>
        <v>202115</v>
      </c>
      <c r="X121" s="873">
        <f ca="1">+SUMIFS(INDIRECT(CONCATENATE("'",$AQ121,$AR121,":",$AS121)),INDIRECT(CONCATENATE("'",$AQ121,$AR$116,":",$AS$116)),X$92)</f>
        <v>202083</v>
      </c>
      <c r="Y121" s="873">
        <f ca="1">+SUMIFS(INDIRECT(CONCATENATE("'",$AQ121,$AR121,":",$AS121)),INDIRECT(CONCATENATE("'",$AQ121,$AR$116,":",$AS$116)),Y$92)</f>
        <v>206653</v>
      </c>
      <c r="Z121" s="873">
        <f ca="1">+SUMIFS(INDIRECT(CONCATENATE("'",$AQ121,$AR121,":",$AS121)),INDIRECT(CONCATENATE("'",$AQ121,$AR$116,":",$AS$116)),Z$92)</f>
        <v>206881</v>
      </c>
      <c r="AA121" s="645">
        <f ca="1">+AA122+Z121+AA24</f>
        <v>155262.70838000003</v>
      </c>
      <c r="AB121" s="873">
        <f ca="1">+SUMIFS(INDIRECT(CONCATENATE("'",$AQ121,$AR121,":",$AS121)),INDIRECT(CONCATENATE("'",$AQ121,$AR$116,":",$AS$116)),AB$92)</f>
        <v>204701</v>
      </c>
      <c r="AC121" s="873">
        <f ca="1">+SUMIFS(INDIRECT(CONCATENATE("'",$AQ121,$AR121,":",$AS121)),INDIRECT(CONCATENATE("'",$AQ121,$AR$116,":",$AS$116)),AC$92)</f>
        <v>0</v>
      </c>
      <c r="AD121" s="873">
        <f ca="1">+SUMIFS(INDIRECT(CONCATENATE("'",$AQ121,$AR121,":",$AS121)),INDIRECT(CONCATENATE("'",$AQ121,$AR$116,":",$AS$116)),AD$92)</f>
        <v>212482</v>
      </c>
      <c r="AE121" s="873">
        <f ca="1">+SUMIFS(INDIRECT(CONCATENATE("'",$AQ121,$AR121,":",$AS121)),INDIRECT(CONCATENATE("'",$AQ121,$AR$116,":",$AS$116)),AE$92)</f>
        <v>225154</v>
      </c>
      <c r="AF121" s="1149">
        <f ca="1">+AF122+AE121+AF24</f>
        <v>157842.05447000003</v>
      </c>
      <c r="AG121" s="873">
        <f ca="1">+SUMIFS(INDIRECT(CONCATENATE("'",$AQ121,$AR121,":",$AS121)),INDIRECT(CONCATENATE("'",$AQ121,$AR$116,":",$AS$116)),AG$92)</f>
        <v>223208</v>
      </c>
      <c r="AH121" s="873">
        <f ca="1">+SUMIFS(INDIRECT(CONCATENATE("'",$AQ121,$AR121,":",$AS121)),INDIRECT(CONCATENATE("'",$AQ121,$AR$116,":",$AS$116)),AH$92)</f>
        <v>222276</v>
      </c>
      <c r="AI121" s="873">
        <f ca="1">+SUMIFS(INDIRECT(CONCATENATE("'",$AQ121,$AR121,":",$AS121)),INDIRECT(CONCATENATE("'",$AQ121,$AR$116,":",$AS$116)),AI$92)</f>
        <v>228001</v>
      </c>
      <c r="AJ121" s="873">
        <f ca="1">+SUMIFS(INDIRECT(CONCATENATE("'",$AQ121,$AR121,":",$AS121)),INDIRECT(CONCATENATE("'",$AQ121,$AR$116,":",$AS$116)),AJ$92)</f>
        <v>230500</v>
      </c>
      <c r="AK121" s="1149">
        <f ca="1">+AK122+AJ121+AK24</f>
        <v>174756.70574</v>
      </c>
      <c r="AL121" s="873">
        <f ca="1">+SUMIFS(INDIRECT(CONCATENATE("'",$AQ121,$AR121,":",$AS121)),INDIRECT(CONCATENATE("'",$AQ121,$AR$116,":",$AS$116)),AL$92)</f>
        <v>234199</v>
      </c>
      <c r="AM121" s="873">
        <f ca="1">+SUMIFS(INDIRECT(CONCATENATE("'",$AQ121,$AR121,":",$AS121)),INDIRECT(CONCATENATE("'",$AQ121,$AR$116,":",$AS$116)),AM$92)</f>
        <v>238171</v>
      </c>
      <c r="AN121" s="873">
        <f ca="1">+SUMIFS(INDIRECT(CONCATENATE("'",$AQ121,$AR121,":",$AS121)),INDIRECT(CONCATENATE("'",$AQ121,$AR$116,":",$AS$116)),AN$92)</f>
        <v>239710</v>
      </c>
      <c r="AO121" s="873">
        <f ca="1">+SUMIFS(INDIRECT(CONCATENATE("'",$AQ121,$AR121,":",$AS121)),INDIRECT(CONCATENATE("'",$AQ121,$AR$116,":",$AS$116)),AO$92)</f>
        <v>245613</v>
      </c>
      <c r="AP121" s="1149">
        <f ca="1">+AP122+AO121+AP24</f>
        <v>163590.14640999999</v>
      </c>
      <c r="AQ121" s="268" t="s">
        <v>1060</v>
      </c>
      <c r="AR121" s="268" t="str">
        <f>"$"&amp;ROW(BalSheet!$B$35)</f>
        <v>$35</v>
      </c>
      <c r="AS121" s="268" t="str">
        <f>"$"&amp;ROW(BalSheet!$B$35)</f>
        <v>$35</v>
      </c>
      <c r="AT121" s="268" t="s">
        <v>1060</v>
      </c>
      <c r="AU121" s="268" t="s">
        <v>1059</v>
      </c>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row>
    <row r="122" spans="1:79" s="910" customFormat="1" ht="13.5" customHeight="1" x14ac:dyDescent="0.2">
      <c r="B122" s="913" t="s">
        <v>20</v>
      </c>
      <c r="C122" s="912">
        <f ca="1">-SUMIFS(INDIRECT(CONCATENATE("'",$AQ122,$AR122,":",$AS122)),INDIRECT(CONCATENATE("'",$AQ122,$AR$116,":",$AS$116)),C$116)</f>
        <v>-6820</v>
      </c>
      <c r="D122" s="912">
        <f ca="1">-SUMIFS(INDIRECT(CONCATENATE("'",$AQ122,$AR122,":",$AS122)),INDIRECT(CONCATENATE("'",$AQ122,$AR$116,":",$AS$116)),D$116)</f>
        <v>-8432</v>
      </c>
      <c r="E122" s="912">
        <f ca="1">-SUMIFS(INDIRECT(CONCATENATE("'",$AQ122,$AR122,":",$AS122)),INDIRECT(CONCATENATE("'",$AQ122,$AR$116,":",$AS$116)),E$116)</f>
        <v>-5862</v>
      </c>
      <c r="F122" s="912">
        <f ca="1">-SUMIFS(INDIRECT(CONCATENATE("'",$AQ122,$AR122,":",$AS122)),INDIRECT(CONCATENATE("'",$AQ122,$AR$116,":",$AS$116)),F$116)</f>
        <v>-4116</v>
      </c>
      <c r="G122" s="645">
        <f ca="1">+SUM(C122:F122)</f>
        <v>-25230</v>
      </c>
      <c r="H122" s="912">
        <f ca="1">-SUMIFS(INDIRECT(CONCATENATE("'",$AQ122,$AR122,":",$AS122)),INDIRECT(CONCATENATE("'",$AQ122,$AR$116,":",$AS$116)),H$116)</f>
        <v>-2460.1986400000001</v>
      </c>
      <c r="I122" s="912">
        <f ca="1">-SUMIFS(INDIRECT(CONCATENATE("'",$AQ122,$AR122,":",$AS122)),INDIRECT(CONCATENATE("'",$AQ122,$AR$116,":",$AS$116)),I$116)</f>
        <v>-4724.2775700000002</v>
      </c>
      <c r="J122" s="912">
        <f ca="1">-SUMIFS(INDIRECT(CONCATENATE("'",$AQ122,$AR122,":",$AS122)),INDIRECT(CONCATENATE("'",$AQ122,$AR$116,":",$AS$116)),J$116)</f>
        <v>-14999.27721</v>
      </c>
      <c r="K122" s="912">
        <f ca="1">-SUMIFS(INDIRECT(CONCATENATE("'",$AQ122,$AR122,":",$AS122)),INDIRECT(CONCATENATE("'",$AQ122,$AR$116,":",$AS$116)),K$116)</f>
        <v>-13256.331969999999</v>
      </c>
      <c r="L122" s="645">
        <f ca="1">+SUM(H122:K122)</f>
        <v>-35440.08539</v>
      </c>
      <c r="M122" s="912">
        <f ca="1">-SUMIFS(INDIRECT(CONCATENATE("'",$AQ122,$AR122,":",$AS122)),INDIRECT(CONCATENATE("'",$AQ122,$AR$116,":",$AS$116)),M$116)</f>
        <v>-6635.6352500000012</v>
      </c>
      <c r="N122" s="912">
        <f ca="1">-SUMIFS(INDIRECT(CONCATENATE("'",$AQ122,$AR122,":",$AS122)),INDIRECT(CONCATENATE("'",$AQ122,$AR$116,":",$AS$116)),N$116)</f>
        <v>-14552.057499999999</v>
      </c>
      <c r="O122" s="912">
        <f ca="1">-SUMIFS(INDIRECT(CONCATENATE("'",$AQ122,$AR122,":",$AS122)),INDIRECT(CONCATENATE("'",$AQ122,$AR$116,":",$AS$116)),O$116)</f>
        <v>-4132.3085700000001</v>
      </c>
      <c r="P122" s="912">
        <f ca="1">-SUMIFS(INDIRECT(CONCATENATE("'",$AQ122,$AR122,":",$AS122)),INDIRECT(CONCATENATE("'",$AQ122,$AR$116,":",$AS$116)),P$116)</f>
        <v>-10689.66779</v>
      </c>
      <c r="Q122" s="645">
        <f ca="1">+SUM(M122:P122)</f>
        <v>-36009.669110000003</v>
      </c>
      <c r="R122" s="912">
        <f ca="1">-SUMIFS(INDIRECT(CONCATENATE("'",$AQ122,$AR122,":",$AS122)),INDIRECT(CONCATENATE("'",$AQ122,$AR$116,":",$AS$116)),R$116)</f>
        <v>-5427</v>
      </c>
      <c r="S122" s="912">
        <f ca="1">-SUMIFS(INDIRECT(CONCATENATE("'",$AQ122,$AR122,":",$AS122)),INDIRECT(CONCATENATE("'",$AQ122,$AR$116,":",$AS$116)),S$116)</f>
        <v>-4266</v>
      </c>
      <c r="T122" s="912">
        <f ca="1">-SUMIFS(INDIRECT(CONCATENATE("'",$AQ122,$AR122,":",$AS122)),INDIRECT(CONCATENATE("'",$AQ122,$AR$116,":",$AS$116)),T$116)</f>
        <v>-4406</v>
      </c>
      <c r="U122" s="912">
        <f ca="1">-SUMIFS(INDIRECT(CONCATENATE("'",$AQ122,$AR122,":",$AS122)),INDIRECT(CONCATENATE("'",$AQ122,$AR$116,":",$AS$116)),U$116)</f>
        <v>-5672</v>
      </c>
      <c r="V122" s="645">
        <f ca="1">+SUM(R122:U122)</f>
        <v>-19771</v>
      </c>
      <c r="W122" s="912">
        <f ca="1">-SUMIFS(INDIRECT(CONCATENATE("'",$AQ122,$AR122,":",$AS122)),INDIRECT(CONCATENATE("'",$AQ122,$AR$116,":",$AS$116)),W$116)</f>
        <v>-6526</v>
      </c>
      <c r="X122" s="912">
        <f ca="1">-SUMIFS(INDIRECT(CONCATENATE("'",$AQ122,$AR122,":",$AS122)),INDIRECT(CONCATENATE("'",$AQ122,$AR$116,":",$AS$116)),X$116)</f>
        <v>-6456</v>
      </c>
      <c r="Y122" s="912">
        <f ca="1">-SUMIFS(INDIRECT(CONCATENATE("'",$AQ122,$AR122,":",$AS122)),INDIRECT(CONCATENATE("'",$AQ122,$AR$116,":",$AS$116)),Y$116)</f>
        <v>-10292</v>
      </c>
      <c r="Z122" s="912">
        <f ca="1">-SUMIFS(INDIRECT(CONCATENATE("'",$AQ122,$AR122,":",$AS122)),INDIRECT(CONCATENATE("'",$AQ122,$AR$116,":",$AS$116)),Z$116)</f>
        <v>-6328</v>
      </c>
      <c r="AA122" s="645">
        <f ca="1">+SUM(W122:Z122)</f>
        <v>-29602</v>
      </c>
      <c r="AB122" s="912">
        <f ca="1">-SUMIFS(INDIRECT(CONCATENATE("'",$AQ122,$AR122,":",$AS122)),INDIRECT(CONCATENATE("'",$AQ122,$AR$116,":",$AS$116)),AB$116)</f>
        <v>-4409.3565700000054</v>
      </c>
      <c r="AC122" s="912">
        <f ca="1">-SUMIFS(INDIRECT(CONCATENATE("'",$AQ122,$AR122,":",$AS122)),INDIRECT(CONCATENATE("'",$AQ122,$AR$116,":",$AS$116)),AC$116)</f>
        <v>-12332.297929999988</v>
      </c>
      <c r="AD122" s="912">
        <f ca="1">-SUMIFS(INDIRECT(CONCATENATE("'",$AQ122,$AR122,":",$AS122)),INDIRECT(CONCATENATE("'",$AQ122,$AR$116,":",$AS$116)),AD$116)</f>
        <v>-7994.1122999999989</v>
      </c>
      <c r="AE122" s="912">
        <f ca="1">-SUMIFS(INDIRECT(CONCATENATE("'",$AQ122,$AR122,":",$AS122)),INDIRECT(CONCATENATE("'",$AQ122,$AR$116,":",$AS$116)),AE$116)</f>
        <v>-20242.128919999996</v>
      </c>
      <c r="AF122" s="1149">
        <f ca="1">+SUM(AB122:AE122)</f>
        <v>-44977.895719999986</v>
      </c>
      <c r="AG122" s="912">
        <f ca="1">-SUMIFS(INDIRECT(CONCATENATE("'",$AQ122,$AR122,":",$AS122)),INDIRECT(CONCATENATE("'",$AQ122,$AR$116,":",$AS$116)),AG$116)</f>
        <v>-5455.5496700000003</v>
      </c>
      <c r="AH122" s="912">
        <f ca="1">-SUMIFS(INDIRECT(CONCATENATE("'",$AQ122,$AR122,":",$AS122)),INDIRECT(CONCATENATE("'",$AQ122,$AR$116,":",$AS$116)),AH$116)</f>
        <v>-5162.2759199999982</v>
      </c>
      <c r="AI122" s="912">
        <f ca="1">-SUMIFS(INDIRECT(CONCATENATE("'",$AQ122,$AR122,":",$AS122)),INDIRECT(CONCATENATE("'",$AQ122,$AR$116,":",$AS$116)),AI$116)</f>
        <v>-11944.03478</v>
      </c>
      <c r="AJ122" s="912">
        <f ca="1">-SUMIFS(INDIRECT(CONCATENATE("'",$AQ122,$AR122,":",$AS122)),INDIRECT(CONCATENATE("'",$AQ122,$AR$116,":",$AS$116)),AJ$116)</f>
        <v>-10590</v>
      </c>
      <c r="AK122" s="1149">
        <f ca="1">+SUM(AG122:AJ122)</f>
        <v>-33151.860369999995</v>
      </c>
      <c r="AL122" s="912">
        <f ca="1">-SUMIFS(INDIRECT(CONCATENATE("'",$AQ122,$AR122,":",$AS122)),INDIRECT(CONCATENATE("'",$AQ122,$AR$116,":",$AS$116)),AL$116)</f>
        <v>-16136</v>
      </c>
      <c r="AM122" s="912">
        <f ca="1">-SUMIFS(INDIRECT(CONCATENATE("'",$AQ122,$AR122,":",$AS122)),INDIRECT(CONCATENATE("'",$AQ122,$AR$116,":",$AS$116)),AM$116)</f>
        <v>-12059.535570000004</v>
      </c>
      <c r="AN122" s="912">
        <f ca="1">-SUMIFS(INDIRECT(CONCATENATE("'",$AQ122,$AR122,":",$AS122)),INDIRECT(CONCATENATE("'",$AQ122,$AR$116,":",$AS$116)),AN$116)</f>
        <v>-12574.213229999987</v>
      </c>
      <c r="AO122" s="912">
        <f ca="1">-SUMIFS(INDIRECT(CONCATENATE("'",$AQ122,$AR122,":",$AS122)),INDIRECT(CONCATENATE("'",$AQ122,$AR$116,":",$AS$116)),AO$116)</f>
        <v>-16805.251200000013</v>
      </c>
      <c r="AP122" s="1149">
        <f ca="1">+SUM(AL122:AO122)</f>
        <v>-57575</v>
      </c>
      <c r="AQ122" s="268" t="s">
        <v>1062</v>
      </c>
      <c r="AR122" s="268" t="str">
        <f>"$"&amp;ROW('Qtrl Fig'!$B$45)</f>
        <v>$45</v>
      </c>
      <c r="AS122" s="268" t="str">
        <f>"$"&amp;ROW('Qtrl Fig'!$B$45)</f>
        <v>$45</v>
      </c>
      <c r="AT122" s="911" t="s">
        <v>1062</v>
      </c>
      <c r="AU122" s="911" t="s">
        <v>1061</v>
      </c>
      <c r="AV122" s="911"/>
      <c r="AY122" s="1044"/>
      <c r="AZ122" s="1044"/>
      <c r="BA122" s="911"/>
      <c r="BB122" s="911"/>
      <c r="BC122" s="911"/>
      <c r="BD122" s="911"/>
      <c r="BE122" s="911"/>
      <c r="BF122" s="911"/>
      <c r="BG122" s="911"/>
      <c r="BH122" s="911"/>
      <c r="BI122" s="911"/>
      <c r="BJ122" s="911"/>
      <c r="BK122" s="911"/>
      <c r="BL122" s="911"/>
      <c r="BM122" s="911"/>
      <c r="BN122" s="911"/>
      <c r="BO122" s="911"/>
      <c r="BP122" s="911"/>
      <c r="BQ122" s="911"/>
      <c r="BR122" s="911"/>
      <c r="BS122" s="911"/>
      <c r="BT122" s="911"/>
      <c r="BU122" s="911"/>
      <c r="BV122" s="911"/>
      <c r="BW122" s="911"/>
      <c r="BX122" s="911"/>
      <c r="BY122" s="911"/>
      <c r="BZ122" s="911"/>
      <c r="CA122" s="911"/>
    </row>
    <row r="123" spans="1:79" ht="3" customHeight="1" x14ac:dyDescent="0.2">
      <c r="B123" s="900"/>
      <c r="C123" s="1077"/>
      <c r="D123" s="1077"/>
      <c r="E123" s="1077"/>
      <c r="F123" s="1077"/>
      <c r="G123" s="873"/>
      <c r="H123" s="1077"/>
      <c r="I123" s="1077"/>
      <c r="J123" s="1077"/>
      <c r="K123" s="1077"/>
      <c r="L123" s="873"/>
      <c r="M123" s="1077"/>
      <c r="N123" s="1077"/>
      <c r="O123" s="1077"/>
      <c r="P123" s="1077"/>
      <c r="Q123" s="873"/>
      <c r="R123" s="1077"/>
      <c r="S123" s="1077"/>
      <c r="T123" s="1077"/>
      <c r="U123" s="1077"/>
      <c r="V123" s="873"/>
      <c r="W123" s="1077"/>
      <c r="X123" s="1077"/>
      <c r="Y123" s="1077"/>
      <c r="Z123" s="1077"/>
      <c r="AA123" s="873"/>
      <c r="AB123" s="1077"/>
      <c r="AC123" s="1077"/>
      <c r="AD123" s="1077"/>
      <c r="AE123" s="1077"/>
      <c r="AF123" s="1151"/>
      <c r="AG123" s="1077"/>
      <c r="AH123" s="1077"/>
      <c r="AI123" s="1077"/>
      <c r="AJ123" s="1077"/>
      <c r="AK123" s="1151"/>
      <c r="AL123" s="1077"/>
      <c r="AM123" s="1077"/>
      <c r="AN123" s="1077"/>
      <c r="AO123" s="1077"/>
      <c r="AP123" s="1151"/>
      <c r="AQ123" s="268">
        <v>0</v>
      </c>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row>
    <row r="124" spans="1:79" ht="13.5" customHeight="1" x14ac:dyDescent="0.2">
      <c r="B124" s="874" t="s">
        <v>833</v>
      </c>
      <c r="C124" s="873">
        <v>23189</v>
      </c>
      <c r="D124" s="873">
        <v>23235</v>
      </c>
      <c r="E124" s="873">
        <v>26706</v>
      </c>
      <c r="F124" s="873">
        <v>32237</v>
      </c>
      <c r="G124" s="645">
        <f>+F124</f>
        <v>32237</v>
      </c>
      <c r="H124" s="873">
        <v>28016</v>
      </c>
      <c r="I124" s="873">
        <v>24553</v>
      </c>
      <c r="J124" s="873">
        <v>27786</v>
      </c>
      <c r="K124" s="873">
        <v>36898</v>
      </c>
      <c r="L124" s="645">
        <f>+K124</f>
        <v>36898</v>
      </c>
      <c r="M124" s="873">
        <v>32147</v>
      </c>
      <c r="N124" s="873">
        <v>30700</v>
      </c>
      <c r="O124" s="873">
        <v>30325</v>
      </c>
      <c r="P124" s="873">
        <v>36312</v>
      </c>
      <c r="Q124" s="645">
        <f>+P124</f>
        <v>36312</v>
      </c>
      <c r="R124" s="873">
        <f ca="1">+SUMIFS(INDIRECT(CONCATENATE("'",$AQ124,$AR124,":",$AS124)),INDIRECT(CONCATENATE("'",$AQ124,$AR$116,":",$AS$116)),R$92)</f>
        <v>21287</v>
      </c>
      <c r="S124" s="873">
        <f ca="1">+SUMIFS(INDIRECT(CONCATENATE("'",$AQ124,$AR124,":",$AS124)),INDIRECT(CONCATENATE("'",$AQ124,$AR$116,":",$AS$116)),S$92)</f>
        <v>17169</v>
      </c>
      <c r="T124" s="873">
        <f ca="1">+SUMIFS(INDIRECT(CONCATENATE("'",$AQ124,$AR124,":",$AS124)),INDIRECT(CONCATENATE("'",$AQ124,$AR$116,":",$AS$116)),T$92)</f>
        <v>28173</v>
      </c>
      <c r="U124" s="873">
        <f ca="1">+SUMIFS(INDIRECT(CONCATENATE("'",$AQ124,$AR124,":",$AS124)),INDIRECT(CONCATENATE("'",$AQ124,$AR$116,":",$AS$116)),U$92)</f>
        <v>31268</v>
      </c>
      <c r="V124" s="645">
        <f ca="1">+U124</f>
        <v>31268</v>
      </c>
      <c r="W124" s="873">
        <f ca="1">+SUMIFS(INDIRECT(CONCATENATE("'",$AQ124,$AR124,":",$AS124)),INDIRECT(CONCATENATE("'",$AQ124,$AR$116,":",$AS$116)),W$92)</f>
        <v>27426</v>
      </c>
      <c r="X124" s="916">
        <f ca="1">+SUMIFS(INDIRECT(CONCATENATE("'",$AQ124,$AR124,":",$AS124)),INDIRECT(CONCATENATE("'",$AQ124,$AR$116,":",$AS$116)),X$92)</f>
        <v>29673</v>
      </c>
      <c r="Y124" s="916">
        <f ca="1">+SUMIFS(INDIRECT(CONCATENATE("'",$AQ124,$AR124,":",$AS124)),INDIRECT(CONCATENATE("'",$AQ124,$AR$116,":",$AS$116)),Y$92)</f>
        <v>37709</v>
      </c>
      <c r="Z124" s="916">
        <f ca="1">+SUMIFS(INDIRECT(CONCATENATE("'",$AQ124,$AR124,":",$AS124)),INDIRECT(CONCATENATE("'",$AQ124,$AR$116,":",$AS$116)),Z$92)</f>
        <v>47838</v>
      </c>
      <c r="AA124" s="930">
        <f ca="1">+Z124</f>
        <v>47838</v>
      </c>
      <c r="AB124" s="916">
        <f ca="1">+SUMIFS(INDIRECT(CONCATENATE("'",$AQ124,$AR124,":",$AS124)),INDIRECT(CONCATENATE("'",$AQ124,$AR$116,":",$AS$116)),AB$92)</f>
        <v>39307</v>
      </c>
      <c r="AC124" s="916">
        <f ca="1">+SUMIFS(INDIRECT(CONCATENATE("'",$AQ124,$AR124,":",$AS124)),INDIRECT(CONCATENATE("'",$AQ124,$AR$116,":",$AS$116)),AC$92)</f>
        <v>0</v>
      </c>
      <c r="AD124" s="873">
        <f ca="1">+SUMIFS(INDIRECT(CONCATENATE("'",$AQ124,$AR124,":",$AS124)),INDIRECT(CONCATENATE("'",$AQ124,$AR$116,":",$AS$116)),AD$92)</f>
        <v>30411</v>
      </c>
      <c r="AE124" s="873">
        <f ca="1">+SUMIFS(INDIRECT(CONCATENATE("'",$AQ124,$AR124,":",$AS124)),INDIRECT(CONCATENATE("'",$AQ124,$AR$116,":",$AS$116)),AE$92)</f>
        <v>49406</v>
      </c>
      <c r="AF124" s="1149">
        <f ca="1">+AE124</f>
        <v>49406</v>
      </c>
      <c r="AG124" s="873">
        <f ca="1">+SUMIFS(INDIRECT(CONCATENATE("'",$AQ124,$AR124,":",$AS124)),INDIRECT(CONCATENATE("'",$AQ124,$AR$116,":",$AS$116)),AG$92)</f>
        <v>36895</v>
      </c>
      <c r="AH124" s="873">
        <f ca="1">+SUMIFS(INDIRECT(CONCATENATE("'",$AQ124,$AR124,":",$AS124)),INDIRECT(CONCATENATE("'",$AQ124,$AR$116,":",$AS$116)),AH$92)</f>
        <v>36160</v>
      </c>
      <c r="AI124" s="873">
        <f ca="1">+SUMIFS(INDIRECT(CONCATENATE("'",$AQ124,$AR124,":",$AS124)),INDIRECT(CONCATENATE("'",$AQ124,$AR$116,":",$AS$116)),AI$92)</f>
        <v>43470</v>
      </c>
      <c r="AJ124" s="873">
        <f ca="1">+SUMIFS(INDIRECT(CONCATENATE("'",$AQ124,$AR124,":",$AS124)),INDIRECT(CONCATENATE("'",$AQ124,$AR$116,":",$AS$116)),AJ$92)</f>
        <v>49620</v>
      </c>
      <c r="AK124" s="1149">
        <f ca="1">+AJ124</f>
        <v>49620</v>
      </c>
      <c r="AL124" s="873">
        <f ca="1">+SUMIFS(INDIRECT(CONCATENATE("'",$AQ124,$AR124,":",$AS124)),INDIRECT(CONCATENATE("'",$AQ124,$AR$116,":",$AS$116)),AL$92)</f>
        <v>45666</v>
      </c>
      <c r="AM124" s="873">
        <f ca="1">+SUMIFS(INDIRECT(CONCATENATE("'",$AQ124,$AR124,":",$AS124)),INDIRECT(CONCATENATE("'",$AQ124,$AR$116,":",$AS$116)),AM$92)</f>
        <v>54715</v>
      </c>
      <c r="AN124" s="873">
        <f ca="1">+SUMIFS(INDIRECT(CONCATENATE("'",$AQ124,$AR124,":",$AS124)),INDIRECT(CONCATENATE("'",$AQ124,$AR$116,":",$AS$116)),AN$92)</f>
        <v>56527</v>
      </c>
      <c r="AO124" s="873">
        <f ca="1">+SUMIFS(INDIRECT(CONCATENATE("'",$AQ124,$AR124,":",$AS124)),INDIRECT(CONCATENATE("'",$AQ124,$AR$116,":",$AS$116)),AO$92)</f>
        <v>62418</v>
      </c>
      <c r="AP124" s="1149">
        <f ca="1">+AO124</f>
        <v>62418</v>
      </c>
      <c r="AQ124" s="268" t="s">
        <v>1060</v>
      </c>
      <c r="AR124" s="268" t="str">
        <f>"$"&amp;ROW(BalSheet!$B$46)</f>
        <v>$46</v>
      </c>
      <c r="AS124" s="268" t="str">
        <f>"$"&amp;ROW(BalSheet!$B$46)</f>
        <v>$46</v>
      </c>
      <c r="AT124" s="268" t="s">
        <v>1060</v>
      </c>
      <c r="AU124" s="268" t="s">
        <v>1059</v>
      </c>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row>
    <row r="125" spans="1:79" s="284" customFormat="1" ht="13.5" customHeight="1" x14ac:dyDescent="0.2">
      <c r="A125" s="909"/>
      <c r="B125" s="908" t="s">
        <v>834</v>
      </c>
      <c r="C125" s="907">
        <f ca="1">+C124/(C12/90)</f>
        <v>-11.933599249814067</v>
      </c>
      <c r="D125" s="907">
        <f ca="1">+D124/(D12/90)</f>
        <v>-10.155106692879134</v>
      </c>
      <c r="E125" s="907">
        <f ca="1">+E124/(E12/90)</f>
        <v>-10.626386994120585</v>
      </c>
      <c r="F125" s="907">
        <f ca="1">+F124/(F12/90)</f>
        <v>-11.730012200209686</v>
      </c>
      <c r="G125" s="906">
        <f ca="1">+F125</f>
        <v>-11.730012200209686</v>
      </c>
      <c r="H125" s="907">
        <f ca="1">+H124/(H12/90)</f>
        <v>-12.172282363421248</v>
      </c>
      <c r="I125" s="907">
        <f ca="1">+I124/(I12/90)</f>
        <v>-9.608399476626218</v>
      </c>
      <c r="J125" s="907">
        <f ca="1">+J124/(J12/90)</f>
        <v>-9.6788574904958349</v>
      </c>
      <c r="K125" s="907">
        <f ca="1">+K124/(K12/90)</f>
        <v>-12.100857505285793</v>
      </c>
      <c r="L125" s="906">
        <f ca="1">+K125</f>
        <v>-12.100857505285793</v>
      </c>
      <c r="M125" s="907">
        <f ca="1">+M124/(M12/90)</f>
        <v>-13.159486062556086</v>
      </c>
      <c r="N125" s="907">
        <f ca="1">+N124/(N12/90)</f>
        <v>-11.062378441584492</v>
      </c>
      <c r="O125" s="907">
        <f ca="1">+O124/(O12/90)</f>
        <v>-10.843024330046713</v>
      </c>
      <c r="P125" s="907">
        <f ca="1">+P124/(P12/90)</f>
        <v>-11.710730922071987</v>
      </c>
      <c r="Q125" s="906">
        <f ca="1">+P125</f>
        <v>-11.710730922071987</v>
      </c>
      <c r="R125" s="907">
        <f ca="1">+R124/(R12/90)</f>
        <v>-9.2157068853869877</v>
      </c>
      <c r="S125" s="907">
        <f ca="1">+S124/(S12/90)</f>
        <v>-14.587910140543697</v>
      </c>
      <c r="T125" s="907">
        <f ca="1">+T124/(T12/90)</f>
        <v>-11.939629091146879</v>
      </c>
      <c r="U125" s="907">
        <f ca="1">+U124/(U12/90)</f>
        <v>-12.067483423060411</v>
      </c>
      <c r="V125" s="906">
        <f ca="1">+U125</f>
        <v>-12.067483423060411</v>
      </c>
      <c r="W125" s="907">
        <f ca="1">+W124/(W12/90)</f>
        <v>-13.754623422236131</v>
      </c>
      <c r="X125" s="1140">
        <f ca="1">+X124/(X12/90)</f>
        <v>-14.759832815906426</v>
      </c>
      <c r="Y125" s="1140">
        <f ca="1">+Y124/(Y12/90)</f>
        <v>-19.062321463452598</v>
      </c>
      <c r="Z125" s="1140">
        <f ca="1">+Z124/(Z12/90)</f>
        <v>-18.36582366014191</v>
      </c>
      <c r="AA125" s="1020">
        <f ca="1">+Z125</f>
        <v>-18.36582366014191</v>
      </c>
      <c r="AB125" s="1140">
        <f ca="1">+AB124/(AB12/90)</f>
        <v>-18.654454177466803</v>
      </c>
      <c r="AC125" s="1140">
        <f ca="1">+AC124/(AC12/90)</f>
        <v>0</v>
      </c>
      <c r="AD125" s="907">
        <f ca="1">+AD124/(AD12/90)</f>
        <v>-8.8730656490397379</v>
      </c>
      <c r="AE125" s="907">
        <f ca="1">+AE124/(AE12/90)</f>
        <v>-14.135644556540573</v>
      </c>
      <c r="AF125" s="1150">
        <f ca="1">+AE125</f>
        <v>-14.135644556540573</v>
      </c>
      <c r="AG125" s="907">
        <f ca="1">+AG124/(AG12/90)</f>
        <v>-12.585883443551195</v>
      </c>
      <c r="AH125" s="907">
        <f ca="1">+AH124/(AH12/90)</f>
        <v>-11.399507890810398</v>
      </c>
      <c r="AI125" s="907">
        <f ca="1">+AI124/(AI12/90)</f>
        <v>-12.111450198110719</v>
      </c>
      <c r="AJ125" s="907">
        <f ca="1">+AJ124/(AJ12/90)</f>
        <v>-12.783115107752598</v>
      </c>
      <c r="AK125" s="1150">
        <f ca="1">+AJ125</f>
        <v>-12.783115107752598</v>
      </c>
      <c r="AL125" s="907">
        <f ca="1">+AL124/(AL12/90)</f>
        <v>-13.565318593967481</v>
      </c>
      <c r="AM125" s="907">
        <f ca="1">+AM124/(AM12/90)</f>
        <v>-13.5267447568615</v>
      </c>
      <c r="AN125" s="1213">
        <f ca="1">+AN124/(AN12/90)</f>
        <v>-11.265199630188391</v>
      </c>
      <c r="AO125" s="1213">
        <f ca="1">+AO124/(AO12/90)</f>
        <v>-11.953800014477812</v>
      </c>
      <c r="AP125" s="1150">
        <f ca="1">+AO125</f>
        <v>-11.953800014477812</v>
      </c>
      <c r="AQ125" s="905"/>
      <c r="AR125" s="905"/>
      <c r="AS125" s="905"/>
      <c r="AT125" s="905"/>
      <c r="AU125" s="905"/>
      <c r="AV125" s="905"/>
      <c r="AY125" s="1042"/>
      <c r="AZ125" s="1042"/>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row>
    <row r="126" spans="1:79" ht="3" customHeight="1" x14ac:dyDescent="0.2">
      <c r="B126" s="900"/>
      <c r="C126" s="1077"/>
      <c r="D126" s="1077"/>
      <c r="E126" s="1077"/>
      <c r="F126" s="1077"/>
      <c r="G126" s="873"/>
      <c r="H126" s="1077"/>
      <c r="I126" s="1077"/>
      <c r="J126" s="1077"/>
      <c r="K126" s="1077"/>
      <c r="L126" s="873"/>
      <c r="M126" s="1077"/>
      <c r="N126" s="1077"/>
      <c r="O126" s="1077"/>
      <c r="P126" s="1077"/>
      <c r="Q126" s="873"/>
      <c r="R126" s="1077"/>
      <c r="S126" s="1077"/>
      <c r="T126" s="1077"/>
      <c r="U126" s="1077"/>
      <c r="V126" s="873"/>
      <c r="W126" s="1077"/>
      <c r="X126" s="1077"/>
      <c r="Y126" s="1077"/>
      <c r="Z126" s="1077"/>
      <c r="AA126" s="873"/>
      <c r="AB126" s="1077"/>
      <c r="AC126" s="1077"/>
      <c r="AD126" s="1077"/>
      <c r="AE126" s="1077"/>
      <c r="AF126" s="1151"/>
      <c r="AG126" s="1077"/>
      <c r="AH126" s="1077"/>
      <c r="AI126" s="1077"/>
      <c r="AJ126" s="1077"/>
      <c r="AK126" s="1151"/>
      <c r="AL126" s="1077"/>
      <c r="AM126" s="1077"/>
      <c r="AN126" s="1077"/>
      <c r="AO126" s="1077"/>
      <c r="AP126" s="1151"/>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row>
    <row r="127" spans="1:79" ht="14.25" customHeight="1" x14ac:dyDescent="0.2">
      <c r="B127" s="874" t="s">
        <v>188</v>
      </c>
      <c r="C127" s="873">
        <v>291577</v>
      </c>
      <c r="D127" s="873">
        <v>221452</v>
      </c>
      <c r="E127" s="873">
        <v>273851</v>
      </c>
      <c r="F127" s="873">
        <v>219975</v>
      </c>
      <c r="G127" s="645">
        <f>+F127</f>
        <v>219975</v>
      </c>
      <c r="H127" s="873">
        <v>154169</v>
      </c>
      <c r="I127" s="873">
        <v>148113</v>
      </c>
      <c r="J127" s="873">
        <v>158913</v>
      </c>
      <c r="K127" s="873">
        <v>158586</v>
      </c>
      <c r="L127" s="645">
        <f>+K127</f>
        <v>158586</v>
      </c>
      <c r="M127" s="873">
        <v>142726</v>
      </c>
      <c r="N127" s="873">
        <v>138647</v>
      </c>
      <c r="O127" s="873">
        <v>140100</v>
      </c>
      <c r="P127" s="873">
        <v>137418</v>
      </c>
      <c r="Q127" s="645">
        <f>+P127</f>
        <v>137418</v>
      </c>
      <c r="R127" s="873">
        <f ca="1">+SUMIFS(INDIRECT(CONCATENATE("'",$AQ127,$AR127,":",$AR127)),INDIRECT(CONCATENATE("'",$AQ127,$AR$116,":",$AR$116)),R$92)+SUMIFS(INDIRECT(CONCATENATE("'",$AQ127,$AS127,":",$AS127)),INDIRECT(CONCATENATE("'",$AQ127,$AR$116,":",$AR$116)),R$92)+SUMIFS(INDIRECT(CONCATENATE("'",$AQ127,$AT127,":",$AT127)),INDIRECT(CONCATENATE("'",$AQ127,$AR$116,":",$AR$116)),R$92)+SUMIFS(INDIRECT(CONCATENATE("'",$AQ127,$AU127,":",$AU127)),INDIRECT(CONCATENATE("'",$AQ127,$AR$116,":",$AR$116)),R$92)-SUMIFS(INDIRECT(CONCATENATE("'",$AQ127,$AV127,":",$AV127)),INDIRECT(CONCATENATE("'",$AQ127,$AR$116,":",$AR$116)),R$92)</f>
        <v>109177</v>
      </c>
      <c r="S127" s="873">
        <f ca="1">+SUMIFS(INDIRECT(CONCATENATE("'",$AQ127,$AR127,":",$AR127)),INDIRECT(CONCATENATE("'",$AQ127,$AR$116,":",$AR$116)),S$92)+SUMIFS(INDIRECT(CONCATENATE("'",$AQ127,$AS127,":",$AS127)),INDIRECT(CONCATENATE("'",$AQ127,$AR$116,":",$AR$116)),S$92)+SUMIFS(INDIRECT(CONCATENATE("'",$AQ127,$AT127,":",$AT127)),INDIRECT(CONCATENATE("'",$AQ127,$AR$116,":",$AR$116)),S$92)+SUMIFS(INDIRECT(CONCATENATE("'",$AQ127,$AU127,":",$AU127)),INDIRECT(CONCATENATE("'",$AQ127,$AR$116,":",$AR$116)),S$92)-SUMIFS(INDIRECT(CONCATENATE("'",$AQ127,$AV127,":",$AV127)),INDIRECT(CONCATENATE("'",$AQ127,$AR$116,":",$AR$116)),S$92)</f>
        <v>199692</v>
      </c>
      <c r="T127" s="873">
        <f ca="1">+SUMIFS(INDIRECT(CONCATENATE("'",$AQ127,$AR127,":",$AR127)),INDIRECT(CONCATENATE("'",$AQ127,$AR$116,":",$AR$116)),T$92)+SUMIFS(INDIRECT(CONCATENATE("'",$AQ127,$AS127,":",$AS127)),INDIRECT(CONCATENATE("'",$AQ127,$AR$116,":",$AR$116)),T$92)+SUMIFS(INDIRECT(CONCATENATE("'",$AQ127,$AT127,":",$AT127)),INDIRECT(CONCATENATE("'",$AQ127,$AR$116,":",$AR$116)),T$92)+SUMIFS(INDIRECT(CONCATENATE("'",$AQ127,$AU127,":",$AU127)),INDIRECT(CONCATENATE("'",$AQ127,$AR$116,":",$AR$116)),T$92)-SUMIFS(INDIRECT(CONCATENATE("'",$AQ127,$AV127,":",$AV127)),INDIRECT(CONCATENATE("'",$AQ127,$AR$116,":",$AR$116)),T$92)</f>
        <v>194035</v>
      </c>
      <c r="U127" s="873">
        <f ca="1">+SUMIFS(INDIRECT(CONCATENATE("'",$AQ127,$AR127,":",$AR127)),INDIRECT(CONCATENATE("'",$AQ127,$AR$116,":",$AR$116)),U$92)+SUMIFS(INDIRECT(CONCATENATE("'",$AQ127,$AS127,":",$AS127)),INDIRECT(CONCATENATE("'",$AQ127,$AR$116,":",$AR$116)),U$92)+SUMIFS(INDIRECT(CONCATENATE("'",$AQ127,$AT127,":",$AT127)),INDIRECT(CONCATENATE("'",$AQ127,$AR$116,":",$AR$116)),U$92)+SUMIFS(INDIRECT(CONCATENATE("'",$AQ127,$AU127,":",$AU127)),INDIRECT(CONCATENATE("'",$AQ127,$AR$116,":",$AR$116)),U$92)-SUMIFS(INDIRECT(CONCATENATE("'",$AQ127,$AV127,":",$AV127)),INDIRECT(CONCATENATE("'",$AQ127,$AR$116,":",$AR$116)),U$92)</f>
        <v>194370</v>
      </c>
      <c r="V127" s="645">
        <f ca="1">+U127</f>
        <v>194370</v>
      </c>
      <c r="W127" s="873">
        <f ca="1">+SUMIFS(INDIRECT(CONCATENATE("'",$AQ127,$AR127,":",$AR127)),INDIRECT(CONCATENATE("'",$AQ127,$AR$116,":",$AR$116)),W$92)+SUMIFS(INDIRECT(CONCATENATE("'",$AQ127,$AS127,":",$AS127)),INDIRECT(CONCATENATE("'",$AQ127,$AR$116,":",$AR$116)),W$92)+SUMIFS(INDIRECT(CONCATENATE("'",$AQ127,$AT127,":",$AT127)),INDIRECT(CONCATENATE("'",$AQ127,$AR$116,":",$AR$116)),W$92)+SUMIFS(INDIRECT(CONCATENATE("'",$AQ127,$AU127,":",$AU127)),INDIRECT(CONCATENATE("'",$AQ127,$AR$116,":",$AR$116)),W$92)-SUMIFS(INDIRECT(CONCATENATE("'",$AQ127,$AV127,":",$AV127)),INDIRECT(CONCATENATE("'",$AQ127,$AR$116,":",$AR$116)),W$92)</f>
        <v>195148</v>
      </c>
      <c r="X127" s="873">
        <f ca="1">+SUMIFS(INDIRECT(CONCATENATE("'",$AQ127,$AR127,":",$AR127)),INDIRECT(CONCATENATE("'",$AQ127,$AR$116,":",$AR$116)),X$92)+SUMIFS(INDIRECT(CONCATENATE("'",$AQ127,$AS127,":",$AS127)),INDIRECT(CONCATENATE("'",$AQ127,$AR$116,":",$AR$116)),X$92)+SUMIFS(INDIRECT(CONCATENATE("'",$AQ127,$AT127,":",$AT127)),INDIRECT(CONCATENATE("'",$AQ127,$AR$116,":",$AR$116)),X$92)+SUMIFS(INDIRECT(CONCATENATE("'",$AQ127,$AU127,":",$AU127)),INDIRECT(CONCATENATE("'",$AQ127,$AR$116,":",$AR$116)),X$92)-SUMIFS(INDIRECT(CONCATENATE("'",$AQ127,$AV127,":",$AV127)),INDIRECT(CONCATENATE("'",$AQ127,$AR$116,":",$AR$116)),X$92)</f>
        <v>152866</v>
      </c>
      <c r="Y127" s="873">
        <f ca="1">+SUMIFS(INDIRECT(CONCATENATE("'",$AQ127,$AR127,":",$AR127)),INDIRECT(CONCATENATE("'",$AQ127,$AR$116,":",$AR$116)),Y$92)+SUMIFS(INDIRECT(CONCATENATE("'",$AQ127,$AS127,":",$AS127)),INDIRECT(CONCATENATE("'",$AQ127,$AR$116,":",$AR$116)),Y$92)+SUMIFS(INDIRECT(CONCATENATE("'",$AQ127,$AT127,":",$AT127)),INDIRECT(CONCATENATE("'",$AQ127,$AR$116,":",$AR$116)),Y$92)+SUMIFS(INDIRECT(CONCATENATE("'",$AQ127,$AU127,":",$AU127)),INDIRECT(CONCATENATE("'",$AQ127,$AR$116,":",$AR$116)),Y$92)-SUMIFS(INDIRECT(CONCATENATE("'",$AQ127,$AV127,":",$AV127)),INDIRECT(CONCATENATE("'",$AQ127,$AR$116,":",$AR$116)),Y$92)</f>
        <v>128229</v>
      </c>
      <c r="Z127" s="873">
        <f ca="1">+SUMIFS(INDIRECT(CONCATENATE("'",$AQ127,$AR127,":",$AR127)),INDIRECT(CONCATENATE("'",$AQ127,$AR$116,":",$AR$116)),Z$92)+SUMIFS(INDIRECT(CONCATENATE("'",$AQ127,$AS127,":",$AS127)),INDIRECT(CONCATENATE("'",$AQ127,$AR$116,":",$AR$116)),Z$92)+SUMIFS(INDIRECT(CONCATENATE("'",$AQ127,$AT127,":",$AT127)),INDIRECT(CONCATENATE("'",$AQ127,$AR$116,":",$AR$116)),Z$92)+SUMIFS(INDIRECT(CONCATENATE("'",$AQ127,$AU127,":",$AU127)),INDIRECT(CONCATENATE("'",$AQ127,$AR$116,":",$AR$116)),Z$92)-SUMIFS(INDIRECT(CONCATENATE("'",$AQ127,$AV127,":",$AV127)),INDIRECT(CONCATENATE("'",$AQ127,$AR$116,":",$AR$116)),Z$92)</f>
        <v>129437</v>
      </c>
      <c r="AA127" s="645">
        <f ca="1">+Z127</f>
        <v>129437</v>
      </c>
      <c r="AB127" s="873">
        <f ca="1">+SUMIFS(INDIRECT(CONCATENATE("'",$AQ127,$AR127,":",$AR127)),INDIRECT(CONCATENATE("'",$AQ127,$AR$116,":",$AR$116)),AB$92)+SUMIFS(INDIRECT(CONCATENATE("'",$AQ127,$AS127,":",$AS127)),INDIRECT(CONCATENATE("'",$AQ127,$AR$116,":",$AR$116)),AB$92)+SUMIFS(INDIRECT(CONCATENATE("'",$AQ127,$AT127,":",$AT127)),INDIRECT(CONCATENATE("'",$AQ127,$AR$116,":",$AR$116)),AB$92)+SUMIFS(INDIRECT(CONCATENATE("'",$AQ127,$AU127,":",$AU127)),INDIRECT(CONCATENATE("'",$AQ127,$AR$116,":",$AR$116)),AB$92)-SUMIFS(INDIRECT(CONCATENATE("'",$AQ127,$AV127,":",$AV127)),INDIRECT(CONCATENATE("'",$AQ127,$AR$116,":",$AR$116)),AB$92)</f>
        <v>119778</v>
      </c>
      <c r="AC127" s="873">
        <f ca="1">+SUMIFS(INDIRECT(CONCATENATE("'",$AQ127,$AR127,":",$AR127)),INDIRECT(CONCATENATE("'",$AQ127,$AR$116,":",$AR$116)),AC$92)+SUMIFS(INDIRECT(CONCATENATE("'",$AQ127,$AS127,":",$AS127)),INDIRECT(CONCATENATE("'",$AQ127,$AR$116,":",$AR$116)),AC$92)+SUMIFS(INDIRECT(CONCATENATE("'",$AQ127,$AT127,":",$AT127)),INDIRECT(CONCATENATE("'",$AQ127,$AR$116,":",$AR$116)),AC$92)+SUMIFS(INDIRECT(CONCATENATE("'",$AQ127,$AU127,":",$AU127)),INDIRECT(CONCATENATE("'",$AQ127,$AR$116,":",$AR$116)),AC$92)-SUMIFS(INDIRECT(CONCATENATE("'",$AQ127,$AV127,":",$AV127)),INDIRECT(CONCATENATE("'",$AQ127,$AR$116,":",$AR$116)),AC$92)</f>
        <v>0</v>
      </c>
      <c r="AD127" s="873">
        <f ca="1">+SUMIFS(INDIRECT(CONCATENATE("'",$AQ127,$AR127,":",$AR127)),INDIRECT(CONCATENATE("'",$AQ127,$AR$116,":",$AR$116)),AD$92)+SUMIFS(INDIRECT(CONCATENATE("'",$AQ127,$AS127,":",$AS127)),INDIRECT(CONCATENATE("'",$AQ127,$AR$116,":",$AR$116)),AD$92)+SUMIFS(INDIRECT(CONCATENATE("'",$AQ127,$AT127,":",$AT127)),INDIRECT(CONCATENATE("'",$AQ127,$AR$116,":",$AR$116)),AD$92)+SUMIFS(INDIRECT(CONCATENATE("'",$AQ127,$AU127,":",$AU127)),INDIRECT(CONCATENATE("'",$AQ127,$AR$116,":",$AR$116)),AD$92)-SUMIFS(INDIRECT(CONCATENATE("'",$AQ127,$AV127,":",$AV127)),INDIRECT(CONCATENATE("'",$AQ127,$AR$116,":",$AR$116)),AD$92)</f>
        <v>66956</v>
      </c>
      <c r="AE127" s="873">
        <f ca="1">+SUMIFS(INDIRECT(CONCATENATE("'",$AQ127,$AR127,":",$AR127)),INDIRECT(CONCATENATE("'",$AQ127,$AR$116,":",$AR$116)),AE$92)+SUMIFS(INDIRECT(CONCATENATE("'",$AQ127,$AS127,":",$AS127)),INDIRECT(CONCATENATE("'",$AQ127,$AR$116,":",$AR$116)),AE$92)+SUMIFS(INDIRECT(CONCATENATE("'",$AQ127,$AT127,":",$AT127)),INDIRECT(CONCATENATE("'",$AQ127,$AR$116,":",$AR$116)),AE$92)+SUMIFS(INDIRECT(CONCATENATE("'",$AQ127,$AU127,":",$AU127)),INDIRECT(CONCATENATE("'",$AQ127,$AR$116,":",$AR$116)),AE$92)-SUMIFS(INDIRECT(CONCATENATE("'",$AQ127,$AV127,":",$AV127)),INDIRECT(CONCATENATE("'",$AQ127,$AR$116,":",$AR$116)),AE$92)</f>
        <v>102264</v>
      </c>
      <c r="AF127" s="1149">
        <f ca="1">+AE127</f>
        <v>102264</v>
      </c>
      <c r="AG127" s="873">
        <f ca="1">+SUMIFS(INDIRECT(CONCATENATE("'",$AQ127,$AR127,":",$AR127)),INDIRECT(CONCATENATE("'",$AQ127,$AR$116,":",$AR$116)),AG$92)+SUMIFS(INDIRECT(CONCATENATE("'",$AQ127,$AS127,":",$AS127)),INDIRECT(CONCATENATE("'",$AQ127,$AR$116,":",$AR$116)),AG$92)+SUMIFS(INDIRECT(CONCATENATE("'",$AQ127,$AT127,":",$AT127)),INDIRECT(CONCATENATE("'",$AQ127,$AR$116,":",$AR$116)),AG$92)+SUMIFS(INDIRECT(CONCATENATE("'",$AQ127,$AU127,":",$AU127)),INDIRECT(CONCATENATE("'",$AQ127,$AR$116,":",$AR$116)),AG$92)-SUMIFS(INDIRECT(CONCATENATE("'",$AQ127,$AV127,":",$AV127)),INDIRECT(CONCATENATE("'",$AQ127,$AR$116,":",$AR$116)),AG$92)</f>
        <v>90890</v>
      </c>
      <c r="AH127" s="873">
        <f ca="1">+SUMIFS(INDIRECT(CONCATENATE("'",$AQ127,$AR127,":",$AR127)),INDIRECT(CONCATENATE("'",$AQ127,$AR$116,":",$AR$116)),AH$92)+SUMIFS(INDIRECT(CONCATENATE("'",$AQ127,$AS127,":",$AS127)),INDIRECT(CONCATENATE("'",$AQ127,$AR$116,":",$AR$116)),AH$92)+SUMIFS(INDIRECT(CONCATENATE("'",$AQ127,$AT127,":",$AT127)),INDIRECT(CONCATENATE("'",$AQ127,$AR$116,":",$AR$116)),AH$92)+SUMIFS(INDIRECT(CONCATENATE("'",$AQ127,$AU127,":",$AU127)),INDIRECT(CONCATENATE("'",$AQ127,$AR$116,":",$AR$116)),AH$92)-SUMIFS(INDIRECT(CONCATENATE("'",$AQ127,$AV127,":",$AV127)),INDIRECT(CONCATENATE("'",$AQ127,$AR$116,":",$AR$116)),AH$92)</f>
        <v>91791</v>
      </c>
      <c r="AI127" s="873">
        <f ca="1">+SUMIFS(INDIRECT(CONCATENATE("'",$AQ127,$AR127,":",$AR127)),INDIRECT(CONCATENATE("'",$AQ127,$AR$116,":",$AR$116)),AI$92)+SUMIFS(INDIRECT(CONCATENATE("'",$AQ127,$AS127,":",$AS127)),INDIRECT(CONCATENATE("'",$AQ127,$AR$116,":",$AR$116)),AI$92)+SUMIFS(INDIRECT(CONCATENATE("'",$AQ127,$AT127,":",$AT127)),INDIRECT(CONCATENATE("'",$AQ127,$AR$116,":",$AR$116)),AI$92)+SUMIFS(INDIRECT(CONCATENATE("'",$AQ127,$AU127,":",$AU127)),INDIRECT(CONCATENATE("'",$AQ127,$AR$116,":",$AR$116)),AI$92)-SUMIFS(INDIRECT(CONCATENATE("'",$AQ127,$AV127,":",$AV127)),INDIRECT(CONCATENATE("'",$AQ127,$AR$116,":",$AR$116)),AI$92)</f>
        <v>96330</v>
      </c>
      <c r="AJ127" s="873">
        <f ca="1">+SUMIFS(INDIRECT(CONCATENATE("'",$AQ127,$AR127,":",$AR127)),INDIRECT(CONCATENATE("'",$AQ127,$AR$116,":",$AR$116)),AJ$92)+SUMIFS(INDIRECT(CONCATENATE("'",$AQ127,$AS127,":",$AS127)),INDIRECT(CONCATENATE("'",$AQ127,$AR$116,":",$AR$116)),AJ$92)+SUMIFS(INDIRECT(CONCATENATE("'",$AQ127,$AT127,":",$AT127)),INDIRECT(CONCATENATE("'",$AQ127,$AR$116,":",$AR$116)),AJ$92)+SUMIFS(INDIRECT(CONCATENATE("'",$AQ127,$AU127,":",$AU127)),INDIRECT(CONCATENATE("'",$AQ127,$AR$116,":",$AR$116)),AJ$92)-SUMIFS(INDIRECT(CONCATENATE("'",$AQ127,$AV127,":",$AV127)),INDIRECT(CONCATENATE("'",$AQ127,$AR$116,":",$AR$116)),AJ$92)</f>
        <v>102123</v>
      </c>
      <c r="AK127" s="1149">
        <f ca="1">+AJ127</f>
        <v>102123</v>
      </c>
      <c r="AL127" s="873">
        <f ca="1">+SUMIFS(INDIRECT(CONCATENATE("'",$AQ127,$AR127,":",$AR127)),INDIRECT(CONCATENATE("'",$AQ127,$AR$116,":",$AR$116)),AL$92)+SUMIFS(INDIRECT(CONCATENATE("'",$AQ127,$AS127,":",$AS127)),INDIRECT(CONCATENATE("'",$AQ127,$AR$116,":",$AR$116)),AL$92)+SUMIFS(INDIRECT(CONCATENATE("'",$AQ127,$AT127,":",$AT127)),INDIRECT(CONCATENATE("'",$AQ127,$AR$116,":",$AR$116)),AL$92)+SUMIFS(INDIRECT(CONCATENATE("'",$AQ127,$AU127,":",$AU127)),INDIRECT(CONCATENATE("'",$AQ127,$AR$116,":",$AR$116)),AL$92)-SUMIFS(INDIRECT(CONCATENATE("'",$AQ127,$AV127,":",$AV127)),INDIRECT(CONCATENATE("'",$AQ127,$AR$116,":",$AR$116)),AL$92)</f>
        <v>107741</v>
      </c>
      <c r="AM127" s="873">
        <f ca="1">+SUMIFS(INDIRECT(CONCATENATE("'",$AQ127,$AR127,":",$AR127)),INDIRECT(CONCATENATE("'",$AQ127,$AR$116,":",$AR$116)),AM$92)+SUMIFS(INDIRECT(CONCATENATE("'",$AQ127,$AS127,":",$AS127)),INDIRECT(CONCATENATE("'",$AQ127,$AR$116,":",$AR$116)),AM$92)+SUMIFS(INDIRECT(CONCATENATE("'",$AQ127,$AT127,":",$AT127)),INDIRECT(CONCATENATE("'",$AQ127,$AR$116,":",$AR$116)),AM$92)+SUMIFS(INDIRECT(CONCATENATE("'",$AQ127,$AU127,":",$AU127)),INDIRECT(CONCATENATE("'",$AQ127,$AR$116,":",$AR$116)),AM$92)-SUMIFS(INDIRECT(CONCATENATE("'",$AQ127,$AV127,":",$AV127)),INDIRECT(CONCATENATE("'",$AQ127,$AR$116,":",$AR$116)),AM$92)</f>
        <v>106490</v>
      </c>
      <c r="AN127" s="873">
        <f ca="1">+SUMIFS(INDIRECT(CONCATENATE("'",$AQ127,$AR127,":",$AR127)),INDIRECT(CONCATENATE("'",$AQ127,$AR$116,":",$AR$116)),AN$92)+SUMIFS(INDIRECT(CONCATENATE("'",$AQ127,$AS127,":",$AS127)),INDIRECT(CONCATENATE("'",$AQ127,$AR$116,":",$AR$116)),AN$92)+SUMIFS(INDIRECT(CONCATENATE("'",$AQ127,$AT127,":",$AT127)),INDIRECT(CONCATENATE("'",$AQ127,$AR$116,":",$AR$116)),AN$92)+SUMIFS(INDIRECT(CONCATENATE("'",$AQ127,$AU127,":",$AU127)),INDIRECT(CONCATENATE("'",$AQ127,$AR$116,":",$AR$116)),AN$92)-SUMIFS(INDIRECT(CONCATENATE("'",$AQ127,$AV127,":",$AV127)),INDIRECT(CONCATENATE("'",$AQ127,$AR$116,":",$AR$116)),AN$92)</f>
        <v>106203</v>
      </c>
      <c r="AO127" s="873">
        <f ca="1">+SUMIFS(INDIRECT(CONCATENATE("'",$AQ127,$AR127,":",$AR127)),INDIRECT(CONCATENATE("'",$AQ127,$AR$116,":",$AR$116)),AO$92)+SUMIFS(INDIRECT(CONCATENATE("'",$AQ127,$AS127,":",$AS127)),INDIRECT(CONCATENATE("'",$AQ127,$AR$116,":",$AR$116)),AO$92)+SUMIFS(INDIRECT(CONCATENATE("'",$AQ127,$AT127,":",$AT127)),INDIRECT(CONCATENATE("'",$AQ127,$AR$116,":",$AR$116)),AO$92)+SUMIFS(INDIRECT(CONCATENATE("'",$AQ127,$AU127,":",$AU127)),INDIRECT(CONCATENATE("'",$AQ127,$AR$116,":",$AR$116)),AO$92)-SUMIFS(INDIRECT(CONCATENATE("'",$AQ127,$AV127,":",$AV127)),INDIRECT(CONCATENATE("'",$AQ127,$AR$116,":",$AR$116)),AO$92)</f>
        <v>106520</v>
      </c>
      <c r="AP127" s="1149">
        <f ca="1">+AO127</f>
        <v>106520</v>
      </c>
      <c r="AQ127" s="268" t="s">
        <v>1060</v>
      </c>
      <c r="AR127" s="268" t="str">
        <f>"$"&amp;ROW(BalSheet!$B$43)</f>
        <v>$43</v>
      </c>
      <c r="AS127" s="268" t="str">
        <f>"$"&amp;ROW(BalSheet!$B$44)</f>
        <v>$44</v>
      </c>
      <c r="AT127" s="268" t="str">
        <f>"$"&amp;ROW(BalSheet!$B$61)</f>
        <v>$61</v>
      </c>
      <c r="AU127" s="268" t="str">
        <f>"$"&amp;ROW(BalSheet!$B$62)</f>
        <v>$62</v>
      </c>
      <c r="AV127" s="268" t="str">
        <f>"$"&amp;ROW(BalSheet!$B$16)</f>
        <v>$16</v>
      </c>
      <c r="AW127" s="2" t="s">
        <v>1060</v>
      </c>
      <c r="AX127" s="2" t="s">
        <v>1059</v>
      </c>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row>
    <row r="128" spans="1:79" ht="14.25" customHeight="1" x14ac:dyDescent="0.2">
      <c r="B128" s="886" t="s">
        <v>206</v>
      </c>
      <c r="C128" s="888">
        <f ca="1">+SUMIFS(INDIRECT(CONCATENATE("'",$AQ128,$AR128,":",$AS128)),INDIRECT(CONCATENATE("'",$AQ128,$AR$116,":",$AS$116)),C$92)</f>
        <v>380528</v>
      </c>
      <c r="D128" s="888">
        <f ca="1">+SUMIFS(INDIRECT(CONCATENATE("'",$AQ128,$AR128,":",$AS128)),INDIRECT(CONCATENATE("'",$AQ128,$AR$116,":",$AS$116)),D$92)</f>
        <v>0</v>
      </c>
      <c r="E128" s="888">
        <f ca="1">+SUMIFS(INDIRECT(CONCATENATE("'",$AQ128,$AR128,":",$AS128)),INDIRECT(CONCATENATE("'",$AQ128,$AR$116,":",$AS$116)),E$92)</f>
        <v>400609</v>
      </c>
      <c r="F128" s="888">
        <f ca="1">+SUMIFS(INDIRECT(CONCATENATE("'",$AQ128,$AR128,":",$AS128)),INDIRECT(CONCATENATE("'",$AQ128,$AR$116,":",$AS$116)),F$92)</f>
        <v>448806</v>
      </c>
      <c r="G128" s="897">
        <f ca="1">+F128</f>
        <v>448806</v>
      </c>
      <c r="H128" s="888">
        <f ca="1">+SUMIFS(INDIRECT(CONCATENATE("'",$AQ128,$AR128,":",$AS128)),INDIRECT(CONCATENATE("'",$AQ128,$AR$116,":",$AS$116)),H$92)</f>
        <v>462802</v>
      </c>
      <c r="I128" s="888">
        <f ca="1">+SUMIFS(INDIRECT(CONCATENATE("'",$AQ128,$AR128,":",$AS128)),INDIRECT(CONCATENATE("'",$AQ128,$AR$116,":",$AS$116)),I$92)</f>
        <v>455259</v>
      </c>
      <c r="J128" s="888">
        <f ca="1">+SUMIFS(INDIRECT(CONCATENATE("'",$AQ128,$AR128,":",$AS128)),INDIRECT(CONCATENATE("'",$AQ128,$AR$116,":",$AS$116)),J$92)</f>
        <v>465415</v>
      </c>
      <c r="K128" s="888">
        <f ca="1">+SUMIFS(INDIRECT(CONCATENATE("'",$AQ128,$AR128,":",$AS128)),INDIRECT(CONCATENATE("'",$AQ128,$AR$116,":",$AS$116)),K$92)</f>
        <v>484372</v>
      </c>
      <c r="L128" s="897">
        <f ca="1">+K128</f>
        <v>484372</v>
      </c>
      <c r="M128" s="888">
        <f ca="1">+SUMIFS(INDIRECT(CONCATENATE("'",$AQ128,$AR128,":",$AS128)),INDIRECT(CONCATENATE("'",$AQ128,$AR$116,":",$AS$116)),M$92)</f>
        <v>511005</v>
      </c>
      <c r="N128" s="888">
        <f ca="1">+SUMIFS(INDIRECT(CONCATENATE("'",$AQ128,$AR128,":",$AS128)),INDIRECT(CONCATENATE("'",$AQ128,$AR$116,":",$AS$116)),N$92)</f>
        <v>515840</v>
      </c>
      <c r="O128" s="888">
        <f ca="1">+SUMIFS(INDIRECT(CONCATENATE("'",$AQ128,$AR128,":",$AS128)),INDIRECT(CONCATENATE("'",$AQ128,$AR$116,":",$AS$116)),O$92)</f>
        <v>577735</v>
      </c>
      <c r="P128" s="888">
        <f ca="1">+SUMIFS(INDIRECT(CONCATENATE("'",$AQ128,$AR128,":",$AS128)),INDIRECT(CONCATENATE("'",$AQ128,$AR$116,":",$AS$116)),P$92)</f>
        <v>575079</v>
      </c>
      <c r="Q128" s="897">
        <f ca="1">+P128</f>
        <v>575079</v>
      </c>
      <c r="R128" s="888">
        <f ca="1">+SUMIFS(INDIRECT(CONCATENATE("'",$AQ128,$AR128,":",$AS128)),INDIRECT(CONCATENATE("'",$AQ128,$AR$116,":",$AS$116)),R$92)</f>
        <v>595131</v>
      </c>
      <c r="S128" s="888">
        <f ca="1">+SUMIFS(INDIRECT(CONCATENATE("'",$AQ128,$AR128,":",$AS128)),INDIRECT(CONCATENATE("'",$AQ128,$AR$116,":",$AS$116)),S$92)</f>
        <v>590088</v>
      </c>
      <c r="T128" s="888">
        <f ca="1">+SUMIFS(INDIRECT(CONCATENATE("'",$AQ128,$AR128,":",$AS128)),INDIRECT(CONCATENATE("'",$AQ128,$AR$116,":",$AS$116)),T$92)</f>
        <v>619947</v>
      </c>
      <c r="U128" s="888">
        <f ca="1">+SUMIFS(INDIRECT(CONCATENATE("'",$AQ128,$AR128,":",$AS128)),INDIRECT(CONCATENATE("'",$AQ128,$AR$116,":",$AS$116)),U$92)</f>
        <v>624663</v>
      </c>
      <c r="V128" s="897">
        <f ca="1">+U128</f>
        <v>624663</v>
      </c>
      <c r="W128" s="888">
        <f ca="1">+SUMIFS(INDIRECT(CONCATENATE("'",$AQ128,$AR128,":",$AS128)),INDIRECT(CONCATENATE("'",$AQ128,$AR$116,":",$AS$116)),W$92)</f>
        <v>644911</v>
      </c>
      <c r="X128" s="888">
        <f ca="1">+SUMIFS(INDIRECT(CONCATENATE("'",$AQ128,$AR128,":",$AS128)),INDIRECT(CONCATENATE("'",$AQ128,$AR$116,":",$AS$116)),X$92)</f>
        <v>656554</v>
      </c>
      <c r="Y128" s="888">
        <f ca="1">+SUMIFS(INDIRECT(CONCATENATE("'",$AQ128,$AR128,":",$AS128)),INDIRECT(CONCATENATE("'",$AQ128,$AR$116,":",$AS$116)),Y$92)</f>
        <v>668634</v>
      </c>
      <c r="Z128" s="888">
        <f ca="1">+SUMIFS(INDIRECT(CONCATENATE("'",$AQ128,$AR128,":",$AS128)),INDIRECT(CONCATENATE("'",$AQ128,$AR$116,":",$AS$116)),Z$92)</f>
        <v>680734</v>
      </c>
      <c r="AA128" s="897">
        <f ca="1">+Z128</f>
        <v>680734</v>
      </c>
      <c r="AB128" s="888">
        <f ca="1">+SUMIFS(INDIRECT(CONCATENATE("'",$AQ128,$AR128,":",$AS128)),INDIRECT(CONCATENATE("'",$AQ128,$AR$116,":",$AS$116)),AB$92)</f>
        <v>699442</v>
      </c>
      <c r="AC128" s="888">
        <f ca="1">+SUMIFS(INDIRECT(CONCATENATE("'",$AQ128,$AR128,":",$AS128)),INDIRECT(CONCATENATE("'",$AQ128,$AR$116,":",$AS$116)),AC$92)</f>
        <v>0</v>
      </c>
      <c r="AD128" s="888">
        <f ca="1">+SUMIFS(INDIRECT(CONCATENATE("'",$AQ128,$AR128,":",$AS128)),INDIRECT(CONCATENATE("'",$AQ128,$AR$116,":",$AS$116)),AD$92)</f>
        <v>736379</v>
      </c>
      <c r="AE128" s="888">
        <f ca="1">+SUMIFS(INDIRECT(CONCATENATE("'",$AQ128,$AR128,":",$AS128)),INDIRECT(CONCATENATE("'",$AQ128,$AR$116,":",$AS$116)),AE$92)</f>
        <v>766189</v>
      </c>
      <c r="AF128" s="897">
        <f ca="1">+AE128</f>
        <v>766189</v>
      </c>
      <c r="AG128" s="888">
        <f ca="1">+SUMIFS(INDIRECT(CONCATENATE("'",$AQ128,$AR128,":",$AS128)),INDIRECT(CONCATENATE("'",$AQ128,$AR$116,":",$AS$116)),AG$92)</f>
        <v>800844</v>
      </c>
      <c r="AH128" s="888">
        <f ca="1">+SUMIFS(INDIRECT(CONCATENATE("'",$AQ128,$AR128,":",$AS128)),INDIRECT(CONCATENATE("'",$AQ128,$AR$116,":",$AS$116)),AH$92)</f>
        <v>800942</v>
      </c>
      <c r="AI128" s="888">
        <f ca="1">+SUMIFS(INDIRECT(CONCATENATE("'",$AQ128,$AR128,":",$AS128)),INDIRECT(CONCATENATE("'",$AQ128,$AR$116,":",$AS$116)),AI$92)</f>
        <v>819533</v>
      </c>
      <c r="AJ128" s="888">
        <f ca="1">+SUMIFS(INDIRECT(CONCATENATE("'",$AQ128,$AR128,":",$AS128)),INDIRECT(CONCATENATE("'",$AQ128,$AR$116,":",$AS$116)),AJ$92)</f>
        <v>835170</v>
      </c>
      <c r="AK128" s="897">
        <f ca="1">+AJ128</f>
        <v>835170</v>
      </c>
      <c r="AL128" s="888">
        <f ca="1">+SUMIFS(INDIRECT(CONCATENATE("'",$AQ128,$AR128,":",$AS128)),INDIRECT(CONCATENATE("'",$AQ128,$AR$116,":",$AS$116)),AL$92)</f>
        <v>872453</v>
      </c>
      <c r="AM128" s="888">
        <f ca="1">+SUMIFS(INDIRECT(CONCATENATE("'",$AQ128,$AR128,":",$AS128)),INDIRECT(CONCATENATE("'",$AQ128,$AR$116,":",$AS$116)),AM$92)</f>
        <v>888230</v>
      </c>
      <c r="AN128" s="888">
        <f ca="1">+SUMIFS(INDIRECT(CONCATENATE("'",$AQ128,$AR128,":",$AS128)),INDIRECT(CONCATENATE("'",$AQ128,$AR$116,":",$AS$116)),AN$92)</f>
        <v>892007</v>
      </c>
      <c r="AO128" s="888">
        <f ca="1">+SUMIFS(INDIRECT(CONCATENATE("'",$AQ128,$AR128,":",$AS128)),INDIRECT(CONCATENATE("'",$AQ128,$AR$116,":",$AS$116)),AO$92)</f>
        <v>921409</v>
      </c>
      <c r="AP128" s="897">
        <f ca="1">+AO128</f>
        <v>921409</v>
      </c>
      <c r="AQ128" s="268" t="s">
        <v>1060</v>
      </c>
      <c r="AR128" s="268" t="str">
        <f>"$"&amp;ROW(BalSheet!$B$76)</f>
        <v>$76</v>
      </c>
      <c r="AS128" s="268" t="str">
        <f>"$"&amp;ROW(BalSheet!$B$76)</f>
        <v>$76</v>
      </c>
      <c r="AT128" s="268" t="s">
        <v>1060</v>
      </c>
      <c r="AU128" s="268" t="s">
        <v>1059</v>
      </c>
      <c r="AW128" s="2" t="s">
        <v>1060</v>
      </c>
      <c r="AX128" s="2" t="s">
        <v>1059</v>
      </c>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row>
    <row r="129" spans="2:79" ht="14.25" customHeight="1" x14ac:dyDescent="0.2">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row>
    <row r="130" spans="2:79" ht="13.5" customHeight="1" x14ac:dyDescent="0.2">
      <c r="B130" s="884" t="s">
        <v>931</v>
      </c>
      <c r="C130" s="883" t="str">
        <f t="shared" ref="C130:AH130" si="155">C5</f>
        <v>1Q17</v>
      </c>
      <c r="D130" s="883" t="str">
        <f t="shared" si="155"/>
        <v>2Q17</v>
      </c>
      <c r="E130" s="883" t="str">
        <f t="shared" si="155"/>
        <v>3Q17</v>
      </c>
      <c r="F130" s="883" t="str">
        <f t="shared" si="155"/>
        <v>4Q17</v>
      </c>
      <c r="G130" s="883" t="str">
        <f t="shared" si="155"/>
        <v>2017</v>
      </c>
      <c r="H130" s="883" t="str">
        <f t="shared" si="155"/>
        <v>1Q18</v>
      </c>
      <c r="I130" s="883" t="str">
        <f t="shared" si="155"/>
        <v>2Q18</v>
      </c>
      <c r="J130" s="883" t="str">
        <f t="shared" si="155"/>
        <v>3Q18</v>
      </c>
      <c r="K130" s="883" t="str">
        <f t="shared" si="155"/>
        <v>4Q18</v>
      </c>
      <c r="L130" s="883" t="str">
        <f t="shared" si="155"/>
        <v>2018</v>
      </c>
      <c r="M130" s="883" t="str">
        <f t="shared" si="155"/>
        <v>1Q19</v>
      </c>
      <c r="N130" s="883" t="str">
        <f t="shared" si="155"/>
        <v>2Q19</v>
      </c>
      <c r="O130" s="883" t="str">
        <f t="shared" si="155"/>
        <v>3Q19</v>
      </c>
      <c r="P130" s="883" t="str">
        <f t="shared" si="155"/>
        <v>4Q19</v>
      </c>
      <c r="Q130" s="883" t="str">
        <f t="shared" si="155"/>
        <v>2019</v>
      </c>
      <c r="R130" s="883" t="str">
        <f t="shared" si="155"/>
        <v>1Q20</v>
      </c>
      <c r="S130" s="883" t="str">
        <f t="shared" si="155"/>
        <v>2Q20</v>
      </c>
      <c r="T130" s="883" t="str">
        <f t="shared" si="155"/>
        <v>3Q20</v>
      </c>
      <c r="U130" s="883" t="str">
        <f t="shared" si="155"/>
        <v>4Q20</v>
      </c>
      <c r="V130" s="883" t="str">
        <f t="shared" si="155"/>
        <v>2020</v>
      </c>
      <c r="W130" s="883" t="str">
        <f t="shared" si="155"/>
        <v>1Q21</v>
      </c>
      <c r="X130" s="883" t="str">
        <f t="shared" si="155"/>
        <v>2Q21</v>
      </c>
      <c r="Y130" s="883" t="str">
        <f t="shared" si="155"/>
        <v>3Q21</v>
      </c>
      <c r="Z130" s="883" t="str">
        <f t="shared" si="155"/>
        <v>4Q21</v>
      </c>
      <c r="AA130" s="883" t="str">
        <f t="shared" si="155"/>
        <v>2021</v>
      </c>
      <c r="AB130" s="883" t="str">
        <f t="shared" si="155"/>
        <v>1Q22</v>
      </c>
      <c r="AC130" s="883" t="str">
        <f t="shared" si="155"/>
        <v>2Q22</v>
      </c>
      <c r="AD130" s="883" t="str">
        <f t="shared" si="155"/>
        <v>3Q22</v>
      </c>
      <c r="AE130" s="883" t="str">
        <f t="shared" si="155"/>
        <v>4Q22</v>
      </c>
      <c r="AF130" s="883" t="str">
        <f t="shared" si="155"/>
        <v>2022</v>
      </c>
      <c r="AG130" s="883" t="str">
        <f t="shared" si="155"/>
        <v>1Q23</v>
      </c>
      <c r="AH130" s="883" t="str">
        <f t="shared" si="155"/>
        <v>2Q23</v>
      </c>
      <c r="AI130" s="883" t="str">
        <f t="shared" ref="AI130:AN130" si="156">AI5</f>
        <v>3Q23</v>
      </c>
      <c r="AJ130" s="883" t="str">
        <f t="shared" si="156"/>
        <v>4Q23</v>
      </c>
      <c r="AK130" s="883" t="str">
        <f t="shared" si="156"/>
        <v>2023</v>
      </c>
      <c r="AL130" s="883" t="str">
        <f t="shared" si="156"/>
        <v>1Q24</v>
      </c>
      <c r="AM130" s="883" t="str">
        <f t="shared" si="156"/>
        <v>2Q24</v>
      </c>
      <c r="AN130" s="883" t="str">
        <f t="shared" si="156"/>
        <v>3Q24</v>
      </c>
      <c r="AO130" s="883" t="str">
        <f t="shared" ref="AO130:AP130" si="157">AO5</f>
        <v>4Q24</v>
      </c>
      <c r="AP130" s="883" t="str">
        <f t="shared" si="157"/>
        <v>2024</v>
      </c>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row>
    <row r="131" spans="2:79" ht="13.5" customHeight="1" x14ac:dyDescent="0.2">
      <c r="B131" s="882" t="s">
        <v>1203</v>
      </c>
      <c r="C131" s="881">
        <f ca="1">+C21</f>
        <v>20933.372720000058</v>
      </c>
      <c r="D131" s="881">
        <f ca="1">+D21</f>
        <v>34933.045200000037</v>
      </c>
      <c r="E131" s="881">
        <f ca="1">+E21</f>
        <v>40973.642920000042</v>
      </c>
      <c r="F131" s="881">
        <f ca="1">+F21</f>
        <v>38010.111610000007</v>
      </c>
      <c r="G131" s="880">
        <f ca="1">+SUM(C131:F131)</f>
        <v>134850.17245000013</v>
      </c>
      <c r="H131" s="881">
        <f ca="1">+H21</f>
        <v>29453.314000000006</v>
      </c>
      <c r="I131" s="881">
        <f ca="1">+I21</f>
        <v>45148.406709999959</v>
      </c>
      <c r="J131" s="881">
        <f ca="1">+J21</f>
        <v>57791.788239999936</v>
      </c>
      <c r="K131" s="881">
        <f ca="1">+K21</f>
        <v>68074.372747457557</v>
      </c>
      <c r="L131" s="880">
        <f ca="1">+SUM(H131:K131)</f>
        <v>200467.88169745746</v>
      </c>
      <c r="M131" s="881">
        <f ca="1">+M21</f>
        <v>46325.508350000062</v>
      </c>
      <c r="N131" s="881">
        <f ca="1">+N21</f>
        <v>51171.350340000041</v>
      </c>
      <c r="O131" s="881">
        <f ca="1">+O21</f>
        <v>55413.839780000053</v>
      </c>
      <c r="P131" s="881">
        <f ca="1">+P21</f>
        <v>60918.05529172231</v>
      </c>
      <c r="Q131" s="880">
        <f ca="1">+SUM(M131:P131)</f>
        <v>213828.75376172247</v>
      </c>
      <c r="R131" s="881">
        <f ca="1">+R21</f>
        <v>34349.567049999998</v>
      </c>
      <c r="S131" s="881">
        <f ca="1">+S21</f>
        <v>-4739.6268300000338</v>
      </c>
      <c r="T131" s="881">
        <f ca="1">+T21</f>
        <v>45885.082529999978</v>
      </c>
      <c r="U131" s="881">
        <f ca="1">+U21</f>
        <v>49048.248680000019</v>
      </c>
      <c r="V131" s="880">
        <f ca="1">+SUM(R131:U131)</f>
        <v>124543.27142999996</v>
      </c>
      <c r="W131" s="881">
        <f ca="1">+W21</f>
        <v>33685.155730000013</v>
      </c>
      <c r="X131" s="881">
        <f ca="1">+X21</f>
        <v>26509.544199999968</v>
      </c>
      <c r="Y131" s="881">
        <f ca="1">+Y21</f>
        <v>28894.70661999999</v>
      </c>
      <c r="Z131" s="881">
        <f ca="1">+Z21</f>
        <v>37330.510729999893</v>
      </c>
      <c r="AA131" s="880">
        <f ca="1">+SUM(W131:Z131)</f>
        <v>126419.91727999986</v>
      </c>
      <c r="AB131" s="881">
        <f ca="1">+AB21</f>
        <v>25781.114919999942</v>
      </c>
      <c r="AC131" s="881">
        <f ca="1">+AC21</f>
        <v>39203.359179999956</v>
      </c>
      <c r="AD131" s="881">
        <f ca="1">+AD21</f>
        <v>78319.177349999984</v>
      </c>
      <c r="AE131" s="881">
        <f ca="1">+AE21</f>
        <v>62621.627109999972</v>
      </c>
      <c r="AF131" s="880">
        <f ca="1">+SUM(AB131:AE131)</f>
        <v>205925.27855999986</v>
      </c>
      <c r="AG131" s="881">
        <f ca="1">+AG21</f>
        <v>43371.581559999875</v>
      </c>
      <c r="AH131" s="881">
        <f ca="1">+AH21</f>
        <v>48020.370050000056</v>
      </c>
      <c r="AI131" s="881">
        <f ca="1">+AI21</f>
        <v>68385.131959999999</v>
      </c>
      <c r="AJ131" s="881">
        <f ca="1">+AJ21</f>
        <v>62696.048160000224</v>
      </c>
      <c r="AK131" s="880">
        <f ca="1">+SUM(AG131:AJ131)</f>
        <v>222473.13173000014</v>
      </c>
      <c r="AL131" s="881">
        <f ca="1">+AL21</f>
        <v>48587.304339999806</v>
      </c>
      <c r="AM131" s="881">
        <f ca="1">+AM21</f>
        <v>75267.680820000067</v>
      </c>
      <c r="AN131" s="881">
        <f ca="1">+AN21</f>
        <v>115691.14411000008</v>
      </c>
      <c r="AO131" s="881">
        <f ca="1">+AO21</f>
        <v>115614.97578999991</v>
      </c>
      <c r="AP131" s="880">
        <f ca="1">+SUM(AL131:AO131)</f>
        <v>355161.10505999986</v>
      </c>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row>
    <row r="132" spans="2:79" ht="13.5" customHeight="1" x14ac:dyDescent="0.2">
      <c r="B132" s="874" t="s">
        <v>20</v>
      </c>
      <c r="C132" s="873">
        <f ca="1">+C122</f>
        <v>-6820</v>
      </c>
      <c r="D132" s="873">
        <f ca="1">+D122</f>
        <v>-8432</v>
      </c>
      <c r="E132" s="873">
        <f ca="1">+E122</f>
        <v>-5862</v>
      </c>
      <c r="F132" s="873">
        <f ca="1">+F122</f>
        <v>-4116</v>
      </c>
      <c r="G132" s="645">
        <f ca="1">+SUM(C132:F132)</f>
        <v>-25230</v>
      </c>
      <c r="H132" s="873">
        <f ca="1">+H122</f>
        <v>-2460.1986400000001</v>
      </c>
      <c r="I132" s="873">
        <f ca="1">+I122</f>
        <v>-4724.2775700000002</v>
      </c>
      <c r="J132" s="873">
        <f ca="1">+J122</f>
        <v>-14999.27721</v>
      </c>
      <c r="K132" s="873">
        <f ca="1">+K122</f>
        <v>-13256.331969999999</v>
      </c>
      <c r="L132" s="645">
        <f ca="1">+SUM(H132:K132)</f>
        <v>-35440.08539</v>
      </c>
      <c r="M132" s="873">
        <f ca="1">+M122</f>
        <v>-6635.6352500000012</v>
      </c>
      <c r="N132" s="873">
        <f ca="1">+N122</f>
        <v>-14552.057499999999</v>
      </c>
      <c r="O132" s="873">
        <f ca="1">+O122</f>
        <v>-4132.3085700000001</v>
      </c>
      <c r="P132" s="873">
        <f ca="1">+P122</f>
        <v>-10689.66779</v>
      </c>
      <c r="Q132" s="645">
        <f ca="1">+SUM(M132:P132)</f>
        <v>-36009.669110000003</v>
      </c>
      <c r="R132" s="873">
        <f ca="1">+R122</f>
        <v>-5427</v>
      </c>
      <c r="S132" s="873">
        <f ca="1">+S122</f>
        <v>-4266</v>
      </c>
      <c r="T132" s="873">
        <f ca="1">+T122</f>
        <v>-4406</v>
      </c>
      <c r="U132" s="873">
        <f ca="1">+U122</f>
        <v>-5672</v>
      </c>
      <c r="V132" s="645">
        <f ca="1">+SUM(R132:U132)</f>
        <v>-19771</v>
      </c>
      <c r="W132" s="873">
        <f ca="1">+W122</f>
        <v>-6526</v>
      </c>
      <c r="X132" s="873">
        <f ca="1">+X122</f>
        <v>-6456</v>
      </c>
      <c r="Y132" s="873">
        <f ca="1">+Y122</f>
        <v>-10292</v>
      </c>
      <c r="Z132" s="873">
        <f ca="1">+Z122</f>
        <v>-6328</v>
      </c>
      <c r="AA132" s="645">
        <f ca="1">+SUM(W132:Z132)</f>
        <v>-29602</v>
      </c>
      <c r="AB132" s="873">
        <f ca="1">+AB122</f>
        <v>-4409.3565700000054</v>
      </c>
      <c r="AC132" s="873">
        <f ca="1">+AC122</f>
        <v>-12332.297929999988</v>
      </c>
      <c r="AD132" s="873">
        <f ca="1">+AD122</f>
        <v>-7994.1122999999989</v>
      </c>
      <c r="AE132" s="873">
        <f ca="1">+AE122</f>
        <v>-20242.128919999996</v>
      </c>
      <c r="AF132" s="645">
        <f ca="1">+SUM(AB132:AE132)</f>
        <v>-44977.895719999986</v>
      </c>
      <c r="AG132" s="873">
        <f ca="1">+AG122</f>
        <v>-5455.5496700000003</v>
      </c>
      <c r="AH132" s="873">
        <f ca="1">+AH122</f>
        <v>-5162.2759199999982</v>
      </c>
      <c r="AI132" s="873">
        <f ca="1">+AI122</f>
        <v>-11944.03478</v>
      </c>
      <c r="AJ132" s="873">
        <f ca="1">+AJ122</f>
        <v>-10590</v>
      </c>
      <c r="AK132" s="645">
        <f ca="1">+SUM(AG132:AJ132)</f>
        <v>-33151.860369999995</v>
      </c>
      <c r="AL132" s="873">
        <f ca="1">+AL122</f>
        <v>-16136</v>
      </c>
      <c r="AM132" s="873">
        <f ca="1">+AM122</f>
        <v>-12059.535570000004</v>
      </c>
      <c r="AN132" s="873">
        <f ca="1">+AN122</f>
        <v>-12574.213229999987</v>
      </c>
      <c r="AO132" s="873">
        <f ca="1">+AO122</f>
        <v>-16805.251200000013</v>
      </c>
      <c r="AP132" s="645">
        <f ca="1">+SUM(AL132:AO132)</f>
        <v>-57575</v>
      </c>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row>
    <row r="133" spans="2:79" ht="13.5" customHeight="1" x14ac:dyDescent="0.2">
      <c r="B133" s="874" t="s">
        <v>1045</v>
      </c>
      <c r="C133" s="873">
        <f ca="1">+C31</f>
        <v>-4298.9160000000002</v>
      </c>
      <c r="D133" s="873">
        <f ca="1">+D31</f>
        <v>7766.8676799999994</v>
      </c>
      <c r="E133" s="873">
        <f ca="1">+E31</f>
        <v>-8879.3011299999998</v>
      </c>
      <c r="F133" s="873">
        <f ca="1">+F31</f>
        <v>-8319.4488999999994</v>
      </c>
      <c r="G133" s="645">
        <f ca="1">+SUM(C133:F133)</f>
        <v>-13730.798350000001</v>
      </c>
      <c r="H133" s="873">
        <f ca="1">+H31</f>
        <v>-6233</v>
      </c>
      <c r="I133" s="873">
        <f ca="1">+I31</f>
        <v>-7000.1369300000006</v>
      </c>
      <c r="J133" s="873">
        <f ca="1">+J31</f>
        <v>-9929.7333699999999</v>
      </c>
      <c r="K133" s="873">
        <f ca="1">+K31</f>
        <v>-12883.216170000002</v>
      </c>
      <c r="L133" s="645">
        <f ca="1">+SUM(H133:K133)</f>
        <v>-36046.086470000002</v>
      </c>
      <c r="M133" s="873">
        <f ca="1">+M31</f>
        <v>-11575.73976</v>
      </c>
      <c r="N133" s="873">
        <f ca="1">+N31</f>
        <v>-10923.94203</v>
      </c>
      <c r="O133" s="873">
        <f ca="1">+O31</f>
        <v>-40057.514449999995</v>
      </c>
      <c r="P133" s="873">
        <f ca="1">+P31</f>
        <v>-8769.3005799999992</v>
      </c>
      <c r="Q133" s="645">
        <f ca="1">+SUM(M133:P133)</f>
        <v>-71326.49682</v>
      </c>
      <c r="R133" s="873">
        <f ca="1">+R31</f>
        <v>-6850.96893</v>
      </c>
      <c r="S133" s="873">
        <f ca="1">+S31</f>
        <v>4624.6438899999994</v>
      </c>
      <c r="T133" s="873">
        <f ca="1">+T31</f>
        <v>-12021.130280000001</v>
      </c>
      <c r="U133" s="873">
        <f ca="1">+U31</f>
        <v>-9295.3423600000006</v>
      </c>
      <c r="V133" s="645">
        <f ca="1">+SUM(R133:U133)</f>
        <v>-23542.797680000003</v>
      </c>
      <c r="W133" s="873">
        <f ca="1">+W31</f>
        <v>-7991.2797200000005</v>
      </c>
      <c r="X133" s="873">
        <f ca="1">+X31</f>
        <v>-8180.5598599999994</v>
      </c>
      <c r="Y133" s="873">
        <f ca="1">+Y31</f>
        <v>9562.4</v>
      </c>
      <c r="Z133" s="873">
        <f ca="1">+Z31</f>
        <v>-9991.3930700000001</v>
      </c>
      <c r="AA133" s="645">
        <f ca="1">+SUM(W133:Z133)</f>
        <v>-16600.83265</v>
      </c>
      <c r="AB133" s="873">
        <f ca="1">+AB31</f>
        <v>-5291</v>
      </c>
      <c r="AC133" s="873">
        <f ca="1">+AC31</f>
        <v>-8048.3106200000002</v>
      </c>
      <c r="AD133" s="873">
        <f ca="1">+AD31</f>
        <v>-17648.283640000001</v>
      </c>
      <c r="AE133" s="873">
        <f ca="1">+AE31</f>
        <v>-17243.035919999998</v>
      </c>
      <c r="AF133" s="645">
        <f ca="1">+SUM(AB133:AE133)</f>
        <v>-48230.63018</v>
      </c>
      <c r="AG133" s="873">
        <f ca="1">+AG31</f>
        <v>-10633.6551</v>
      </c>
      <c r="AH133" s="873">
        <f ca="1">+AH31</f>
        <v>-10582.149069999999</v>
      </c>
      <c r="AI133" s="873">
        <f ca="1">+AI31</f>
        <v>-16768.140070000001</v>
      </c>
      <c r="AJ133" s="873">
        <f ca="1">+AJ31</f>
        <v>-15580.425179999998</v>
      </c>
      <c r="AK133" s="645">
        <f ca="1">+SUM(AG133:AJ133)</f>
        <v>-53564.369419999995</v>
      </c>
      <c r="AL133" s="873">
        <f ca="1">+AL31</f>
        <v>-15609.352519999997</v>
      </c>
      <c r="AM133" s="873">
        <f ca="1">+AM31</f>
        <v>-21144.194380000001</v>
      </c>
      <c r="AN133" s="873">
        <f ca="1">+AN31</f>
        <v>-35933.303370000001</v>
      </c>
      <c r="AO133" s="873">
        <f ca="1">+AO31</f>
        <v>-34169.50647</v>
      </c>
      <c r="AP133" s="645">
        <f ca="1">+SUM(AL133:AO133)</f>
        <v>-106856.35673999999</v>
      </c>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row>
    <row r="134" spans="2:79" ht="13.5" customHeight="1" x14ac:dyDescent="0.2">
      <c r="B134" s="874" t="s">
        <v>1058</v>
      </c>
      <c r="C134" s="873">
        <f>+(154255-C118)+(C124-43164)</f>
        <v>18150</v>
      </c>
      <c r="D134" s="873">
        <f>+(C118-D118)+(D124-C124)</f>
        <v>-7063</v>
      </c>
      <c r="E134" s="873">
        <f>+(D118-E118)+(E124-D124)</f>
        <v>-10723</v>
      </c>
      <c r="F134" s="873">
        <f>+(E118-F118)+(F124-E124)</f>
        <v>-28216</v>
      </c>
      <c r="G134" s="645">
        <f>+SUM(C134:F134)</f>
        <v>-27852</v>
      </c>
      <c r="H134" s="873">
        <f>+(G118-H118)+(H124-G124)</f>
        <v>17503</v>
      </c>
      <c r="I134" s="873">
        <f>+(H118-I118)+(I124-H124)</f>
        <v>-29891</v>
      </c>
      <c r="J134" s="873">
        <f>+(I118-J118)+(J124-I124)</f>
        <v>-11365</v>
      </c>
      <c r="K134" s="873">
        <f>+(J118-K118)+(K124-J124)</f>
        <v>-26633</v>
      </c>
      <c r="L134" s="645">
        <f>+SUM(H134:K134)</f>
        <v>-50386</v>
      </c>
      <c r="M134" s="873">
        <f>+(L118-M118)+(M124-L124)</f>
        <v>18871</v>
      </c>
      <c r="N134" s="873">
        <f>+(M118-N118)+(N124-M124)</f>
        <v>-14720</v>
      </c>
      <c r="O134" s="873">
        <f>+(N118-O118)+(O124-N124)</f>
        <v>-7270</v>
      </c>
      <c r="P134" s="873">
        <f>+(O118-P118)+(P124-O124)</f>
        <v>-32413</v>
      </c>
      <c r="Q134" s="645">
        <f>+SUM(M134:P134)</f>
        <v>-35532</v>
      </c>
      <c r="R134" s="873">
        <f ca="1">+(Q118-R118)+(R124-Q124)</f>
        <v>37696</v>
      </c>
      <c r="S134" s="873">
        <f ca="1">+(R118-S118)+(S124-R124)</f>
        <v>76890</v>
      </c>
      <c r="T134" s="873">
        <f ca="1">+(S118-T118)+(T124-S124)</f>
        <v>-61269</v>
      </c>
      <c r="U134" s="873">
        <f ca="1">+(T118-U118)+(U124-T124)</f>
        <v>-9326</v>
      </c>
      <c r="V134" s="645">
        <f ca="1">+SUM(R134:U134)</f>
        <v>43991</v>
      </c>
      <c r="W134" s="873">
        <f ca="1">+(V118-W118)+(W124-V124)</f>
        <v>39176</v>
      </c>
      <c r="X134" s="873">
        <f ca="1">+(W118-X118)+(X124-W124)</f>
        <v>-25721</v>
      </c>
      <c r="Y134" s="873">
        <f ca="1">+(X118-Y118)+(Y124-X124)</f>
        <v>8688</v>
      </c>
      <c r="Z134" s="873">
        <f ca="1">+(Y118-Z118)+(Z124-Y124)</f>
        <v>-96104</v>
      </c>
      <c r="AA134" s="645">
        <f ca="1">+SUM(W134:Z134)</f>
        <v>-73961</v>
      </c>
      <c r="AB134" s="873">
        <f ca="1">+(AA118-AB118)+(AB124-AA124)</f>
        <v>70442</v>
      </c>
      <c r="AC134" s="873">
        <f ca="1">+(AB118-AC118)+(AC124-AB124)</f>
        <v>184389</v>
      </c>
      <c r="AD134" s="873">
        <f ca="1">+(AC118-AD118)+(AD124-AC124)</f>
        <v>-258676</v>
      </c>
      <c r="AE134" s="873">
        <f ca="1">+(AD118-AE118)+(AE124-AD124)</f>
        <v>-5971</v>
      </c>
      <c r="AF134" s="645">
        <f ca="1">+SUM(AB134:AE134)</f>
        <v>-9816</v>
      </c>
      <c r="AG134" s="873">
        <f ca="1">+(AF118-AG118)+(AG124-AF124)</f>
        <v>41609</v>
      </c>
      <c r="AH134" s="873">
        <f ca="1">+(AG118-AH118)+(AH124-AG124)</f>
        <v>-4847</v>
      </c>
      <c r="AI134" s="873">
        <f ca="1">+(AH118-AI118)+(AI124-AH124)</f>
        <v>-9400</v>
      </c>
      <c r="AJ134" s="873">
        <f ca="1">+(AI118-AJ118)+(AJ124-AI124)</f>
        <v>-58600</v>
      </c>
      <c r="AK134" s="645">
        <f ca="1">+SUM(AG134:AJ134)</f>
        <v>-31238</v>
      </c>
      <c r="AL134" s="873">
        <f ca="1">+(AK118-AL118)+(AL124-AK124)</f>
        <v>47361</v>
      </c>
      <c r="AM134" s="873">
        <f ca="1">+(AL118-AM118)+(AM124-AL124)</f>
        <v>-39703</v>
      </c>
      <c r="AN134" s="873">
        <f ca="1">+(AM118-AN118)+(AN124-AM124)</f>
        <v>-50585</v>
      </c>
      <c r="AO134" s="873">
        <f ca="1">+(AN118-AO118)+(AO124-AN124)</f>
        <v>-36704</v>
      </c>
      <c r="AP134" s="645">
        <f ca="1">+SUM(AL134:AO134)</f>
        <v>-79631</v>
      </c>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row>
    <row r="135" spans="2:79" s="901" customFormat="1" ht="13.5" customHeight="1" x14ac:dyDescent="0.2">
      <c r="B135" s="904" t="s">
        <v>1057</v>
      </c>
      <c r="C135" s="881">
        <f t="shared" ref="C135:S135" ca="1" si="158">+SUM(C131:C134)</f>
        <v>27964.456720000057</v>
      </c>
      <c r="D135" s="881">
        <f t="shared" ca="1" si="158"/>
        <v>27204.912880000033</v>
      </c>
      <c r="E135" s="881">
        <f t="shared" ca="1" si="158"/>
        <v>15509.341790000042</v>
      </c>
      <c r="F135" s="881">
        <f t="shared" ca="1" si="158"/>
        <v>-2641.3372899999922</v>
      </c>
      <c r="G135" s="646">
        <f t="shared" ca="1" si="158"/>
        <v>68037.374100000132</v>
      </c>
      <c r="H135" s="881">
        <f t="shared" ca="1" si="158"/>
        <v>38263.115360000011</v>
      </c>
      <c r="I135" s="881">
        <f t="shared" ca="1" si="158"/>
        <v>3532.9922099999603</v>
      </c>
      <c r="J135" s="881">
        <f t="shared" ca="1" si="158"/>
        <v>21497.777659999934</v>
      </c>
      <c r="K135" s="881">
        <f t="shared" ca="1" si="158"/>
        <v>15301.824607457558</v>
      </c>
      <c r="L135" s="646">
        <f t="shared" ca="1" si="158"/>
        <v>78595.709837457456</v>
      </c>
      <c r="M135" s="881">
        <f t="shared" ca="1" si="158"/>
        <v>46985.133340000059</v>
      </c>
      <c r="N135" s="881">
        <f t="shared" ca="1" si="158"/>
        <v>10975.35081000004</v>
      </c>
      <c r="O135" s="881">
        <f t="shared" ca="1" si="158"/>
        <v>3954.0167600000568</v>
      </c>
      <c r="P135" s="881">
        <f t="shared" ca="1" si="158"/>
        <v>9046.086921722308</v>
      </c>
      <c r="Q135" s="646">
        <f t="shared" ca="1" si="158"/>
        <v>70960.587831722456</v>
      </c>
      <c r="R135" s="881">
        <f t="shared" ca="1" si="158"/>
        <v>59767.598119999995</v>
      </c>
      <c r="S135" s="881">
        <f t="shared" ca="1" si="158"/>
        <v>72509.017059999969</v>
      </c>
      <c r="T135" s="881">
        <f t="shared" ref="T135:Y135" ca="1" si="159">+SUM(T131:T134)</f>
        <v>-31811.047750000023</v>
      </c>
      <c r="U135" s="881">
        <f t="shared" ca="1" si="159"/>
        <v>24754.906320000016</v>
      </c>
      <c r="V135" s="646">
        <f t="shared" ca="1" si="159"/>
        <v>125220.47374999996</v>
      </c>
      <c r="W135" s="881">
        <f t="shared" ca="1" si="159"/>
        <v>58343.876010000015</v>
      </c>
      <c r="X135" s="881">
        <f t="shared" ca="1" si="159"/>
        <v>-13848.015660000032</v>
      </c>
      <c r="Y135" s="881">
        <f t="shared" ca="1" si="159"/>
        <v>36853.106619999991</v>
      </c>
      <c r="Z135" s="881">
        <f t="shared" ref="Z135:AF135" ca="1" si="160">+SUM(Z131:Z134)</f>
        <v>-75092.882340000098</v>
      </c>
      <c r="AA135" s="646">
        <f t="shared" ca="1" si="160"/>
        <v>6256.0846299998666</v>
      </c>
      <c r="AB135" s="881">
        <f t="shared" ca="1" si="160"/>
        <v>86522.758349999931</v>
      </c>
      <c r="AC135" s="881">
        <f t="shared" ca="1" si="160"/>
        <v>203211.75062999997</v>
      </c>
      <c r="AD135" s="881">
        <f t="shared" ca="1" si="160"/>
        <v>-205999.21859</v>
      </c>
      <c r="AE135" s="881">
        <f t="shared" ca="1" si="160"/>
        <v>19165.462269999978</v>
      </c>
      <c r="AF135" s="646">
        <f t="shared" ca="1" si="160"/>
        <v>102900.75265999985</v>
      </c>
      <c r="AG135" s="881">
        <f t="shared" ref="AG135:AM135" ca="1" si="161">+SUM(AG131:AG134)</f>
        <v>68891.376789999878</v>
      </c>
      <c r="AH135" s="881">
        <f t="shared" ca="1" si="161"/>
        <v>27428.945060000056</v>
      </c>
      <c r="AI135" s="881">
        <f t="shared" ca="1" si="161"/>
        <v>30272.957109999996</v>
      </c>
      <c r="AJ135" s="881">
        <f t="shared" ca="1" si="161"/>
        <v>-22074.377019999774</v>
      </c>
      <c r="AK135" s="646">
        <f t="shared" ca="1" si="161"/>
        <v>104518.90194000013</v>
      </c>
      <c r="AL135" s="881">
        <f t="shared" ca="1" si="161"/>
        <v>64202.951819999813</v>
      </c>
      <c r="AM135" s="881">
        <f t="shared" ca="1" si="161"/>
        <v>2360.9508700000588</v>
      </c>
      <c r="AN135" s="881">
        <f t="shared" ref="AN135:AP135" ca="1" si="162">+SUM(AN131:AN134)</f>
        <v>16598.627510000078</v>
      </c>
      <c r="AO135" s="881">
        <f t="shared" ca="1" si="162"/>
        <v>27936.218119999896</v>
      </c>
      <c r="AP135" s="646">
        <f t="shared" ca="1" si="162"/>
        <v>111098.74831999987</v>
      </c>
      <c r="AQ135" s="902"/>
      <c r="AR135" s="268" t="s">
        <v>1055</v>
      </c>
      <c r="AS135" s="268" t="s">
        <v>1055</v>
      </c>
      <c r="AT135" s="902"/>
      <c r="AU135" s="902"/>
      <c r="AV135" s="902"/>
      <c r="AY135" s="1043"/>
      <c r="AZ135" s="1043"/>
      <c r="BA135" s="902"/>
      <c r="BB135" s="902"/>
      <c r="BC135" s="902"/>
      <c r="BD135" s="902"/>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c r="BY135" s="902"/>
      <c r="BZ135" s="902"/>
      <c r="CA135" s="902"/>
    </row>
    <row r="136" spans="2:79" ht="3" customHeight="1" x14ac:dyDescent="0.2">
      <c r="B136" s="900"/>
      <c r="C136" s="1077"/>
      <c r="D136" s="1077"/>
      <c r="E136" s="1077"/>
      <c r="F136" s="1077"/>
      <c r="G136" s="873"/>
      <c r="H136" s="1077"/>
      <c r="I136" s="1077"/>
      <c r="J136" s="1077"/>
      <c r="K136" s="1077"/>
      <c r="L136" s="873"/>
      <c r="M136" s="646"/>
      <c r="N136" s="646"/>
      <c r="O136" s="646"/>
      <c r="P136" s="646"/>
      <c r="Q136" s="873"/>
      <c r="R136" s="646"/>
      <c r="S136" s="646"/>
      <c r="T136" s="646"/>
      <c r="U136" s="646"/>
      <c r="V136" s="873"/>
      <c r="W136" s="646"/>
      <c r="X136" s="646"/>
      <c r="Y136" s="646"/>
      <c r="Z136" s="646"/>
      <c r="AA136" s="873"/>
      <c r="AB136" s="646"/>
      <c r="AC136" s="646"/>
      <c r="AD136" s="646"/>
      <c r="AE136" s="646"/>
      <c r="AF136" s="873"/>
      <c r="AG136" s="646"/>
      <c r="AH136" s="646"/>
      <c r="AI136" s="646"/>
      <c r="AJ136" s="646"/>
      <c r="AK136" s="873"/>
      <c r="AL136" s="646"/>
      <c r="AM136" s="646"/>
      <c r="AN136" s="646"/>
      <c r="AO136" s="646"/>
      <c r="AP136" s="873"/>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row>
    <row r="137" spans="2:79" ht="13.5" customHeight="1" x14ac:dyDescent="0.2">
      <c r="B137" s="874" t="s">
        <v>1056</v>
      </c>
      <c r="C137" s="873">
        <f ca="1">+C28</f>
        <v>-4287.1967700000005</v>
      </c>
      <c r="D137" s="873">
        <f ca="1">+D28</f>
        <v>3566.6795899999997</v>
      </c>
      <c r="E137" s="873">
        <f ca="1">+E28</f>
        <v>-3113.1098000000002</v>
      </c>
      <c r="F137" s="873">
        <f ca="1">+F28</f>
        <v>12617.618369999998</v>
      </c>
      <c r="G137" s="645">
        <f ca="1">+SUM(C137:F137)</f>
        <v>8783.9913899999974</v>
      </c>
      <c r="H137" s="873">
        <f ca="1">+H28</f>
        <v>-1889.4519500000006</v>
      </c>
      <c r="I137" s="873">
        <f ca="1">+I28</f>
        <v>-825.25070000000005</v>
      </c>
      <c r="J137" s="873">
        <f ca="1">+J28</f>
        <v>-4991.2516099999993</v>
      </c>
      <c r="K137" s="873">
        <f ca="1">+K28</f>
        <v>-1413.8592499999995</v>
      </c>
      <c r="L137" s="645">
        <f ca="1">+SUM(H137:K137)</f>
        <v>-9119.81351</v>
      </c>
      <c r="M137" s="873">
        <f ca="1">+M28</f>
        <v>-1898</v>
      </c>
      <c r="N137" s="873">
        <f ca="1">+N28</f>
        <v>-2688</v>
      </c>
      <c r="O137" s="873">
        <f ca="1">+O28</f>
        <v>30529</v>
      </c>
      <c r="P137" s="873">
        <f ca="1">+P28</f>
        <v>-3245.5405300000002</v>
      </c>
      <c r="Q137" s="645">
        <f ca="1">+SUM(M137:P137)</f>
        <v>22697.459470000002</v>
      </c>
      <c r="R137" s="873">
        <f ca="1">+R28</f>
        <v>-2007.30314</v>
      </c>
      <c r="S137" s="873">
        <f ca="1">+S28</f>
        <v>-2212.7467099999976</v>
      </c>
      <c r="T137" s="873">
        <f ca="1">+T28</f>
        <v>-2784.8866099999996</v>
      </c>
      <c r="U137" s="873">
        <f ca="1">+U28</f>
        <v>-2152.0314800000006</v>
      </c>
      <c r="V137" s="645">
        <f ca="1">+SUM(R137:U137)</f>
        <v>-9156.9679399999986</v>
      </c>
      <c r="W137" s="873">
        <f ca="1">+W28</f>
        <v>-2893.5208399999997</v>
      </c>
      <c r="X137" s="873">
        <f ca="1">+X28</f>
        <v>1719.5772200000001</v>
      </c>
      <c r="Y137" s="873">
        <f ca="1">+Y28</f>
        <v>-896.09401000000025</v>
      </c>
      <c r="Z137" s="873">
        <f ca="1">+Z28</f>
        <v>-952.37159000000065</v>
      </c>
      <c r="AA137" s="645">
        <f ca="1">+SUM(W137:Z137)</f>
        <v>-3022.4092200000005</v>
      </c>
      <c r="AB137" s="873">
        <f ca="1">+AB28</f>
        <v>-540.99999999999909</v>
      </c>
      <c r="AC137" s="873">
        <f ca="1">+AC28</f>
        <v>164.84838000000036</v>
      </c>
      <c r="AD137" s="873">
        <f ca="1">+AD28</f>
        <v>-52.790259999998852</v>
      </c>
      <c r="AE137" s="873">
        <f ca="1">+AE28</f>
        <v>7143.2795999999998</v>
      </c>
      <c r="AF137" s="645">
        <f ca="1">+SUM(AB137:AE137)</f>
        <v>6714.3377200000023</v>
      </c>
      <c r="AG137" s="873">
        <f ca="1">+AG28</f>
        <v>1279.2891100000006</v>
      </c>
      <c r="AH137" s="873">
        <f ca="1">+AH28</f>
        <v>2933.0279499999979</v>
      </c>
      <c r="AI137" s="873">
        <f ca="1">+AI28</f>
        <v>2517.9430699999984</v>
      </c>
      <c r="AJ137" s="873">
        <f ca="1">+AJ28</f>
        <v>2208.5117899999996</v>
      </c>
      <c r="AK137" s="645">
        <f ca="1">+SUM(AG137:AJ137)</f>
        <v>8938.7719199999956</v>
      </c>
      <c r="AL137" s="873">
        <f ca="1">+AL28</f>
        <v>2039.7343800000008</v>
      </c>
      <c r="AM137" s="873">
        <f ca="1">+AM28</f>
        <v>4056.5603300000002</v>
      </c>
      <c r="AN137" s="873">
        <f ca="1">+AN28</f>
        <v>1218.2220500000021</v>
      </c>
      <c r="AO137" s="873">
        <f ca="1">+AO28</f>
        <v>1460.4212000000007</v>
      </c>
      <c r="AP137" s="645">
        <f ca="1">+SUM(AL137:AO137)</f>
        <v>8774.9379600000029</v>
      </c>
      <c r="AR137" s="268" t="str">
        <f>"$"&amp;ROW('Cash Flow Stat'!$B$83)</f>
        <v>$83</v>
      </c>
      <c r="AS137" s="268" t="str">
        <f>"$"&amp;ROW('Cash Flow Stat'!$B$83)</f>
        <v>$83</v>
      </c>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row>
    <row r="138" spans="2:79" ht="13.5" customHeight="1" x14ac:dyDescent="0.2">
      <c r="B138" s="874" t="s">
        <v>1054</v>
      </c>
      <c r="C138" s="873">
        <f t="shared" ref="C138:F140" ca="1" si="163">+SUMIFS(INDIRECT(CONCATENATE("'",$AQ138,$AR138,":",$AS138)),INDIRECT(CONCATENATE("'",$AQ138,$AR$116,":",$AS$116)),C$116)</f>
        <v>-66920</v>
      </c>
      <c r="D138" s="873">
        <f t="shared" ca="1" si="163"/>
        <v>-263</v>
      </c>
      <c r="E138" s="873">
        <f t="shared" ca="1" si="163"/>
        <v>-50255.884591548151</v>
      </c>
      <c r="F138" s="873">
        <f t="shared" ca="1" si="163"/>
        <v>-263.11540845184936</v>
      </c>
      <c r="G138" s="645">
        <f ca="1">+SUM(C138:F138)</f>
        <v>-117702</v>
      </c>
      <c r="H138" s="873">
        <f t="shared" ref="H138:K140" ca="1" si="164">+SUMIFS(INDIRECT(CONCATENATE("'",$AQ138,$AR138,":",$AS138)),INDIRECT(CONCATENATE("'",$AQ138,$AR$116,":",$AS$116)),H$116)</f>
        <v>-66800</v>
      </c>
      <c r="I138" s="873">
        <f t="shared" ca="1" si="164"/>
        <v>-4620</v>
      </c>
      <c r="J138" s="873">
        <f t="shared" ca="1" si="164"/>
        <v>-40000</v>
      </c>
      <c r="K138" s="873">
        <f t="shared" ca="1" si="164"/>
        <v>0</v>
      </c>
      <c r="L138" s="645">
        <f ca="1">+SUM(H138:K138)</f>
        <v>-111420</v>
      </c>
      <c r="M138" s="873">
        <f t="shared" ref="M138:P140" ca="1" si="165">+SUMIFS(INDIRECT(CONCATENATE("'",$AQ138,$AR138,":",$AS138)),INDIRECT(CONCATENATE("'",$AQ138,$AR$116,":",$AS$116)),M$116)</f>
        <v>-46676</v>
      </c>
      <c r="N138" s="873">
        <f t="shared" ca="1" si="165"/>
        <v>-3333</v>
      </c>
      <c r="O138" s="873">
        <f t="shared" ca="1" si="165"/>
        <v>0</v>
      </c>
      <c r="P138" s="873">
        <f t="shared" ca="1" si="165"/>
        <v>-3334</v>
      </c>
      <c r="Q138" s="645">
        <f ca="1">+SUM(M138:P138)</f>
        <v>-53343</v>
      </c>
      <c r="R138" s="873">
        <f t="shared" ref="R138:U140" ca="1" si="166">+SUMIFS(INDIRECT(CONCATENATE("'",$AQ138,$AR138,":",$AS138)),INDIRECT(CONCATENATE("'",$AQ138,$AR$116,":",$AS$116)),R$116)</f>
        <v>0</v>
      </c>
      <c r="S138" s="873">
        <f t="shared" ca="1" si="166"/>
        <v>-3333</v>
      </c>
      <c r="T138" s="873">
        <f t="shared" ca="1" si="166"/>
        <v>-96373</v>
      </c>
      <c r="U138" s="873">
        <f t="shared" ca="1" si="166"/>
        <v>0</v>
      </c>
      <c r="V138" s="645">
        <f ca="1">+SUM(R138:U138)</f>
        <v>-99706</v>
      </c>
      <c r="W138" s="873">
        <f ca="1">+SUMIFS(INDIRECT(CONCATENATE("'",$AQ138,$AR138,":",$AS138)),INDIRECT(CONCATENATE("'",$AQ138,$AR$116,":",$AS$116)),W$116)+SUMIFS(INDIRECT(CONCATENATE("'",$AQ138,$AR137,":",$AS137)),INDIRECT(CONCATENATE("'",$AQ138,$AR$116,":",$AS$116)),W$116)</f>
        <v>0</v>
      </c>
      <c r="X138" s="873">
        <f ca="1">+SUMIFS(INDIRECT(CONCATENATE("'",$AQ138,$AR138,":",$AS138)),INDIRECT(CONCATENATE("'",$AQ138,$AR$116,":",$AS$116)),X$116)+SUMIFS(INDIRECT(CONCATENATE("'",$AQ138,$AR137,":",$AS137)),INDIRECT(CONCATENATE("'",$AQ138,$AR$116,":",$AS$116)),X$116)</f>
        <v>-40000</v>
      </c>
      <c r="Y138" s="873">
        <f ca="1">+SUMIFS(INDIRECT(CONCATENATE("'",$AQ138,$AR138,":",$AS138)),INDIRECT(CONCATENATE("'",$AQ138,$AR$116,":",$AS$116)),Y$116)+SUMIFS(INDIRECT(CONCATENATE("'",$AQ138,$AR137,":",$AS137)),INDIRECT(CONCATENATE("'",$AQ138,$AR$116,":",$AS$116)),Y$116)</f>
        <v>-25005</v>
      </c>
      <c r="Z138" s="873">
        <f ca="1">+SUMIFS(INDIRECT(CONCATENATE("'",$AQ138,$AR138,":",$AS138)),INDIRECT(CONCATENATE("'",$AQ138,$AR$116,":",$AS$116)),Z$116)+SUMIFS(INDIRECT(CONCATENATE("'",$AQ138,$AR137,":",$AS137)),INDIRECT(CONCATENATE("'",$AQ138,$AR$116,":",$AS$116)),Z$116)</f>
        <v>0</v>
      </c>
      <c r="AA138" s="645">
        <f ca="1">+SUM(W138:Z138)</f>
        <v>-65005</v>
      </c>
      <c r="AB138" s="873">
        <f ca="1">+SUMIFS(INDIRECT(CONCATENATE("'",$AQ138,$AR138,":",$AS138)),INDIRECT(CONCATENATE("'",$AQ138,$AR$116,":",$AS$116)),AB$116)+SUMIFS(INDIRECT(CONCATENATE("'",$AQ138,$AR137,":",$AS137)),INDIRECT(CONCATENATE("'",$AQ138,$AR$116,":",$AS$116)),AB$116)</f>
        <v>-10000</v>
      </c>
      <c r="AC138" s="873">
        <f ca="1">+SUMIFS(INDIRECT(CONCATENATE("'",$AQ138,$AR138,":",$AS138)),INDIRECT(CONCATENATE("'",$AQ138,$AR$116,":",$AS$116)),AC$116)+SUMIFS(INDIRECT(CONCATENATE("'",$AQ138,$AR137,":",$AS137)),INDIRECT(CONCATENATE("'",$AQ138,$AR$116,":",$AS$116)),AC$116)</f>
        <v>-50000</v>
      </c>
      <c r="AD138" s="873">
        <f ca="1">+SUMIFS(INDIRECT(CONCATENATE("'",$AQ138,$AR138,":",$AS138)),INDIRECT(CONCATENATE("'",$AQ138,$AR$116,":",$AS$116)),AD$116)+SUMIFS(INDIRECT(CONCATENATE("'",$AQ138,$AR137,":",$AS137)),INDIRECT(CONCATENATE("'",$AQ138,$AR$116,":",$AS$116)),AD$116)</f>
        <v>0</v>
      </c>
      <c r="AE138" s="873">
        <f ca="1">+SUMIFS(INDIRECT(CONCATENATE("'",$AQ138,$AR138,":",$AS138)),INDIRECT(CONCATENATE("'",$AQ138,$AR$116,":",$AS$116)),AE$116)+SUMIFS(INDIRECT(CONCATENATE("'",$AQ138,$AR137,":",$AS137)),INDIRECT(CONCATENATE("'",$AQ138,$AR$116,":",$AS$116)),AE$116)</f>
        <v>0</v>
      </c>
      <c r="AF138" s="645">
        <f ca="1">+SUM(AB138:AE138)</f>
        <v>-60000</v>
      </c>
      <c r="AG138" s="873">
        <f ca="1">+SUMIFS(INDIRECT(CONCATENATE("'",$AQ138,$AR138,":",$AS138)),INDIRECT(CONCATENATE("'",$AQ138,$AR$116,":",$AS$116)),AG$116)+SUMIFS(INDIRECT(CONCATENATE("'",$AQ138,$AR137,":",$AS137)),INDIRECT(CONCATENATE("'",$AQ138,$AR$116,":",$AS$116)),AG$116)</f>
        <v>-10000</v>
      </c>
      <c r="AH138" s="873">
        <f ca="1">+SUMIFS(INDIRECT(CONCATENATE("'",$AQ138,$AR138,":",$AS138)),INDIRECT(CONCATENATE("'",$AQ138,$AR$116,":",$AS$116)),AH$116)+SUMIFS(INDIRECT(CONCATENATE("'",$AQ138,$AR137,":",$AS137)),INDIRECT(CONCATENATE("'",$AQ138,$AR$116,":",$AS$116)),AH$116)</f>
        <v>0</v>
      </c>
      <c r="AI138" s="873">
        <f ca="1">+SUMIFS(INDIRECT(CONCATENATE("'",$AQ138,$AR138,":",$AS138)),INDIRECT(CONCATENATE("'",$AQ138,$AR$116,":",$AS$116)),AI$116)+SUMIFS(INDIRECT(CONCATENATE("'",$AQ138,$AR137,":",$AS137)),INDIRECT(CONCATENATE("'",$AQ138,$AR$116,":",$AS$116)),AI$116)</f>
        <v>-45000</v>
      </c>
      <c r="AJ138" s="873">
        <f ca="1">+SUMIFS(INDIRECT(CONCATENATE("'",$AQ138,$AR138,":",$AS138)),INDIRECT(CONCATENATE("'",$AQ138,$AR$116,":",$AS$116)),AJ$116)+SUMIFS(INDIRECT(CONCATENATE("'",$AQ138,$AR137,":",$AS137)),INDIRECT(CONCATENATE("'",$AQ138,$AR$116,":",$AS$116)),AJ$116)</f>
        <v>0</v>
      </c>
      <c r="AK138" s="645">
        <f ca="1">+SUM(AG138:AJ138)</f>
        <v>-55000</v>
      </c>
      <c r="AL138" s="873">
        <f ca="1">+SUMIFS(INDIRECT(CONCATENATE("'",$AQ138,$AR138,":",$AS138)),INDIRECT(CONCATENATE("'",$AQ138,$AR$116,":",$AS$116)),AL$116)+SUMIFS(INDIRECT(CONCATENATE("'",$AQ138,$AR137,":",$AS137)),INDIRECT(CONCATENATE("'",$AQ138,$AR$116,":",$AS$116)),AL$116)</f>
        <v>0</v>
      </c>
      <c r="AM138" s="873">
        <f ca="1">+SUMIFS(INDIRECT(CONCATENATE("'",$AQ138,$AR138,":",$AS138)),INDIRECT(CONCATENATE("'",$AQ138,$AR$116,":",$AS$116)),AM$116)+SUMIFS(INDIRECT(CONCATENATE("'",$AQ138,$AR137,":",$AS137)),INDIRECT(CONCATENATE("'",$AQ138,$AR$116,":",$AS$116)),AM$116)</f>
        <v>-10000</v>
      </c>
      <c r="AN138" s="873">
        <f ca="1">+SUMIFS(INDIRECT(CONCATENATE("'",$AQ138,$AR138,":",$AS138)),INDIRECT(CONCATENATE("'",$AQ138,$AR$116,":",$AS$116)),AN$116)+SUMIFS(INDIRECT(CONCATENATE("'",$AQ138,$AR137,":",$AS137)),INDIRECT(CONCATENATE("'",$AQ138,$AR$116,":",$AS$116)),AN$116)</f>
        <v>0</v>
      </c>
      <c r="AO138" s="873">
        <f ca="1">+SUMIFS(INDIRECT(CONCATENATE("'",$AQ138,$AR138,":",$AS138)),INDIRECT(CONCATENATE("'",$AQ138,$AR$116,":",$AS$116)),AO$116)+SUMIFS(INDIRECT(CONCATENATE("'",$AQ138,$AR137,":",$AS137)),INDIRECT(CONCATENATE("'",$AQ138,$AR$116,":",$AS$116)),AO$116)</f>
        <v>0</v>
      </c>
      <c r="AP138" s="645">
        <f ca="1">+SUM(AL138:AO138)</f>
        <v>-10000</v>
      </c>
      <c r="AQ138" s="268" t="s">
        <v>1051</v>
      </c>
      <c r="AR138" s="268" t="str">
        <f>"$"&amp;ROW('Cash Flow Stat'!$B$81)</f>
        <v>$81</v>
      </c>
      <c r="AS138" s="268" t="str">
        <f>"$"&amp;ROW('Cash Flow Stat'!$B$81)</f>
        <v>$81</v>
      </c>
      <c r="AT138" s="268" t="s">
        <v>1051</v>
      </c>
      <c r="AU138" s="268" t="s">
        <v>1050</v>
      </c>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row>
    <row r="139" spans="2:79" ht="13.5" customHeight="1" x14ac:dyDescent="0.2">
      <c r="B139" s="874" t="s">
        <v>1053</v>
      </c>
      <c r="C139" s="873">
        <f t="shared" ca="1" si="163"/>
        <v>1342</v>
      </c>
      <c r="D139" s="873">
        <f t="shared" ca="1" si="163"/>
        <v>53131.804740000036</v>
      </c>
      <c r="E139" s="873">
        <f t="shared" ca="1" si="163"/>
        <v>0</v>
      </c>
      <c r="F139" s="873">
        <f t="shared" ca="1" si="163"/>
        <v>0</v>
      </c>
      <c r="G139" s="645">
        <f ca="1">+SUM(C139:F139)</f>
        <v>54473.804740000036</v>
      </c>
      <c r="H139" s="873">
        <f t="shared" ca="1" si="164"/>
        <v>0</v>
      </c>
      <c r="I139" s="873">
        <f t="shared" ca="1" si="164"/>
        <v>0</v>
      </c>
      <c r="J139" s="873">
        <f t="shared" ca="1" si="164"/>
        <v>50000</v>
      </c>
      <c r="K139" s="873">
        <f t="shared" ca="1" si="164"/>
        <v>0</v>
      </c>
      <c r="L139" s="645">
        <f ca="1">+SUM(H139:K139)</f>
        <v>50000</v>
      </c>
      <c r="M139" s="873">
        <f t="shared" ca="1" si="165"/>
        <v>30000</v>
      </c>
      <c r="N139" s="873">
        <f t="shared" ca="1" si="165"/>
        <v>0</v>
      </c>
      <c r="O139" s="873">
        <f t="shared" ca="1" si="165"/>
        <v>0</v>
      </c>
      <c r="P139" s="873">
        <f t="shared" ca="1" si="165"/>
        <v>0</v>
      </c>
      <c r="Q139" s="645">
        <f ca="1">+SUM(M139:P139)</f>
        <v>30000</v>
      </c>
      <c r="R139" s="873">
        <f t="shared" ca="1" si="166"/>
        <v>0</v>
      </c>
      <c r="S139" s="873">
        <f t="shared" ca="1" si="166"/>
        <v>90000</v>
      </c>
      <c r="T139" s="873">
        <f t="shared" ca="1" si="166"/>
        <v>45000</v>
      </c>
      <c r="U139" s="873">
        <f t="shared" ca="1" si="166"/>
        <v>0</v>
      </c>
      <c r="V139" s="645">
        <f ca="1">+SUM(R139:U139)</f>
        <v>135000</v>
      </c>
      <c r="W139" s="873">
        <f t="shared" ref="W139:Z140" ca="1" si="167">+SUMIFS(INDIRECT(CONCATENATE("'",$AQ139,$AR139,":",$AS139)),INDIRECT(CONCATENATE("'",$AQ139,$AR$116,":",$AS$116)),W$116)</f>
        <v>0</v>
      </c>
      <c r="X139" s="873">
        <f t="shared" ca="1" si="167"/>
        <v>0</v>
      </c>
      <c r="Y139" s="873">
        <f t="shared" ca="1" si="167"/>
        <v>0</v>
      </c>
      <c r="Z139" s="873">
        <f t="shared" ca="1" si="167"/>
        <v>0</v>
      </c>
      <c r="AA139" s="645">
        <f ca="1">+SUM(W139:Z139)</f>
        <v>0</v>
      </c>
      <c r="AB139" s="873">
        <f t="shared" ref="AB139:AE140" ca="1" si="168">+SUMIFS(INDIRECT(CONCATENATE("'",$AQ139,$AR139,":",$AS139)),INDIRECT(CONCATENATE("'",$AQ139,$AR$116,":",$AS$116)),AB$116)</f>
        <v>0</v>
      </c>
      <c r="AC139" s="873">
        <f t="shared" ca="1" si="168"/>
        <v>0</v>
      </c>
      <c r="AD139" s="873">
        <f t="shared" ca="1" si="168"/>
        <v>0</v>
      </c>
      <c r="AE139" s="873">
        <f t="shared" ca="1" si="168"/>
        <v>32568</v>
      </c>
      <c r="AF139" s="645">
        <f ca="1">+SUM(AB139:AE139)</f>
        <v>32568</v>
      </c>
      <c r="AG139" s="873">
        <f t="shared" ref="AG139:AJ140" ca="1" si="169">+SUMIFS(INDIRECT(CONCATENATE("'",$AQ139,$AR139,":",$AS139)),INDIRECT(CONCATENATE("'",$AQ139,$AR$116,":",$AS$116)),AG$116)</f>
        <v>0</v>
      </c>
      <c r="AH139" s="873">
        <f t="shared" ca="1" si="169"/>
        <v>0</v>
      </c>
      <c r="AI139" s="873">
        <f t="shared" ca="1" si="169"/>
        <v>51266</v>
      </c>
      <c r="AJ139" s="873">
        <f t="shared" ca="1" si="169"/>
        <v>5005</v>
      </c>
      <c r="AK139" s="645">
        <f ca="1">+SUM(AG139:AJ139)</f>
        <v>56271</v>
      </c>
      <c r="AL139" s="873">
        <f t="shared" ref="AL139:AO140" ca="1" si="170">+SUMIFS(INDIRECT(CONCATENATE("'",$AQ139,$AR139,":",$AS139)),INDIRECT(CONCATENATE("'",$AQ139,$AR$116,":",$AS$116)),AL$116)</f>
        <v>5910</v>
      </c>
      <c r="AM139" s="873">
        <f t="shared" ca="1" si="170"/>
        <v>8729</v>
      </c>
      <c r="AN139" s="873">
        <f t="shared" ca="1" si="170"/>
        <v>0</v>
      </c>
      <c r="AO139" s="873">
        <f t="shared" ca="1" si="170"/>
        <v>0</v>
      </c>
      <c r="AP139" s="645">
        <f ca="1">+SUM(AL139:AO139)</f>
        <v>14639</v>
      </c>
      <c r="AQ139" s="268" t="s">
        <v>1051</v>
      </c>
      <c r="AR139" s="268" t="str">
        <f>"$"&amp;ROW('Cash Flow Stat'!$B$80)</f>
        <v>$80</v>
      </c>
      <c r="AS139" s="268" t="str">
        <f>"$"&amp;ROW('Cash Flow Stat'!$B$80)</f>
        <v>$80</v>
      </c>
      <c r="AT139" s="268" t="s">
        <v>1051</v>
      </c>
      <c r="AU139" s="268" t="s">
        <v>1050</v>
      </c>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row>
    <row r="140" spans="2:79" ht="13.5" customHeight="1" x14ac:dyDescent="0.2">
      <c r="B140" s="874" t="s">
        <v>1283</v>
      </c>
      <c r="C140" s="873">
        <f t="shared" ca="1" si="163"/>
        <v>0</v>
      </c>
      <c r="D140" s="873">
        <f t="shared" ca="1" si="163"/>
        <v>735</v>
      </c>
      <c r="E140" s="873">
        <f t="shared" ca="1" si="163"/>
        <v>0</v>
      </c>
      <c r="F140" s="873">
        <f t="shared" ca="1" si="163"/>
        <v>1</v>
      </c>
      <c r="G140" s="645">
        <f ca="1">+SUM(C140:F140)</f>
        <v>736</v>
      </c>
      <c r="H140" s="873">
        <f t="shared" ca="1" si="164"/>
        <v>0</v>
      </c>
      <c r="I140" s="873">
        <f t="shared" ca="1" si="164"/>
        <v>244</v>
      </c>
      <c r="J140" s="873">
        <f t="shared" ca="1" si="164"/>
        <v>0</v>
      </c>
      <c r="K140" s="873">
        <f t="shared" ca="1" si="164"/>
        <v>0</v>
      </c>
      <c r="L140" s="645">
        <f ca="1">+SUM(H140:K140)</f>
        <v>244</v>
      </c>
      <c r="M140" s="873">
        <f t="shared" ca="1" si="165"/>
        <v>0</v>
      </c>
      <c r="N140" s="873">
        <f t="shared" ca="1" si="165"/>
        <v>267</v>
      </c>
      <c r="O140" s="873">
        <f t="shared" ca="1" si="165"/>
        <v>0</v>
      </c>
      <c r="P140" s="873">
        <f t="shared" ca="1" si="165"/>
        <v>0</v>
      </c>
      <c r="Q140" s="645">
        <f ca="1">+SUM(M140:P140)</f>
        <v>267</v>
      </c>
      <c r="R140" s="873">
        <f t="shared" ca="1" si="166"/>
        <v>0</v>
      </c>
      <c r="S140" s="873">
        <f t="shared" ca="1" si="166"/>
        <v>1567</v>
      </c>
      <c r="T140" s="873">
        <f t="shared" ca="1" si="166"/>
        <v>3775</v>
      </c>
      <c r="U140" s="873">
        <f t="shared" ca="1" si="166"/>
        <v>2000</v>
      </c>
      <c r="V140" s="645">
        <f ca="1">+SUM(R140:U140)</f>
        <v>7342</v>
      </c>
      <c r="W140" s="873">
        <f t="shared" ca="1" si="167"/>
        <v>0</v>
      </c>
      <c r="X140" s="873">
        <f t="shared" ca="1" si="167"/>
        <v>1684</v>
      </c>
      <c r="Y140" s="873">
        <f t="shared" ca="1" si="167"/>
        <v>2754</v>
      </c>
      <c r="Z140" s="873">
        <f t="shared" ca="1" si="167"/>
        <v>2150</v>
      </c>
      <c r="AA140" s="645">
        <f ca="1">+SUM(W140:Z140)</f>
        <v>6588</v>
      </c>
      <c r="AB140" s="873">
        <f t="shared" ca="1" si="168"/>
        <v>1144</v>
      </c>
      <c r="AC140" s="873">
        <f t="shared" ca="1" si="168"/>
        <v>2195</v>
      </c>
      <c r="AD140" s="873">
        <f t="shared" ca="1" si="168"/>
        <v>2043</v>
      </c>
      <c r="AE140" s="873">
        <f t="shared" ca="1" si="168"/>
        <v>1300</v>
      </c>
      <c r="AF140" s="645">
        <f ca="1">+SUM(AB140:AE140)</f>
        <v>6682</v>
      </c>
      <c r="AG140" s="873">
        <f t="shared" ca="1" si="169"/>
        <v>2100</v>
      </c>
      <c r="AH140" s="873">
        <f t="shared" ca="1" si="169"/>
        <v>3102</v>
      </c>
      <c r="AI140" s="873">
        <f t="shared" ca="1" si="169"/>
        <v>4000</v>
      </c>
      <c r="AJ140" s="873">
        <f t="shared" ca="1" si="169"/>
        <v>5500</v>
      </c>
      <c r="AK140" s="645">
        <f ca="1">+SUM(AG140:AJ140)</f>
        <v>14702</v>
      </c>
      <c r="AL140" s="873">
        <f t="shared" ca="1" si="170"/>
        <v>0</v>
      </c>
      <c r="AM140" s="873">
        <f t="shared" ca="1" si="170"/>
        <v>3181</v>
      </c>
      <c r="AN140" s="873">
        <f t="shared" ca="1" si="170"/>
        <v>17473</v>
      </c>
      <c r="AO140" s="873">
        <f t="shared" ca="1" si="170"/>
        <v>6500</v>
      </c>
      <c r="AP140" s="645">
        <f ca="1">+SUM(AL140:AO140)</f>
        <v>27154</v>
      </c>
      <c r="AQ140" s="268" t="s">
        <v>1051</v>
      </c>
      <c r="AR140" s="268" t="str">
        <f>"$"&amp;ROW('Cash Flow Stat'!$B$64)</f>
        <v>$64</v>
      </c>
      <c r="AS140" s="268" t="str">
        <f>"$"&amp;ROW('Cash Flow Stat'!$B$64)</f>
        <v>$64</v>
      </c>
      <c r="AT140" s="268" t="s">
        <v>1051</v>
      </c>
      <c r="AU140" s="268" t="s">
        <v>1050</v>
      </c>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row>
    <row r="141" spans="2:79" s="901" customFormat="1" ht="13.5" customHeight="1" x14ac:dyDescent="0.2">
      <c r="B141" s="904" t="s">
        <v>1052</v>
      </c>
      <c r="C141" s="881">
        <f t="shared" ref="C141:AE141" ca="1" si="171">+SUM(C135:C140)</f>
        <v>-41900.740049999942</v>
      </c>
      <c r="D141" s="881">
        <f t="shared" ca="1" si="171"/>
        <v>84375.397210000068</v>
      </c>
      <c r="E141" s="881">
        <f t="shared" ca="1" si="171"/>
        <v>-37859.652601548107</v>
      </c>
      <c r="F141" s="881">
        <f t="shared" ca="1" si="171"/>
        <v>9714.1656715481568</v>
      </c>
      <c r="G141" s="646">
        <f t="shared" ca="1" si="171"/>
        <v>14329.170230000163</v>
      </c>
      <c r="H141" s="881">
        <f t="shared" ca="1" si="171"/>
        <v>-30426.336589999992</v>
      </c>
      <c r="I141" s="881">
        <f t="shared" ca="1" si="171"/>
        <v>-1668.2584900000397</v>
      </c>
      <c r="J141" s="881">
        <f t="shared" ca="1" si="171"/>
        <v>26506.526049999935</v>
      </c>
      <c r="K141" s="881">
        <f t="shared" ca="1" si="171"/>
        <v>13887.965357457559</v>
      </c>
      <c r="L141" s="646">
        <f t="shared" ca="1" si="171"/>
        <v>8299.8963274574489</v>
      </c>
      <c r="M141" s="881">
        <f t="shared" ca="1" si="171"/>
        <v>28411.133340000059</v>
      </c>
      <c r="N141" s="881">
        <f t="shared" ca="1" si="171"/>
        <v>5221.3508100000399</v>
      </c>
      <c r="O141" s="881">
        <f t="shared" ca="1" si="171"/>
        <v>34483.016760000057</v>
      </c>
      <c r="P141" s="881">
        <f t="shared" ca="1" si="171"/>
        <v>2466.5463917223078</v>
      </c>
      <c r="Q141" s="646">
        <f t="shared" ca="1" si="171"/>
        <v>70582.047301722458</v>
      </c>
      <c r="R141" s="881">
        <f t="shared" ca="1" si="171"/>
        <v>57760.294979999991</v>
      </c>
      <c r="S141" s="881">
        <f t="shared" ca="1" si="171"/>
        <v>158530.27034999998</v>
      </c>
      <c r="T141" s="881">
        <f t="shared" ca="1" si="171"/>
        <v>-82193.934360000014</v>
      </c>
      <c r="U141" s="881">
        <f t="shared" ca="1" si="171"/>
        <v>24602.874840000015</v>
      </c>
      <c r="V141" s="646">
        <f t="shared" ca="1" si="171"/>
        <v>158699.50580999994</v>
      </c>
      <c r="W141" s="881">
        <f t="shared" ca="1" si="171"/>
        <v>55450.355170000017</v>
      </c>
      <c r="X141" s="881">
        <f t="shared" ca="1" si="171"/>
        <v>-50444.438440000027</v>
      </c>
      <c r="Y141" s="881">
        <f t="shared" ca="1" si="171"/>
        <v>13706.012609999991</v>
      </c>
      <c r="Z141" s="881">
        <f t="shared" ca="1" si="171"/>
        <v>-73895.253930000094</v>
      </c>
      <c r="AA141" s="646">
        <f t="shared" ca="1" si="171"/>
        <v>-55183.324590000135</v>
      </c>
      <c r="AB141" s="881">
        <f t="shared" ca="1" si="171"/>
        <v>77125.758349999931</v>
      </c>
      <c r="AC141" s="881">
        <f t="shared" ca="1" si="171"/>
        <v>155571.59900999998</v>
      </c>
      <c r="AD141" s="881">
        <f t="shared" ca="1" si="171"/>
        <v>-204009.00885000001</v>
      </c>
      <c r="AE141" s="881">
        <f t="shared" ca="1" si="171"/>
        <v>60176.741869999976</v>
      </c>
      <c r="AF141" s="646">
        <f t="shared" ref="AF141:AK141" ca="1" si="172">+SUM(AF135:AF140)</f>
        <v>88865.090379999849</v>
      </c>
      <c r="AG141" s="881">
        <f t="shared" ca="1" si="172"/>
        <v>62270.665899999876</v>
      </c>
      <c r="AH141" s="881">
        <f t="shared" ca="1" si="172"/>
        <v>33463.973010000052</v>
      </c>
      <c r="AI141" s="881">
        <f t="shared" ca="1" si="172"/>
        <v>43056.900179999997</v>
      </c>
      <c r="AJ141" s="881">
        <f t="shared" ca="1" si="172"/>
        <v>-9360.8652299997739</v>
      </c>
      <c r="AK141" s="646">
        <f t="shared" ca="1" si="172"/>
        <v>129430.67386000013</v>
      </c>
      <c r="AL141" s="881">
        <f ca="1">+SUM(AL135:AL140)</f>
        <v>72152.686199999807</v>
      </c>
      <c r="AM141" s="881">
        <f ca="1">+SUM(AM135:AM140)</f>
        <v>8327.511200000059</v>
      </c>
      <c r="AN141" s="881">
        <f ca="1">+SUM(AN135:AN140)</f>
        <v>35289.849560000082</v>
      </c>
      <c r="AO141" s="881">
        <f ca="1">+SUM(AO135:AO140)</f>
        <v>35896.6393199999</v>
      </c>
      <c r="AP141" s="646">
        <f t="shared" ref="AP141" ca="1" si="173">+SUM(AP135:AP140)</f>
        <v>151666.68627999988</v>
      </c>
      <c r="AQ141" s="902"/>
      <c r="AR141" s="902"/>
      <c r="AS141" s="902"/>
      <c r="AT141" s="902"/>
      <c r="AU141" s="902"/>
      <c r="AV141" s="902"/>
      <c r="AY141" s="1043"/>
      <c r="AZ141" s="1043"/>
      <c r="BA141" s="902"/>
      <c r="BB141" s="902"/>
      <c r="BC141" s="902"/>
      <c r="BD141" s="902"/>
      <c r="BE141" s="902"/>
      <c r="BF141" s="902"/>
      <c r="BG141" s="902"/>
      <c r="BH141" s="902"/>
      <c r="BI141" s="902"/>
      <c r="BJ141" s="902"/>
      <c r="BK141" s="902"/>
      <c r="BL141" s="902"/>
      <c r="BM141" s="902"/>
      <c r="BN141" s="902"/>
      <c r="BO141" s="902"/>
      <c r="BP141" s="902"/>
      <c r="BQ141" s="902"/>
      <c r="BR141" s="902"/>
      <c r="BS141" s="902"/>
      <c r="BT141" s="902"/>
      <c r="BU141" s="902"/>
      <c r="BV141" s="902"/>
      <c r="BW141" s="902"/>
      <c r="BX141" s="902"/>
      <c r="BY141" s="902"/>
      <c r="BZ141" s="902"/>
      <c r="CA141" s="902"/>
    </row>
    <row r="142" spans="2:79" ht="3" customHeight="1" x14ac:dyDescent="0.2">
      <c r="B142" s="900"/>
      <c r="C142" s="1077"/>
      <c r="D142" s="1077"/>
      <c r="E142" s="1077"/>
      <c r="F142" s="1077"/>
      <c r="G142" s="873"/>
      <c r="H142" s="1077"/>
      <c r="I142" s="1077"/>
      <c r="J142" s="1077"/>
      <c r="K142" s="1077"/>
      <c r="L142" s="873"/>
      <c r="M142" s="646"/>
      <c r="N142" s="646"/>
      <c r="O142" s="646"/>
      <c r="P142" s="646"/>
      <c r="Q142" s="873"/>
      <c r="R142" s="646"/>
      <c r="S142" s="646"/>
      <c r="T142" s="646"/>
      <c r="U142" s="646"/>
      <c r="V142" s="873"/>
      <c r="W142" s="646"/>
      <c r="X142" s="646"/>
      <c r="Y142" s="646"/>
      <c r="Z142" s="646"/>
      <c r="AA142" s="873"/>
      <c r="AB142" s="646"/>
      <c r="AC142" s="646"/>
      <c r="AD142" s="646"/>
      <c r="AE142" s="646"/>
      <c r="AF142" s="873"/>
      <c r="AG142" s="646"/>
      <c r="AH142" s="646"/>
      <c r="AI142" s="646"/>
      <c r="AJ142" s="646"/>
      <c r="AK142" s="873"/>
      <c r="AL142" s="646"/>
      <c r="AM142" s="646"/>
      <c r="AN142" s="646"/>
      <c r="AO142" s="646"/>
      <c r="AP142" s="873"/>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row>
    <row r="143" spans="2:79" ht="13.5" customHeight="1" x14ac:dyDescent="0.2">
      <c r="B143" s="874" t="s">
        <v>1312</v>
      </c>
      <c r="C143" s="873">
        <f ca="1">+SUMIFS(INDIRECT(CONCATENATE("'",$AQ143,$AR143,":",$AS143)),INDIRECT(CONCATENATE("'",$AQ143,$AR$116,":",$AS$116)),C$116)</f>
        <v>0</v>
      </c>
      <c r="D143" s="873">
        <f ca="1">+SUMIFS(INDIRECT(CONCATENATE("'",$AQ143,$AR143,":",$AS143)),INDIRECT(CONCATENATE("'",$AQ143,$AR$116,":",$AS$116)),D$116)</f>
        <v>-8000</v>
      </c>
      <c r="E143" s="873">
        <f ca="1">+SUMIFS(INDIRECT(CONCATENATE("'",$AQ143,$AR143,":",$AS143)),INDIRECT(CONCATENATE("'",$AQ143,$AR$116,":",$AS$116)),E$116)</f>
        <v>-14750</v>
      </c>
      <c r="F143" s="873">
        <f ca="1">+SUMIFS(INDIRECT(CONCATENATE("'",$AQ143,$AR143,":",$AS143)),INDIRECT(CONCATENATE("'",$AQ143,$AR$116,":",$AS$116)),F$116)</f>
        <v>-7643</v>
      </c>
      <c r="G143" s="645">
        <f ca="1">+SUM(C143:F143)</f>
        <v>-30393</v>
      </c>
      <c r="H143" s="873">
        <f ca="1">+SUMIFS(INDIRECT(CONCATENATE("'",$AQ143,$AR143,":",$AS143)),INDIRECT(CONCATENATE("'",$AQ143,$AR$116,":",$AS$116)),H$116)</f>
        <v>0</v>
      </c>
      <c r="I143" s="873">
        <f ca="1">+SUMIFS(INDIRECT(CONCATENATE("'",$AQ143,$AR143,":",$AS143)),INDIRECT(CONCATENATE("'",$AQ143,$AR$116,":",$AS$116)),I$116)</f>
        <v>-38856</v>
      </c>
      <c r="J143" s="873">
        <f ca="1">+SUMIFS(INDIRECT(CONCATENATE("'",$AQ143,$AR143,":",$AS143)),INDIRECT(CONCATENATE("'",$AQ143,$AR$116,":",$AS$116)),J$116)</f>
        <v>-21090</v>
      </c>
      <c r="K143" s="873">
        <f ca="1">+SUMIFS(INDIRECT(CONCATENATE("'",$AQ143,$AR143,":",$AS143)),INDIRECT(CONCATENATE("'",$AQ143,$AR$116,":",$AS$116)),K$116)</f>
        <v>-15554</v>
      </c>
      <c r="L143" s="645">
        <f ca="1">+SUM(H143:K143)</f>
        <v>-75500</v>
      </c>
      <c r="M143" s="873">
        <f ca="1">+SUMIFS(INDIRECT(CONCATENATE("'",$AQ143,$AR143,":",$AS143)),INDIRECT(CONCATENATE("'",$AQ143,$AR$116,":",$AS$116)),M$116)</f>
        <v>0</v>
      </c>
      <c r="N143" s="873">
        <f ca="1">+SUMIFS(INDIRECT(CONCATENATE("'",$AQ143,$AR143,":",$AS143)),INDIRECT(CONCATENATE("'",$AQ143,$AR$116,":",$AS$116)),N$116)</f>
        <v>-28306</v>
      </c>
      <c r="O143" s="873">
        <f ca="1">+SUMIFS(INDIRECT(CONCATENATE("'",$AQ143,$AR143,":",$AS143)),INDIRECT(CONCATENATE("'",$AQ143,$AR$116,":",$AS$116)),O$116)</f>
        <v>-29568</v>
      </c>
      <c r="P143" s="873">
        <f ca="1">+SUMIFS(INDIRECT(CONCATENATE("'",$AQ143,$AR143,":",$AS143)),INDIRECT(CONCATENATE("'",$AQ143,$AR$116,":",$AS$116)),P$116)</f>
        <v>-45696</v>
      </c>
      <c r="Q143" s="645">
        <f ca="1">+SUM(M143:P143)</f>
        <v>-103570</v>
      </c>
      <c r="R143" s="873">
        <f ca="1">+SUMIFS(INDIRECT(CONCATENATE("'",$AQ143,$AR143,":",$AS143)),INDIRECT(CONCATENATE("'",$AQ143,$AR$116,":",$AS$116)),R$116)</f>
        <v>0</v>
      </c>
      <c r="S143" s="873">
        <f ca="1">+SUMIFS(INDIRECT(CONCATENATE("'",$AQ143,$AR143,":",$AS143)),INDIRECT(CONCATENATE("'",$AQ143,$AR$116,":",$AS$116)),S$116)</f>
        <v>0</v>
      </c>
      <c r="T143" s="873">
        <f ca="1">+SUMIFS(INDIRECT(CONCATENATE("'",$AQ143,$AR143,":",$AS143)),INDIRECT(CONCATENATE("'",$AQ143,$AR$116,":",$AS$116)),T$116)</f>
        <v>0</v>
      </c>
      <c r="U143" s="873">
        <f ca="1">+SUMIFS(INDIRECT(CONCATENATE("'",$AQ143,$AR143,":",$AS143)),INDIRECT(CONCATENATE("'",$AQ143,$AR$116,":",$AS$116)),U$116)</f>
        <v>-22431</v>
      </c>
      <c r="V143" s="645">
        <f ca="1">+SUM(R143:U143)</f>
        <v>-22431</v>
      </c>
      <c r="W143" s="873">
        <f ca="1">+SUMIFS(INDIRECT(CONCATENATE("'",$AQ143,$AR143,":",$AS143)),INDIRECT(CONCATENATE("'",$AQ143,$AR$116,":",$AS$116)),W$116)</f>
        <v>0</v>
      </c>
      <c r="X143" s="873">
        <f ca="1">+SUMIFS(INDIRECT(CONCATENATE("'",$AQ143,$AR143,":",$AS143)),INDIRECT(CONCATENATE("'",$AQ143,$AR$116,":",$AS$116)),X$116)</f>
        <v>-12541</v>
      </c>
      <c r="Y143" s="873">
        <f ca="1">+SUMIFS(INDIRECT(CONCATENATE("'",$AQ143,$AR143,":",$AS143)),INDIRECT(CONCATENATE("'",$AQ143,$AR$116,":",$AS$116)),Y$116)</f>
        <v>-22157</v>
      </c>
      <c r="Z143" s="873">
        <f ca="1">+SUMIFS(INDIRECT(CONCATENATE("'",$AQ143,$AR143,":",$AS143)),INDIRECT(CONCATENATE("'",$AQ143,$AR$116,":",$AS$116)),Z$116)</f>
        <v>-17118</v>
      </c>
      <c r="AA143" s="645">
        <f ca="1">+SUM(W143:Z143)</f>
        <v>-51816</v>
      </c>
      <c r="AB143" s="873">
        <f ca="1">+SUMIFS(INDIRECT(CONCATENATE("'",$AQ143,$AR143,":",$AS143)),INDIRECT(CONCATENATE("'",$AQ143,$AR$116,":",$AS$116)),AB$116)</f>
        <v>0</v>
      </c>
      <c r="AC143" s="873">
        <f ca="1">+SUMIFS(INDIRECT(CONCATENATE("'",$AQ143,$AR143,":",$AS143)),INDIRECT(CONCATENATE("'",$AQ143,$AR$116,":",$AS$116)),AC$116)</f>
        <v>-22339</v>
      </c>
      <c r="AD143" s="873">
        <f ca="1">+SUMIFS(INDIRECT(CONCATENATE("'",$AQ143,$AR143,":",$AS143)),INDIRECT(CONCATENATE("'",$AQ143,$AR$116,":",$AS$116)),AD$116)</f>
        <v>-24589</v>
      </c>
      <c r="AE143" s="873">
        <f ca="1">+SUMIFS(INDIRECT(CONCATENATE("'",$AQ143,$AR143,":",$AS143)),INDIRECT(CONCATENATE("'",$AQ143,$AR$116,":",$AS$116)),AE$116)</f>
        <v>-27035</v>
      </c>
      <c r="AF143" s="645">
        <f ca="1">+SUM(AB143:AE143)</f>
        <v>-73963</v>
      </c>
      <c r="AG143" s="873">
        <f ca="1">+SUMIFS(INDIRECT(CONCATENATE("'",$AQ143,$AR143,":",$AS143)),INDIRECT(CONCATENATE("'",$AQ143,$AR$116,":",$AS$116)),AG$116)</f>
        <v>0</v>
      </c>
      <c r="AH143" s="873">
        <f ca="1">+SUMIFS(INDIRECT(CONCATENATE("'",$AQ143,$AR143,":",$AS143)),INDIRECT(CONCATENATE("'",$AQ143,$AR$116,":",$AS$116)),AH$116)</f>
        <v>-39563</v>
      </c>
      <c r="AI143" s="873">
        <f ca="1">+SUMIFS(INDIRECT(CONCATENATE("'",$AQ143,$AR143,":",$AS143)),INDIRECT(CONCATENATE("'",$AQ143,$AR$116,":",$AS$116)),AI$116)</f>
        <v>-37648</v>
      </c>
      <c r="AJ143" s="873">
        <f ca="1">+SUMIFS(INDIRECT(CONCATENATE("'",$AQ143,$AR143,":",$AS143)),INDIRECT(CONCATENATE("'",$AQ143,$AR$116,":",$AS$116)),AJ$116)</f>
        <v>-35606</v>
      </c>
      <c r="AK143" s="645">
        <f ca="1">+SUM(AG143:AJ143)</f>
        <v>-112817</v>
      </c>
      <c r="AL143" s="873">
        <f ca="1">+SUMIFS(INDIRECT(CONCATENATE("'",$AQ143,$AR143,":",$AS143)),INDIRECT(CONCATENATE("'",$AQ143,$AR$116,":",$AS$116)),AL$116)</f>
        <v>0</v>
      </c>
      <c r="AM143" s="873">
        <f ca="1">+SUMIFS(INDIRECT(CONCATENATE("'",$AQ143,$AR143,":",$AS143)),INDIRECT(CONCATENATE("'",$AQ143,$AR$116,":",$AS$116)),AM$116)</f>
        <v>-47713</v>
      </c>
      <c r="AN143" s="873">
        <f ca="1">+SUMIFS(INDIRECT(CONCATENATE("'",$AQ143,$AR143,":",$AS143)),INDIRECT(CONCATENATE("'",$AQ143,$AR$116,":",$AS$116)),AN$116)</f>
        <v>-80444</v>
      </c>
      <c r="AO143" s="873">
        <f ca="1">+SUMIFS(INDIRECT(CONCATENATE("'",$AQ143,$AR143,":",$AS143)),INDIRECT(CONCATENATE("'",$AQ143,$AR$116,":",$AS$116)),AO$116)</f>
        <v>-52001</v>
      </c>
      <c r="AP143" s="645">
        <f ca="1">+SUM(AL143:AO143)</f>
        <v>-180158</v>
      </c>
      <c r="AQ143" s="268" t="s">
        <v>1051</v>
      </c>
      <c r="AR143" s="268" t="str">
        <f>"$"&amp;ROW('Cash Flow Stat'!$B$79)</f>
        <v>$79</v>
      </c>
      <c r="AS143" s="268" t="str">
        <f>"$"&amp;ROW('Cash Flow Stat'!$B$79)</f>
        <v>$79</v>
      </c>
      <c r="AT143" s="268" t="s">
        <v>1051</v>
      </c>
      <c r="AU143" s="268" t="s">
        <v>1050</v>
      </c>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row>
    <row r="144" spans="2:79" ht="13.5" customHeight="1" x14ac:dyDescent="0.2">
      <c r="B144" s="874" t="s">
        <v>1049</v>
      </c>
      <c r="C144" s="899">
        <f ca="1">+C145-C143-C141</f>
        <v>-24944.259950000058</v>
      </c>
      <c r="D144" s="899">
        <f ca="1">+D145-D143-D141</f>
        <v>-19358.397210000068</v>
      </c>
      <c r="E144" s="899">
        <f ca="1">+E145-E143-E141</f>
        <v>14886.652601548107</v>
      </c>
      <c r="F144" s="899">
        <f ca="1">+F145-F143-F141</f>
        <v>1353.8343284518432</v>
      </c>
      <c r="G144" s="645">
        <f ca="1">+SUM(C144:F144)</f>
        <v>-28062.170230000178</v>
      </c>
      <c r="H144" s="899">
        <f ca="1">+H145-H143-H141</f>
        <v>7160.3365899999917</v>
      </c>
      <c r="I144" s="899">
        <f ca="1">+I145-I143-I141</f>
        <v>5747.2584900000402</v>
      </c>
      <c r="J144" s="899">
        <f ca="1">+J145-J143-J141</f>
        <v>1858.4739500000651</v>
      </c>
      <c r="K144" s="899">
        <f ca="1">+K145-K143-K141</f>
        <v>-12755.965357457559</v>
      </c>
      <c r="L144" s="645">
        <f ca="1">+SUM(H144:K144)</f>
        <v>2010.1036725425383</v>
      </c>
      <c r="M144" s="899">
        <f ca="1">+M145-M143-M141</f>
        <v>-3959.1333400000585</v>
      </c>
      <c r="N144" s="899">
        <f ca="1">+N145-N143-N141</f>
        <v>21865.64918999996</v>
      </c>
      <c r="O144" s="899">
        <f ca="1">+O145-O143-O141</f>
        <v>417.98323999994318</v>
      </c>
      <c r="P144" s="899">
        <f ca="1">+P145-P143-P141</f>
        <v>-1546.5463917223078</v>
      </c>
      <c r="Q144" s="645">
        <f ca="1">+SUM(M144:P144)</f>
        <v>16777.952698277535</v>
      </c>
      <c r="R144" s="899">
        <f ca="1">+R145-R143-R141</f>
        <v>847.70502000000852</v>
      </c>
      <c r="S144" s="899">
        <f ca="1">+S145-S143-S141</f>
        <v>2032.729650000023</v>
      </c>
      <c r="T144" s="899">
        <f ca="1">+T145-T143-T141</f>
        <v>43483.934360000014</v>
      </c>
      <c r="U144" s="899">
        <f ca="1">+U145-U143-U141</f>
        <v>10422.125159999985</v>
      </c>
      <c r="V144" s="645">
        <f ca="1">+SUM(R144:U144)</f>
        <v>56786.494190000027</v>
      </c>
      <c r="W144" s="899">
        <f ca="1">+W145-W143-W141</f>
        <v>-10928.355170000017</v>
      </c>
      <c r="X144" s="899">
        <f ca="1">+X145-X143-X141</f>
        <v>2605.4384400000272</v>
      </c>
      <c r="Y144" s="899">
        <f ca="1">+Y145-Y143-Y141</f>
        <v>-14657.012609999991</v>
      </c>
      <c r="Z144" s="899">
        <f ca="1">+Z145-Z143-Z141</f>
        <v>16720.253930000094</v>
      </c>
      <c r="AA144" s="645">
        <f ca="1">+SUM(W144:Z144)</f>
        <v>-6259.6754099998871</v>
      </c>
      <c r="AB144" s="899">
        <f ca="1">+AB145-AB143-AB141</f>
        <v>-13749.758349999931</v>
      </c>
      <c r="AC144" s="899">
        <f ca="1">+AC145-AC143-AC141</f>
        <v>-343736.59901000001</v>
      </c>
      <c r="AD144" s="899">
        <f ca="1">+AD145-AD143-AD141</f>
        <v>365840.00884999998</v>
      </c>
      <c r="AE144" s="899">
        <f ca="1">+AE145-AE143-AE141</f>
        <v>19915.258130000024</v>
      </c>
      <c r="AF144" s="645">
        <f ca="1">+SUM(AB144:AE144)</f>
        <v>28268.9096200001</v>
      </c>
      <c r="AG144" s="899">
        <f ca="1">+AG145-AG143-AG141</f>
        <v>-10521.665899999876</v>
      </c>
      <c r="AH144" s="899">
        <f ca="1">+AH145-AH143-AH141</f>
        <v>1089.0269899999475</v>
      </c>
      <c r="AI144" s="899">
        <f ca="1">+AI145-AI143-AI141</f>
        <v>16183.099820000003</v>
      </c>
      <c r="AJ144" s="899">
        <f ca="1">+AJ145-AJ143-AJ141</f>
        <v>18875.865229999774</v>
      </c>
      <c r="AK144" s="645">
        <f ca="1">+SUM(AG144:AJ144)</f>
        <v>25626.326139999848</v>
      </c>
      <c r="AL144" s="899">
        <f ca="1">+AL145-AL143-AL141</f>
        <v>-4895.6861999998073</v>
      </c>
      <c r="AM144" s="899">
        <f ca="1">+AM145-AM143-AM141</f>
        <v>22391.488799999941</v>
      </c>
      <c r="AN144" s="899">
        <f ca="1">+AN145-AN143-AN141</f>
        <v>26478.150439999918</v>
      </c>
      <c r="AO144" s="899">
        <f ca="1">+AO145-AO143-AO141</f>
        <v>-6686.6393199999002</v>
      </c>
      <c r="AP144" s="645">
        <f ca="1">+SUM(AL144:AO144)</f>
        <v>37287.313720000151</v>
      </c>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row>
    <row r="145" spans="1:79" s="901" customFormat="1" ht="13.5" customHeight="1" x14ac:dyDescent="0.2">
      <c r="B145" s="904" t="s">
        <v>1048</v>
      </c>
      <c r="C145" s="903">
        <f>+C148-C147</f>
        <v>-66845</v>
      </c>
      <c r="D145" s="903">
        <f>+D148-D147</f>
        <v>57017</v>
      </c>
      <c r="E145" s="903">
        <f>+E148-E147</f>
        <v>-37723</v>
      </c>
      <c r="F145" s="903">
        <f>+F148-F147</f>
        <v>3425</v>
      </c>
      <c r="G145" s="646">
        <f ca="1">+G141+G143+G144</f>
        <v>-44126.000000000015</v>
      </c>
      <c r="H145" s="903">
        <f>+H148-H147</f>
        <v>-23266</v>
      </c>
      <c r="I145" s="903">
        <f>+I148-I147</f>
        <v>-34777</v>
      </c>
      <c r="J145" s="903">
        <f>+J148-J147</f>
        <v>7275</v>
      </c>
      <c r="K145" s="903">
        <f>+K148-K147</f>
        <v>-14422</v>
      </c>
      <c r="L145" s="646">
        <f ca="1">+L141+L143+L144</f>
        <v>-65190.000000000015</v>
      </c>
      <c r="M145" s="903">
        <f>+M148-M147</f>
        <v>24452</v>
      </c>
      <c r="N145" s="903">
        <f>+N148-N147</f>
        <v>-1219</v>
      </c>
      <c r="O145" s="903">
        <f>+O148-O147</f>
        <v>5333</v>
      </c>
      <c r="P145" s="903">
        <f>+P148-P147</f>
        <v>-44776</v>
      </c>
      <c r="Q145" s="646">
        <f ca="1">+Q141+Q143+Q144</f>
        <v>-16210.000000000007</v>
      </c>
      <c r="R145" s="881">
        <f ca="1">+R148-R147</f>
        <v>58608</v>
      </c>
      <c r="S145" s="903">
        <f ca="1">+S148-S147</f>
        <v>160563</v>
      </c>
      <c r="T145" s="903">
        <f ca="1">+T148-T147</f>
        <v>-38710</v>
      </c>
      <c r="U145" s="903">
        <f ca="1">+U148-U147</f>
        <v>12594</v>
      </c>
      <c r="V145" s="646">
        <f ca="1">+V141+V143+V144</f>
        <v>193054.99999999997</v>
      </c>
      <c r="W145" s="903">
        <f ca="1">+W148-W147</f>
        <v>44522</v>
      </c>
      <c r="X145" s="903">
        <f ca="1">+X148-X147</f>
        <v>-60380</v>
      </c>
      <c r="Y145" s="903">
        <f ca="1">+Y148-Y147</f>
        <v>-23108</v>
      </c>
      <c r="Z145" s="903">
        <f ca="1">+Z148-Z147</f>
        <v>-74293</v>
      </c>
      <c r="AA145" s="646">
        <f ca="1">+AA141+AA143+AA144</f>
        <v>-113259.00000000003</v>
      </c>
      <c r="AB145" s="903">
        <f ca="1">+AB148-AB147</f>
        <v>63376</v>
      </c>
      <c r="AC145" s="903">
        <f ca="1">+AC148-AC147</f>
        <v>-210504</v>
      </c>
      <c r="AD145" s="903">
        <f ca="1">+AD148-AD147</f>
        <v>137242</v>
      </c>
      <c r="AE145" s="903">
        <f ca="1">+AE148-AE147</f>
        <v>53057</v>
      </c>
      <c r="AF145" s="646">
        <f ca="1">+AF141+AF143+AF144</f>
        <v>43170.999999999949</v>
      </c>
      <c r="AG145" s="903">
        <f ca="1">+AG148-AG147</f>
        <v>51749</v>
      </c>
      <c r="AH145" s="903">
        <f ca="1">+AH148-AH147</f>
        <v>-5010</v>
      </c>
      <c r="AI145" s="903">
        <f ca="1">+AI148-AI147</f>
        <v>21592</v>
      </c>
      <c r="AJ145" s="903">
        <f ca="1">+AJ148-AJ147</f>
        <v>-26091</v>
      </c>
      <c r="AK145" s="646">
        <f ca="1">+AK141+AK143+AK144</f>
        <v>42239.999999999971</v>
      </c>
      <c r="AL145" s="903">
        <f ca="1">+AL148-AL147</f>
        <v>67257</v>
      </c>
      <c r="AM145" s="903">
        <f ca="1">+AM148-AM147</f>
        <v>-16994</v>
      </c>
      <c r="AN145" s="903">
        <f ca="1">+AN148-AN147</f>
        <v>-18676</v>
      </c>
      <c r="AO145" s="903">
        <f ca="1">+AO148-AO147</f>
        <v>-22791</v>
      </c>
      <c r="AP145" s="646">
        <f ca="1">+AP141+AP143+AP144</f>
        <v>8796.0000000000291</v>
      </c>
      <c r="AQ145" s="902"/>
      <c r="AR145" s="902"/>
      <c r="AS145" s="902"/>
      <c r="AT145" s="902"/>
      <c r="AU145" s="902"/>
      <c r="AV145" s="902"/>
      <c r="AY145" s="1043"/>
      <c r="AZ145" s="1043"/>
      <c r="BA145" s="902"/>
      <c r="BB145" s="902"/>
      <c r="BC145" s="902"/>
      <c r="BD145" s="902"/>
      <c r="BE145" s="902"/>
      <c r="BF145" s="902"/>
      <c r="BG145" s="902"/>
      <c r="BH145" s="902"/>
      <c r="BI145" s="902"/>
      <c r="BJ145" s="902"/>
      <c r="BK145" s="902"/>
      <c r="BL145" s="902"/>
      <c r="BM145" s="902"/>
      <c r="BN145" s="902"/>
      <c r="BO145" s="902"/>
      <c r="BP145" s="902"/>
      <c r="BQ145" s="902"/>
      <c r="BR145" s="902"/>
      <c r="BS145" s="902"/>
      <c r="BT145" s="902"/>
      <c r="BU145" s="902"/>
      <c r="BV145" s="902"/>
      <c r="BW145" s="902"/>
      <c r="BX145" s="902"/>
      <c r="BY145" s="902"/>
      <c r="BZ145" s="902"/>
      <c r="CA145" s="902"/>
    </row>
    <row r="146" spans="1:79" ht="3" customHeight="1" x14ac:dyDescent="0.2">
      <c r="B146" s="900"/>
      <c r="C146" s="646"/>
      <c r="D146" s="646"/>
      <c r="E146" s="646"/>
      <c r="F146" s="646"/>
      <c r="G146" s="873"/>
      <c r="H146" s="646"/>
      <c r="I146" s="646"/>
      <c r="J146" s="646"/>
      <c r="K146" s="646"/>
      <c r="L146" s="873"/>
      <c r="M146" s="646"/>
      <c r="N146" s="646"/>
      <c r="O146" s="646"/>
      <c r="P146" s="646"/>
      <c r="Q146" s="873"/>
      <c r="R146" s="646"/>
      <c r="S146" s="646"/>
      <c r="T146" s="646"/>
      <c r="U146" s="646"/>
      <c r="V146" s="873"/>
      <c r="W146" s="646"/>
      <c r="X146" s="646"/>
      <c r="Y146" s="646"/>
      <c r="Z146" s="646"/>
      <c r="AA146" s="873"/>
      <c r="AB146" s="646"/>
      <c r="AC146" s="646"/>
      <c r="AD146" s="646"/>
      <c r="AE146" s="646"/>
      <c r="AF146" s="873"/>
      <c r="AG146" s="646"/>
      <c r="AH146" s="646"/>
      <c r="AI146" s="646"/>
      <c r="AJ146" s="646"/>
      <c r="AK146" s="873"/>
      <c r="AL146" s="646"/>
      <c r="AM146" s="646"/>
      <c r="AN146" s="646"/>
      <c r="AO146" s="646"/>
      <c r="AP146" s="873"/>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row>
    <row r="147" spans="1:79" ht="13.5" customHeight="1" x14ac:dyDescent="0.2">
      <c r="B147" s="874" t="s">
        <v>322</v>
      </c>
      <c r="C147" s="899">
        <v>192858</v>
      </c>
      <c r="D147" s="899">
        <f>+C117</f>
        <v>126013</v>
      </c>
      <c r="E147" s="899">
        <f>+D117</f>
        <v>183030</v>
      </c>
      <c r="F147" s="899">
        <f>+E117</f>
        <v>145307</v>
      </c>
      <c r="G147" s="645">
        <f>+C147</f>
        <v>192858</v>
      </c>
      <c r="H147" s="899">
        <f>+G117</f>
        <v>148732</v>
      </c>
      <c r="I147" s="899">
        <f>+H117</f>
        <v>125466</v>
      </c>
      <c r="J147" s="899">
        <f>+I117</f>
        <v>90689</v>
      </c>
      <c r="K147" s="899">
        <f>+J117</f>
        <v>97964</v>
      </c>
      <c r="L147" s="645">
        <f>+H147</f>
        <v>148732</v>
      </c>
      <c r="M147" s="899">
        <f>+L117</f>
        <v>83542</v>
      </c>
      <c r="N147" s="899">
        <f>+M117</f>
        <v>107994</v>
      </c>
      <c r="O147" s="899">
        <f>+N117</f>
        <v>106775</v>
      </c>
      <c r="P147" s="899">
        <f>+O117</f>
        <v>112108</v>
      </c>
      <c r="Q147" s="645">
        <f>+M147</f>
        <v>83542</v>
      </c>
      <c r="R147" s="873">
        <f>+Q148</f>
        <v>67332</v>
      </c>
      <c r="S147" s="899">
        <f ca="1">+R148</f>
        <v>125940</v>
      </c>
      <c r="T147" s="899">
        <f ca="1">+S148</f>
        <v>286503</v>
      </c>
      <c r="U147" s="899">
        <f ca="1">+T148</f>
        <v>247793</v>
      </c>
      <c r="V147" s="645">
        <f>+R147</f>
        <v>67332</v>
      </c>
      <c r="W147" s="899">
        <f ca="1">+V148</f>
        <v>260387</v>
      </c>
      <c r="X147" s="899">
        <f ca="1">+W148</f>
        <v>304909</v>
      </c>
      <c r="Y147" s="899">
        <f ca="1">+X148</f>
        <v>244529</v>
      </c>
      <c r="Z147" s="899">
        <f ca="1">+Y148</f>
        <v>221421</v>
      </c>
      <c r="AA147" s="645">
        <f ca="1">+W147</f>
        <v>260387</v>
      </c>
      <c r="AB147" s="899">
        <f ca="1">+AA148</f>
        <v>147128</v>
      </c>
      <c r="AC147" s="899">
        <f ca="1">+AB148</f>
        <v>210504</v>
      </c>
      <c r="AD147" s="899">
        <f ca="1">+AC148</f>
        <v>0</v>
      </c>
      <c r="AE147" s="899">
        <f ca="1">+AD148</f>
        <v>137242</v>
      </c>
      <c r="AF147" s="645">
        <f ca="1">+AB147</f>
        <v>147128</v>
      </c>
      <c r="AG147" s="899">
        <f ca="1">+AF148</f>
        <v>190299</v>
      </c>
      <c r="AH147" s="899">
        <f ca="1">+AG148</f>
        <v>242048</v>
      </c>
      <c r="AI147" s="899">
        <f ca="1">+AH148</f>
        <v>237038</v>
      </c>
      <c r="AJ147" s="899">
        <f ca="1">+AI148</f>
        <v>258630</v>
      </c>
      <c r="AK147" s="645">
        <f ca="1">+AG147</f>
        <v>190299</v>
      </c>
      <c r="AL147" s="899">
        <f ca="1">+AK148</f>
        <v>232539</v>
      </c>
      <c r="AM147" s="899">
        <f ca="1">+AL148</f>
        <v>299796</v>
      </c>
      <c r="AN147" s="899">
        <f ca="1">+AM148</f>
        <v>282802</v>
      </c>
      <c r="AO147" s="899">
        <f ca="1">+AN148</f>
        <v>264126</v>
      </c>
      <c r="AP147" s="645">
        <f ca="1">+AL147</f>
        <v>232539</v>
      </c>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row>
    <row r="148" spans="1:79" ht="13.5" customHeight="1" x14ac:dyDescent="0.2">
      <c r="B148" s="886" t="s">
        <v>323</v>
      </c>
      <c r="C148" s="898">
        <f>+C117</f>
        <v>126013</v>
      </c>
      <c r="D148" s="898">
        <f>+D117</f>
        <v>183030</v>
      </c>
      <c r="E148" s="898">
        <f>+E117</f>
        <v>145307</v>
      </c>
      <c r="F148" s="898">
        <f>+F117</f>
        <v>148732</v>
      </c>
      <c r="G148" s="897">
        <f>+F148</f>
        <v>148732</v>
      </c>
      <c r="H148" s="898">
        <f>+H117</f>
        <v>125466</v>
      </c>
      <c r="I148" s="898">
        <f>+I117</f>
        <v>90689</v>
      </c>
      <c r="J148" s="898">
        <f>+J117</f>
        <v>97964</v>
      </c>
      <c r="K148" s="898">
        <f>+K117</f>
        <v>83542</v>
      </c>
      <c r="L148" s="897">
        <f>+K148</f>
        <v>83542</v>
      </c>
      <c r="M148" s="898">
        <f>+M117</f>
        <v>107994</v>
      </c>
      <c r="N148" s="898">
        <f>+N117</f>
        <v>106775</v>
      </c>
      <c r="O148" s="898">
        <f>+O117</f>
        <v>112108</v>
      </c>
      <c r="P148" s="898">
        <f>+P117</f>
        <v>67332</v>
      </c>
      <c r="Q148" s="897">
        <f>+P148</f>
        <v>67332</v>
      </c>
      <c r="R148" s="888">
        <f ca="1">+R117</f>
        <v>125940</v>
      </c>
      <c r="S148" s="898">
        <f ca="1">+S117</f>
        <v>286503</v>
      </c>
      <c r="T148" s="898">
        <f ca="1">+T117</f>
        <v>247793</v>
      </c>
      <c r="U148" s="898">
        <f ca="1">+U117</f>
        <v>260387</v>
      </c>
      <c r="V148" s="897">
        <f ca="1">+U148</f>
        <v>260387</v>
      </c>
      <c r="W148" s="898">
        <f ca="1">+W117</f>
        <v>304909</v>
      </c>
      <c r="X148" s="898">
        <f ca="1">+X117</f>
        <v>244529</v>
      </c>
      <c r="Y148" s="898">
        <f ca="1">+Y117</f>
        <v>221421</v>
      </c>
      <c r="Z148" s="898">
        <f ca="1">+Z117</f>
        <v>147128</v>
      </c>
      <c r="AA148" s="897">
        <f ca="1">+Z148</f>
        <v>147128</v>
      </c>
      <c r="AB148" s="898">
        <f ca="1">+AB117</f>
        <v>210504</v>
      </c>
      <c r="AC148" s="898">
        <f ca="1">+AC117</f>
        <v>0</v>
      </c>
      <c r="AD148" s="898">
        <f ca="1">+AD117</f>
        <v>137242</v>
      </c>
      <c r="AE148" s="898">
        <f ca="1">+AE117</f>
        <v>190299</v>
      </c>
      <c r="AF148" s="897">
        <f ca="1">+AE148</f>
        <v>190299</v>
      </c>
      <c r="AG148" s="898">
        <f ca="1">+AG117</f>
        <v>242048</v>
      </c>
      <c r="AH148" s="898">
        <f ca="1">+AH117</f>
        <v>237038</v>
      </c>
      <c r="AI148" s="898">
        <f ca="1">+AI117</f>
        <v>258630</v>
      </c>
      <c r="AJ148" s="898">
        <f ca="1">+AJ117</f>
        <v>232539</v>
      </c>
      <c r="AK148" s="897">
        <f ca="1">+AJ148</f>
        <v>232539</v>
      </c>
      <c r="AL148" s="898">
        <f ca="1">+AL117</f>
        <v>299796</v>
      </c>
      <c r="AM148" s="898">
        <f ca="1">+AM117</f>
        <v>282802</v>
      </c>
      <c r="AN148" s="898">
        <f ca="1">+AN117</f>
        <v>264126</v>
      </c>
      <c r="AO148" s="898">
        <f ca="1">+AO117</f>
        <v>241335</v>
      </c>
      <c r="AP148" s="897">
        <f ca="1">+AO148</f>
        <v>241335</v>
      </c>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row>
    <row r="149" spans="1:79" ht="13.5" customHeight="1" x14ac:dyDescent="0.2">
      <c r="D149" s="696"/>
      <c r="E149" s="696"/>
      <c r="F149" s="696"/>
      <c r="G149" s="896">
        <f ca="1">+G148-G147-G145</f>
        <v>0</v>
      </c>
      <c r="J149" s="696"/>
      <c r="K149" s="696"/>
      <c r="L149" s="896">
        <f ca="1">+L148-L147-L145</f>
        <v>0</v>
      </c>
      <c r="O149" s="696"/>
      <c r="P149" s="696"/>
      <c r="Q149" s="896">
        <f ca="1">+Q148-Q147-Q145</f>
        <v>0</v>
      </c>
      <c r="R149" s="896"/>
      <c r="S149" s="896"/>
      <c r="T149" s="896"/>
      <c r="U149" s="896"/>
      <c r="V149" s="896">
        <f ca="1">+V148-V147-V145</f>
        <v>0</v>
      </c>
      <c r="W149" s="896"/>
      <c r="X149" s="896"/>
      <c r="Y149" s="896"/>
      <c r="Z149" s="896"/>
      <c r="AA149" s="896">
        <f ca="1">+AA148-AA147-AA145</f>
        <v>0</v>
      </c>
      <c r="AB149" s="896"/>
      <c r="AC149" s="896"/>
      <c r="AD149" s="896"/>
      <c r="AE149" s="896"/>
      <c r="AF149" s="896">
        <f ca="1">+AF148-AF147-AF145</f>
        <v>0</v>
      </c>
      <c r="AG149" s="896"/>
      <c r="AH149" s="896"/>
      <c r="AI149" s="896"/>
      <c r="AJ149" s="896"/>
      <c r="AK149" s="896">
        <f ca="1">+AK148-AK147-AK145</f>
        <v>0</v>
      </c>
      <c r="AL149" s="896"/>
      <c r="AM149" s="896"/>
      <c r="AN149" s="896"/>
      <c r="AO149" s="896"/>
      <c r="AP149" s="896">
        <f ca="1">+AP148-AP147-AP145</f>
        <v>-2.9103830456733704E-11</v>
      </c>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row>
    <row r="150" spans="1:79" ht="13.5" customHeight="1" x14ac:dyDescent="0.2">
      <c r="B150" s="884" t="s">
        <v>782</v>
      </c>
      <c r="C150" s="883" t="str">
        <f t="shared" ref="C150:AH150" si="174">C5</f>
        <v>1Q17</v>
      </c>
      <c r="D150" s="883" t="str">
        <f t="shared" si="174"/>
        <v>2Q17</v>
      </c>
      <c r="E150" s="883" t="str">
        <f t="shared" si="174"/>
        <v>3Q17</v>
      </c>
      <c r="F150" s="883" t="str">
        <f t="shared" si="174"/>
        <v>4Q17</v>
      </c>
      <c r="G150" s="883" t="str">
        <f t="shared" si="174"/>
        <v>2017</v>
      </c>
      <c r="H150" s="883" t="str">
        <f t="shared" si="174"/>
        <v>1Q18</v>
      </c>
      <c r="I150" s="883" t="str">
        <f t="shared" si="174"/>
        <v>2Q18</v>
      </c>
      <c r="J150" s="883" t="str">
        <f t="shared" si="174"/>
        <v>3Q18</v>
      </c>
      <c r="K150" s="883" t="str">
        <f t="shared" si="174"/>
        <v>4Q18</v>
      </c>
      <c r="L150" s="883" t="str">
        <f t="shared" si="174"/>
        <v>2018</v>
      </c>
      <c r="M150" s="883" t="str">
        <f t="shared" si="174"/>
        <v>1Q19</v>
      </c>
      <c r="N150" s="883" t="str">
        <f t="shared" si="174"/>
        <v>2Q19</v>
      </c>
      <c r="O150" s="883" t="str">
        <f t="shared" si="174"/>
        <v>3Q19</v>
      </c>
      <c r="P150" s="883" t="str">
        <f t="shared" si="174"/>
        <v>4Q19</v>
      </c>
      <c r="Q150" s="883" t="str">
        <f t="shared" si="174"/>
        <v>2019</v>
      </c>
      <c r="R150" s="883" t="str">
        <f t="shared" si="174"/>
        <v>1Q20</v>
      </c>
      <c r="S150" s="883" t="str">
        <f t="shared" si="174"/>
        <v>2Q20</v>
      </c>
      <c r="T150" s="883" t="str">
        <f t="shared" si="174"/>
        <v>3Q20</v>
      </c>
      <c r="U150" s="883" t="str">
        <f t="shared" si="174"/>
        <v>4Q20</v>
      </c>
      <c r="V150" s="883" t="str">
        <f t="shared" si="174"/>
        <v>2020</v>
      </c>
      <c r="W150" s="883" t="str">
        <f t="shared" si="174"/>
        <v>1Q21</v>
      </c>
      <c r="X150" s="883" t="str">
        <f t="shared" si="174"/>
        <v>2Q21</v>
      </c>
      <c r="Y150" s="883" t="str">
        <f t="shared" si="174"/>
        <v>3Q21</v>
      </c>
      <c r="Z150" s="883" t="str">
        <f t="shared" si="174"/>
        <v>4Q21</v>
      </c>
      <c r="AA150" s="883" t="str">
        <f t="shared" si="174"/>
        <v>2021</v>
      </c>
      <c r="AB150" s="883" t="str">
        <f t="shared" si="174"/>
        <v>1Q22</v>
      </c>
      <c r="AC150" s="883" t="str">
        <f t="shared" si="174"/>
        <v>2Q22</v>
      </c>
      <c r="AD150" s="883" t="str">
        <f t="shared" si="174"/>
        <v>3Q22</v>
      </c>
      <c r="AE150" s="883" t="str">
        <f t="shared" si="174"/>
        <v>4Q22</v>
      </c>
      <c r="AF150" s="883" t="str">
        <f t="shared" si="174"/>
        <v>2022</v>
      </c>
      <c r="AG150" s="883" t="str">
        <f t="shared" si="174"/>
        <v>1Q23</v>
      </c>
      <c r="AH150" s="883" t="str">
        <f t="shared" si="174"/>
        <v>2Q23</v>
      </c>
      <c r="AI150" s="883" t="str">
        <f t="shared" ref="AI150:AN150" si="175">AI5</f>
        <v>3Q23</v>
      </c>
      <c r="AJ150" s="883" t="str">
        <f t="shared" si="175"/>
        <v>4Q23</v>
      </c>
      <c r="AK150" s="883" t="str">
        <f t="shared" si="175"/>
        <v>2023</v>
      </c>
      <c r="AL150" s="883" t="str">
        <f t="shared" si="175"/>
        <v>1Q24</v>
      </c>
      <c r="AM150" s="883" t="str">
        <f t="shared" si="175"/>
        <v>2Q24</v>
      </c>
      <c r="AN150" s="883" t="str">
        <f t="shared" si="175"/>
        <v>3Q24</v>
      </c>
      <c r="AO150" s="883" t="str">
        <f t="shared" ref="AO150:AP150" si="176">AO5</f>
        <v>4Q24</v>
      </c>
      <c r="AP150" s="1236" t="str">
        <f t="shared" si="176"/>
        <v>2024</v>
      </c>
      <c r="AR150" s="268" t="s">
        <v>1299</v>
      </c>
      <c r="AS150" s="268" t="s">
        <v>1299</v>
      </c>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row>
    <row r="151" spans="1:79" ht="13.5" customHeight="1" x14ac:dyDescent="0.2">
      <c r="B151" s="882" t="s">
        <v>220</v>
      </c>
      <c r="C151" s="38" t="s">
        <v>47</v>
      </c>
      <c r="D151" s="38" t="s">
        <v>47</v>
      </c>
      <c r="E151" s="38" t="s">
        <v>47</v>
      </c>
      <c r="F151" s="38" t="s">
        <v>47</v>
      </c>
      <c r="G151" s="890" t="s">
        <v>47</v>
      </c>
      <c r="H151" s="873">
        <f ca="1">+SUMIFS(INDIRECT(CONCATENATE("'",$AQ151,$AR151,":",$AS151)),INDIRECT(CONCATENATE("'",$AQ151,$AR$150,":",$AS$150)),H$92)</f>
        <v>7177</v>
      </c>
      <c r="I151" s="873">
        <f ca="1">+SUMIFS(INDIRECT(CONCATENATE("'",$AQ151,$AR151,":",$AS151)),INDIRECT(CONCATENATE("'",$AQ151,$AR$150,":",$AS$150)),I$92)</f>
        <v>12681</v>
      </c>
      <c r="J151" s="873">
        <f ca="1">+SUMIFS(INDIRECT(CONCATENATE("'",$AQ151,$AR151,":",$AS151)),INDIRECT(CONCATENATE("'",$AQ151,$AR$150,":",$AS$150)),J$92)</f>
        <v>14895</v>
      </c>
      <c r="K151" s="873">
        <f ca="1">+SUMIFS(INDIRECT(CONCATENATE("'",$AQ151,$AR151,":",$AS151)),INDIRECT(CONCATENATE("'",$AQ151,$AR$150,":",$AS$150)),K$92)</f>
        <v>17373</v>
      </c>
      <c r="L151" s="890">
        <f ca="1">+SUM(H151:K151)</f>
        <v>52126</v>
      </c>
      <c r="M151" s="873">
        <f ca="1">+SUMIFS(INDIRECT(CONCATENATE("'",$AQ151,$AR151,":",$AS151)),INDIRECT(CONCATENATE("'",$AQ151,$AR$150,":",$AS$150)),M$92)</f>
        <v>15688</v>
      </c>
      <c r="N151" s="873">
        <f ca="1">+SUMIFS(INDIRECT(CONCATENATE("'",$AQ151,$AR151,":",$AS151)),INDIRECT(CONCATENATE("'",$AQ151,$AR$150,":",$AS$150)),N$92)</f>
        <v>16298.599999999999</v>
      </c>
      <c r="O151" s="873">
        <f ca="1">+SUMIFS(INDIRECT(CONCATENATE("'",$AQ151,$AR151,":",$AS151)),INDIRECT(CONCATENATE("'",$AQ151,$AR$150,":",$AS$150)),O$92)</f>
        <v>19398.511290000002</v>
      </c>
      <c r="P151" s="873">
        <f ca="1">+SUMIFS(INDIRECT(CONCATENATE("'",$AQ151,$AR151,":",$AS151)),INDIRECT(CONCATENATE("'",$AQ151,$AR$150,":",$AS$150)),P$92)</f>
        <v>20352.888709999999</v>
      </c>
      <c r="Q151" s="890">
        <f ca="1">+SUM(M151:P151)</f>
        <v>71738</v>
      </c>
      <c r="R151" s="873">
        <f ca="1">+SUMIFS(INDIRECT(CONCATENATE("'",$AQ151,$AR151,":",$AS151)),INDIRECT(CONCATENATE("'",$AQ151,$AR$150,":",$AS$150)),R$92)</f>
        <v>18364</v>
      </c>
      <c r="S151" s="873">
        <f ca="1">+SUMIFS(INDIRECT(CONCATENATE("'",$AQ151,$AR151,":",$AS151)),INDIRECT(CONCATENATE("'",$AQ151,$AR$150,":",$AS$150)),S$92)</f>
        <v>19256</v>
      </c>
      <c r="T151" s="873">
        <f ca="1">+SUMIFS(INDIRECT(CONCATENATE("'",$AQ151,$AR151,":",$AS151)),INDIRECT(CONCATENATE("'",$AQ151,$AR$150,":",$AS$150)),T$92)</f>
        <v>19150</v>
      </c>
      <c r="U151" s="873">
        <f ca="1">+SUMIFS(INDIRECT(CONCATENATE("'",$AQ151,$AR151,":",$AS151)),INDIRECT(CONCATENATE("'",$AQ151,$AR$150,":",$AS$150)),U$92)</f>
        <v>16497</v>
      </c>
      <c r="V151" s="890">
        <f ca="1">+SUM(R151:U151)</f>
        <v>73267</v>
      </c>
      <c r="W151" s="873">
        <f ca="1">+SUMIFS(INDIRECT(CONCATENATE("'",$AQ151,$AR151,":",$AS151)),INDIRECT(CONCATENATE("'",$AQ151,$AR$150,":",$AS$150)),W$92)</f>
        <v>17226</v>
      </c>
      <c r="X151" s="873">
        <f ca="1">+SUMIFS(INDIRECT(CONCATENATE("'",$AQ151,$AR151,":",$AS151)),INDIRECT(CONCATENATE("'",$AQ151,$AR$150,":",$AS$150)),X$92)</f>
        <v>23826</v>
      </c>
      <c r="Y151" s="873">
        <f ca="1">+SUMIFS(INDIRECT(CONCATENATE("'",$AQ151,$AR151,":",$AS151)),INDIRECT(CONCATENATE("'",$AQ151,$AR$150,":",$AS$150)),Y$92)</f>
        <v>23339</v>
      </c>
      <c r="Z151" s="873">
        <f ca="1">+SUMIFS(INDIRECT(CONCATENATE("'",$AQ151,$AR151,":",$AS151)),INDIRECT(CONCATENATE("'",$AQ151,$AR$150,":",$AS$150)),Z$92)</f>
        <v>26986</v>
      </c>
      <c r="AA151" s="890">
        <f ca="1">+SUM(W151:Z151)</f>
        <v>91377</v>
      </c>
      <c r="AB151" s="873">
        <f ca="1">+SUMIFS(INDIRECT(CONCATENATE("'",$AQ151,$AR151,":",$AS151)),INDIRECT(CONCATENATE("'",$AQ151,$AR$150,":",$AS$150)),AB$92)</f>
        <v>28405</v>
      </c>
      <c r="AC151" s="873">
        <f ca="1">+SUMIFS(INDIRECT(CONCATENATE("'",$AQ151,$AR151,":",$AS151)),INDIRECT(CONCATENATE("'",$AQ151,$AR$150,":",$AS$150)),AC$92)</f>
        <v>30037</v>
      </c>
      <c r="AD151" s="873">
        <f ca="1">+SUMIFS(INDIRECT(CONCATENATE("'",$AQ151,$AR151,":",$AS151)),INDIRECT(CONCATENATE("'",$AQ151,$AR$150,":",$AS$150)),AD$92)</f>
        <v>28510</v>
      </c>
      <c r="AE151" s="873">
        <f ca="1">+SUMIFS(INDIRECT(CONCATENATE("'",$AQ151,$AR151,":",$AS151)),INDIRECT(CONCATENATE("'",$AQ151,$AR$150,":",$AS$150)),AE$92)</f>
        <v>30684</v>
      </c>
      <c r="AF151" s="890">
        <f ca="1">+SUM(AB151:AE151)</f>
        <v>117636</v>
      </c>
      <c r="AG151" s="873">
        <f ca="1">+SUMIFS(INDIRECT(CONCATENATE("'",$AQ151,$AR151,":",$AS151)),INDIRECT(CONCATENATE("'",$AQ151,$AR$150,":",$AS$150)),AG$92)</f>
        <v>36776</v>
      </c>
      <c r="AH151" s="873">
        <f ca="1">+SUMIFS(INDIRECT(CONCATENATE("'",$AQ151,$AR151,":",$AS151)),INDIRECT(CONCATENATE("'",$AQ151,$AR$150,":",$AS$150)),AH$92)</f>
        <v>34967</v>
      </c>
      <c r="AI151" s="873">
        <f ca="1">+SUMIFS(INDIRECT(CONCATENATE("'",$AQ151,$AR151,":",$AS151)),INDIRECT(CONCATENATE("'",$AQ151,$AR$150,":",$AS$150)),AI$92)</f>
        <v>41135</v>
      </c>
      <c r="AJ151" s="873">
        <f ca="1">+SUMIFS(INDIRECT(CONCATENATE("'",$AQ151,$AR151,":",$AS151)),INDIRECT(CONCATENATE("'",$AQ151,$AR$150,":",$AS$150)),AJ$92)</f>
        <v>47572</v>
      </c>
      <c r="AK151" s="890">
        <f ca="1">+SUM(AG151:AJ151)</f>
        <v>160450</v>
      </c>
      <c r="AL151" s="873">
        <f ca="1">+SUMIFS(INDIRECT(CONCATENATE("'",$AQ151,$AR151,":",$AS151)),INDIRECT(CONCATENATE("'",$AQ151,$AR$150,":",$AS$150)),AL$92)</f>
        <v>51826</v>
      </c>
      <c r="AM151" s="873">
        <f ca="1">+SUMIFS(INDIRECT(CONCATENATE("'",$AQ151,$AR151,":",$AS151)),INDIRECT(CONCATENATE("'",$AQ151,$AR$150,":",$AS$150)),AM$92)</f>
        <v>70532</v>
      </c>
      <c r="AN151" s="873">
        <f ca="1">+SUMIFS(INDIRECT(CONCATENATE("'",$AQ151,$AR151,":",$AS151)),INDIRECT(CONCATENATE("'",$AQ151,$AR$150,":",$AS$150)),AN$92)</f>
        <v>74528</v>
      </c>
      <c r="AO151" s="873">
        <f ca="1">+SUMIFS(INDIRECT(CONCATENATE("'",$AQ151,$AR151,":",$AS151)),INDIRECT(CONCATENATE("'",$AQ151,$AR$150,":",$AS$150)),AO$92)</f>
        <v>65337</v>
      </c>
      <c r="AP151" s="1237">
        <f ca="1">+SUM(AL151:AO151)</f>
        <v>262223</v>
      </c>
      <c r="AQ151" s="268" t="s">
        <v>1042</v>
      </c>
      <c r="AR151" s="1195" t="s">
        <v>1300</v>
      </c>
      <c r="AS151" s="1195" t="s">
        <v>1300</v>
      </c>
      <c r="AT151" s="1195"/>
      <c r="AU151" s="1195" t="s">
        <v>1042</v>
      </c>
      <c r="AV151" s="1195" t="s">
        <v>1041</v>
      </c>
      <c r="AW151" s="1067"/>
      <c r="AX151" s="1067" t="s">
        <v>1042</v>
      </c>
      <c r="AY151" s="1045" t="s">
        <v>1041</v>
      </c>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row>
    <row r="152" spans="1:79" s="867" customFormat="1" ht="13.5" customHeight="1" x14ac:dyDescent="0.2">
      <c r="A152" s="872"/>
      <c r="B152" s="877" t="s">
        <v>1035</v>
      </c>
      <c r="C152" s="38" t="s">
        <v>47</v>
      </c>
      <c r="D152" s="38" t="s">
        <v>47</v>
      </c>
      <c r="E152" s="38" t="s">
        <v>47</v>
      </c>
      <c r="F152" s="38" t="s">
        <v>47</v>
      </c>
      <c r="G152" s="892" t="s">
        <v>47</v>
      </c>
      <c r="H152" s="891" t="s">
        <v>47</v>
      </c>
      <c r="I152" s="891" t="s">
        <v>47</v>
      </c>
      <c r="J152" s="891" t="s">
        <v>47</v>
      </c>
      <c r="K152" s="891" t="s">
        <v>47</v>
      </c>
      <c r="L152" s="878" t="s">
        <v>47</v>
      </c>
      <c r="M152" s="891" t="s">
        <v>47</v>
      </c>
      <c r="N152" s="891">
        <f ca="1">+N151/I151-1</f>
        <v>0.28527718634177113</v>
      </c>
      <c r="O152" s="891">
        <f ca="1">+O151/J151-1</f>
        <v>0.30235053977844939</v>
      </c>
      <c r="P152" s="891">
        <f ca="1">+P151/K151-1</f>
        <v>0.17152412997179534</v>
      </c>
      <c r="Q152" s="878" t="s">
        <v>47</v>
      </c>
      <c r="R152" s="891">
        <f ca="1">+R151/M151-1</f>
        <v>0.17057623661397248</v>
      </c>
      <c r="S152" s="891">
        <f ca="1">+S151/N151-1</f>
        <v>0.18145116758494595</v>
      </c>
      <c r="T152" s="891">
        <f ca="1">+T151/O151-1</f>
        <v>-1.2810843383023407E-2</v>
      </c>
      <c r="U152" s="891">
        <f ca="1">+U151/P151-1</f>
        <v>-0.18945166776770528</v>
      </c>
      <c r="V152" s="878" t="s">
        <v>47</v>
      </c>
      <c r="W152" s="891">
        <f ca="1">+W151/R151-1</f>
        <v>-6.1969069919407538E-2</v>
      </c>
      <c r="X152" s="891">
        <f ca="1">+X151/S151-1</f>
        <v>0.23732862484420436</v>
      </c>
      <c r="Y152" s="891">
        <f ca="1">+Y151/T151-1</f>
        <v>0.21874673629242825</v>
      </c>
      <c r="Z152" s="891">
        <f ca="1">+Z151/U151-1</f>
        <v>0.63581257198278474</v>
      </c>
      <c r="AA152" s="878">
        <f ca="1">AA151/V151-1</f>
        <v>0.24717812930787386</v>
      </c>
      <c r="AB152" s="891">
        <f ca="1">+AB151/W151-1</f>
        <v>0.64896087309880413</v>
      </c>
      <c r="AC152" s="891">
        <f ca="1">+AC151/X151-1</f>
        <v>0.26068160832703779</v>
      </c>
      <c r="AD152" s="891">
        <f ca="1">+AD151/Y151-1</f>
        <v>0.22156047816958746</v>
      </c>
      <c r="AE152" s="891">
        <f ca="1">+AE151/Z151-1</f>
        <v>0.13703401763877565</v>
      </c>
      <c r="AF152" s="878">
        <f ca="1">AF151/AA151-1</f>
        <v>0.28736990708821697</v>
      </c>
      <c r="AG152" s="891">
        <f ca="1">+AG151/AB151-1</f>
        <v>0.29470163703573315</v>
      </c>
      <c r="AH152" s="891">
        <f ca="1">+AH151/AC151-1</f>
        <v>0.1641309052168991</v>
      </c>
      <c r="AI152" s="891">
        <f ca="1">+AI151/AD151-1</f>
        <v>0.44282707821816913</v>
      </c>
      <c r="AJ152" s="891">
        <f ca="1">+AJ151/AE151-1</f>
        <v>0.55038456524573065</v>
      </c>
      <c r="AK152" s="878">
        <f ca="1">AK151/AF151-1</f>
        <v>0.36395321160189065</v>
      </c>
      <c r="AL152" s="891">
        <f ca="1">+AL151/AG151-1</f>
        <v>0.40923428322819233</v>
      </c>
      <c r="AM152" s="891">
        <f ca="1">+AM151/AH151-1</f>
        <v>1.0171018388766551</v>
      </c>
      <c r="AN152" s="891">
        <f ca="1">+AN151/AI151-1</f>
        <v>0.81179044609213569</v>
      </c>
      <c r="AO152" s="891">
        <f ca="1">+AO151/AJ151-1</f>
        <v>0.37343395274531233</v>
      </c>
      <c r="AP152" s="1238">
        <f ca="1">AP151/AK151-1</f>
        <v>0.63429728887503889</v>
      </c>
      <c r="AQ152" s="268"/>
      <c r="AR152" s="868"/>
      <c r="AS152" s="868"/>
      <c r="AT152" s="868"/>
      <c r="AU152" s="868"/>
      <c r="AV152" s="868"/>
      <c r="AY152" s="1041"/>
      <c r="AZ152" s="1041"/>
      <c r="BA152" s="868"/>
      <c r="BB152" s="868"/>
      <c r="BC152" s="868"/>
      <c r="BD152" s="868"/>
      <c r="BE152" s="868"/>
      <c r="BF152" s="868"/>
      <c r="BG152" s="868"/>
      <c r="BH152" s="868"/>
      <c r="BI152" s="868"/>
      <c r="BJ152" s="868"/>
      <c r="BK152" s="868"/>
      <c r="BL152" s="868"/>
      <c r="BM152" s="868"/>
      <c r="BN152" s="868"/>
      <c r="BO152" s="868"/>
      <c r="BP152" s="868"/>
      <c r="BQ152" s="868"/>
      <c r="BR152" s="868"/>
      <c r="BS152" s="868"/>
      <c r="BT152" s="868"/>
      <c r="BU152" s="868"/>
      <c r="BV152" s="868"/>
      <c r="BW152" s="868"/>
      <c r="BX152" s="868"/>
      <c r="BY152" s="868"/>
      <c r="BZ152" s="868"/>
      <c r="CA152" s="868"/>
    </row>
    <row r="153" spans="1:79" ht="13.5" customHeight="1" x14ac:dyDescent="0.2">
      <c r="B153" s="895" t="s">
        <v>221</v>
      </c>
      <c r="C153" s="38" t="s">
        <v>47</v>
      </c>
      <c r="D153" s="38" t="s">
        <v>47</v>
      </c>
      <c r="E153" s="38" t="s">
        <v>47</v>
      </c>
      <c r="F153" s="38" t="s">
        <v>47</v>
      </c>
      <c r="G153" s="894" t="s">
        <v>47</v>
      </c>
      <c r="H153" s="873">
        <f ca="1">+SUMIFS(INDIRECT(CONCATENATE("'",$AQ153,$AR153,":",$AS153)),INDIRECT(CONCATENATE("'",$AQ153,$AR$150,":",$AS$150)),H$92)</f>
        <v>-6795</v>
      </c>
      <c r="I153" s="873">
        <f ca="1">+SUMIFS(INDIRECT(CONCATENATE("'",$AQ153,$AR153,":",$AS153)),INDIRECT(CONCATENATE("'",$AQ153,$AR$150,":",$AS$150)),I$92)</f>
        <v>-11749</v>
      </c>
      <c r="J153" s="873">
        <f ca="1">+SUMIFS(INDIRECT(CONCATENATE("'",$AQ153,$AR153,":",$AS153)),INDIRECT(CONCATENATE("'",$AQ153,$AR$150,":",$AS$150)),J$92)</f>
        <v>-12648</v>
      </c>
      <c r="K153" s="873">
        <f ca="1">+SUMIFS(INDIRECT(CONCATENATE("'",$AQ153,$AR153,":",$AS153)),INDIRECT(CONCATENATE("'",$AQ153,$AR$150,":",$AS$150)),K$92)</f>
        <v>-14715</v>
      </c>
      <c r="L153" s="893">
        <f ca="1">+SUM(H153:K153)</f>
        <v>-45907</v>
      </c>
      <c r="M153" s="873">
        <f ca="1">+SUMIFS(INDIRECT(CONCATENATE("'",$AQ153,$AR153,":",$AS153)),INDIRECT(CONCATENATE("'",$AQ153,$AR$150,":",$AS$150)),M$92)</f>
        <v>-14812</v>
      </c>
      <c r="N153" s="873">
        <f ca="1">+SUMIFS(INDIRECT(CONCATENATE("'",$AQ153,$AR153,":",$AS153)),INDIRECT(CONCATENATE("'",$AQ153,$AR$150,":",$AS$150)),N$92)</f>
        <v>-14546</v>
      </c>
      <c r="O153" s="873">
        <f ca="1">+SUMIFS(INDIRECT(CONCATENATE("'",$AQ153,$AR153,":",$AS153)),INDIRECT(CONCATENATE("'",$AQ153,$AR$150,":",$AS$150)),O$92)</f>
        <v>-16155.160750000003</v>
      </c>
      <c r="P153" s="873">
        <f ca="1">+SUMIFS(INDIRECT(CONCATENATE("'",$AQ153,$AR153,":",$AS153)),INDIRECT(CONCATENATE("'",$AQ153,$AR$150,":",$AS$150)),P$92)</f>
        <v>-11746.839249999997</v>
      </c>
      <c r="Q153" s="893">
        <f ca="1">+SUM(M153:P153)</f>
        <v>-57260</v>
      </c>
      <c r="R153" s="873">
        <f ca="1">+SUMIFS(INDIRECT(CONCATENATE("'",$AQ153,$AR153,":",$AS153)),INDIRECT(CONCATENATE("'",$AQ153,$AR$150,":",$AS$150)),R$92)</f>
        <v>-14649</v>
      </c>
      <c r="S153" s="873">
        <f ca="1">+SUMIFS(INDIRECT(CONCATENATE("'",$AQ153,$AR153,":",$AS153)),INDIRECT(CONCATENATE("'",$AQ153,$AR$150,":",$AS$150)),S$92)</f>
        <v>-11342</v>
      </c>
      <c r="T153" s="873">
        <f ca="1">+SUMIFS(INDIRECT(CONCATENATE("'",$AQ153,$AR153,":",$AS153)),INDIRECT(CONCATENATE("'",$AQ153,$AR$150,":",$AS$150)),T$92)</f>
        <v>-11562</v>
      </c>
      <c r="U153" s="873">
        <f ca="1">+SUMIFS(INDIRECT(CONCATENATE("'",$AQ153,$AR153,":",$AS153)),INDIRECT(CONCATENATE("'",$AQ153,$AR$150,":",$AS$150)),U$92)</f>
        <v>-14333</v>
      </c>
      <c r="V153" s="893">
        <f ca="1">+SUM(R153:U153)</f>
        <v>-51886</v>
      </c>
      <c r="W153" s="873">
        <f ca="1">+SUMIFS(INDIRECT(CONCATENATE("'",$AQ153,$AR153,":",$AS153)),INDIRECT(CONCATENATE("'",$AQ153,$AR$150,":",$AS$150)),W$92)</f>
        <v>-13958</v>
      </c>
      <c r="X153" s="873">
        <f ca="1">+SUMIFS(INDIRECT(CONCATENATE("'",$AQ153,$AR153,":",$AS153)),INDIRECT(CONCATENATE("'",$AQ153,$AR$150,":",$AS$150)),X$92)</f>
        <v>-15910</v>
      </c>
      <c r="Y153" s="873">
        <f ca="1">+SUMIFS(INDIRECT(CONCATENATE("'",$AQ153,$AR153,":",$AS153)),INDIRECT(CONCATENATE("'",$AQ153,$AR$150,":",$AS$150)),Y$92)</f>
        <v>-16933</v>
      </c>
      <c r="Z153" s="873">
        <f ca="1">+SUMIFS(INDIRECT(CONCATENATE("'",$AQ153,$AR153,":",$AS153)),INDIRECT(CONCATENATE("'",$AQ153,$AR$150,":",$AS$150)),Z$92)</f>
        <v>-19224</v>
      </c>
      <c r="AA153" s="893">
        <f ca="1">+SUM(W153:Z153)</f>
        <v>-66025</v>
      </c>
      <c r="AB153" s="873">
        <f ca="1">+SUMIFS(INDIRECT(CONCATENATE("'",$AQ153,$AR153,":",$AS153)),INDIRECT(CONCATENATE("'",$AQ153,$AR$150,":",$AS$150)),AB$92)</f>
        <v>-17789</v>
      </c>
      <c r="AC153" s="873">
        <f ca="1">+SUMIFS(INDIRECT(CONCATENATE("'",$AQ153,$AR153,":",$AS153)),INDIRECT(CONCATENATE("'",$AQ153,$AR$150,":",$AS$150)),AC$92)</f>
        <v>-19063</v>
      </c>
      <c r="AD153" s="873">
        <f ca="1">+SUMIFS(INDIRECT(CONCATENATE("'",$AQ153,$AR153,":",$AS153)),INDIRECT(CONCATENATE("'",$AQ153,$AR$150,":",$AS$150)),AD$92)</f>
        <v>-19201</v>
      </c>
      <c r="AE153" s="873">
        <f ca="1">+SUMIFS(INDIRECT(CONCATENATE("'",$AQ153,$AR153,":",$AS153)),INDIRECT(CONCATENATE("'",$AQ153,$AR$150,":",$AS$150)),AE$92)</f>
        <v>-20665</v>
      </c>
      <c r="AF153" s="893">
        <f ca="1">+SUM(AB153:AE153)</f>
        <v>-76718</v>
      </c>
      <c r="AG153" s="873">
        <f ca="1">+SUMIFS(INDIRECT(CONCATENATE("'",$AQ153,$AR153,":",$AS153)),INDIRECT(CONCATENATE("'",$AQ153,$AR$150,":",$AS$150)),AG$92)</f>
        <v>-22330</v>
      </c>
      <c r="AH153" s="873">
        <f ca="1">+SUMIFS(INDIRECT(CONCATENATE("'",$AQ153,$AR153,":",$AS153)),INDIRECT(CONCATENATE("'",$AQ153,$AR$150,":",$AS$150)),AH$92)</f>
        <v>-21422</v>
      </c>
      <c r="AI153" s="873">
        <f ca="1">+SUMIFS(INDIRECT(CONCATENATE("'",$AQ153,$AR153,":",$AS153)),INDIRECT(CONCATENATE("'",$AQ153,$AR$150,":",$AS$150)),AI$92)</f>
        <v>-22724</v>
      </c>
      <c r="AJ153" s="873">
        <f ca="1">+SUMIFS(INDIRECT(CONCATENATE("'",$AQ153,$AR153,":",$AS153)),INDIRECT(CONCATENATE("'",$AQ153,$AR$150,":",$AS$150)),AJ$92)</f>
        <v>-32486</v>
      </c>
      <c r="AK153" s="893">
        <f ca="1">+SUM(AG153:AJ153)</f>
        <v>-98962</v>
      </c>
      <c r="AL153" s="873">
        <f ca="1">+SUMIFS(INDIRECT(CONCATENATE("'",$AQ153,$AR153,":",$AS153)),INDIRECT(CONCATENATE("'",$AQ153,$AR$150,":",$AS$150)),AL$92)</f>
        <v>-29352</v>
      </c>
      <c r="AM153" s="873">
        <f ca="1">+SUMIFS(INDIRECT(CONCATENATE("'",$AQ153,$AR153,":",$AS153)),INDIRECT(CONCATENATE("'",$AQ153,$AR$150,":",$AS$150)),AM$92)</f>
        <v>-38343</v>
      </c>
      <c r="AN153" s="873">
        <f ca="1">+SUMIFS(INDIRECT(CONCATENATE("'",$AQ153,$AR153,":",$AS153)),INDIRECT(CONCATENATE("'",$AQ153,$AR$150,":",$AS$150)),AN$92)</f>
        <v>-47138</v>
      </c>
      <c r="AO153" s="873">
        <f ca="1">+SUMIFS(INDIRECT(CONCATENATE("'",$AQ153,$AR153,":",$AS153)),INDIRECT(CONCATENATE("'",$AQ153,$AR$150,":",$AS$150)),AO$92)</f>
        <v>-42628</v>
      </c>
      <c r="AP153" s="1239">
        <f ca="1">+SUM(AL153:AO153)</f>
        <v>-157461</v>
      </c>
      <c r="AQ153" s="268" t="s">
        <v>1042</v>
      </c>
      <c r="AR153" s="1195" t="s">
        <v>1301</v>
      </c>
      <c r="AS153" s="1195" t="s">
        <v>1301</v>
      </c>
      <c r="AT153" s="1195"/>
      <c r="AU153" s="1195" t="s">
        <v>1042</v>
      </c>
      <c r="AV153" s="1195" t="s">
        <v>1041</v>
      </c>
      <c r="AW153" s="1067"/>
      <c r="AX153" s="1067" t="s">
        <v>1042</v>
      </c>
      <c r="AY153" s="1045" t="s">
        <v>1041</v>
      </c>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row>
    <row r="154" spans="1:79" s="867" customFormat="1" ht="13.5" customHeight="1" x14ac:dyDescent="0.2">
      <c r="A154" s="872"/>
      <c r="B154" s="877" t="s">
        <v>1047</v>
      </c>
      <c r="C154" s="38" t="s">
        <v>47</v>
      </c>
      <c r="D154" s="38" t="s">
        <v>47</v>
      </c>
      <c r="E154" s="38" t="s">
        <v>47</v>
      </c>
      <c r="F154" s="38" t="s">
        <v>47</v>
      </c>
      <c r="G154" s="892" t="s">
        <v>47</v>
      </c>
      <c r="H154" s="891">
        <f t="shared" ref="H154:S154" ca="1" si="177">+H153/H151</f>
        <v>-0.94677441828061859</v>
      </c>
      <c r="I154" s="891">
        <f t="shared" ca="1" si="177"/>
        <v>-0.92650421891018053</v>
      </c>
      <c r="J154" s="891">
        <f t="shared" ca="1" si="177"/>
        <v>-0.84914400805639478</v>
      </c>
      <c r="K154" s="891">
        <f t="shared" ca="1" si="177"/>
        <v>-0.84700397168019337</v>
      </c>
      <c r="L154" s="878">
        <f t="shared" ca="1" si="177"/>
        <v>-0.88069293634654489</v>
      </c>
      <c r="M154" s="891">
        <f t="shared" ca="1" si="177"/>
        <v>-0.94416114227434977</v>
      </c>
      <c r="N154" s="891">
        <f t="shared" ca="1" si="177"/>
        <v>-0.89246929184101709</v>
      </c>
      <c r="O154" s="891">
        <f t="shared" ca="1" si="177"/>
        <v>-0.8328041522613151</v>
      </c>
      <c r="P154" s="891">
        <f t="shared" ca="1" si="177"/>
        <v>-0.57715832958043023</v>
      </c>
      <c r="Q154" s="878">
        <f t="shared" ca="1" si="177"/>
        <v>-0.79818227438735401</v>
      </c>
      <c r="R154" s="891">
        <f t="shared" ca="1" si="177"/>
        <v>-0.79770202570246129</v>
      </c>
      <c r="S154" s="891">
        <f t="shared" ca="1" si="177"/>
        <v>-0.58901121728292483</v>
      </c>
      <c r="T154" s="891">
        <f t="shared" ref="T154:Y154" ca="1" si="178">+T153/T151</f>
        <v>-0.60375979112271538</v>
      </c>
      <c r="U154" s="891">
        <f t="shared" ca="1" si="178"/>
        <v>-0.86882463478208161</v>
      </c>
      <c r="V154" s="878">
        <f t="shared" ca="1" si="178"/>
        <v>-0.70817694187014613</v>
      </c>
      <c r="W154" s="891">
        <f t="shared" ca="1" si="178"/>
        <v>-0.8102867758040172</v>
      </c>
      <c r="X154" s="891">
        <f t="shared" ca="1" si="178"/>
        <v>-0.66775791152522457</v>
      </c>
      <c r="Y154" s="891">
        <f t="shared" ca="1" si="178"/>
        <v>-0.72552380136252625</v>
      </c>
      <c r="Z154" s="891">
        <f t="shared" ref="Z154:AF154" ca="1" si="179">+Z153/Z151</f>
        <v>-0.71236937671385159</v>
      </c>
      <c r="AA154" s="878">
        <f t="shared" ca="1" si="179"/>
        <v>-0.72255600424614508</v>
      </c>
      <c r="AB154" s="891">
        <f t="shared" ca="1" si="179"/>
        <v>-0.62626298186938922</v>
      </c>
      <c r="AC154" s="891">
        <f t="shared" ca="1" si="179"/>
        <v>-0.63465059759629794</v>
      </c>
      <c r="AD154" s="891">
        <f t="shared" ca="1" si="179"/>
        <v>-0.673482988425114</v>
      </c>
      <c r="AE154" s="891">
        <f t="shared" ca="1" si="179"/>
        <v>-0.67347803415460827</v>
      </c>
      <c r="AF154" s="878">
        <f t="shared" ca="1" si="179"/>
        <v>-0.65216430344452381</v>
      </c>
      <c r="AG154" s="891">
        <f t="shared" ref="AG154:AM154" ca="1" si="180">+AG153/AG151</f>
        <v>-0.60718947139438761</v>
      </c>
      <c r="AH154" s="891">
        <f t="shared" ca="1" si="180"/>
        <v>-0.61263476992593013</v>
      </c>
      <c r="AI154" s="891">
        <f t="shared" ca="1" si="180"/>
        <v>-0.55242494226327943</v>
      </c>
      <c r="AJ154" s="891">
        <f t="shared" ca="1" si="180"/>
        <v>-0.68288068611788444</v>
      </c>
      <c r="AK154" s="878">
        <f t="shared" ca="1" si="180"/>
        <v>-0.61677781240261764</v>
      </c>
      <c r="AL154" s="891">
        <f t="shared" ca="1" si="180"/>
        <v>-0.56635665496083043</v>
      </c>
      <c r="AM154" s="891">
        <f t="shared" ca="1" si="180"/>
        <v>-0.54362558838541375</v>
      </c>
      <c r="AN154" s="891">
        <f t="shared" ref="AN154:AP154" ca="1" si="181">+AN153/AN151</f>
        <v>-0.63248711893516529</v>
      </c>
      <c r="AO154" s="891">
        <f t="shared" ca="1" si="181"/>
        <v>-0.65243277163016367</v>
      </c>
      <c r="AP154" s="1238">
        <f t="shared" ca="1" si="181"/>
        <v>-0.60048508330695627</v>
      </c>
      <c r="AQ154" s="868"/>
      <c r="AR154" s="868"/>
      <c r="AS154" s="868"/>
      <c r="AT154" s="868"/>
      <c r="AU154" s="868"/>
      <c r="AV154" s="868"/>
      <c r="AY154" s="1041"/>
      <c r="AZ154" s="1041"/>
      <c r="BA154" s="868"/>
      <c r="BB154" s="868"/>
      <c r="BC154" s="868"/>
      <c r="BD154" s="868"/>
      <c r="BE154" s="868"/>
      <c r="BF154" s="868"/>
      <c r="BG154" s="868"/>
      <c r="BH154" s="868"/>
      <c r="BI154" s="868"/>
      <c r="BJ154" s="868"/>
      <c r="BK154" s="868"/>
      <c r="BL154" s="868"/>
      <c r="BM154" s="868"/>
      <c r="BN154" s="868"/>
      <c r="BO154" s="868"/>
      <c r="BP154" s="868"/>
      <c r="BQ154" s="868"/>
      <c r="BR154" s="868"/>
      <c r="BS154" s="868"/>
      <c r="BT154" s="868"/>
      <c r="BU154" s="868"/>
      <c r="BV154" s="868"/>
      <c r="BW154" s="868"/>
      <c r="BX154" s="868"/>
      <c r="BY154" s="868"/>
      <c r="BZ154" s="868"/>
      <c r="CA154" s="868"/>
    </row>
    <row r="155" spans="1:79" ht="13.5" customHeight="1" x14ac:dyDescent="0.2">
      <c r="B155" s="895" t="s">
        <v>1046</v>
      </c>
      <c r="C155" s="38" t="s">
        <v>47</v>
      </c>
      <c r="D155" s="38" t="s">
        <v>47</v>
      </c>
      <c r="E155" s="38" t="s">
        <v>47</v>
      </c>
      <c r="F155" s="38" t="s">
        <v>47</v>
      </c>
      <c r="G155" s="894" t="s">
        <v>47</v>
      </c>
      <c r="H155" s="873">
        <f ca="1">+SUMIFS(INDIRECT(CONCATENATE("'",$AQ155,$AR155,":",$AS155)),INDIRECT(CONCATENATE("'",$AQ155,$AR$150,":",$AS$150)),H$92)+SUMIFS(INDIRECT(CONCATENATE("'",$AQ155,$AT155,":",$AU155)),INDIRECT(CONCATENATE("'",$AQ155,$AR$150,":",$AS$150)),H$92)+SUMIFS(INDIRECT(CONCATENATE("'",$AQ155,$AV155,":",$AW155)),INDIRECT(CONCATENATE("'",$AQ155,$AR$150,":",$AS$150)),H$92)</f>
        <v>-1493</v>
      </c>
      <c r="I155" s="873">
        <f ca="1">+SUMIFS(INDIRECT(CONCATENATE("'",$AQ155,$AR155,":",$AS155)),INDIRECT(CONCATENATE("'",$AQ155,$AR$150,":",$AS$150)),I$92)+SUMIFS(INDIRECT(CONCATENATE("'",$AQ155,$AT155,":",$AU155)),INDIRECT(CONCATENATE("'",$AQ155,$AR$150,":",$AS$150)),I$92)+SUMIFS(INDIRECT(CONCATENATE("'",$AQ155,$AV155,":",$AW155)),INDIRECT(CONCATENATE("'",$AQ155,$AR$150,":",$AS$150)),I$92)</f>
        <v>-1693</v>
      </c>
      <c r="J155" s="873">
        <f ca="1">+SUMIFS(INDIRECT(CONCATENATE("'",$AQ155,$AR155,":",$AS155)),INDIRECT(CONCATENATE("'",$AQ155,$AR$150,":",$AS$150)),J$92)+SUMIFS(INDIRECT(CONCATENATE("'",$AQ155,$AT155,":",$AU155)),INDIRECT(CONCATENATE("'",$AQ155,$AR$150,":",$AS$150)),J$92)+SUMIFS(INDIRECT(CONCATENATE("'",$AQ155,$AV155,":",$AW155)),INDIRECT(CONCATENATE("'",$AQ155,$AR$150,":",$AS$150)),J$92)</f>
        <v>-1447</v>
      </c>
      <c r="K155" s="873">
        <f ca="1">+SUMIFS(INDIRECT(CONCATENATE("'",$AQ155,$AR155,":",$AS155)),INDIRECT(CONCATENATE("'",$AQ155,$AR$150,":",$AS$150)),K$92)+SUMIFS(INDIRECT(CONCATENATE("'",$AQ155,$AT155,":",$AU155)),INDIRECT(CONCATENATE("'",$AQ155,$AR$150,":",$AS$150)),K$92)+SUMIFS(INDIRECT(CONCATENATE("'",$AQ155,$AV155,":",$AW155)),INDIRECT(CONCATENATE("'",$AQ155,$AR$150,":",$AS$150)),K$92)</f>
        <v>-1394</v>
      </c>
      <c r="L155" s="893">
        <f ca="1">+SUM(H155:K155)</f>
        <v>-6027</v>
      </c>
      <c r="M155" s="873">
        <f ca="1">+SUMIFS(INDIRECT(CONCATENATE("'",$AQ155,$AR155,":",$AS155)),INDIRECT(CONCATENATE("'",$AQ155,$AR$150,":",$AS$150)),M$92)+SUMIFS(INDIRECT(CONCATENATE("'",$AQ155,$AT155,":",$AU155)),INDIRECT(CONCATENATE("'",$AQ155,$AR$150,":",$AS$150)),M$92)+SUMIFS(INDIRECT(CONCATENATE("'",$AQ155,$AV155,":",$AW155)),INDIRECT(CONCATENATE("'",$AQ155,$AR$150,":",$AS$150)),M$92)</f>
        <v>-2079</v>
      </c>
      <c r="N155" s="873">
        <f ca="1">+SUMIFS(INDIRECT(CONCATENATE("'",$AQ155,$AR155,":",$AS155)),INDIRECT(CONCATENATE("'",$AQ155,$AR$150,":",$AS$150)),N$92)+SUMIFS(INDIRECT(CONCATENATE("'",$AQ155,$AT155,":",$AU155)),INDIRECT(CONCATENATE("'",$AQ155,$AR$150,":",$AS$150)),N$92)+SUMIFS(INDIRECT(CONCATENATE("'",$AQ155,$AV155,":",$AW155)),INDIRECT(CONCATENATE("'",$AQ155,$AR$150,":",$AS$150)),N$92)</f>
        <v>-185</v>
      </c>
      <c r="O155" s="873">
        <f ca="1">+SUMIFS(INDIRECT(CONCATENATE("'",$AQ155,$AR155,":",$AS155)),INDIRECT(CONCATENATE("'",$AQ155,$AR$150,":",$AS$150)),O$92)+SUMIFS(INDIRECT(CONCATENATE("'",$AQ155,$AT155,":",$AU155)),INDIRECT(CONCATENATE("'",$AQ155,$AR$150,":",$AS$150)),O$92)+SUMIFS(INDIRECT(CONCATENATE("'",$AQ155,$AV155,":",$AW155)),INDIRECT(CONCATENATE("'",$AQ155,$AR$150,":",$AS$150)),O$92)</f>
        <v>-718.71884479000073</v>
      </c>
      <c r="P155" s="873">
        <f ca="1">+SUMIFS(INDIRECT(CONCATENATE("'",$AQ155,$AR155,":",$AS155)),INDIRECT(CONCATENATE("'",$AQ155,$AR$150,":",$AS$150)),P$92)+SUMIFS(INDIRECT(CONCATENATE("'",$AQ155,$AT155,":",$AU155)),INDIRECT(CONCATENATE("'",$AQ155,$AR$150,":",$AS$150)),P$92)+SUMIFS(INDIRECT(CONCATENATE("'",$AQ155,$AV155,":",$AW155)),INDIRECT(CONCATENATE("'",$AQ155,$AR$150,":",$AS$150)),P$92)</f>
        <v>-1475.2811552099993</v>
      </c>
      <c r="Q155" s="893">
        <f ca="1">+SUM(M155:P155)</f>
        <v>-4458</v>
      </c>
      <c r="R155" s="873">
        <f ca="1">+SUMIFS(INDIRECT(CONCATENATE("'",$AQ155,$AR155,":",$AS155)),INDIRECT(CONCATENATE("'",$AQ155,$AR$150,":",$AS$150)),R$92)+SUMIFS(INDIRECT(CONCATENATE("'",$AQ155,$AT155,":",$AU155)),INDIRECT(CONCATENATE("'",$AQ155,$AR$150,":",$AS$150)),R$92)+SUMIFS(INDIRECT(CONCATENATE("'",$AQ155,$AV155,":",$AW155)),INDIRECT(CONCATENATE("'",$AQ155,$AR$150,":",$AS$150)),R$92)</f>
        <v>719</v>
      </c>
      <c r="S155" s="873">
        <f ca="1">+SUMIFS(INDIRECT(CONCATENATE("'",$AQ155,$AR155,":",$AS155)),INDIRECT(CONCATENATE("'",$AQ155,$AR$150,":",$AS$150)),S$92)+SUMIFS(INDIRECT(CONCATENATE("'",$AQ155,$AT155,":",$AU155)),INDIRECT(CONCATENATE("'",$AQ155,$AR$150,":",$AS$150)),S$92)+SUMIFS(INDIRECT(CONCATENATE("'",$AQ155,$AV155,":",$AW155)),INDIRECT(CONCATENATE("'",$AQ155,$AR$150,":",$AS$150)),S$92)</f>
        <v>-470</v>
      </c>
      <c r="T155" s="873">
        <f ca="1">+SUMIFS(INDIRECT(CONCATENATE("'",$AQ155,$AR155,":",$AS155)),INDIRECT(CONCATENATE("'",$AQ155,$AR$150,":",$AS$150)),T$92)+SUMIFS(INDIRECT(CONCATENATE("'",$AQ155,$AT155,":",$AU155)),INDIRECT(CONCATENATE("'",$AQ155,$AR$150,":",$AS$150)),T$92)+SUMIFS(INDIRECT(CONCATENATE("'",$AQ155,$AV155,":",$AW155)),INDIRECT(CONCATENATE("'",$AQ155,$AR$150,":",$AS$150)),T$92)</f>
        <v>-584</v>
      </c>
      <c r="U155" s="873">
        <f ca="1">+SUMIFS(INDIRECT(CONCATENATE("'",$AQ155,$AR155,":",$AS155)),INDIRECT(CONCATENATE("'",$AQ155,$AR$150,":",$AS$150)),U$92)+SUMIFS(INDIRECT(CONCATENATE("'",$AQ155,$AT155,":",$AU155)),INDIRECT(CONCATENATE("'",$AQ155,$AR$150,":",$AS$150)),U$92)+SUMIFS(INDIRECT(CONCATENATE("'",$AQ155,$AV155,":",$AW155)),INDIRECT(CONCATENATE("'",$AQ155,$AR$150,":",$AS$150)),U$92)</f>
        <v>-2467</v>
      </c>
      <c r="V155" s="893">
        <f ca="1">+SUM(R155:U155)</f>
        <v>-2802</v>
      </c>
      <c r="W155" s="873">
        <f ca="1">+SUMIFS(INDIRECT(CONCATENATE("'",$AQ155,$AR155,":",$AS155)),INDIRECT(CONCATENATE("'",$AQ155,$AR$150,":",$AS$150)),W$92)+SUMIFS(INDIRECT(CONCATENATE("'",$AQ155,$AT155,":",$AU155)),INDIRECT(CONCATENATE("'",$AQ155,$AR$150,":",$AS$150)),W$92)+SUMIFS(INDIRECT(CONCATENATE("'",$AQ155,$AV155,":",$AW155)),INDIRECT(CONCATENATE("'",$AQ155,$AR$150,":",$AS$150)),W$92)</f>
        <v>-1344</v>
      </c>
      <c r="X155" s="873">
        <f ca="1">+SUMIFS(INDIRECT(CONCATENATE("'",$AQ155,$AR155,":",$AS155)),INDIRECT(CONCATENATE("'",$AQ155,$AR$150,":",$AS$150)),X$92)+SUMIFS(INDIRECT(CONCATENATE("'",$AQ155,$AT155,":",$AU155)),INDIRECT(CONCATENATE("'",$AQ155,$AR$150,":",$AS$150)),X$92)+SUMIFS(INDIRECT(CONCATENATE("'",$AQ155,$AV155,":",$AW155)),INDIRECT(CONCATENATE("'",$AQ155,$AR$150,":",$AS$150)),X$92)</f>
        <v>-1423</v>
      </c>
      <c r="Y155" s="873">
        <f ca="1">+SUMIFS(INDIRECT(CONCATENATE("'",$AQ155,$AR155,":",$AS155)),INDIRECT(CONCATENATE("'",$AQ155,$AR$150,":",$AS$150)),Y$92)+SUMIFS(INDIRECT(CONCATENATE("'",$AQ155,$AT155,":",$AU155)),INDIRECT(CONCATENATE("'",$AQ155,$AR$150,":",$AS$150)),Y$92)+SUMIFS(INDIRECT(CONCATENATE("'",$AQ155,$AV155,":",$AW155)),INDIRECT(CONCATENATE("'",$AQ155,$AR$150,":",$AS$150)),Y$92)</f>
        <v>-1306</v>
      </c>
      <c r="Z155" s="873">
        <f ca="1">+SUMIFS(INDIRECT(CONCATENATE("'",$AQ155,$AR155,":",$AS155)),INDIRECT(CONCATENATE("'",$AQ155,$AR$150,":",$AS$150)),Z$92)+SUMIFS(INDIRECT(CONCATENATE("'",$AQ155,$AT155,":",$AU155)),INDIRECT(CONCATENATE("'",$AQ155,$AR$150,":",$AS$150)),Z$92)+SUMIFS(INDIRECT(CONCATENATE("'",$AQ155,$AV155,":",$AW155)),INDIRECT(CONCATENATE("'",$AQ155,$AR$150,":",$AS$150)),Z$92)</f>
        <v>-2714</v>
      </c>
      <c r="AA155" s="893">
        <f ca="1">+SUM(W155:Z155)</f>
        <v>-6787</v>
      </c>
      <c r="AB155" s="873">
        <f ca="1">+SUMIFS(INDIRECT(CONCATENATE("'",$AQ155,$AR155,":",$AS155)),INDIRECT(CONCATENATE("'",$AQ155,$AR$150,":",$AS$150)),AB$92)+SUMIFS(INDIRECT(CONCATENATE("'",$AQ155,$AT155,":",$AU155)),INDIRECT(CONCATENATE("'",$AQ155,$AR$150,":",$AS$150)),AB$92)+SUMIFS(INDIRECT(CONCATENATE("'",$AQ155,$AV155,":",$AW155)),INDIRECT(CONCATENATE("'",$AQ155,$AR$150,":",$AS$150)),AB$92)</f>
        <v>-1718</v>
      </c>
      <c r="AC155" s="873">
        <f ca="1">+SUMIFS(INDIRECT(CONCATENATE("'",$AQ155,$AR155,":",$AS155)),INDIRECT(CONCATENATE("'",$AQ155,$AR$150,":",$AS$150)),AC$92)+SUMIFS(INDIRECT(CONCATENATE("'",$AQ155,$AT155,":",$AU155)),INDIRECT(CONCATENATE("'",$AQ155,$AR$150,":",$AS$150)),AC$92)+SUMIFS(INDIRECT(CONCATENATE("'",$AQ155,$AV155,":",$AW155)),INDIRECT(CONCATENATE("'",$AQ155,$AR$150,":",$AS$150)),AC$92)</f>
        <v>-1947</v>
      </c>
      <c r="AD155" s="873">
        <f ca="1">+SUMIFS(INDIRECT(CONCATENATE("'",$AQ155,$AR155,":",$AS155)),INDIRECT(CONCATENATE("'",$AQ155,$AR$150,":",$AS$150)),AD$92)+SUMIFS(INDIRECT(CONCATENATE("'",$AQ155,$AT155,":",$AU155)),INDIRECT(CONCATENATE("'",$AQ155,$AR$150,":",$AS$150)),AD$92)+SUMIFS(INDIRECT(CONCATENATE("'",$AQ155,$AV155,":",$AW155)),INDIRECT(CONCATENATE("'",$AQ155,$AR$150,":",$AS$150)),AD$92)</f>
        <v>-2279</v>
      </c>
      <c r="AE155" s="873">
        <f ca="1">+SUMIFS(INDIRECT(CONCATENATE("'",$AQ155,$AR155,":",$AS155)),INDIRECT(CONCATENATE("'",$AQ155,$AR$150,":",$AS$150)),AE$92)+SUMIFS(INDIRECT(CONCATENATE("'",$AQ155,$AT155,":",$AU155)),INDIRECT(CONCATENATE("'",$AQ155,$AR$150,":",$AS$150)),AE$92)+SUMIFS(INDIRECT(CONCATENATE("'",$AQ155,$AV155,":",$AW155)),INDIRECT(CONCATENATE("'",$AQ155,$AR$150,":",$AS$150)),AE$92)</f>
        <v>-2600</v>
      </c>
      <c r="AF155" s="893">
        <f ca="1">+SUM(AB155:AE155)</f>
        <v>-8544</v>
      </c>
      <c r="AG155" s="873">
        <f ca="1">+SUMIFS(INDIRECT(CONCATENATE("'",$AQ155,$AR155,":",$AS155)),INDIRECT(CONCATENATE("'",$AQ155,$AR$150,":",$AS$150)),AG$92)+SUMIFS(INDIRECT(CONCATENATE("'",$AQ155,$AT155,":",$AU155)),INDIRECT(CONCATENATE("'",$AQ155,$AR$150,":",$AS$150)),AG$92)+SUMIFS(INDIRECT(CONCATENATE("'",$AQ155,$AV155,":",$AW155)),INDIRECT(CONCATENATE("'",$AQ155,$AR$150,":",$AS$150)),AG$92)</f>
        <v>-2336</v>
      </c>
      <c r="AH155" s="873">
        <f ca="1">+SUMIFS(INDIRECT(CONCATENATE("'",$AQ155,$AR155,":",$AS155)),INDIRECT(CONCATENATE("'",$AQ155,$AR$150,":",$AS$150)),AH$92)+SUMIFS(INDIRECT(CONCATENATE("'",$AQ155,$AT155,":",$AU155)),INDIRECT(CONCATENATE("'",$AQ155,$AR$150,":",$AS$150)),AH$92)+SUMIFS(INDIRECT(CONCATENATE("'",$AQ155,$AV155,":",$AW155)),INDIRECT(CONCATENATE("'",$AQ155,$AR$150,":",$AS$150)),AH$92)</f>
        <v>-3367</v>
      </c>
      <c r="AI155" s="873">
        <f ca="1">+SUMIFS(INDIRECT(CONCATENATE("'",$AQ155,$AR155,":",$AS155)),INDIRECT(CONCATENATE("'",$AQ155,$AR$150,":",$AS$150)),AI$92)+SUMIFS(INDIRECT(CONCATENATE("'",$AQ155,$AT155,":",$AU155)),INDIRECT(CONCATENATE("'",$AQ155,$AR$150,":",$AS$150)),AI$92)+SUMIFS(INDIRECT(CONCATENATE("'",$AQ155,$AV155,":",$AW155)),INDIRECT(CONCATENATE("'",$AQ155,$AR$150,":",$AS$150)),AI$92)</f>
        <v>-2772</v>
      </c>
      <c r="AJ155" s="873">
        <f ca="1">+SUMIFS(INDIRECT(CONCATENATE("'",$AQ155,$AR155,":",$AS155)),INDIRECT(CONCATENATE("'",$AQ155,$AR$150,":",$AS$150)),AJ$92)+SUMIFS(INDIRECT(CONCATENATE("'",$AQ155,$AT155,":",$AU155)),INDIRECT(CONCATENATE("'",$AQ155,$AR$150,":",$AS$150)),AJ$92)+SUMIFS(INDIRECT(CONCATENATE("'",$AQ155,$AV155,":",$AW155)),INDIRECT(CONCATENATE("'",$AQ155,$AR$150,":",$AS$150)),AJ$92)</f>
        <v>-2691</v>
      </c>
      <c r="AK155" s="893">
        <f ca="1">+SUM(AG155:AJ155)</f>
        <v>-11166</v>
      </c>
      <c r="AL155" s="873">
        <f ca="1">+SUMIFS(INDIRECT(CONCATENATE("'",$AQ155,$AR155,":",$AS155)),INDIRECT(CONCATENATE("'",$AQ155,$AR$150,":",$AS$150)),AL$92)+SUMIFS(INDIRECT(CONCATENATE("'",$AQ155,$AT155,":",$AU155)),INDIRECT(CONCATENATE("'",$AQ155,$AR$150,":",$AS$150)),AL$92)+SUMIFS(INDIRECT(CONCATENATE("'",$AQ155,$AV155,":",$AW155)),INDIRECT(CONCATENATE("'",$AQ155,$AR$150,":",$AS$150)),AL$92)</f>
        <v>-2495</v>
      </c>
      <c r="AM155" s="873">
        <f ca="1">+SUMIFS(INDIRECT(CONCATENATE("'",$AQ155,$AR155,":",$AS155)),INDIRECT(CONCATENATE("'",$AQ155,$AR$150,":",$AS$150)),AM$92)+SUMIFS(INDIRECT(CONCATENATE("'",$AQ155,$AT155,":",$AU155)),INDIRECT(CONCATENATE("'",$AQ155,$AR$150,":",$AS$150)),AM$92)+SUMIFS(INDIRECT(CONCATENATE("'",$AQ155,$AV155,":",$AW155)),INDIRECT(CONCATENATE("'",$AQ155,$AR$150,":",$AS$150)),AM$92)</f>
        <v>-2982</v>
      </c>
      <c r="AN155" s="873">
        <f ca="1">+SUMIFS(INDIRECT(CONCATENATE("'",$AQ155,$AR155,":",$AS155)),INDIRECT(CONCATENATE("'",$AQ155,$AR$150,":",$AS$150)),AN$92)+SUMIFS(INDIRECT(CONCATENATE("'",$AQ155,$AT155,":",$AU155)),INDIRECT(CONCATENATE("'",$AQ155,$AR$150,":",$AS$150)),AN$92)+SUMIFS(INDIRECT(CONCATENATE("'",$AQ155,$AV155,":",$AW155)),INDIRECT(CONCATENATE("'",$AQ155,$AR$150,":",$AS$150)),AN$92)</f>
        <v>-3840</v>
      </c>
      <c r="AO155" s="873">
        <f ca="1">+SUMIFS(INDIRECT(CONCATENATE("'",$AQ155,$AR155,":",$AS155)),INDIRECT(CONCATENATE("'",$AQ155,$AR$150,":",$AS$150)),AO$92)+SUMIFS(INDIRECT(CONCATENATE("'",$AQ155,$AT155,":",$AU155)),INDIRECT(CONCATENATE("'",$AQ155,$AR$150,":",$AS$150)),AO$92)+SUMIFS(INDIRECT(CONCATENATE("'",$AQ155,$AV155,":",$AW155)),INDIRECT(CONCATENATE("'",$AQ155,$AR$150,":",$AS$150)),AO$92)</f>
        <v>-4147</v>
      </c>
      <c r="AP155" s="1239">
        <f ca="1">+SUM(AL155:AO155)</f>
        <v>-13464</v>
      </c>
      <c r="AQ155" s="268" t="s">
        <v>1042</v>
      </c>
      <c r="AR155" s="1195" t="s">
        <v>1302</v>
      </c>
      <c r="AS155" s="1195" t="s">
        <v>1302</v>
      </c>
      <c r="AT155" s="1195" t="s">
        <v>1303</v>
      </c>
      <c r="AU155" s="1195" t="s">
        <v>1303</v>
      </c>
      <c r="AV155" s="1195" t="s">
        <v>1308</v>
      </c>
      <c r="AW155" s="1067" t="s">
        <v>1308</v>
      </c>
      <c r="AX155" s="1067" t="s">
        <v>1042</v>
      </c>
      <c r="AY155" s="1045" t="s">
        <v>1042</v>
      </c>
      <c r="AZ155" s="1045" t="s">
        <v>1041</v>
      </c>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row>
    <row r="156" spans="1:79" s="867" customFormat="1" ht="13.5" customHeight="1" x14ac:dyDescent="0.2">
      <c r="A156" s="872"/>
      <c r="B156" s="877" t="s">
        <v>1074</v>
      </c>
      <c r="C156" s="38" t="s">
        <v>47</v>
      </c>
      <c r="D156" s="38" t="s">
        <v>47</v>
      </c>
      <c r="E156" s="38" t="s">
        <v>47</v>
      </c>
      <c r="F156" s="38" t="s">
        <v>47</v>
      </c>
      <c r="G156" s="892" t="s">
        <v>47</v>
      </c>
      <c r="H156" s="891">
        <f t="shared" ref="H156:S156" ca="1" si="182">+H155/H151</f>
        <v>-0.20802563745297478</v>
      </c>
      <c r="I156" s="891">
        <f t="shared" ca="1" si="182"/>
        <v>-0.13350682122860974</v>
      </c>
      <c r="J156" s="891">
        <f t="shared" ca="1" si="182"/>
        <v>-9.7146693521315872E-2</v>
      </c>
      <c r="K156" s="891">
        <f t="shared" ca="1" si="182"/>
        <v>-8.0239452023254471E-2</v>
      </c>
      <c r="L156" s="878">
        <f t="shared" ca="1" si="182"/>
        <v>-0.11562368108045888</v>
      </c>
      <c r="M156" s="891">
        <f t="shared" ca="1" si="182"/>
        <v>-0.13252167261601225</v>
      </c>
      <c r="N156" s="891">
        <f t="shared" ca="1" si="182"/>
        <v>-1.1350668155547102E-2</v>
      </c>
      <c r="O156" s="891">
        <f t="shared" ca="1" si="182"/>
        <v>-3.7050206278483995E-2</v>
      </c>
      <c r="P156" s="891">
        <f t="shared" ca="1" si="182"/>
        <v>-7.2485099104637088E-2</v>
      </c>
      <c r="Q156" s="878">
        <f t="shared" ca="1" si="182"/>
        <v>-6.2142797401656028E-2</v>
      </c>
      <c r="R156" s="891">
        <f t="shared" ca="1" si="182"/>
        <v>3.9152690045741671E-2</v>
      </c>
      <c r="S156" s="891">
        <f t="shared" ca="1" si="182"/>
        <v>-2.4407976734524304E-2</v>
      </c>
      <c r="T156" s="891">
        <f t="shared" ref="T156:Y156" ca="1" si="183">+T155/T151</f>
        <v>-3.0496083550913839E-2</v>
      </c>
      <c r="U156" s="891">
        <f t="shared" ca="1" si="183"/>
        <v>-0.14954234103170275</v>
      </c>
      <c r="V156" s="878">
        <f t="shared" ca="1" si="183"/>
        <v>-3.8243684059672156E-2</v>
      </c>
      <c r="W156" s="891">
        <f t="shared" ca="1" si="183"/>
        <v>-7.8021595262974572E-2</v>
      </c>
      <c r="X156" s="891">
        <f t="shared" ca="1" si="183"/>
        <v>-5.9724670527994628E-2</v>
      </c>
      <c r="Y156" s="891">
        <f t="shared" ca="1" si="183"/>
        <v>-5.5957838810574576E-2</v>
      </c>
      <c r="Z156" s="891">
        <f t="shared" ref="Z156:AF156" ca="1" si="184">+Z155/Z151</f>
        <v>-0.10057066627139999</v>
      </c>
      <c r="AA156" s="878">
        <f t="shared" ca="1" si="184"/>
        <v>-7.4274708077524981E-2</v>
      </c>
      <c r="AB156" s="891">
        <f t="shared" ca="1" si="184"/>
        <v>-6.0482309452561167E-2</v>
      </c>
      <c r="AC156" s="891">
        <f t="shared" ca="1" si="184"/>
        <v>-6.4820055265172954E-2</v>
      </c>
      <c r="AD156" s="891">
        <f t="shared" ca="1" si="184"/>
        <v>-7.9936864258155035E-2</v>
      </c>
      <c r="AE156" s="891">
        <f t="shared" ca="1" si="184"/>
        <v>-8.4734715160995955E-2</v>
      </c>
      <c r="AF156" s="878">
        <f t="shared" ca="1" si="184"/>
        <v>-7.2630827297765987E-2</v>
      </c>
      <c r="AG156" s="891">
        <f t="shared" ref="AG156:AM156" ca="1" si="185">+AG155/AG151</f>
        <v>-6.3519686752229715E-2</v>
      </c>
      <c r="AH156" s="891">
        <f t="shared" ca="1" si="185"/>
        <v>-9.6290788457688681E-2</v>
      </c>
      <c r="AI156" s="891">
        <f t="shared" ca="1" si="185"/>
        <v>-6.7387869211134072E-2</v>
      </c>
      <c r="AJ156" s="891">
        <f t="shared" ca="1" si="185"/>
        <v>-5.6566888085428403E-2</v>
      </c>
      <c r="AK156" s="878">
        <f t="shared" ca="1" si="185"/>
        <v>-6.9591773138049234E-2</v>
      </c>
      <c r="AL156" s="891">
        <f t="shared" ca="1" si="185"/>
        <v>-4.8141859298421644E-2</v>
      </c>
      <c r="AM156" s="891">
        <f t="shared" ca="1" si="185"/>
        <v>-4.2278682016673286E-2</v>
      </c>
      <c r="AN156" s="891">
        <f t="shared" ref="AN156:AP156" ca="1" si="186">+AN155/AN151</f>
        <v>-5.1524259338772006E-2</v>
      </c>
      <c r="AO156" s="891">
        <f t="shared" ca="1" si="186"/>
        <v>-6.3470927652019532E-2</v>
      </c>
      <c r="AP156" s="1238">
        <f t="shared" ca="1" si="186"/>
        <v>-5.1345610415562327E-2</v>
      </c>
      <c r="AQ156" s="868"/>
      <c r="AR156" s="868"/>
      <c r="AS156" s="868"/>
      <c r="AT156" s="868"/>
      <c r="AU156" s="868"/>
      <c r="AV156" s="868"/>
      <c r="AY156" s="1041"/>
      <c r="AZ156" s="1041"/>
      <c r="BA156" s="868"/>
      <c r="BB156" s="868"/>
      <c r="BC156" s="868"/>
      <c r="BD156" s="868"/>
      <c r="BE156" s="868"/>
      <c r="BF156" s="868"/>
      <c r="BG156" s="868"/>
      <c r="BH156" s="868"/>
      <c r="BI156" s="868"/>
      <c r="BJ156" s="868"/>
      <c r="BK156" s="868"/>
      <c r="BL156" s="868"/>
      <c r="BM156" s="868"/>
      <c r="BN156" s="868"/>
      <c r="BO156" s="868"/>
      <c r="BP156" s="868"/>
      <c r="BQ156" s="868"/>
      <c r="BR156" s="868"/>
      <c r="BS156" s="868"/>
      <c r="BT156" s="868"/>
      <c r="BU156" s="868"/>
      <c r="BV156" s="868"/>
      <c r="BW156" s="868"/>
      <c r="BX156" s="868"/>
      <c r="BY156" s="868"/>
      <c r="BZ156" s="868"/>
      <c r="CA156" s="868"/>
    </row>
    <row r="157" spans="1:79" ht="13.5" customHeight="1" x14ac:dyDescent="0.2">
      <c r="B157" s="895" t="s">
        <v>1045</v>
      </c>
      <c r="C157" s="38" t="s">
        <v>47</v>
      </c>
      <c r="D157" s="38" t="s">
        <v>47</v>
      </c>
      <c r="E157" s="38" t="s">
        <v>47</v>
      </c>
      <c r="F157" s="38" t="s">
        <v>47</v>
      </c>
      <c r="G157" s="894" t="s">
        <v>47</v>
      </c>
      <c r="H157" s="873">
        <f ca="1">+SUMIFS(INDIRECT(CONCATENATE("'",$AQ157,$AR157,":",$AS157)),INDIRECT(CONCATENATE("'",$AQ157,$AR$150,":",$AS$150)),H$92)</f>
        <v>47</v>
      </c>
      <c r="I157" s="873">
        <f ca="1">+SUMIFS(INDIRECT(CONCATENATE("'",$AQ157,$AR157,":",$AS157)),INDIRECT(CONCATENATE("'",$AQ157,$AR$150,":",$AS$150)),I$92)</f>
        <v>285</v>
      </c>
      <c r="J157" s="873">
        <f ca="1">+SUMIFS(INDIRECT(CONCATENATE("'",$AQ157,$AR157,":",$AS157)),INDIRECT(CONCATENATE("'",$AQ157,$AR$150,":",$AS$150)),J$92)</f>
        <v>-270</v>
      </c>
      <c r="K157" s="873">
        <f ca="1">+SUMIFS(INDIRECT(CONCATENATE("'",$AQ157,$AR157,":",$AS157)),INDIRECT(CONCATENATE("'",$AQ157,$AR$150,":",$AS$150)),K$92)</f>
        <v>148</v>
      </c>
      <c r="L157" s="893">
        <f ca="1">+SUM(H157:K157)</f>
        <v>210</v>
      </c>
      <c r="M157" s="873">
        <f ca="1">+SUMIFS(INDIRECT(CONCATENATE("'",$AQ157,$AR157,":",$AS157)),INDIRECT(CONCATENATE("'",$AQ157,$AR$150,":",$AS$150)),M$92)</f>
        <v>343</v>
      </c>
      <c r="N157" s="873">
        <f ca="1">+SUMIFS(INDIRECT(CONCATENATE("'",$AQ157,$AR157,":",$AS157)),INDIRECT(CONCATENATE("'",$AQ157,$AR$150,":",$AS$150)),N$92)</f>
        <v>-522</v>
      </c>
      <c r="O157" s="873">
        <f ca="1">+SUMIFS(INDIRECT(CONCATENATE("'",$AQ157,$AR157,":",$AS157)),INDIRECT(CONCATENATE("'",$AQ157,$AR$150,":",$AS$150)),O$92)</f>
        <v>-831.94018637140061</v>
      </c>
      <c r="P157" s="873">
        <f ca="1">+SUMIFS(INDIRECT(CONCATENATE("'",$AQ157,$AR157,":",$AS157)),INDIRECT(CONCATENATE("'",$AQ157,$AR$150,":",$AS$150)),P$92)</f>
        <v>-2371.0598136285994</v>
      </c>
      <c r="Q157" s="893">
        <f ca="1">+SUM(M157:P157)</f>
        <v>-3382</v>
      </c>
      <c r="R157" s="873">
        <f ca="1">+SUMIFS(INDIRECT(CONCATENATE("'",$AQ157,$AR157,":",$AS157)),INDIRECT(CONCATENATE("'",$AQ157,$AR$150,":",$AS$150)),R$92)</f>
        <v>-1506</v>
      </c>
      <c r="S157" s="873">
        <f ca="1">+SUMIFS(INDIRECT(CONCATENATE("'",$AQ157,$AR157,":",$AS157)),INDIRECT(CONCATENATE("'",$AQ157,$AR$150,":",$AS$150)),S$92)</f>
        <v>-2490</v>
      </c>
      <c r="T157" s="873">
        <f ca="1">+SUMIFS(INDIRECT(CONCATENATE("'",$AQ157,$AR157,":",$AS157)),INDIRECT(CONCATENATE("'",$AQ157,$AR$150,":",$AS$150)),T$92)</f>
        <v>-1882</v>
      </c>
      <c r="U157" s="873">
        <f ca="1">+SUMIFS(INDIRECT(CONCATENATE("'",$AQ157,$AR157,":",$AS157)),INDIRECT(CONCATENATE("'",$AQ157,$AR$150,":",$AS$150)),U$92)</f>
        <v>17</v>
      </c>
      <c r="V157" s="893">
        <f ca="1">+SUM(R157:U157)</f>
        <v>-5861</v>
      </c>
      <c r="W157" s="873">
        <f ca="1">+SUMIFS(INDIRECT(CONCATENATE("'",$AQ157,$AR157,":",$AS157)),INDIRECT(CONCATENATE("'",$AQ157,$AR$150,":",$AS$150)),W$92)</f>
        <v>-288</v>
      </c>
      <c r="X157" s="873">
        <f ca="1">+SUMIFS(INDIRECT(CONCATENATE("'",$AQ157,$AR157,":",$AS157)),INDIRECT(CONCATENATE("'",$AQ157,$AR$150,":",$AS$150)),X$92)</f>
        <v>-1703</v>
      </c>
      <c r="Y157" s="873">
        <f ca="1">+SUMIFS(INDIRECT(CONCATENATE("'",$AQ157,$AR157,":",$AS157)),INDIRECT(CONCATENATE("'",$AQ157,$AR$150,":",$AS$150)),Y$92)</f>
        <v>-1386</v>
      </c>
      <c r="Z157" s="873">
        <f ca="1">+SUMIFS(INDIRECT(CONCATENATE("'",$AQ157,$AR157,":",$AS157)),INDIRECT(CONCATENATE("'",$AQ157,$AR$150,":",$AS$150)),Z$92)</f>
        <v>-1830</v>
      </c>
      <c r="AA157" s="893">
        <f ca="1">+SUM(W157:Z157)</f>
        <v>-5207</v>
      </c>
      <c r="AB157" s="873">
        <f ca="1">+SUMIFS(INDIRECT(CONCATENATE("'",$AQ157,$AR157,":",$AS157)),INDIRECT(CONCATENATE("'",$AQ157,$AR$150,":",$AS$150)),AB$92)</f>
        <v>-2924</v>
      </c>
      <c r="AC157" s="873">
        <f ca="1">+SUMIFS(INDIRECT(CONCATENATE("'",$AQ157,$AR157,":",$AS157)),INDIRECT(CONCATENATE("'",$AQ157,$AR$150,":",$AS$150)),AC$92)</f>
        <v>-3073</v>
      </c>
      <c r="AD157" s="873">
        <f ca="1">+SUMIFS(INDIRECT(CONCATENATE("'",$AQ157,$AR157,":",$AS157)),INDIRECT(CONCATENATE("'",$AQ157,$AR$150,":",$AS$150)),AD$92)</f>
        <v>-2342</v>
      </c>
      <c r="AE157" s="873">
        <f ca="1">+SUMIFS(INDIRECT(CONCATENATE("'",$AQ157,$AR157,":",$AS157)),INDIRECT(CONCATENATE("'",$AQ157,$AR$150,":",$AS$150)),AE$92)</f>
        <v>-2466</v>
      </c>
      <c r="AF157" s="893">
        <f ca="1">+SUM(AB157:AE157)</f>
        <v>-10805</v>
      </c>
      <c r="AG157" s="873">
        <f ca="1">+SUMIFS(INDIRECT(CONCATENATE("'",$AQ157,$AR157,":",$AS157)),INDIRECT(CONCATENATE("'",$AQ157,$AR$150,":",$AS$150)),AG$92)</f>
        <v>-4055</v>
      </c>
      <c r="AH157" s="873">
        <f ca="1">+SUMIFS(INDIRECT(CONCATENATE("'",$AQ157,$AR157,":",$AS157)),INDIRECT(CONCATENATE("'",$AQ157,$AR$150,":",$AS$150)),AH$92)</f>
        <v>-3542</v>
      </c>
      <c r="AI157" s="873">
        <f ca="1">+SUMIFS(INDIRECT(CONCATENATE("'",$AQ157,$AR157,":",$AS157)),INDIRECT(CONCATENATE("'",$AQ157,$AR$150,":",$AS$150)),AI$92)</f>
        <v>-5260</v>
      </c>
      <c r="AJ157" s="873">
        <f ca="1">+SUMIFS(INDIRECT(CONCATENATE("'",$AQ157,$AR157,":",$AS157)),INDIRECT(CONCATENATE("'",$AQ157,$AR$150,":",$AS$150)),AJ$92)</f>
        <v>-3387</v>
      </c>
      <c r="AK157" s="893">
        <f ca="1">+SUM(AG157:AJ157)</f>
        <v>-16244</v>
      </c>
      <c r="AL157" s="873">
        <f ca="1">+SUMIFS(INDIRECT(CONCATENATE("'",$AQ157,$AR157,":",$AS157)),INDIRECT(CONCATENATE("'",$AQ157,$AR$150,":",$AS$150)),AL$92)</f>
        <v>-6698</v>
      </c>
      <c r="AM157" s="873">
        <f ca="1">+SUMIFS(INDIRECT(CONCATENATE("'",$AQ157,$AR157,":",$AS157)),INDIRECT(CONCATENATE("'",$AQ157,$AR$150,":",$AS$150)),AM$92)</f>
        <v>-10011</v>
      </c>
      <c r="AN157" s="873">
        <f ca="1">+SUMIFS(INDIRECT(CONCATENATE("'",$AQ157,$AR157,":",$AS157)),INDIRECT(CONCATENATE("'",$AQ157,$AR$150,":",$AS$150)),AN$92)</f>
        <v>-7933</v>
      </c>
      <c r="AO157" s="873">
        <f ca="1">+SUMIFS(INDIRECT(CONCATENATE("'",$AQ157,$AR157,":",$AS157)),INDIRECT(CONCATENATE("'",$AQ157,$AR$150,":",$AS$150)),AO$92)</f>
        <v>-6062</v>
      </c>
      <c r="AP157" s="1239">
        <f ca="1">+SUM(AL157:AO157)</f>
        <v>-30704</v>
      </c>
      <c r="AQ157" s="268" t="s">
        <v>1042</v>
      </c>
      <c r="AR157" s="1195" t="s">
        <v>1043</v>
      </c>
      <c r="AS157" s="1195" t="s">
        <v>1043</v>
      </c>
      <c r="AT157" s="1195"/>
      <c r="AU157" s="1195" t="s">
        <v>1042</v>
      </c>
      <c r="AV157" s="1195" t="s">
        <v>1041</v>
      </c>
      <c r="AW157" s="1067"/>
      <c r="AX157" s="1067" t="s">
        <v>1042</v>
      </c>
      <c r="AY157" s="1045" t="s">
        <v>1041</v>
      </c>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row>
    <row r="158" spans="1:79" s="867" customFormat="1" ht="13.5" customHeight="1" x14ac:dyDescent="0.2">
      <c r="A158" s="872"/>
      <c r="B158" s="877" t="s">
        <v>1044</v>
      </c>
      <c r="C158" s="38" t="s">
        <v>47</v>
      </c>
      <c r="D158" s="38" t="s">
        <v>47</v>
      </c>
      <c r="E158" s="38" t="s">
        <v>47</v>
      </c>
      <c r="F158" s="38" t="s">
        <v>47</v>
      </c>
      <c r="G158" s="892" t="s">
        <v>47</v>
      </c>
      <c r="H158" s="891">
        <f t="shared" ref="H158:S158" ca="1" si="187">+H157/SUM(H151,H153,H155)</f>
        <v>-4.2304230423042301E-2</v>
      </c>
      <c r="I158" s="891">
        <f t="shared" ca="1" si="187"/>
        <v>-0.37450722733245728</v>
      </c>
      <c r="J158" s="891">
        <f t="shared" ca="1" si="187"/>
        <v>-0.33750000000000002</v>
      </c>
      <c r="K158" s="891">
        <f t="shared" ca="1" si="187"/>
        <v>0.11708860759493671</v>
      </c>
      <c r="L158" s="878">
        <f t="shared" ca="1" si="187"/>
        <v>1.09375</v>
      </c>
      <c r="M158" s="891">
        <f t="shared" ca="1" si="187"/>
        <v>-0.28512053200332504</v>
      </c>
      <c r="N158" s="891">
        <f t="shared" ca="1" si="187"/>
        <v>-0.33299311048736951</v>
      </c>
      <c r="O158" s="891">
        <f t="shared" ca="1" si="187"/>
        <v>-0.32952932815897323</v>
      </c>
      <c r="P158" s="891">
        <f t="shared" ca="1" si="187"/>
        <v>-0.33251112815373207</v>
      </c>
      <c r="Q158" s="878">
        <f t="shared" ca="1" si="187"/>
        <v>-0.33752495009980038</v>
      </c>
      <c r="R158" s="891">
        <f t="shared" ca="1" si="187"/>
        <v>-0.33964817320703655</v>
      </c>
      <c r="S158" s="891">
        <f t="shared" ca="1" si="187"/>
        <v>-0.33449758194519075</v>
      </c>
      <c r="T158" s="891">
        <f t="shared" ref="T158:Y158" ca="1" si="188">+T157/SUM(T151,T153,T155)</f>
        <v>-0.26870359794403198</v>
      </c>
      <c r="U158" s="891">
        <f t="shared" ca="1" si="188"/>
        <v>-5.6105610561056105E-2</v>
      </c>
      <c r="V158" s="878">
        <f t="shared" ca="1" si="188"/>
        <v>-0.31546369557026749</v>
      </c>
      <c r="W158" s="891">
        <f t="shared" ca="1" si="188"/>
        <v>-0.1496881496881497</v>
      </c>
      <c r="X158" s="891">
        <f t="shared" ca="1" si="188"/>
        <v>-0.26228245803172645</v>
      </c>
      <c r="Y158" s="891">
        <f t="shared" ca="1" si="188"/>
        <v>-0.27176470588235296</v>
      </c>
      <c r="Z158" s="891">
        <f t="shared" ref="Z158:AF158" ca="1" si="189">+Z157/SUM(Z151,Z153,Z155)</f>
        <v>-0.36251980982567356</v>
      </c>
      <c r="AA158" s="878">
        <f t="shared" ca="1" si="189"/>
        <v>-0.2804740102343119</v>
      </c>
      <c r="AB158" s="891">
        <f t="shared" ca="1" si="189"/>
        <v>-0.32861317149921332</v>
      </c>
      <c r="AC158" s="891">
        <f t="shared" ca="1" si="189"/>
        <v>-0.34042317491968538</v>
      </c>
      <c r="AD158" s="891">
        <f t="shared" ca="1" si="189"/>
        <v>-0.33314366998577527</v>
      </c>
      <c r="AE158" s="891">
        <f t="shared" ca="1" si="189"/>
        <v>-0.33238980994743228</v>
      </c>
      <c r="AF158" s="878">
        <f t="shared" ca="1" si="189"/>
        <v>-0.33375548279483536</v>
      </c>
      <c r="AG158" s="891">
        <f t="shared" ref="AG158:AM158" ca="1" si="190">+AG157/SUM(AG151,AG153,AG155)</f>
        <v>-0.33484723369116431</v>
      </c>
      <c r="AH158" s="891">
        <f t="shared" ca="1" si="190"/>
        <v>-0.34800550206327374</v>
      </c>
      <c r="AI158" s="891">
        <f t="shared" ca="1" si="190"/>
        <v>-0.33633864057804208</v>
      </c>
      <c r="AJ158" s="891">
        <f t="shared" ca="1" si="190"/>
        <v>-0.27325534489713593</v>
      </c>
      <c r="AK158" s="878">
        <f t="shared" ca="1" si="190"/>
        <v>-0.32280116052621122</v>
      </c>
      <c r="AL158" s="891">
        <f t="shared" ca="1" si="190"/>
        <v>-0.33525201461534609</v>
      </c>
      <c r="AM158" s="891">
        <f t="shared" ca="1" si="190"/>
        <v>-0.34276029718903001</v>
      </c>
      <c r="AN158" s="891">
        <f t="shared" ref="AN158:AP158" ca="1" si="191">+AN157/SUM(AN151,AN153,AN155)</f>
        <v>-0.33685774946921443</v>
      </c>
      <c r="AO158" s="891">
        <f t="shared" ca="1" si="191"/>
        <v>-0.32658118737205044</v>
      </c>
      <c r="AP158" s="1238">
        <f t="shared" ca="1" si="191"/>
        <v>-0.33630528598654952</v>
      </c>
      <c r="AQ158" s="868"/>
      <c r="AR158" s="868"/>
      <c r="AS158" s="868"/>
      <c r="AT158" s="868"/>
      <c r="AU158" s="868"/>
      <c r="AV158" s="868"/>
      <c r="AY158" s="1041"/>
      <c r="AZ158" s="1041"/>
      <c r="BA158" s="868"/>
      <c r="BB158" s="868"/>
      <c r="BC158" s="868"/>
      <c r="BD158" s="868"/>
      <c r="BE158" s="868"/>
      <c r="BF158" s="868"/>
      <c r="BG158" s="868"/>
      <c r="BH158" s="868"/>
      <c r="BI158" s="868"/>
      <c r="BJ158" s="868"/>
      <c r="BK158" s="868"/>
      <c r="BL158" s="868"/>
      <c r="BM158" s="868"/>
      <c r="BN158" s="868"/>
      <c r="BO158" s="868"/>
      <c r="BP158" s="868"/>
      <c r="BQ158" s="868"/>
      <c r="BR158" s="868"/>
      <c r="BS158" s="868"/>
      <c r="BT158" s="868"/>
      <c r="BU158" s="868"/>
      <c r="BV158" s="868"/>
      <c r="BW158" s="868"/>
      <c r="BX158" s="868"/>
      <c r="BY158" s="868"/>
      <c r="BZ158" s="868"/>
      <c r="CA158" s="868"/>
    </row>
    <row r="159" spans="1:79" ht="13.5" customHeight="1" x14ac:dyDescent="0.2">
      <c r="B159" s="889" t="s">
        <v>239</v>
      </c>
      <c r="C159" s="1240" t="s">
        <v>47</v>
      </c>
      <c r="D159" s="1240" t="s">
        <v>47</v>
      </c>
      <c r="E159" s="1240" t="s">
        <v>47</v>
      </c>
      <c r="F159" s="1240" t="s">
        <v>47</v>
      </c>
      <c r="G159" s="887" t="s">
        <v>47</v>
      </c>
      <c r="H159" s="888">
        <f ca="1">+SUM(H157,H155,H153,H151)</f>
        <v>-1064</v>
      </c>
      <c r="I159" s="888">
        <f ca="1">+SUM(I157,I155,I153,I151)</f>
        <v>-476</v>
      </c>
      <c r="J159" s="888">
        <f ca="1">+SUM(J157,J155,J153,J151)</f>
        <v>530</v>
      </c>
      <c r="K159" s="888">
        <f ca="1">+SUM(K157,K155,K153,K151)</f>
        <v>1412</v>
      </c>
      <c r="L159" s="887">
        <f ca="1">+SUM(H159:K159)</f>
        <v>402</v>
      </c>
      <c r="M159" s="888">
        <f ca="1">+SUM(M157,M155,M153,M151)</f>
        <v>-860</v>
      </c>
      <c r="N159" s="888">
        <f ca="1">+SUM(N157,N155,N153,N151)</f>
        <v>1045.5999999999985</v>
      </c>
      <c r="O159" s="888">
        <f ca="1">+SUM(O157,O155,O153,O151)</f>
        <v>1692.6915088385977</v>
      </c>
      <c r="P159" s="888">
        <f ca="1">+SUM(P157,P155,P153,P151)</f>
        <v>4759.7084911614038</v>
      </c>
      <c r="Q159" s="887">
        <f ca="1">+SUM(M159:P159)</f>
        <v>6638</v>
      </c>
      <c r="R159" s="888">
        <f ca="1">+SUM(R157,R155,R153,R151)</f>
        <v>2928</v>
      </c>
      <c r="S159" s="888">
        <f ca="1">+SUM(S157,S155,S153,S151)</f>
        <v>4954</v>
      </c>
      <c r="T159" s="888">
        <f ca="1">+SUM(T157,T155,T153,T151)</f>
        <v>5122</v>
      </c>
      <c r="U159" s="888">
        <f ca="1">+SUM(U157,U155,U153,U151)</f>
        <v>-286</v>
      </c>
      <c r="V159" s="887">
        <f ca="1">+SUM(R159:U159)</f>
        <v>12718</v>
      </c>
      <c r="W159" s="888">
        <f ca="1">+SUM(W157,W155,W153,W151)</f>
        <v>1636</v>
      </c>
      <c r="X159" s="888">
        <f ca="1">+SUM(X157,X155,X153,X151)</f>
        <v>4790</v>
      </c>
      <c r="Y159" s="888">
        <f ca="1">+SUM(Y157,Y155,Y153,Y151)</f>
        <v>3714</v>
      </c>
      <c r="Z159" s="888">
        <f ca="1">+SUM(Z157,Z155,Z153,Z151)</f>
        <v>3218</v>
      </c>
      <c r="AA159" s="887">
        <f ca="1">+SUM(W159:Z159)</f>
        <v>13358</v>
      </c>
      <c r="AB159" s="888">
        <f ca="1">+SUM(AB157,AB155,AB153,AB151)</f>
        <v>5974</v>
      </c>
      <c r="AC159" s="888">
        <f ca="1">+SUM(AC157,AC155,AC153,AC151)</f>
        <v>5954</v>
      </c>
      <c r="AD159" s="888">
        <f ca="1">+SUM(AD157,AD155,AD153,AD151)</f>
        <v>4688</v>
      </c>
      <c r="AE159" s="888">
        <f ca="1">+SUM(AE157,AE155,AE153,AE151)</f>
        <v>4953</v>
      </c>
      <c r="AF159" s="887">
        <f ca="1">+SUM(AB159:AE159)</f>
        <v>21569</v>
      </c>
      <c r="AG159" s="888">
        <f ca="1">+SUM(AG157,AG155,AG153,AG151)</f>
        <v>8055</v>
      </c>
      <c r="AH159" s="888">
        <f ca="1">+SUM(AH157,AH155,AH153,AH151)</f>
        <v>6636</v>
      </c>
      <c r="AI159" s="888">
        <f ca="1">+SUM(AI157,AI155,AI153,AI151)</f>
        <v>10379</v>
      </c>
      <c r="AJ159" s="888">
        <f ca="1">+SUM(AJ157,AJ155,AJ153,AJ151)</f>
        <v>9008</v>
      </c>
      <c r="AK159" s="887">
        <f ca="1">+SUM(AG159:AJ159)</f>
        <v>34078</v>
      </c>
      <c r="AL159" s="888">
        <f ca="1">+SUM(AL157,AL155,AL153,AL151)</f>
        <v>13281</v>
      </c>
      <c r="AM159" s="888">
        <f ca="1">+SUM(AM157,AM155,AM153,AM151)</f>
        <v>19196</v>
      </c>
      <c r="AN159" s="888">
        <f ca="1">+SUM(AN157,AN155,AN153,AN151)</f>
        <v>15617</v>
      </c>
      <c r="AO159" s="888">
        <f ca="1">+SUM(AO157,AO155,AO153,AO151)</f>
        <v>12500</v>
      </c>
      <c r="AP159" s="1241">
        <f ca="1">+SUM(AL159:AO159)</f>
        <v>60594</v>
      </c>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row>
    <row r="160" spans="1:79" ht="13.5" customHeight="1" x14ac:dyDescent="0.2">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row>
    <row r="161" spans="1:79" ht="13.5" customHeight="1" x14ac:dyDescent="0.2">
      <c r="B161" s="884" t="s">
        <v>1040</v>
      </c>
      <c r="C161" s="883" t="str">
        <f t="shared" ref="C161:AK161" si="192">C5</f>
        <v>1Q17</v>
      </c>
      <c r="D161" s="883" t="str">
        <f t="shared" si="192"/>
        <v>2Q17</v>
      </c>
      <c r="E161" s="883" t="str">
        <f t="shared" si="192"/>
        <v>3Q17</v>
      </c>
      <c r="F161" s="883" t="str">
        <f t="shared" si="192"/>
        <v>4Q17</v>
      </c>
      <c r="G161" s="883" t="str">
        <f t="shared" si="192"/>
        <v>2017</v>
      </c>
      <c r="H161" s="883" t="str">
        <f t="shared" si="192"/>
        <v>1Q18</v>
      </c>
      <c r="I161" s="883" t="str">
        <f t="shared" si="192"/>
        <v>2Q18</v>
      </c>
      <c r="J161" s="883" t="str">
        <f t="shared" si="192"/>
        <v>3Q18</v>
      </c>
      <c r="K161" s="883" t="str">
        <f t="shared" si="192"/>
        <v>4Q18</v>
      </c>
      <c r="L161" s="883" t="str">
        <f t="shared" si="192"/>
        <v>2018</v>
      </c>
      <c r="M161" s="883" t="str">
        <f t="shared" si="192"/>
        <v>1Q19</v>
      </c>
      <c r="N161" s="883" t="str">
        <f t="shared" si="192"/>
        <v>2Q19</v>
      </c>
      <c r="O161" s="883" t="str">
        <f t="shared" si="192"/>
        <v>3Q19</v>
      </c>
      <c r="P161" s="883" t="str">
        <f t="shared" si="192"/>
        <v>4Q19</v>
      </c>
      <c r="Q161" s="883" t="str">
        <f t="shared" si="192"/>
        <v>2019</v>
      </c>
      <c r="R161" s="883" t="str">
        <f t="shared" si="192"/>
        <v>1Q20</v>
      </c>
      <c r="S161" s="883" t="str">
        <f t="shared" si="192"/>
        <v>2Q20</v>
      </c>
      <c r="T161" s="883" t="str">
        <f t="shared" si="192"/>
        <v>3Q20</v>
      </c>
      <c r="U161" s="883" t="str">
        <f t="shared" si="192"/>
        <v>4Q20</v>
      </c>
      <c r="V161" s="883" t="str">
        <f t="shared" si="192"/>
        <v>2020</v>
      </c>
      <c r="W161" s="883" t="str">
        <f t="shared" si="192"/>
        <v>1Q21</v>
      </c>
      <c r="X161" s="883" t="str">
        <f t="shared" si="192"/>
        <v>2Q21</v>
      </c>
      <c r="Y161" s="883" t="str">
        <f t="shared" si="192"/>
        <v>3Q21</v>
      </c>
      <c r="Z161" s="883" t="str">
        <f t="shared" si="192"/>
        <v>4Q21</v>
      </c>
      <c r="AA161" s="883" t="str">
        <f t="shared" si="192"/>
        <v>2021</v>
      </c>
      <c r="AB161" s="883" t="str">
        <f t="shared" si="192"/>
        <v>1Q22</v>
      </c>
      <c r="AC161" s="883" t="str">
        <f t="shared" si="192"/>
        <v>2Q22</v>
      </c>
      <c r="AD161" s="883" t="str">
        <f t="shared" si="192"/>
        <v>3Q22</v>
      </c>
      <c r="AE161" s="883" t="str">
        <f t="shared" si="192"/>
        <v>4Q22</v>
      </c>
      <c r="AF161" s="883" t="str">
        <f t="shared" si="192"/>
        <v>2022</v>
      </c>
      <c r="AG161" s="883" t="str">
        <f t="shared" si="192"/>
        <v>1Q23</v>
      </c>
      <c r="AH161" s="883" t="str">
        <f t="shared" si="192"/>
        <v>2Q23</v>
      </c>
      <c r="AI161" s="883" t="str">
        <f t="shared" si="192"/>
        <v>3Q23</v>
      </c>
      <c r="AJ161" s="883" t="str">
        <f t="shared" si="192"/>
        <v>4Q23</v>
      </c>
      <c r="AK161" s="883" t="str">
        <f t="shared" si="192"/>
        <v>2023</v>
      </c>
      <c r="AL161" s="883" t="str">
        <f>AL5</f>
        <v>1Q24</v>
      </c>
      <c r="AM161" s="883" t="str">
        <f>AM5</f>
        <v>2Q24</v>
      </c>
      <c r="AN161" s="883" t="str">
        <f>AN5</f>
        <v>3Q24</v>
      </c>
      <c r="AO161" s="883" t="str">
        <f>AO5</f>
        <v>4Q24</v>
      </c>
      <c r="AP161" s="883" t="str">
        <f t="shared" ref="AP161" si="193">AP5</f>
        <v>2024</v>
      </c>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row>
    <row r="162" spans="1:79" ht="13.5" customHeight="1" x14ac:dyDescent="0.2">
      <c r="B162" s="874" t="s">
        <v>1039</v>
      </c>
      <c r="C162" s="873">
        <v>597846</v>
      </c>
      <c r="D162" s="873">
        <v>633657</v>
      </c>
      <c r="E162" s="873">
        <v>702748</v>
      </c>
      <c r="F162" s="873">
        <v>699318</v>
      </c>
      <c r="G162" s="645">
        <f>+SUM(C162:F162)</f>
        <v>2633569</v>
      </c>
      <c r="H162" s="873">
        <v>668934</v>
      </c>
      <c r="I162" s="873">
        <v>701967</v>
      </c>
      <c r="J162" s="873">
        <v>724352</v>
      </c>
      <c r="K162" s="873">
        <v>651695</v>
      </c>
      <c r="L162" s="645">
        <f>+SUM(H162:K162)</f>
        <v>2746948</v>
      </c>
      <c r="M162" s="873">
        <v>666970</v>
      </c>
      <c r="N162" s="873">
        <v>737875</v>
      </c>
      <c r="O162" s="873">
        <v>744430</v>
      </c>
      <c r="P162" s="873">
        <v>654566</v>
      </c>
      <c r="Q162" s="645">
        <f>+SUM(M162:P162)</f>
        <v>2803841</v>
      </c>
      <c r="R162" s="873">
        <v>555215</v>
      </c>
      <c r="S162" s="873">
        <v>130342</v>
      </c>
      <c r="T162" s="873">
        <v>572575</v>
      </c>
      <c r="U162" s="873">
        <v>646582</v>
      </c>
      <c r="V162" s="645">
        <f>+SUM(R162:U162)</f>
        <v>1904714</v>
      </c>
      <c r="W162" s="873">
        <v>559515</v>
      </c>
      <c r="X162" s="873">
        <v>504509</v>
      </c>
      <c r="Y162" s="873">
        <v>455752</v>
      </c>
      <c r="Z162" s="873">
        <v>550786</v>
      </c>
      <c r="AA162" s="645">
        <f>+SUM(W162:Z162)</f>
        <v>2070562</v>
      </c>
      <c r="AB162" s="873">
        <v>456053</v>
      </c>
      <c r="AC162" s="873">
        <v>550533</v>
      </c>
      <c r="AD162" s="873">
        <v>609277</v>
      </c>
      <c r="AE162" s="873">
        <v>560316</v>
      </c>
      <c r="AF162" s="645">
        <f>+SUM(AB162:AE162)</f>
        <v>2176179</v>
      </c>
      <c r="AG162" s="873">
        <v>507507</v>
      </c>
      <c r="AH162" s="873">
        <v>567749</v>
      </c>
      <c r="AI162" s="873">
        <v>588451</v>
      </c>
      <c r="AJ162" s="873">
        <v>538420</v>
      </c>
      <c r="AK162" s="645">
        <f>+SUM(AG162:AJ162)</f>
        <v>2202127</v>
      </c>
      <c r="AL162" s="873">
        <v>502182</v>
      </c>
      <c r="AM162" s="873">
        <v>556640</v>
      </c>
      <c r="AN162" s="873">
        <v>691574</v>
      </c>
      <c r="AO162" s="873">
        <v>630198</v>
      </c>
      <c r="AP162" s="645">
        <f>+SUM(AL162:AO162)</f>
        <v>2380594</v>
      </c>
      <c r="AQ162" s="1193"/>
      <c r="AR162" s="1193">
        <v>20</v>
      </c>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row>
    <row r="163" spans="1:79" s="867" customFormat="1" ht="13.5" customHeight="1" x14ac:dyDescent="0.2">
      <c r="A163" s="872"/>
      <c r="B163" s="877" t="s">
        <v>1035</v>
      </c>
      <c r="C163" s="876" t="s">
        <v>47</v>
      </c>
      <c r="D163" s="876" t="s">
        <v>47</v>
      </c>
      <c r="E163" s="876" t="s">
        <v>47</v>
      </c>
      <c r="F163" s="876" t="s">
        <v>47</v>
      </c>
      <c r="G163" s="875" t="s">
        <v>47</v>
      </c>
      <c r="H163" s="876">
        <f>H162/C162-1</f>
        <v>0.11890687568370439</v>
      </c>
      <c r="I163" s="876">
        <f>I162/D162-1</f>
        <v>0.10780280183127466</v>
      </c>
      <c r="J163" s="876">
        <f>J162/E162-1</f>
        <v>3.0742172158440884E-2</v>
      </c>
      <c r="K163" s="876">
        <f>K162/F162-1</f>
        <v>-6.8099205225662707E-2</v>
      </c>
      <c r="L163" s="875">
        <f>+L162/G162-1</f>
        <v>4.3051463622179709E-2</v>
      </c>
      <c r="M163" s="876">
        <f>M162/H162-1</f>
        <v>-2.9360146142968224E-3</v>
      </c>
      <c r="N163" s="876">
        <f>N162/I162-1</f>
        <v>5.1153401798090137E-2</v>
      </c>
      <c r="O163" s="876">
        <f>O162/J162-1</f>
        <v>2.7718567768156843E-2</v>
      </c>
      <c r="P163" s="876">
        <f>P162/K162-1</f>
        <v>4.4054350578108803E-3</v>
      </c>
      <c r="Q163" s="875">
        <f>+Q162/L162-1</f>
        <v>2.0711349468573781E-2</v>
      </c>
      <c r="R163" s="876">
        <f>R162/M162-1</f>
        <v>-0.16755626190083517</v>
      </c>
      <c r="S163" s="876">
        <f>S162/N162-1</f>
        <v>-0.82335490428595626</v>
      </c>
      <c r="T163" s="876">
        <f>T162/O162-1</f>
        <v>-0.23085447926601566</v>
      </c>
      <c r="U163" s="876">
        <f>U162/P162-1</f>
        <v>-1.2197394915104076E-2</v>
      </c>
      <c r="V163" s="875">
        <f>+V162/Q162-1</f>
        <v>-0.32067688574352116</v>
      </c>
      <c r="W163" s="876">
        <f>W162/R162-1</f>
        <v>7.7447475302361291E-3</v>
      </c>
      <c r="X163" s="876">
        <f>X162/S162-1</f>
        <v>2.8706556597259518</v>
      </c>
      <c r="Y163" s="876">
        <f>Y162/T162-1</f>
        <v>-0.2040309129808322</v>
      </c>
      <c r="Z163" s="876">
        <f>Z162/U162-1</f>
        <v>-0.14815754227615363</v>
      </c>
      <c r="AA163" s="875">
        <f>+AA162/V162-1</f>
        <v>8.7072389870605171E-2</v>
      </c>
      <c r="AB163" s="876">
        <f>AB162/W162-1</f>
        <v>-0.18491371991814343</v>
      </c>
      <c r="AC163" s="876">
        <f>AC162/X162-1</f>
        <v>9.122532997429178E-2</v>
      </c>
      <c r="AD163" s="876">
        <f>AD162/Y162-1</f>
        <v>0.33686083659534138</v>
      </c>
      <c r="AE163" s="876">
        <f>AE162/Z162-1</f>
        <v>1.7302545816342496E-2</v>
      </c>
      <c r="AF163" s="875">
        <f>+AF162/AA162-1</f>
        <v>5.1008856532670732E-2</v>
      </c>
      <c r="AG163" s="876">
        <f>AG162/AB162-1</f>
        <v>0.11282460591203214</v>
      </c>
      <c r="AH163" s="876">
        <f>AH162/AC162-1</f>
        <v>3.127151324262134E-2</v>
      </c>
      <c r="AI163" s="876">
        <f>AI162/AD162-1</f>
        <v>-3.4181497085890356E-2</v>
      </c>
      <c r="AJ163" s="876">
        <f>AJ162/AE162-1</f>
        <v>-3.9077948871708124E-2</v>
      </c>
      <c r="AK163" s="875">
        <f>+AK162/AF162-1</f>
        <v>1.1923651501094312E-2</v>
      </c>
      <c r="AL163" s="876">
        <f>AL162/AG162-1</f>
        <v>-1.0492466113767862E-2</v>
      </c>
      <c r="AM163" s="876">
        <f>AM162/AH162-1</f>
        <v>-1.9566745163795973E-2</v>
      </c>
      <c r="AN163" s="876">
        <f>AN162/AI162-1</f>
        <v>0.17524483771800892</v>
      </c>
      <c r="AO163" s="876">
        <f>AO162/AJ162-1</f>
        <v>0.17045800676052147</v>
      </c>
      <c r="AP163" s="875">
        <f>+AP162/AK162-1</f>
        <v>8.1043009780997988E-2</v>
      </c>
      <c r="AQ163" s="1001">
        <v>13</v>
      </c>
      <c r="AR163" s="1001"/>
      <c r="AS163" s="868"/>
      <c r="AT163" s="868"/>
      <c r="AU163" s="868"/>
      <c r="AV163" s="868"/>
      <c r="AY163" s="1041"/>
      <c r="AZ163" s="1041"/>
      <c r="BA163" s="868"/>
      <c r="BB163" s="868"/>
      <c r="BC163" s="868"/>
      <c r="BD163" s="868"/>
      <c r="BE163" s="868"/>
      <c r="BF163" s="868"/>
      <c r="BG163" s="868"/>
      <c r="BH163" s="868"/>
      <c r="BI163" s="868"/>
      <c r="BJ163" s="868"/>
      <c r="BK163" s="868"/>
      <c r="BL163" s="868"/>
      <c r="BM163" s="868"/>
      <c r="BN163" s="868"/>
      <c r="BO163" s="868"/>
      <c r="BP163" s="868"/>
      <c r="BQ163" s="868"/>
      <c r="BR163" s="868"/>
      <c r="BS163" s="868"/>
      <c r="BT163" s="868"/>
      <c r="BU163" s="868"/>
      <c r="BV163" s="868"/>
      <c r="BW163" s="868"/>
      <c r="BX163" s="868"/>
      <c r="BY163" s="868"/>
      <c r="BZ163" s="868"/>
      <c r="CA163" s="868"/>
    </row>
    <row r="164" spans="1:79" ht="13.5" customHeight="1" x14ac:dyDescent="0.2">
      <c r="B164" s="874" t="s">
        <v>1038</v>
      </c>
      <c r="C164" s="873">
        <v>51686</v>
      </c>
      <c r="D164" s="873">
        <v>58769</v>
      </c>
      <c r="E164" s="873">
        <v>64108</v>
      </c>
      <c r="F164" s="873">
        <v>67762</v>
      </c>
      <c r="G164" s="645">
        <f>+SUM(C164:F164)</f>
        <v>242325</v>
      </c>
      <c r="H164" s="873">
        <v>63509</v>
      </c>
      <c r="I164" s="873">
        <v>78841</v>
      </c>
      <c r="J164" s="873">
        <v>83606</v>
      </c>
      <c r="K164" s="873">
        <v>82610</v>
      </c>
      <c r="L164" s="645">
        <f>+SUM(H164:K164)</f>
        <v>308566</v>
      </c>
      <c r="M164" s="873">
        <v>68113</v>
      </c>
      <c r="N164" s="873">
        <v>73690</v>
      </c>
      <c r="O164" s="873">
        <v>75436</v>
      </c>
      <c r="P164" s="873">
        <v>77303</v>
      </c>
      <c r="Q164" s="645">
        <f>+SUM(M164:P164)</f>
        <v>294542</v>
      </c>
      <c r="R164" s="873">
        <v>59648</v>
      </c>
      <c r="S164" s="873">
        <v>34439</v>
      </c>
      <c r="T164" s="873">
        <v>54807</v>
      </c>
      <c r="U164" s="873">
        <v>58789</v>
      </c>
      <c r="V164" s="645">
        <f>+SUM(R164:U164)</f>
        <v>207683</v>
      </c>
      <c r="W164" s="873">
        <v>45886</v>
      </c>
      <c r="X164" s="873">
        <v>59453</v>
      </c>
      <c r="Y164" s="873">
        <v>67681</v>
      </c>
      <c r="Z164" s="873">
        <v>74901</v>
      </c>
      <c r="AA164" s="645">
        <f>+SUM(W164:Z164)</f>
        <v>247921</v>
      </c>
      <c r="AB164" s="873">
        <v>49921</v>
      </c>
      <c r="AC164" s="873">
        <v>67253</v>
      </c>
      <c r="AD164" s="873">
        <v>70029</v>
      </c>
      <c r="AE164" s="873">
        <v>79755</v>
      </c>
      <c r="AF164" s="645">
        <f>+SUM(AB164:AE164)</f>
        <v>266958</v>
      </c>
      <c r="AG164" s="873">
        <v>63203</v>
      </c>
      <c r="AH164" s="873">
        <v>75993</v>
      </c>
      <c r="AI164" s="873">
        <v>91712</v>
      </c>
      <c r="AJ164" s="873">
        <v>113124</v>
      </c>
      <c r="AK164" s="645">
        <f>+SUM(AG164:AJ164)</f>
        <v>344032</v>
      </c>
      <c r="AL164" s="873">
        <v>90176</v>
      </c>
      <c r="AM164" s="873">
        <v>107491</v>
      </c>
      <c r="AN164" s="873">
        <v>122493</v>
      </c>
      <c r="AO164" s="873">
        <v>142405</v>
      </c>
      <c r="AP164" s="645">
        <f>+SUM(AL164:AO164)</f>
        <v>462565</v>
      </c>
      <c r="AQ164" s="1193"/>
      <c r="AR164" s="1193">
        <v>21</v>
      </c>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row>
    <row r="165" spans="1:79" s="867" customFormat="1" ht="13.5" customHeight="1" x14ac:dyDescent="0.2">
      <c r="A165" s="872"/>
      <c r="B165" s="871" t="s">
        <v>1035</v>
      </c>
      <c r="C165" s="870" t="s">
        <v>47</v>
      </c>
      <c r="D165" s="870" t="s">
        <v>47</v>
      </c>
      <c r="E165" s="870" t="s">
        <v>47</v>
      </c>
      <c r="F165" s="870" t="s">
        <v>47</v>
      </c>
      <c r="G165" s="869" t="s">
        <v>47</v>
      </c>
      <c r="H165" s="870">
        <f>H164/C164-1</f>
        <v>0.22874666253917897</v>
      </c>
      <c r="I165" s="870">
        <f>I164/D164-1</f>
        <v>0.34154060814374931</v>
      </c>
      <c r="J165" s="870">
        <f>J164/E164-1</f>
        <v>0.30414300867286448</v>
      </c>
      <c r="K165" s="870">
        <f>K164/F164-1</f>
        <v>0.21911986068888178</v>
      </c>
      <c r="L165" s="869">
        <f>+L164/G164-1</f>
        <v>0.27335603012483234</v>
      </c>
      <c r="M165" s="870">
        <f>M164/H164-1</f>
        <v>7.2493662315577412E-2</v>
      </c>
      <c r="N165" s="870">
        <f>N164/I164-1</f>
        <v>-6.5334026711989956E-2</v>
      </c>
      <c r="O165" s="870">
        <f>O164/J164-1</f>
        <v>-9.772025931153272E-2</v>
      </c>
      <c r="P165" s="870">
        <f>P164/K164-1</f>
        <v>-6.4241617237622561E-2</v>
      </c>
      <c r="Q165" s="869">
        <f>+Q164/L164-1</f>
        <v>-4.5448947712969034E-2</v>
      </c>
      <c r="R165" s="870">
        <f>R164/M164-1</f>
        <v>-0.12427877204057958</v>
      </c>
      <c r="S165" s="870">
        <f>S164/N164-1</f>
        <v>-0.53265029176279</v>
      </c>
      <c r="T165" s="870">
        <f>T164/O164-1</f>
        <v>-0.27346359828198741</v>
      </c>
      <c r="U165" s="870">
        <f>U164/P164-1</f>
        <v>-0.23949911387656364</v>
      </c>
      <c r="V165" s="869">
        <f>+V164/Q164-1</f>
        <v>-0.29489512531319817</v>
      </c>
      <c r="W165" s="870">
        <f>W164/R164-1</f>
        <v>-0.23072022532188841</v>
      </c>
      <c r="X165" s="870">
        <f>X164/S164-1</f>
        <v>0.72632770986381723</v>
      </c>
      <c r="Y165" s="870">
        <f>Y164/T164-1</f>
        <v>0.23489700220774723</v>
      </c>
      <c r="Z165" s="870">
        <f>Z164/U164-1</f>
        <v>0.27406487608226038</v>
      </c>
      <c r="AA165" s="869">
        <f>+AA164/V164-1</f>
        <v>0.19374720126346401</v>
      </c>
      <c r="AB165" s="870">
        <f>AB164/W164-1</f>
        <v>8.7935317961905568E-2</v>
      </c>
      <c r="AC165" s="870">
        <f>AC164/X164-1</f>
        <v>0.13119607084587837</v>
      </c>
      <c r="AD165" s="870">
        <f>AD164/Y164-1</f>
        <v>3.4692158803800277E-2</v>
      </c>
      <c r="AE165" s="870">
        <f>AE164/Z164-1</f>
        <v>6.4805543317178582E-2</v>
      </c>
      <c r="AF165" s="869">
        <f>+AF164/AA164-1</f>
        <v>7.6786557008079237E-2</v>
      </c>
      <c r="AG165" s="870">
        <f>AG164/AB164-1</f>
        <v>0.26606037539312122</v>
      </c>
      <c r="AH165" s="870">
        <f>AH164/AC164-1</f>
        <v>0.12995702793927411</v>
      </c>
      <c r="AI165" s="870">
        <f>AI164/AD164-1</f>
        <v>0.30962886804038336</v>
      </c>
      <c r="AJ165" s="870">
        <f>AJ164/AE164-1</f>
        <v>0.41839383110776751</v>
      </c>
      <c r="AK165" s="869">
        <f>+AK164/AF164-1</f>
        <v>0.28871208205035992</v>
      </c>
      <c r="AL165" s="870">
        <f>AL164/AG164-1</f>
        <v>0.4267677167223074</v>
      </c>
      <c r="AM165" s="870">
        <f>AM164/AH164-1</f>
        <v>0.41448554472122434</v>
      </c>
      <c r="AN165" s="870">
        <f>AN164/AI164-1</f>
        <v>0.33562674459176556</v>
      </c>
      <c r="AO165" s="870">
        <f>AO164/AJ164-1</f>
        <v>0.25883985714790847</v>
      </c>
      <c r="AP165" s="869">
        <f>+AP164/AK164-1</f>
        <v>0.34454062412798803</v>
      </c>
      <c r="AQ165" s="1001">
        <v>14</v>
      </c>
      <c r="AR165" s="1001"/>
      <c r="AS165" s="868"/>
      <c r="AT165" s="868"/>
      <c r="AU165" s="868"/>
      <c r="AV165" s="868"/>
      <c r="AY165" s="1041"/>
      <c r="AZ165" s="1041"/>
      <c r="BA165" s="868"/>
      <c r="BB165" s="868"/>
      <c r="BC165" s="868"/>
      <c r="BD165" s="868"/>
      <c r="BE165" s="868"/>
      <c r="BF165" s="868"/>
      <c r="BG165" s="868"/>
      <c r="BH165" s="868"/>
      <c r="BI165" s="868"/>
      <c r="BJ165" s="868"/>
      <c r="BK165" s="868"/>
      <c r="BL165" s="868"/>
      <c r="BM165" s="868"/>
      <c r="BN165" s="868"/>
      <c r="BO165" s="868"/>
      <c r="BP165" s="868"/>
      <c r="BQ165" s="868"/>
      <c r="BR165" s="868"/>
      <c r="BS165" s="868"/>
      <c r="BT165" s="868"/>
      <c r="BU165" s="868"/>
      <c r="BV165" s="868"/>
      <c r="BW165" s="868"/>
      <c r="BX165" s="868"/>
      <c r="BY165" s="868"/>
      <c r="BZ165" s="868"/>
      <c r="CA165" s="868"/>
    </row>
    <row r="166" spans="1:79" ht="14.25" customHeight="1" x14ac:dyDescent="0.2">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row>
    <row r="167" spans="1:79" ht="14.25" customHeight="1" x14ac:dyDescent="0.2">
      <c r="C167" s="268" t="s">
        <v>374</v>
      </c>
      <c r="D167" s="268" t="s">
        <v>375</v>
      </c>
      <c r="E167" s="268" t="s">
        <v>376</v>
      </c>
      <c r="F167" s="268" t="s">
        <v>694</v>
      </c>
      <c r="G167" s="268" t="s">
        <v>760</v>
      </c>
      <c r="H167" s="268" t="s">
        <v>758</v>
      </c>
      <c r="I167" s="268" t="s">
        <v>771</v>
      </c>
      <c r="J167" s="268" t="s">
        <v>788</v>
      </c>
      <c r="K167" s="268" t="s">
        <v>844</v>
      </c>
      <c r="L167" s="268" t="s">
        <v>1089</v>
      </c>
      <c r="M167" s="268" t="s">
        <v>862</v>
      </c>
      <c r="N167" s="268" t="s">
        <v>922</v>
      </c>
      <c r="O167" s="268" t="s">
        <v>923</v>
      </c>
      <c r="P167" s="268" t="s">
        <v>924</v>
      </c>
      <c r="Q167" s="268" t="s">
        <v>1088</v>
      </c>
      <c r="R167" s="268" t="s">
        <v>995</v>
      </c>
      <c r="S167" s="268" t="s">
        <v>1027</v>
      </c>
      <c r="T167" s="268" t="s">
        <v>1028</v>
      </c>
      <c r="U167" s="268" t="s">
        <v>993</v>
      </c>
      <c r="V167" s="268" t="s">
        <v>1132</v>
      </c>
      <c r="W167" s="268" t="s">
        <v>1124</v>
      </c>
      <c r="X167" s="268" t="s">
        <v>1125</v>
      </c>
      <c r="Y167" s="268" t="s">
        <v>1126</v>
      </c>
      <c r="Z167" s="268" t="s">
        <v>1127</v>
      </c>
      <c r="AA167" s="268" t="s">
        <v>1179</v>
      </c>
      <c r="AB167" s="268" t="s">
        <v>1181</v>
      </c>
      <c r="AC167" s="268" t="s">
        <v>1189</v>
      </c>
      <c r="AD167" s="268" t="s">
        <v>1191</v>
      </c>
      <c r="AE167" s="268" t="s">
        <v>1193</v>
      </c>
      <c r="AF167" s="268" t="s">
        <v>1227</v>
      </c>
      <c r="AG167" s="268" t="s">
        <v>1232</v>
      </c>
      <c r="AH167" s="268" t="s">
        <v>1232</v>
      </c>
      <c r="AI167" s="268" t="s">
        <v>1232</v>
      </c>
      <c r="AJ167" s="268" t="s">
        <v>1232</v>
      </c>
      <c r="AK167" s="268" t="s">
        <v>1227</v>
      </c>
      <c r="AL167" s="268" t="s">
        <v>1232</v>
      </c>
      <c r="AM167" s="268"/>
      <c r="AN167" s="268"/>
      <c r="AO167" s="268"/>
      <c r="AP167" s="268" t="s">
        <v>1227</v>
      </c>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row>
    <row r="168" spans="1:79" ht="14.25" customHeight="1" x14ac:dyDescent="0.2">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row>
    <row r="169" spans="1:79" ht="14.25" customHeight="1" x14ac:dyDescent="0.2">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row>
    <row r="170" spans="1:79" ht="14.25" customHeight="1" x14ac:dyDescent="0.2">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row>
    <row r="171" spans="1:79" ht="14.25" customHeight="1" x14ac:dyDescent="0.2">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row>
    <row r="172" spans="1:79" ht="14.25" customHeight="1" x14ac:dyDescent="0.2">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row>
    <row r="173" spans="1:79" ht="14.25" customHeight="1" x14ac:dyDescent="0.2">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row>
    <row r="174" spans="1:79" ht="14.25" customHeight="1" x14ac:dyDescent="0.2">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row>
    <row r="175" spans="1:79" ht="14.25" customHeight="1" x14ac:dyDescent="0.2">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row>
    <row r="176" spans="1:79" ht="14.25" customHeight="1" x14ac:dyDescent="0.2">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row>
    <row r="177" spans="57:79" ht="14.25" customHeight="1" x14ac:dyDescent="0.2">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row>
    <row r="178" spans="57:79" ht="14.25" customHeight="1" x14ac:dyDescent="0.2">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row>
    <row r="179" spans="57:79" ht="14.25" customHeight="1" x14ac:dyDescent="0.2">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row>
    <row r="180" spans="57:79" ht="14.25" customHeight="1" x14ac:dyDescent="0.2">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row>
    <row r="181" spans="57:79" ht="14.25" customHeight="1" x14ac:dyDescent="0.2">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row>
    <row r="182" spans="57:79" ht="14.25" customHeight="1" x14ac:dyDescent="0.2">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row>
    <row r="183" spans="57:79" ht="14.25" customHeight="1" x14ac:dyDescent="0.2">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row>
    <row r="184" spans="57:79" ht="14.25" customHeight="1" x14ac:dyDescent="0.2">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row>
    <row r="185" spans="57:79" ht="14.25" customHeight="1" x14ac:dyDescent="0.2">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row>
    <row r="186" spans="57:79" ht="14.25" customHeight="1" x14ac:dyDescent="0.2">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row>
    <row r="187" spans="57:79" ht="14.25" customHeight="1" x14ac:dyDescent="0.2">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row>
    <row r="188" spans="57:79" ht="14.25" customHeight="1" x14ac:dyDescent="0.2">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row>
    <row r="189" spans="57:79" ht="14.25" customHeight="1" x14ac:dyDescent="0.2">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row>
    <row r="190" spans="57:79" ht="14.25" customHeight="1" x14ac:dyDescent="0.2">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row>
    <row r="191" spans="57:79" ht="14.25" customHeight="1" x14ac:dyDescent="0.2">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row>
    <row r="192" spans="57:79" ht="14.25" customHeight="1" x14ac:dyDescent="0.2">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row>
    <row r="193" spans="57:79" ht="14.25" customHeight="1" x14ac:dyDescent="0.2">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row>
    <row r="194" spans="57:79" ht="14.25" customHeight="1" x14ac:dyDescent="0.2">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row>
    <row r="195" spans="57:79" ht="14.25" customHeight="1" x14ac:dyDescent="0.2">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6">
    <tabColor theme="4" tint="-0.249977111117893"/>
    <pageSetUpPr autoPageBreaks="0"/>
  </sheetPr>
  <dimension ref="B1:BO15"/>
  <sheetViews>
    <sheetView showGridLines="0" zoomScaleNormal="100" workbookViewId="0">
      <pane xSplit="2" ySplit="5" topLeftCell="BD6" activePane="bottomRight" state="frozen"/>
      <selection activeCell="X6" sqref="X6"/>
      <selection pane="topRight" activeCell="X6" sqref="X6"/>
      <selection pane="bottomLeft" activeCell="X6" sqref="X6"/>
      <selection pane="bottomRight" activeCell="BN5" sqref="BN5"/>
    </sheetView>
  </sheetViews>
  <sheetFormatPr defaultRowHeight="12.75" outlineLevelRow="1" x14ac:dyDescent="0.2"/>
  <cols>
    <col min="1" max="1" width="1.42578125" customWidth="1"/>
    <col min="2" max="2" width="58.5703125" customWidth="1"/>
    <col min="3" max="63" width="10.7109375" customWidth="1"/>
    <col min="64" max="66" width="10.7109375" bestFit="1" customWidth="1"/>
  </cols>
  <sheetData>
    <row r="1" spans="2:67" s="557" customFormat="1" ht="7.5" customHeight="1" x14ac:dyDescent="0.2">
      <c r="BO1" s="551"/>
    </row>
    <row r="2" spans="2:67" s="557" customFormat="1" ht="12.75" customHeight="1" x14ac:dyDescent="0.2">
      <c r="B2" s="585"/>
      <c r="BO2" s="551"/>
    </row>
    <row r="3" spans="2:67" ht="12.75" customHeight="1" x14ac:dyDescent="0.2">
      <c r="B3" s="44"/>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row>
    <row r="4" spans="2:67" ht="12.75" customHeight="1" x14ac:dyDescent="0.2">
      <c r="B4" s="44"/>
      <c r="AP4" s="40"/>
      <c r="AQ4" s="40"/>
      <c r="AR4" s="40"/>
      <c r="AS4" s="40"/>
      <c r="AT4" s="40"/>
      <c r="AU4" s="40"/>
    </row>
    <row r="5" spans="2:67" x14ac:dyDescent="0.2">
      <c r="B5" s="141"/>
      <c r="C5" s="247" t="s">
        <v>1011</v>
      </c>
      <c r="D5" s="247" t="s">
        <v>1012</v>
      </c>
      <c r="E5" s="247" t="s">
        <v>1013</v>
      </c>
      <c r="F5" s="247" t="s">
        <v>1014</v>
      </c>
      <c r="G5" s="247" t="s">
        <v>1015</v>
      </c>
      <c r="H5" s="247" t="s">
        <v>1016</v>
      </c>
      <c r="I5" s="247" t="s">
        <v>1017</v>
      </c>
      <c r="J5" s="247" t="s">
        <v>1018</v>
      </c>
      <c r="K5" s="247" t="s">
        <v>1019</v>
      </c>
      <c r="L5" s="247" t="s">
        <v>1020</v>
      </c>
      <c r="M5" s="247" t="s">
        <v>1021</v>
      </c>
      <c r="N5" s="247" t="s">
        <v>1022</v>
      </c>
      <c r="O5" s="247" t="s">
        <v>1023</v>
      </c>
      <c r="P5" s="247" t="s">
        <v>1024</v>
      </c>
      <c r="Q5" s="247" t="s">
        <v>1025</v>
      </c>
      <c r="R5" s="247" t="s">
        <v>1026</v>
      </c>
      <c r="S5" s="247" t="s">
        <v>467</v>
      </c>
      <c r="T5" s="247" t="s">
        <v>468</v>
      </c>
      <c r="U5" s="247" t="s">
        <v>469</v>
      </c>
      <c r="V5" s="247" t="s">
        <v>470</v>
      </c>
      <c r="W5" s="247" t="s">
        <v>471</v>
      </c>
      <c r="X5" s="247" t="s">
        <v>472</v>
      </c>
      <c r="Y5" s="247" t="s">
        <v>473</v>
      </c>
      <c r="Z5" s="247" t="s">
        <v>474</v>
      </c>
      <c r="AA5" s="247" t="s">
        <v>475</v>
      </c>
      <c r="AB5" s="247" t="s">
        <v>476</v>
      </c>
      <c r="AC5" s="247" t="s">
        <v>477</v>
      </c>
      <c r="AD5" s="247" t="s">
        <v>478</v>
      </c>
      <c r="AE5" s="247" t="s">
        <v>479</v>
      </c>
      <c r="AF5" s="247" t="s">
        <v>371</v>
      </c>
      <c r="AG5" s="247" t="s">
        <v>372</v>
      </c>
      <c r="AH5" s="247" t="s">
        <v>373</v>
      </c>
      <c r="AI5" s="247" t="s">
        <v>374</v>
      </c>
      <c r="AJ5" s="247" t="s">
        <v>375</v>
      </c>
      <c r="AK5" s="247" t="s">
        <v>376</v>
      </c>
      <c r="AL5" s="247" t="s">
        <v>694</v>
      </c>
      <c r="AM5" s="247" t="s">
        <v>758</v>
      </c>
      <c r="AN5" s="247" t="s">
        <v>771</v>
      </c>
      <c r="AO5" s="247" t="s">
        <v>788</v>
      </c>
      <c r="AP5" s="247" t="s">
        <v>844</v>
      </c>
      <c r="AQ5" s="247" t="s">
        <v>862</v>
      </c>
      <c r="AR5" s="247" t="s">
        <v>922</v>
      </c>
      <c r="AS5" s="247" t="s">
        <v>923</v>
      </c>
      <c r="AT5" s="247" t="s">
        <v>924</v>
      </c>
      <c r="AU5" s="247" t="s">
        <v>995</v>
      </c>
      <c r="AV5" s="247" t="s">
        <v>1027</v>
      </c>
      <c r="AW5" s="247" t="s">
        <v>1028</v>
      </c>
      <c r="AX5" s="247" t="s">
        <v>993</v>
      </c>
      <c r="AY5" s="247" t="s">
        <v>1124</v>
      </c>
      <c r="AZ5" s="247" t="s">
        <v>1125</v>
      </c>
      <c r="BA5" s="247" t="s">
        <v>1126</v>
      </c>
      <c r="BB5" s="247" t="s">
        <v>1127</v>
      </c>
      <c r="BC5" s="247" t="s">
        <v>1181</v>
      </c>
      <c r="BD5" s="247" t="s">
        <v>1189</v>
      </c>
      <c r="BE5" s="247" t="s">
        <v>1191</v>
      </c>
      <c r="BF5" s="247" t="s">
        <v>1193</v>
      </c>
      <c r="BG5" s="247" t="s">
        <v>1232</v>
      </c>
      <c r="BH5" s="247" t="s">
        <v>1245</v>
      </c>
      <c r="BI5" s="247" t="s">
        <v>1247</v>
      </c>
      <c r="BJ5" s="247" t="s">
        <v>1249</v>
      </c>
      <c r="BK5" s="247" t="s">
        <v>1306</v>
      </c>
      <c r="BL5" s="247" t="s">
        <v>1316</v>
      </c>
      <c r="BM5" s="247" t="s">
        <v>1317</v>
      </c>
      <c r="BN5" s="247" t="s">
        <v>1318</v>
      </c>
    </row>
    <row r="6" spans="2:67" x14ac:dyDescent="0.2">
      <c r="B6" s="119" t="s">
        <v>1263</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 si="3">SUM(BN7:BN8)</f>
        <v>201637</v>
      </c>
    </row>
    <row r="7" spans="2:67" x14ac:dyDescent="0.2">
      <c r="B7" s="130" t="s">
        <v>607</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178817</v>
      </c>
    </row>
    <row r="8" spans="2:67" x14ac:dyDescent="0.2">
      <c r="B8" s="130" t="s">
        <v>1264</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row>
    <row r="9" spans="2:67" x14ac:dyDescent="0.2">
      <c r="B9" s="119" t="s">
        <v>1265</v>
      </c>
      <c r="C9" s="120">
        <f t="shared" ref="C9:AH9" si="4">SUM(C10:C11)</f>
        <v>175701334.18194699</v>
      </c>
      <c r="D9" s="120">
        <f t="shared" si="4"/>
        <v>208656797.61534798</v>
      </c>
      <c r="E9" s="120">
        <f t="shared" si="4"/>
        <v>225957593.707434</v>
      </c>
      <c r="F9" s="120">
        <f t="shared" si="4"/>
        <v>233210850.76886499</v>
      </c>
      <c r="G9" s="120">
        <f t="shared" si="4"/>
        <v>230896643</v>
      </c>
      <c r="H9" s="120">
        <f t="shared" si="4"/>
        <v>261984022</v>
      </c>
      <c r="I9" s="120">
        <f t="shared" si="4"/>
        <v>271104450</v>
      </c>
      <c r="J9" s="120">
        <f t="shared" si="4"/>
        <v>293763884</v>
      </c>
      <c r="K9" s="120">
        <f t="shared" si="4"/>
        <v>259005000</v>
      </c>
      <c r="L9" s="120">
        <f t="shared" si="4"/>
        <v>272443000</v>
      </c>
      <c r="M9" s="120">
        <f t="shared" si="4"/>
        <v>279068000</v>
      </c>
      <c r="N9" s="120">
        <f t="shared" si="4"/>
        <v>284463000.00000006</v>
      </c>
      <c r="O9" s="120">
        <f t="shared" si="4"/>
        <v>240378722.99999997</v>
      </c>
      <c r="P9" s="120">
        <f t="shared" si="4"/>
        <v>274716564</v>
      </c>
      <c r="Q9" s="120">
        <f t="shared" si="4"/>
        <v>315962799</v>
      </c>
      <c r="R9" s="120">
        <f t="shared" si="4"/>
        <v>321407714</v>
      </c>
      <c r="S9" s="120">
        <f t="shared" si="4"/>
        <v>279683537</v>
      </c>
      <c r="T9" s="120">
        <f t="shared" si="4"/>
        <v>323607818</v>
      </c>
      <c r="U9" s="120">
        <f t="shared" si="4"/>
        <v>327608229</v>
      </c>
      <c r="V9" s="120">
        <f t="shared" si="4"/>
        <v>319719344</v>
      </c>
      <c r="W9" s="120">
        <f t="shared" si="4"/>
        <v>259884542</v>
      </c>
      <c r="X9" s="120">
        <f t="shared" si="4"/>
        <v>278686994.32499999</v>
      </c>
      <c r="Y9" s="120">
        <f t="shared" si="4"/>
        <v>277098309</v>
      </c>
      <c r="Z9" s="120">
        <f t="shared" si="4"/>
        <v>316095610.99999994</v>
      </c>
      <c r="AA9" s="120">
        <f t="shared" si="4"/>
        <v>218228126</v>
      </c>
      <c r="AB9" s="120">
        <f t="shared" si="4"/>
        <v>202027900</v>
      </c>
      <c r="AC9" s="120">
        <f t="shared" si="4"/>
        <v>196409795</v>
      </c>
      <c r="AD9" s="120">
        <f t="shared" si="4"/>
        <v>211035891.99999994</v>
      </c>
      <c r="AE9" s="120">
        <f t="shared" si="4"/>
        <v>141289564</v>
      </c>
      <c r="AF9" s="120">
        <f t="shared" si="4"/>
        <v>160341923.00000006</v>
      </c>
      <c r="AG9" s="120">
        <f t="shared" si="4"/>
        <v>169233957.00000009</v>
      </c>
      <c r="AH9" s="120">
        <f t="shared" si="4"/>
        <v>174961505.00000003</v>
      </c>
      <c r="AI9" s="120">
        <f t="shared" ref="AI9:BG9" si="5">SUM(AI10:AI11)</f>
        <v>146476000</v>
      </c>
      <c r="AJ9" s="120">
        <f t="shared" si="5"/>
        <v>172147373.03599072</v>
      </c>
      <c r="AK9" s="120">
        <f t="shared" si="5"/>
        <v>191069349</v>
      </c>
      <c r="AL9" s="120">
        <f t="shared" si="5"/>
        <v>204238159</v>
      </c>
      <c r="AM9" s="120">
        <f t="shared" si="5"/>
        <v>171756394</v>
      </c>
      <c r="AN9" s="120">
        <f t="shared" si="5"/>
        <v>190005425</v>
      </c>
      <c r="AO9" s="120">
        <f t="shared" si="5"/>
        <v>214950232</v>
      </c>
      <c r="AP9" s="120">
        <f t="shared" si="5"/>
        <v>214723650</v>
      </c>
      <c r="AQ9" s="120">
        <f t="shared" si="5"/>
        <v>188746210</v>
      </c>
      <c r="AR9" s="120">
        <f t="shared" si="5"/>
        <v>220205950</v>
      </c>
      <c r="AS9" s="120">
        <f t="shared" si="5"/>
        <v>226176014</v>
      </c>
      <c r="AT9" s="120">
        <f t="shared" si="5"/>
        <v>245769125.99999994</v>
      </c>
      <c r="AU9" s="120">
        <f t="shared" si="5"/>
        <v>175905118</v>
      </c>
      <c r="AV9" s="120">
        <f t="shared" si="5"/>
        <v>61170718</v>
      </c>
      <c r="AW9" s="120">
        <f t="shared" si="5"/>
        <v>189941205</v>
      </c>
      <c r="AX9" s="120">
        <f t="shared" si="5"/>
        <v>208718510</v>
      </c>
      <c r="AY9" s="120">
        <f t="shared" si="5"/>
        <v>143978225</v>
      </c>
      <c r="AZ9" s="120">
        <f t="shared" si="5"/>
        <v>126444726</v>
      </c>
      <c r="BA9" s="120">
        <f t="shared" si="5"/>
        <v>118061787</v>
      </c>
      <c r="BB9" s="120">
        <f t="shared" si="5"/>
        <v>164257378</v>
      </c>
      <c r="BC9" s="120">
        <f t="shared" si="5"/>
        <v>114198708</v>
      </c>
      <c r="BD9" s="120">
        <f t="shared" si="5"/>
        <v>132858517</v>
      </c>
      <c r="BE9" s="120">
        <f t="shared" si="5"/>
        <v>171164148</v>
      </c>
      <c r="BF9" s="120">
        <f t="shared" si="5"/>
        <v>169468625</v>
      </c>
      <c r="BG9" s="120">
        <f t="shared" si="5"/>
        <v>136753524</v>
      </c>
      <c r="BH9" s="120">
        <f t="shared" ref="BH9:BM9" si="6">SUM(BH10:BH11)</f>
        <v>150424709</v>
      </c>
      <c r="BI9" s="120">
        <f t="shared" si="6"/>
        <v>177419495</v>
      </c>
      <c r="BJ9" s="120">
        <f t="shared" si="6"/>
        <v>188849851</v>
      </c>
      <c r="BK9" s="120">
        <f t="shared" si="6"/>
        <v>148802245</v>
      </c>
      <c r="BL9" s="120">
        <f t="shared" si="6"/>
        <v>181918482</v>
      </c>
      <c r="BM9" s="120">
        <f t="shared" si="6"/>
        <v>216435628</v>
      </c>
      <c r="BN9" s="120">
        <f t="shared" ref="BN9" si="7">SUM(BN10:BN11)</f>
        <v>220136647</v>
      </c>
    </row>
    <row r="10" spans="2:67" x14ac:dyDescent="0.2">
      <c r="B10" s="130" t="s">
        <v>1266</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row>
    <row r="11" spans="2:67" x14ac:dyDescent="0.2">
      <c r="B11" s="130" t="s">
        <v>1267</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row>
    <row r="12" spans="2:67" s="312" customFormat="1" outlineLevel="1" x14ac:dyDescent="0.2">
      <c r="B12" s="119" t="s">
        <v>1080</v>
      </c>
      <c r="C12" s="120">
        <f t="shared" ref="C12:AH12" si="8">C9/C6</f>
        <v>872.33057047080172</v>
      </c>
      <c r="D12" s="120">
        <f t="shared" si="8"/>
        <v>850.12670046425626</v>
      </c>
      <c r="E12" s="120">
        <f t="shared" si="8"/>
        <v>846.35919973118928</v>
      </c>
      <c r="F12" s="120">
        <f t="shared" si="8"/>
        <v>851.68777807796664</v>
      </c>
      <c r="G12" s="120">
        <f t="shared" si="8"/>
        <v>959.03639323971277</v>
      </c>
      <c r="H12" s="120">
        <f t="shared" si="8"/>
        <v>1028.3016954275072</v>
      </c>
      <c r="I12" s="120">
        <f t="shared" si="8"/>
        <v>953.55899236039784</v>
      </c>
      <c r="J12" s="120">
        <f t="shared" si="8"/>
        <v>968.24275623848462</v>
      </c>
      <c r="K12" s="120">
        <f t="shared" si="8"/>
        <v>1023.4924523828341</v>
      </c>
      <c r="L12" s="120">
        <f t="shared" si="8"/>
        <v>1037.1511017039484</v>
      </c>
      <c r="M12" s="120">
        <f t="shared" si="8"/>
        <v>1008.1754303571106</v>
      </c>
      <c r="N12" s="120">
        <f t="shared" si="8"/>
        <v>961.64416904151005</v>
      </c>
      <c r="O12" s="120">
        <f t="shared" si="8"/>
        <v>996.20679751672219</v>
      </c>
      <c r="P12" s="120">
        <f t="shared" si="8"/>
        <v>1011.9107421090823</v>
      </c>
      <c r="Q12" s="120">
        <f t="shared" si="8"/>
        <v>1042.3480631816471</v>
      </c>
      <c r="R12" s="120">
        <f t="shared" si="8"/>
        <v>1067.8990537325731</v>
      </c>
      <c r="S12" s="120">
        <f t="shared" si="8"/>
        <v>1067.9550225860771</v>
      </c>
      <c r="T12" s="120">
        <f t="shared" si="8"/>
        <v>1039.2063494102422</v>
      </c>
      <c r="U12" s="120">
        <f t="shared" si="8"/>
        <v>1056.8893810448619</v>
      </c>
      <c r="V12" s="120">
        <f t="shared" si="8"/>
        <v>1057.4687905167623</v>
      </c>
      <c r="W12" s="120">
        <f t="shared" si="8"/>
        <v>1100.6506973178778</v>
      </c>
      <c r="X12" s="120">
        <f t="shared" si="8"/>
        <v>1136.2318491028363</v>
      </c>
      <c r="Y12" s="120">
        <f t="shared" si="8"/>
        <v>1086.9967911627523</v>
      </c>
      <c r="Z12" s="120">
        <f t="shared" si="8"/>
        <v>1091.5808319750254</v>
      </c>
      <c r="AA12" s="120">
        <f t="shared" si="8"/>
        <v>1106.6615583559421</v>
      </c>
      <c r="AB12" s="120">
        <f t="shared" si="8"/>
        <v>1070.743587025652</v>
      </c>
      <c r="AC12" s="120">
        <f t="shared" si="8"/>
        <v>1096.7406259597399</v>
      </c>
      <c r="AD12" s="120">
        <f t="shared" si="8"/>
        <v>1052.0705914024056</v>
      </c>
      <c r="AE12" s="120">
        <f t="shared" si="8"/>
        <v>1039.8572500993569</v>
      </c>
      <c r="AF12" s="120">
        <f t="shared" si="8"/>
        <v>947.73691956686241</v>
      </c>
      <c r="AG12" s="120">
        <f t="shared" si="8"/>
        <v>948.04159454145224</v>
      </c>
      <c r="AH12" s="120">
        <f t="shared" si="8"/>
        <v>886.62175995135192</v>
      </c>
      <c r="AI12" s="120">
        <f t="shared" ref="AI12:BG12" si="9">AI9/AI6</f>
        <v>891.01117444173417</v>
      </c>
      <c r="AJ12" s="120">
        <f t="shared" si="9"/>
        <v>939.75627124782716</v>
      </c>
      <c r="AK12" s="120">
        <f t="shared" si="9"/>
        <v>978.07225381744843</v>
      </c>
      <c r="AL12" s="120">
        <f t="shared" si="9"/>
        <v>966.0578722317349</v>
      </c>
      <c r="AM12" s="120">
        <f t="shared" si="9"/>
        <v>969.2197098374254</v>
      </c>
      <c r="AN12" s="120">
        <f t="shared" si="9"/>
        <v>979.99032931892611</v>
      </c>
      <c r="AO12" s="120">
        <f t="shared" si="9"/>
        <v>1039.9643524118244</v>
      </c>
      <c r="AP12" s="120">
        <f t="shared" si="9"/>
        <v>1054.4949834746865</v>
      </c>
      <c r="AQ12" s="120">
        <f t="shared" si="9"/>
        <v>1052.5370695664296</v>
      </c>
      <c r="AR12" s="120">
        <f t="shared" si="9"/>
        <v>1057.7721576143608</v>
      </c>
      <c r="AS12" s="120">
        <f t="shared" si="9"/>
        <v>1106.0114035902727</v>
      </c>
      <c r="AT12" s="120">
        <f t="shared" si="9"/>
        <v>1071.9824396116298</v>
      </c>
      <c r="AU12" s="120">
        <f t="shared" si="9"/>
        <v>1122.6027671767904</v>
      </c>
      <c r="AV12" s="120">
        <f t="shared" si="9"/>
        <v>1079.953356166802</v>
      </c>
      <c r="AW12" s="120">
        <f t="shared" si="9"/>
        <v>1174.2016357364523</v>
      </c>
      <c r="AX12" s="120">
        <f t="shared" si="9"/>
        <v>1123.5923234280792</v>
      </c>
      <c r="AY12" s="120">
        <f t="shared" si="9"/>
        <v>1048.5632874517514</v>
      </c>
      <c r="AZ12" s="120">
        <f t="shared" si="9"/>
        <v>989.44954731479811</v>
      </c>
      <c r="BA12" s="120">
        <f t="shared" si="9"/>
        <v>1036.7300994915656</v>
      </c>
      <c r="BB12" s="120">
        <f t="shared" si="9"/>
        <v>1106.8332715645911</v>
      </c>
      <c r="BC12" s="120">
        <f t="shared" si="9"/>
        <v>978.63356528296708</v>
      </c>
      <c r="BD12" s="120">
        <f t="shared" si="9"/>
        <v>964.9034214291421</v>
      </c>
      <c r="BE12" s="120">
        <f t="shared" si="9"/>
        <v>1030.6995291028868</v>
      </c>
      <c r="BF12" s="120">
        <f t="shared" si="9"/>
        <v>1027.7054275318376</v>
      </c>
      <c r="BG12" s="120">
        <f t="shared" si="9"/>
        <v>992.32662124213596</v>
      </c>
      <c r="BH12" s="120">
        <f t="shared" ref="BH12:BM12" si="10">BH9/BH6</f>
        <v>957.99712775442617</v>
      </c>
      <c r="BI12" s="120">
        <f t="shared" si="10"/>
        <v>1045.365867310865</v>
      </c>
      <c r="BJ12" s="120">
        <f t="shared" si="10"/>
        <v>1077.27063272943</v>
      </c>
      <c r="BK12" s="120">
        <f t="shared" si="10"/>
        <v>1060.6609428905426</v>
      </c>
      <c r="BL12" s="120">
        <f t="shared" si="10"/>
        <v>1088.8236751696813</v>
      </c>
      <c r="BM12" s="120">
        <f t="shared" si="10"/>
        <v>1067.0053242886158</v>
      </c>
      <c r="BN12" s="120">
        <f t="shared" ref="BN12" si="11">BN9/BN6</f>
        <v>1091.7472834846778</v>
      </c>
      <c r="BO12"/>
    </row>
    <row r="13" spans="2:67" x14ac:dyDescent="0.2">
      <c r="B13" s="130" t="s">
        <v>1268</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1190.9712163832298</v>
      </c>
    </row>
    <row r="14" spans="2:67" x14ac:dyDescent="0.2">
      <c r="B14" s="130" t="s">
        <v>1269</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row>
    <row r="15" spans="2:67" x14ac:dyDescent="0.2">
      <c r="B15" s="119" t="s">
        <v>1270</v>
      </c>
      <c r="C15" s="1152">
        <f>C6/VLOOKUP(C5,MktData!$B:$E,2,0)</f>
        <v>0.26092014327445606</v>
      </c>
      <c r="D15" s="1152">
        <f>D6/VLOOKUP(D5,MktData!$B:$E,2,0)</f>
        <v>0.27643040078927983</v>
      </c>
      <c r="E15" s="1152">
        <f>E6/VLOOKUP(E5,MktData!$B:$E,2,0)</f>
        <v>0.27929164434922338</v>
      </c>
      <c r="F15" s="1152">
        <f>F6/VLOOKUP(F5,MktData!$B:$E,2,0)</f>
        <v>0.29855618576596732</v>
      </c>
      <c r="G15" s="1152">
        <f>G6/VLOOKUP(G5,MktData!$B:$E,2,0)</f>
        <v>0.29601674107280079</v>
      </c>
      <c r="H15" s="1152">
        <f>H6/VLOOKUP(H5,MktData!$B:$E,2,0)</f>
        <v>0.30644909084129507</v>
      </c>
      <c r="I15" s="1152">
        <f>I6/VLOOKUP(I5,MktData!$B:$E,2,0)</f>
        <v>0.29582536909497464</v>
      </c>
      <c r="J15" s="1152">
        <f>J6/VLOOKUP(J5,MktData!$B:$E,2,0)</f>
        <v>0.28225683409867297</v>
      </c>
      <c r="K15" s="1152">
        <f>K6/VLOOKUP(K5,MktData!$B:$E,2,0)</f>
        <v>0.28315767919463536</v>
      </c>
      <c r="L15" s="1152">
        <f>L6/VLOOKUP(L5,MktData!$B:$E,2,0)</f>
        <v>0.26970246730672287</v>
      </c>
      <c r="M15" s="1152">
        <f>M6/VLOOKUP(M5,MktData!$B:$E,2,0)</f>
        <v>0.27470379070489825</v>
      </c>
      <c r="N15" s="1152">
        <f>N6/VLOOKUP(N5,MktData!$B:$E,2,0)</f>
        <v>0.28919567334201479</v>
      </c>
      <c r="O15" s="1152">
        <f>O6/VLOOKUP(O5,MktData!$B:$E,2,0)</f>
        <v>0.27515325950117681</v>
      </c>
      <c r="P15" s="1152">
        <f>P6/VLOOKUP(P5,MktData!$B:$E,2,0)</f>
        <v>0.28147333300846961</v>
      </c>
      <c r="Q15" s="1152">
        <f>Q6/VLOOKUP(Q5,MktData!$B:$E,2,0)</f>
        <v>0.26944868647254278</v>
      </c>
      <c r="R15" s="1152">
        <f>R6/VLOOKUP(R5,MktData!$B:$E,2,0)</f>
        <v>0.27860554671011217</v>
      </c>
      <c r="S15" s="1152">
        <f>S6/VLOOKUP(S5,MktData!$B:$E,2,0)</f>
        <v>0.29296174528402141</v>
      </c>
      <c r="T15" s="1152">
        <f>T6/VLOOKUP(T5,MktData!$B:$E,2,0)</f>
        <v>0.29303645652478727</v>
      </c>
      <c r="U15" s="1152">
        <f>U6/VLOOKUP(U5,MktData!$B:$E,2,0)</f>
        <v>0.28553900006908783</v>
      </c>
      <c r="V15" s="1152">
        <f>V6/VLOOKUP(V5,MktData!$B:$E,2,0)</f>
        <v>0.28276321302448076</v>
      </c>
      <c r="W15" s="1152">
        <f>W6/VLOOKUP(W5,MktData!$B:$E,2,0)</f>
        <v>0.27968728715685987</v>
      </c>
      <c r="X15" s="1152">
        <f>X6/VLOOKUP(X5,MktData!$B:$E,2,0)</f>
        <v>0.27331178244973597</v>
      </c>
      <c r="Y15" s="1152">
        <f>Y6/VLOOKUP(Y5,MktData!$B:$E,2,0)</f>
        <v>0.28066036177872705</v>
      </c>
      <c r="Z15" s="1152">
        <f>Z6/VLOOKUP(Z5,MktData!$B:$E,2,0)</f>
        <v>0.29143330444925508</v>
      </c>
      <c r="AA15" s="1152">
        <f>AA6/VLOOKUP(AA5,MktData!$B:$E,2,0)</f>
        <v>0.27245157368261075</v>
      </c>
      <c r="AB15" s="1152">
        <f>AB6/VLOOKUP(AB5,MktData!$B:$E,2,0)</f>
        <v>0.25733138029890157</v>
      </c>
      <c r="AC15" s="1152">
        <f>AC6/VLOOKUP(AC5,MktData!$B:$E,2,0)</f>
        <v>0.2551991746301368</v>
      </c>
      <c r="AD15" s="1152">
        <f>AD6/VLOOKUP(AD5,MktData!$B:$E,2,0)</f>
        <v>0.28220138208911549</v>
      </c>
      <c r="AE15" s="1152">
        <f>AE6/VLOOKUP(AE5,MktData!$B:$E,2,0)</f>
        <v>0.24194476051076316</v>
      </c>
      <c r="AF15" s="1152">
        <f>AF6/VLOOKUP(AF5,MktData!$B:$E,2,0)</f>
        <v>0.2753663760831776</v>
      </c>
      <c r="AG15" s="1152">
        <f>AG6/VLOOKUP(AG5,MktData!$B:$E,2,0)</f>
        <v>0.28512034346883719</v>
      </c>
      <c r="AH15" s="1152">
        <f>AH6/VLOOKUP(AH5,MktData!$B:$E,2,0)</f>
        <v>0.29209759332365276</v>
      </c>
      <c r="AI15" s="1152">
        <f>AI6/VLOOKUP(AI5,MktData!$B:$E,2,0)</f>
        <v>0.26257297331831941</v>
      </c>
      <c r="AJ15" s="1152">
        <f>AJ6/VLOOKUP(AJ5,MktData!$B:$E,2,0)</f>
        <v>0.25331714460745336</v>
      </c>
      <c r="AK15" s="1152">
        <f>AK6/VLOOKUP(AK5,MktData!$B:$E,2,0)</f>
        <v>0.25539912118427022</v>
      </c>
      <c r="AL15" s="1152">
        <f>AL6/VLOOKUP(AL5,MktData!$B:$E,2,0)</f>
        <v>0.26881073747677942</v>
      </c>
      <c r="AM15" s="1152">
        <f>AM6/VLOOKUP(AM5,MktData!$B:$E,2,0)</f>
        <v>0.25364883839764574</v>
      </c>
      <c r="AN15" s="1152">
        <f>AN6/VLOOKUP(AN5,MktData!$B:$E,2,0)</f>
        <v>0.24529022773651338</v>
      </c>
      <c r="AO15" s="1152">
        <f>AO6/VLOOKUP(AO5,MktData!$B:$E,2,0)</f>
        <v>0.26122619213123871</v>
      </c>
      <c r="AP15" s="1152">
        <f>AP6/VLOOKUP(AP5,MktData!$B:$E,2,0)</f>
        <v>0.25760504616287688</v>
      </c>
      <c r="AQ15" s="1152">
        <f>AQ6/VLOOKUP(AQ5,MktData!$B:$E,2,0)</f>
        <v>0.26316407379307005</v>
      </c>
      <c r="AR15" s="1152">
        <f>AR6/VLOOKUP(AR5,MktData!$B:$E,2,0)</f>
        <v>0.26601183501513559</v>
      </c>
      <c r="AS15" s="1152">
        <f>AS6/VLOOKUP(AS5,MktData!$B:$E,2,0)</f>
        <v>0.2560693713999499</v>
      </c>
      <c r="AT15" s="1152">
        <f>AT6/VLOOKUP(AT5,MktData!$B:$E,2,0)</f>
        <v>0.28287646471663125</v>
      </c>
      <c r="AU15" s="1152">
        <f>AU6/VLOOKUP(AU5,MktData!$B:$E,2,0)</f>
        <v>0.25293011468648863</v>
      </c>
      <c r="AV15" s="1152">
        <f>AV6/VLOOKUP(AV5,MktData!$B:$E,2,0)</f>
        <v>0.21894689642909604</v>
      </c>
      <c r="AW15" s="1152">
        <f>AW6/VLOOKUP(AW5,MktData!$B:$E,2,0)</f>
        <v>0.26134441426842725</v>
      </c>
      <c r="AX15" s="1152">
        <f>AX6/VLOOKUP(AX5,MktData!$B:$E,2,0)</f>
        <v>0.24294484304580849</v>
      </c>
      <c r="AY15" s="1152">
        <f>AY6/VLOOKUP(AY5,MktData!$B:$E,2,0)</f>
        <v>0.23345966100657481</v>
      </c>
      <c r="AZ15" s="1152">
        <f>AZ6/VLOOKUP(AZ5,MktData!$B:$E,2,0)</f>
        <v>0.2104423318551063</v>
      </c>
      <c r="BA15" s="1152">
        <f>BA6/VLOOKUP(BA5,MktData!$B:$E,2,0)</f>
        <v>0.21352966434597059</v>
      </c>
      <c r="BB15" s="1152">
        <f>BB6/VLOOKUP(BB5,MktData!$B:$E,2,0)</f>
        <v>0.24824276447189259</v>
      </c>
      <c r="BC15" s="1152">
        <f>BC6/VLOOKUP(BC5,MktData!$B:$E,2,0)</f>
        <v>0.24417967164266552</v>
      </c>
      <c r="BD15" s="1152">
        <f>BD6/VLOOKUP(BD5,MktData!$B:$E,2,0)</f>
        <v>0.22638763977514309</v>
      </c>
      <c r="BE15" s="1152">
        <f>BE6/VLOOKUP(BE5,MktData!$B:$E,2,0)</f>
        <v>0.25430617320249427</v>
      </c>
      <c r="BF15" s="1152">
        <f>BF6/VLOOKUP(BF5,MktData!$B:$E,2,0)</f>
        <v>0.24552501258148185</v>
      </c>
      <c r="BG15" s="1152">
        <f>BG6/VLOOKUP(BG5,MktData!$B:$E,2,0)</f>
        <v>0.25248109749059683</v>
      </c>
      <c r="BH15" s="1152">
        <f>BH6/VLOOKUP(BH5,MktData!$B:$E,2,0)</f>
        <v>0.25787400928228188</v>
      </c>
      <c r="BI15" s="1152">
        <f>BI6/VLOOKUP(BI5,MktData!$B:$E,2,0)</f>
        <v>0.24711454600783045</v>
      </c>
      <c r="BJ15" s="1152">
        <f>BJ6/VLOOKUP(BJ5,MktData!$B:$E,2,0)</f>
        <v>0.24316369134312624</v>
      </c>
      <c r="BK15" s="1152">
        <f>BK6/VLOOKUP(BK5,MktData!$B:$E,2,0)</f>
        <v>0.24961212725072948</v>
      </c>
      <c r="BL15" s="1152">
        <f>BL6/VLOOKUP(BL5,MktData!$B:$E,2,0)</f>
        <v>0.24847157220975488</v>
      </c>
      <c r="BM15" s="1152">
        <f>BM6/VLOOKUP(BM5,MktData!$B:$E,2,0)</f>
        <v>0.2577524994536019</v>
      </c>
      <c r="BN15" s="1152">
        <f>BN6/VLOOKUP(BN5,MktData!$B:$E,2,0)</f>
        <v>0.23950999735114442</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9"/>
    <outlinePr summaryBelow="0" summaryRight="0"/>
    <pageSetUpPr autoPageBreaks="0"/>
  </sheetPr>
  <dimension ref="A1:BJ93"/>
  <sheetViews>
    <sheetView showGridLines="0" zoomScaleNormal="100" workbookViewId="0">
      <pane xSplit="2" ySplit="5" topLeftCell="AV6" activePane="bottomRight" state="frozen"/>
      <selection activeCell="AO35" sqref="AO35:AO49"/>
      <selection pane="topRight" activeCell="AO35" sqref="AO35:AO49"/>
      <selection pane="bottomLeft" activeCell="AO35" sqref="AO35:AO49"/>
      <selection pane="bottomRight" activeCell="BJ5" sqref="BJ5"/>
    </sheetView>
  </sheetViews>
  <sheetFormatPr defaultColWidth="21.42578125" defaultRowHeight="14.1" customHeight="1" outlineLevelRow="1" x14ac:dyDescent="0.2"/>
  <cols>
    <col min="1" max="1" width="0.28515625" style="268" customWidth="1"/>
    <col min="2" max="2" width="35.5703125" style="478" customWidth="1"/>
    <col min="3" max="62" width="9.7109375" style="513" customWidth="1"/>
    <col min="63" max="16384" width="21.42578125" style="478"/>
  </cols>
  <sheetData>
    <row r="1" spans="1:62" s="574" customFormat="1" ht="11.25" customHeight="1" x14ac:dyDescent="0.2">
      <c r="A1" s="268"/>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row>
    <row r="2" spans="1:62" s="574" customFormat="1" ht="12.75" customHeight="1" x14ac:dyDescent="0.2">
      <c r="A2" s="268"/>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row>
    <row r="3" spans="1:62" s="537" customFormat="1" ht="12.75" customHeight="1" x14ac:dyDescent="0.2">
      <c r="A3" s="268"/>
      <c r="B3" s="538"/>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row>
    <row r="4" spans="1:62" ht="12.75" customHeight="1" x14ac:dyDescent="0.2">
      <c r="B4" s="520" t="s">
        <v>214</v>
      </c>
      <c r="C4" s="726"/>
      <c r="D4" s="726"/>
      <c r="E4" s="726"/>
      <c r="F4" s="726"/>
      <c r="G4" s="727"/>
      <c r="H4" s="728" t="s">
        <v>1432</v>
      </c>
      <c r="I4" s="724"/>
      <c r="J4" s="724"/>
      <c r="K4" s="729"/>
      <c r="L4" s="1245" t="s">
        <v>1433</v>
      </c>
      <c r="M4" s="1245"/>
      <c r="N4" s="1246"/>
      <c r="O4" s="728" t="s">
        <v>1434</v>
      </c>
      <c r="P4" s="729"/>
      <c r="Q4" s="729"/>
      <c r="R4" s="1245" t="s">
        <v>1435</v>
      </c>
      <c r="S4" s="1246"/>
      <c r="T4" s="728" t="s">
        <v>1436</v>
      </c>
      <c r="U4" s="729"/>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821"/>
      <c r="AW4" s="821"/>
      <c r="AX4" s="821"/>
      <c r="AY4" s="821"/>
      <c r="AZ4" s="821"/>
      <c r="BA4" s="821"/>
      <c r="BB4" s="821"/>
      <c r="BC4" s="821"/>
      <c r="BD4" s="821"/>
      <c r="BE4" s="821"/>
      <c r="BF4" s="821"/>
      <c r="BG4" s="821"/>
      <c r="BH4" s="821"/>
      <c r="BI4" s="821"/>
      <c r="BJ4" s="821"/>
    </row>
    <row r="5" spans="1:62" ht="12.75" customHeight="1" x14ac:dyDescent="0.2">
      <c r="B5" s="480" t="s">
        <v>164</v>
      </c>
      <c r="C5" s="539" t="s">
        <v>128</v>
      </c>
      <c r="D5" s="539" t="s">
        <v>129</v>
      </c>
      <c r="E5" s="539" t="s">
        <v>130</v>
      </c>
      <c r="F5" s="539" t="s">
        <v>121</v>
      </c>
      <c r="G5" s="539" t="s">
        <v>1019</v>
      </c>
      <c r="H5" s="482" t="s">
        <v>1020</v>
      </c>
      <c r="I5" s="481" t="s">
        <v>1021</v>
      </c>
      <c r="J5" s="481" t="s">
        <v>1022</v>
      </c>
      <c r="K5" s="481" t="s">
        <v>1023</v>
      </c>
      <c r="L5" s="481" t="s">
        <v>1024</v>
      </c>
      <c r="M5" s="481" t="s">
        <v>1025</v>
      </c>
      <c r="N5" s="481" t="s">
        <v>1026</v>
      </c>
      <c r="O5" s="482" t="s">
        <v>467</v>
      </c>
      <c r="P5" s="481" t="s">
        <v>468</v>
      </c>
      <c r="Q5" s="481" t="s">
        <v>469</v>
      </c>
      <c r="R5" s="481" t="s">
        <v>470</v>
      </c>
      <c r="S5" s="481" t="s">
        <v>471</v>
      </c>
      <c r="T5" s="482" t="s">
        <v>472</v>
      </c>
      <c r="U5" s="481" t="s">
        <v>473</v>
      </c>
      <c r="V5" s="481" t="s">
        <v>474</v>
      </c>
      <c r="W5" s="481" t="s">
        <v>475</v>
      </c>
      <c r="X5" s="481" t="s">
        <v>476</v>
      </c>
      <c r="Y5" s="481" t="s">
        <v>477</v>
      </c>
      <c r="Z5" s="481" t="s">
        <v>478</v>
      </c>
      <c r="AA5" s="481" t="s">
        <v>479</v>
      </c>
      <c r="AB5" s="481" t="s">
        <v>371</v>
      </c>
      <c r="AC5" s="481" t="s">
        <v>372</v>
      </c>
      <c r="AD5" s="481" t="s">
        <v>373</v>
      </c>
      <c r="AE5" s="481" t="s">
        <v>374</v>
      </c>
      <c r="AF5" s="481" t="s">
        <v>143</v>
      </c>
      <c r="AG5" s="539" t="s">
        <v>376</v>
      </c>
      <c r="AH5" s="539" t="s">
        <v>694</v>
      </c>
      <c r="AI5" s="539" t="s">
        <v>758</v>
      </c>
      <c r="AJ5" s="539" t="s">
        <v>771</v>
      </c>
      <c r="AK5" s="539" t="s">
        <v>788</v>
      </c>
      <c r="AL5" s="539" t="s">
        <v>844</v>
      </c>
      <c r="AM5" s="539" t="s">
        <v>862</v>
      </c>
      <c r="AN5" s="539" t="s">
        <v>922</v>
      </c>
      <c r="AO5" s="539" t="s">
        <v>923</v>
      </c>
      <c r="AP5" s="539" t="s">
        <v>924</v>
      </c>
      <c r="AQ5" s="539" t="s">
        <v>995</v>
      </c>
      <c r="AR5" s="539" t="s">
        <v>1027</v>
      </c>
      <c r="AS5" s="539" t="s">
        <v>1028</v>
      </c>
      <c r="AT5" s="539" t="s">
        <v>993</v>
      </c>
      <c r="AU5" s="539" t="s">
        <v>1124</v>
      </c>
      <c r="AV5" s="539" t="s">
        <v>1125</v>
      </c>
      <c r="AW5" s="539" t="s">
        <v>1126</v>
      </c>
      <c r="AX5" s="539" t="s">
        <v>1127</v>
      </c>
      <c r="AY5" s="539" t="s">
        <v>1181</v>
      </c>
      <c r="AZ5" s="539" t="s">
        <v>1188</v>
      </c>
      <c r="BA5" s="539" t="s">
        <v>1191</v>
      </c>
      <c r="BB5" s="539" t="s">
        <v>1193</v>
      </c>
      <c r="BC5" s="539" t="s">
        <v>1232</v>
      </c>
      <c r="BD5" s="539" t="s">
        <v>1245</v>
      </c>
      <c r="BE5" s="539" t="s">
        <v>1247</v>
      </c>
      <c r="BF5" s="539" t="s">
        <v>1249</v>
      </c>
      <c r="BG5" s="539" t="s">
        <v>1306</v>
      </c>
      <c r="BH5" s="539" t="s">
        <v>1316</v>
      </c>
      <c r="BI5" s="539" t="s">
        <v>1317</v>
      </c>
      <c r="BJ5" s="539" t="s">
        <v>1318</v>
      </c>
    </row>
    <row r="6" spans="1:62" ht="14.1" customHeight="1" x14ac:dyDescent="0.2">
      <c r="B6" s="483" t="s">
        <v>165</v>
      </c>
      <c r="C6" s="484">
        <f t="shared" ref="C6:AE6" si="0">SUM(C7:C19)</f>
        <v>385957</v>
      </c>
      <c r="D6" s="484">
        <f t="shared" si="0"/>
        <v>231219</v>
      </c>
      <c r="E6" s="484">
        <f t="shared" si="0"/>
        <v>229817</v>
      </c>
      <c r="F6" s="484">
        <f t="shared" si="0"/>
        <v>248772.09744374378</v>
      </c>
      <c r="G6" s="484">
        <f t="shared" si="0"/>
        <v>271782</v>
      </c>
      <c r="H6" s="485">
        <f t="shared" si="0"/>
        <v>290236</v>
      </c>
      <c r="I6" s="484">
        <f t="shared" si="0"/>
        <v>382886</v>
      </c>
      <c r="J6" s="484">
        <f t="shared" si="0"/>
        <v>387939</v>
      </c>
      <c r="K6" s="484">
        <f t="shared" si="0"/>
        <v>410842</v>
      </c>
      <c r="L6" s="484">
        <f t="shared" si="0"/>
        <v>476889</v>
      </c>
      <c r="M6" s="484">
        <f t="shared" si="0"/>
        <v>535704</v>
      </c>
      <c r="N6" s="484">
        <f t="shared" si="0"/>
        <v>530656</v>
      </c>
      <c r="O6" s="485">
        <f t="shared" si="0"/>
        <v>760934</v>
      </c>
      <c r="P6" s="484">
        <f t="shared" si="0"/>
        <v>827145</v>
      </c>
      <c r="Q6" s="484">
        <f t="shared" si="0"/>
        <v>622581</v>
      </c>
      <c r="R6" s="484">
        <f t="shared" si="0"/>
        <v>609659</v>
      </c>
      <c r="S6" s="484">
        <f t="shared" si="0"/>
        <v>582931</v>
      </c>
      <c r="T6" s="485">
        <f t="shared" si="0"/>
        <v>710465</v>
      </c>
      <c r="U6" s="484">
        <f t="shared" si="0"/>
        <v>595297</v>
      </c>
      <c r="V6" s="484">
        <f t="shared" si="0"/>
        <v>621340</v>
      </c>
      <c r="W6" s="484">
        <f t="shared" si="0"/>
        <v>629227</v>
      </c>
      <c r="X6" s="484">
        <f t="shared" si="0"/>
        <v>454963</v>
      </c>
      <c r="Y6" s="484">
        <f t="shared" si="0"/>
        <v>439710</v>
      </c>
      <c r="Z6" s="484">
        <f t="shared" si="0"/>
        <v>449610</v>
      </c>
      <c r="AA6" s="484">
        <f t="shared" si="0"/>
        <v>407506</v>
      </c>
      <c r="AB6" s="484">
        <f t="shared" si="0"/>
        <v>393313</v>
      </c>
      <c r="AC6" s="484">
        <f t="shared" si="0"/>
        <v>398950</v>
      </c>
      <c r="AD6" s="484">
        <f t="shared" si="0"/>
        <v>375977</v>
      </c>
      <c r="AE6" s="484">
        <f t="shared" si="0"/>
        <v>265863</v>
      </c>
      <c r="AF6" s="484">
        <v>343759</v>
      </c>
      <c r="AG6" s="484">
        <f t="shared" ref="AG6:AP6" si="1">SUM(AG7:AG19)</f>
        <v>301570.20061</v>
      </c>
      <c r="AH6" s="484">
        <f t="shared" si="1"/>
        <v>374680</v>
      </c>
      <c r="AI6" s="484">
        <f t="shared" si="1"/>
        <v>301072</v>
      </c>
      <c r="AJ6" s="484">
        <f t="shared" si="1"/>
        <v>282166</v>
      </c>
      <c r="AK6" s="484">
        <f t="shared" si="1"/>
        <v>304270</v>
      </c>
      <c r="AL6" s="484">
        <f t="shared" si="1"/>
        <v>337511</v>
      </c>
      <c r="AM6" s="484">
        <f t="shared" si="1"/>
        <v>338424</v>
      </c>
      <c r="AN6" s="484">
        <f t="shared" si="1"/>
        <v>350720</v>
      </c>
      <c r="AO6" s="484">
        <f t="shared" si="1"/>
        <v>457387</v>
      </c>
      <c r="AP6" s="484">
        <f t="shared" si="1"/>
        <v>449072</v>
      </c>
      <c r="AQ6" s="484">
        <f t="shared" ref="AQ6:AZ6" si="2">SUM(AQ7:AQ19)</f>
        <v>425365</v>
      </c>
      <c r="AR6" s="484">
        <f t="shared" si="2"/>
        <v>509845</v>
      </c>
      <c r="AS6" s="484">
        <f t="shared" si="2"/>
        <v>511246</v>
      </c>
      <c r="AT6" s="484">
        <f t="shared" si="2"/>
        <v>517707</v>
      </c>
      <c r="AU6" s="484">
        <f t="shared" si="2"/>
        <v>520283</v>
      </c>
      <c r="AV6" s="484">
        <f t="shared" si="2"/>
        <v>499034</v>
      </c>
      <c r="AW6" s="484">
        <f t="shared" si="2"/>
        <v>473722</v>
      </c>
      <c r="AX6" s="484">
        <f t="shared" si="2"/>
        <v>507179</v>
      </c>
      <c r="AY6" s="484">
        <f t="shared" si="2"/>
        <v>493938</v>
      </c>
      <c r="AZ6" s="484">
        <f t="shared" si="2"/>
        <v>447362</v>
      </c>
      <c r="BA6" s="484">
        <f t="shared" ref="BA6:BJ6" si="3">SUM(BA7:BA19)</f>
        <v>496779</v>
      </c>
      <c r="BB6" s="484">
        <f t="shared" si="3"/>
        <v>552717</v>
      </c>
      <c r="BC6" s="484">
        <f t="shared" si="3"/>
        <v>549687</v>
      </c>
      <c r="BD6" s="484">
        <f t="shared" si="3"/>
        <v>543928</v>
      </c>
      <c r="BE6" s="484">
        <f t="shared" si="3"/>
        <v>578394</v>
      </c>
      <c r="BF6" s="484">
        <f t="shared" si="3"/>
        <v>612732</v>
      </c>
      <c r="BG6" s="484">
        <f t="shared" si="3"/>
        <v>625944</v>
      </c>
      <c r="BH6" s="484">
        <f t="shared" si="3"/>
        <v>657428</v>
      </c>
      <c r="BI6" s="484">
        <f t="shared" si="3"/>
        <v>691781</v>
      </c>
      <c r="BJ6" s="484">
        <f t="shared" si="3"/>
        <v>712728</v>
      </c>
    </row>
    <row r="7" spans="1:62" ht="14.1" customHeight="1" x14ac:dyDescent="0.2">
      <c r="A7" s="268" t="s">
        <v>166</v>
      </c>
      <c r="B7" s="486" t="s">
        <v>166</v>
      </c>
      <c r="C7" s="487">
        <v>223477</v>
      </c>
      <c r="D7" s="487">
        <v>16441</v>
      </c>
      <c r="E7" s="487">
        <v>59128</v>
      </c>
      <c r="F7" s="487">
        <v>24852</v>
      </c>
      <c r="G7" s="487">
        <v>28692</v>
      </c>
      <c r="H7" s="488">
        <v>16854</v>
      </c>
      <c r="I7" s="487">
        <v>19754</v>
      </c>
      <c r="J7" s="487">
        <v>3884</v>
      </c>
      <c r="K7" s="487">
        <v>18127</v>
      </c>
      <c r="L7" s="487">
        <v>7496</v>
      </c>
      <c r="M7" s="487">
        <v>15445</v>
      </c>
      <c r="N7" s="487">
        <v>12360</v>
      </c>
      <c r="O7" s="488">
        <v>12772</v>
      </c>
      <c r="P7" s="487">
        <v>13164</v>
      </c>
      <c r="Q7" s="487">
        <v>13048</v>
      </c>
      <c r="R7" s="487">
        <v>204448</v>
      </c>
      <c r="S7" s="487">
        <v>221474</v>
      </c>
      <c r="T7" s="488">
        <v>179882</v>
      </c>
      <c r="U7" s="487">
        <v>186093</v>
      </c>
      <c r="V7" s="487">
        <v>227857</v>
      </c>
      <c r="W7" s="487">
        <v>306960</v>
      </c>
      <c r="X7" s="487">
        <v>131505</v>
      </c>
      <c r="Y7" s="487">
        <v>206751</v>
      </c>
      <c r="Z7" s="487">
        <v>214259</v>
      </c>
      <c r="AA7" s="487">
        <v>232693</v>
      </c>
      <c r="AB7" s="487">
        <v>219216</v>
      </c>
      <c r="AC7" s="487">
        <v>241918</v>
      </c>
      <c r="AD7" s="487">
        <v>192858</v>
      </c>
      <c r="AE7" s="487">
        <v>126013</v>
      </c>
      <c r="AF7" s="487">
        <v>183030</v>
      </c>
      <c r="AG7" s="487">
        <v>145307</v>
      </c>
      <c r="AH7" s="487">
        <v>148732</v>
      </c>
      <c r="AI7" s="487">
        <v>125466</v>
      </c>
      <c r="AJ7" s="487">
        <v>90689</v>
      </c>
      <c r="AK7" s="487">
        <v>97964</v>
      </c>
      <c r="AL7" s="487">
        <v>83542</v>
      </c>
      <c r="AM7" s="487">
        <v>107994</v>
      </c>
      <c r="AN7" s="487">
        <v>106775</v>
      </c>
      <c r="AO7" s="487">
        <v>112108</v>
      </c>
      <c r="AP7" s="487">
        <v>67332</v>
      </c>
      <c r="AQ7" s="487">
        <v>125940</v>
      </c>
      <c r="AR7" s="487">
        <v>286503</v>
      </c>
      <c r="AS7" s="487">
        <v>247793</v>
      </c>
      <c r="AT7" s="487">
        <v>260387</v>
      </c>
      <c r="AU7" s="487">
        <v>304909</v>
      </c>
      <c r="AV7" s="487">
        <v>244529</v>
      </c>
      <c r="AW7" s="487">
        <v>221421</v>
      </c>
      <c r="AX7" s="487">
        <v>147128</v>
      </c>
      <c r="AY7" s="487">
        <v>210504</v>
      </c>
      <c r="AZ7" s="487">
        <v>119723</v>
      </c>
      <c r="BA7" s="487">
        <v>137242</v>
      </c>
      <c r="BB7" s="487">
        <v>190299</v>
      </c>
      <c r="BC7" s="487">
        <v>242048</v>
      </c>
      <c r="BD7" s="487">
        <v>237038</v>
      </c>
      <c r="BE7" s="487">
        <v>258630</v>
      </c>
      <c r="BF7" s="487">
        <v>232539</v>
      </c>
      <c r="BG7" s="487">
        <v>299796</v>
      </c>
      <c r="BH7" s="487">
        <v>282802</v>
      </c>
      <c r="BI7" s="487">
        <v>264126</v>
      </c>
      <c r="BJ7" s="487">
        <v>241335</v>
      </c>
    </row>
    <row r="8" spans="1:62" ht="14.1" customHeight="1" x14ac:dyDescent="0.2">
      <c r="A8" s="268" t="s">
        <v>167</v>
      </c>
      <c r="B8" s="486" t="s">
        <v>167</v>
      </c>
      <c r="C8" s="487">
        <v>106327</v>
      </c>
      <c r="D8" s="487">
        <v>125326</v>
      </c>
      <c r="E8" s="487">
        <v>137205</v>
      </c>
      <c r="F8" s="487">
        <v>180797</v>
      </c>
      <c r="G8" s="487">
        <v>192194</v>
      </c>
      <c r="H8" s="488">
        <v>220140</v>
      </c>
      <c r="I8" s="487">
        <v>239040</v>
      </c>
      <c r="J8" s="487">
        <v>274485</v>
      </c>
      <c r="K8" s="487">
        <v>294602</v>
      </c>
      <c r="L8" s="487">
        <v>331980</v>
      </c>
      <c r="M8" s="487">
        <v>352994</v>
      </c>
      <c r="N8" s="487">
        <v>361666</v>
      </c>
      <c r="O8" s="488">
        <v>341441</v>
      </c>
      <c r="P8" s="487">
        <v>394608</v>
      </c>
      <c r="Q8" s="487">
        <v>353269</v>
      </c>
      <c r="R8" s="487">
        <v>338425</v>
      </c>
      <c r="S8" s="487">
        <v>301539</v>
      </c>
      <c r="T8" s="488">
        <v>260290</v>
      </c>
      <c r="U8" s="487">
        <v>248659</v>
      </c>
      <c r="V8" s="487">
        <v>253604</v>
      </c>
      <c r="W8" s="487">
        <v>199309</v>
      </c>
      <c r="X8" s="487">
        <v>221868</v>
      </c>
      <c r="Y8" s="487">
        <v>182340</v>
      </c>
      <c r="Z8" s="487">
        <v>187600</v>
      </c>
      <c r="AA8" s="487">
        <v>129251</v>
      </c>
      <c r="AB8" s="487">
        <v>138728</v>
      </c>
      <c r="AC8" s="487">
        <v>126437</v>
      </c>
      <c r="AD8" s="487">
        <v>154255</v>
      </c>
      <c r="AE8" s="487">
        <v>116130</v>
      </c>
      <c r="AF8" s="487">
        <v>123239</v>
      </c>
      <c r="AG8" s="487">
        <v>137433</v>
      </c>
      <c r="AH8" s="487">
        <v>171180</v>
      </c>
      <c r="AI8" s="487">
        <v>149456</v>
      </c>
      <c r="AJ8" s="487">
        <v>175884</v>
      </c>
      <c r="AK8" s="487">
        <v>190482</v>
      </c>
      <c r="AL8" s="487">
        <v>226227</v>
      </c>
      <c r="AM8" s="487">
        <v>202605</v>
      </c>
      <c r="AN8" s="487">
        <v>215878</v>
      </c>
      <c r="AO8" s="487">
        <v>222773</v>
      </c>
      <c r="AP8" s="487">
        <v>261173</v>
      </c>
      <c r="AQ8" s="487">
        <v>208452</v>
      </c>
      <c r="AR8" s="487">
        <v>127444</v>
      </c>
      <c r="AS8" s="487">
        <v>199717</v>
      </c>
      <c r="AT8" s="487">
        <v>212138</v>
      </c>
      <c r="AU8" s="487">
        <v>169120</v>
      </c>
      <c r="AV8" s="487">
        <v>197088</v>
      </c>
      <c r="AW8" s="487">
        <v>196436</v>
      </c>
      <c r="AX8" s="487">
        <v>302669</v>
      </c>
      <c r="AY8" s="487">
        <v>223696</v>
      </c>
      <c r="AZ8" s="487">
        <v>266460</v>
      </c>
      <c r="BA8" s="487">
        <v>289087</v>
      </c>
      <c r="BB8" s="487">
        <v>314053</v>
      </c>
      <c r="BC8" s="487">
        <v>259933</v>
      </c>
      <c r="BD8" s="487">
        <v>264045</v>
      </c>
      <c r="BE8" s="487">
        <v>280755</v>
      </c>
      <c r="BF8" s="487">
        <v>345505</v>
      </c>
      <c r="BG8" s="487">
        <v>294190</v>
      </c>
      <c r="BH8" s="487">
        <v>342942</v>
      </c>
      <c r="BI8" s="487">
        <v>395339</v>
      </c>
      <c r="BJ8" s="487">
        <v>437934</v>
      </c>
    </row>
    <row r="9" spans="1:62" ht="14.1" customHeight="1" x14ac:dyDescent="0.2">
      <c r="A9" s="268" t="s">
        <v>168</v>
      </c>
      <c r="B9" s="486" t="s">
        <v>168</v>
      </c>
      <c r="C9" s="487">
        <v>0</v>
      </c>
      <c r="D9" s="487">
        <v>0</v>
      </c>
      <c r="E9" s="487">
        <v>0</v>
      </c>
      <c r="F9" s="487">
        <v>0</v>
      </c>
      <c r="G9" s="487">
        <v>0</v>
      </c>
      <c r="H9" s="488">
        <v>0</v>
      </c>
      <c r="I9" s="487">
        <v>0</v>
      </c>
      <c r="J9" s="487">
        <v>0</v>
      </c>
      <c r="K9" s="487">
        <v>0</v>
      </c>
      <c r="L9" s="487">
        <v>0</v>
      </c>
      <c r="M9" s="487">
        <v>0</v>
      </c>
      <c r="N9" s="487">
        <v>0</v>
      </c>
      <c r="O9" s="488">
        <v>0</v>
      </c>
      <c r="P9" s="487">
        <v>621</v>
      </c>
      <c r="Q9" s="487">
        <v>0</v>
      </c>
      <c r="R9" s="487">
        <v>0</v>
      </c>
      <c r="S9" s="487">
        <v>0</v>
      </c>
      <c r="T9" s="488">
        <v>532</v>
      </c>
      <c r="U9" s="487">
        <v>0</v>
      </c>
      <c r="V9" s="487">
        <v>12174</v>
      </c>
      <c r="W9" s="487">
        <v>1</v>
      </c>
      <c r="X9" s="487">
        <v>2071</v>
      </c>
      <c r="Y9" s="487">
        <v>1203</v>
      </c>
      <c r="Z9" s="487">
        <v>1851</v>
      </c>
      <c r="AA9" s="487">
        <v>798</v>
      </c>
      <c r="AB9" s="487">
        <v>334</v>
      </c>
      <c r="AC9" s="487">
        <v>810</v>
      </c>
      <c r="AD9" s="487">
        <v>770</v>
      </c>
      <c r="AE9" s="487">
        <v>513</v>
      </c>
      <c r="AF9" s="487">
        <v>462</v>
      </c>
      <c r="AG9" s="487">
        <v>614</v>
      </c>
      <c r="AH9" s="487">
        <v>768</v>
      </c>
      <c r="AI9" s="487">
        <v>602</v>
      </c>
      <c r="AJ9" s="487">
        <v>841</v>
      </c>
      <c r="AK9" s="487">
        <v>1556</v>
      </c>
      <c r="AL9" s="487">
        <v>4126</v>
      </c>
      <c r="AM9" s="487">
        <v>2641</v>
      </c>
      <c r="AN9" s="487">
        <v>3000</v>
      </c>
      <c r="AO9" s="487">
        <v>201</v>
      </c>
      <c r="AP9" s="487">
        <v>684</v>
      </c>
      <c r="AQ9" s="487">
        <v>558</v>
      </c>
      <c r="AR9" s="487">
        <v>112</v>
      </c>
      <c r="AS9" s="487">
        <v>127</v>
      </c>
      <c r="AT9" s="487">
        <v>182</v>
      </c>
      <c r="AU9" s="487">
        <v>247</v>
      </c>
      <c r="AV9" s="487">
        <v>112</v>
      </c>
      <c r="AW9" s="487">
        <v>93</v>
      </c>
      <c r="AX9" s="487">
        <v>94</v>
      </c>
      <c r="AY9" s="487">
        <v>35</v>
      </c>
      <c r="AZ9" s="487">
        <v>35</v>
      </c>
      <c r="BA9" s="487">
        <v>34</v>
      </c>
      <c r="BB9" s="487">
        <v>181</v>
      </c>
      <c r="BC9" s="487">
        <v>197</v>
      </c>
      <c r="BD9" s="487">
        <v>347</v>
      </c>
      <c r="BE9" s="487">
        <v>268</v>
      </c>
      <c r="BF9" s="487">
        <v>292</v>
      </c>
      <c r="BG9" s="487">
        <v>378</v>
      </c>
      <c r="BH9" s="487">
        <v>435</v>
      </c>
      <c r="BI9" s="487">
        <v>1027</v>
      </c>
      <c r="BJ9" s="487">
        <v>537</v>
      </c>
    </row>
    <row r="10" spans="1:62" ht="14.1" customHeight="1" x14ac:dyDescent="0.2">
      <c r="B10" s="489" t="s">
        <v>169</v>
      </c>
      <c r="C10" s="487">
        <v>1902</v>
      </c>
      <c r="D10" s="487">
        <v>1934</v>
      </c>
      <c r="E10" s="487">
        <v>1444</v>
      </c>
      <c r="F10" s="487">
        <v>1117.5131474000245</v>
      </c>
      <c r="G10" s="487">
        <v>1562</v>
      </c>
      <c r="H10" s="488">
        <v>2438</v>
      </c>
      <c r="I10" s="487">
        <v>2569</v>
      </c>
      <c r="J10" s="487">
        <v>4726</v>
      </c>
      <c r="K10" s="487">
        <v>4575</v>
      </c>
      <c r="L10" s="487">
        <v>3471</v>
      </c>
      <c r="M10" s="487">
        <v>3309</v>
      </c>
      <c r="N10" s="487">
        <v>2145</v>
      </c>
      <c r="O10" s="488">
        <v>2915</v>
      </c>
      <c r="P10" s="487">
        <v>3880</v>
      </c>
      <c r="Q10" s="487">
        <v>4037</v>
      </c>
      <c r="R10" s="487">
        <v>4184</v>
      </c>
      <c r="S10" s="487">
        <v>3862</v>
      </c>
      <c r="T10" s="488">
        <v>3452</v>
      </c>
      <c r="U10" s="487">
        <v>3416</v>
      </c>
      <c r="V10" s="487">
        <v>1993</v>
      </c>
      <c r="W10" s="487">
        <v>2414</v>
      </c>
      <c r="X10" s="487">
        <v>2339</v>
      </c>
      <c r="Y10" s="487">
        <v>2198</v>
      </c>
      <c r="Z10" s="487">
        <v>1533</v>
      </c>
      <c r="AA10" s="487">
        <v>923</v>
      </c>
      <c r="AB10" s="487">
        <v>637</v>
      </c>
      <c r="AC10" s="487">
        <v>392</v>
      </c>
      <c r="AD10" s="487">
        <v>209</v>
      </c>
      <c r="AE10" s="487">
        <v>213</v>
      </c>
      <c r="AF10" s="487">
        <v>214</v>
      </c>
      <c r="AG10" s="487">
        <v>227</v>
      </c>
      <c r="AH10" s="487">
        <v>227</v>
      </c>
      <c r="AI10" s="487">
        <v>194</v>
      </c>
      <c r="AJ10" s="487">
        <v>185</v>
      </c>
      <c r="AK10" s="487">
        <v>175</v>
      </c>
      <c r="AL10" s="487">
        <v>173</v>
      </c>
      <c r="AM10" s="487">
        <v>178</v>
      </c>
      <c r="AN10" s="487">
        <v>172</v>
      </c>
      <c r="AO10" s="487">
        <v>85</v>
      </c>
      <c r="AP10" s="487">
        <v>75</v>
      </c>
      <c r="AQ10" s="487">
        <v>76</v>
      </c>
      <c r="AR10" s="487">
        <v>74</v>
      </c>
      <c r="AS10" s="487">
        <v>88</v>
      </c>
      <c r="AT10" s="487">
        <v>82</v>
      </c>
      <c r="AU10" s="487">
        <v>429</v>
      </c>
      <c r="AV10" s="487">
        <v>829</v>
      </c>
      <c r="AW10" s="487">
        <v>1212</v>
      </c>
      <c r="AX10" s="487">
        <v>1251</v>
      </c>
      <c r="AY10" s="487">
        <v>1313</v>
      </c>
      <c r="AZ10" s="487">
        <v>1126</v>
      </c>
      <c r="BA10" s="487">
        <v>1166</v>
      </c>
      <c r="BB10" s="487">
        <v>1004</v>
      </c>
      <c r="BC10" s="487">
        <v>769</v>
      </c>
      <c r="BD10" s="487">
        <v>1012</v>
      </c>
      <c r="BE10" s="487">
        <v>804</v>
      </c>
      <c r="BF10" s="487">
        <v>810</v>
      </c>
      <c r="BG10" s="487">
        <v>732</v>
      </c>
      <c r="BH10" s="487">
        <v>739</v>
      </c>
      <c r="BI10" s="487">
        <v>890</v>
      </c>
      <c r="BJ10" s="487">
        <v>263</v>
      </c>
    </row>
    <row r="11" spans="1:62" ht="14.1" customHeight="1" x14ac:dyDescent="0.2">
      <c r="B11" s="489" t="s">
        <v>196</v>
      </c>
      <c r="C11" s="487">
        <v>0</v>
      </c>
      <c r="D11" s="487">
        <v>0</v>
      </c>
      <c r="E11" s="487">
        <v>0</v>
      </c>
      <c r="F11" s="487">
        <v>0</v>
      </c>
      <c r="G11" s="487">
        <v>0</v>
      </c>
      <c r="H11" s="488">
        <v>0</v>
      </c>
      <c r="I11" s="487">
        <v>0</v>
      </c>
      <c r="J11" s="487">
        <v>0</v>
      </c>
      <c r="K11" s="487">
        <v>0</v>
      </c>
      <c r="L11" s="487">
        <v>0</v>
      </c>
      <c r="M11" s="487">
        <v>0</v>
      </c>
      <c r="N11" s="487">
        <v>0</v>
      </c>
      <c r="O11" s="488">
        <v>0</v>
      </c>
      <c r="P11" s="487">
        <v>0</v>
      </c>
      <c r="Q11" s="487">
        <v>0</v>
      </c>
      <c r="R11" s="487">
        <v>0</v>
      </c>
      <c r="S11" s="487">
        <v>0</v>
      </c>
      <c r="T11" s="488">
        <v>0</v>
      </c>
      <c r="U11" s="487">
        <v>0</v>
      </c>
      <c r="V11" s="487">
        <v>0</v>
      </c>
      <c r="W11" s="487">
        <v>0</v>
      </c>
      <c r="X11" s="487">
        <v>0</v>
      </c>
      <c r="Y11" s="487">
        <v>0</v>
      </c>
      <c r="Z11" s="487">
        <v>0</v>
      </c>
      <c r="AA11" s="487">
        <v>0</v>
      </c>
      <c r="AB11" s="487">
        <v>0</v>
      </c>
      <c r="AC11" s="487">
        <v>0</v>
      </c>
      <c r="AD11" s="487">
        <v>2837</v>
      </c>
      <c r="AE11" s="487">
        <v>2837</v>
      </c>
      <c r="AF11" s="487">
        <v>2837</v>
      </c>
      <c r="AG11" s="487">
        <v>2837</v>
      </c>
      <c r="AH11" s="487">
        <v>5208</v>
      </c>
      <c r="AI11" s="487">
        <v>2353</v>
      </c>
      <c r="AJ11" s="487">
        <v>1853</v>
      </c>
      <c r="AK11" s="487">
        <v>2539</v>
      </c>
      <c r="AL11" s="487">
        <v>3342</v>
      </c>
      <c r="AM11" s="487">
        <v>3479</v>
      </c>
      <c r="AN11" s="487">
        <v>3274</v>
      </c>
      <c r="AO11" s="487">
        <v>2218</v>
      </c>
      <c r="AP11" s="487">
        <v>1130</v>
      </c>
      <c r="AQ11" s="487">
        <v>766</v>
      </c>
      <c r="AR11" s="487">
        <v>772</v>
      </c>
      <c r="AS11" s="487">
        <v>775</v>
      </c>
      <c r="AT11" s="487">
        <v>829</v>
      </c>
      <c r="AU11" s="487">
        <v>835</v>
      </c>
      <c r="AV11" s="487">
        <v>1007</v>
      </c>
      <c r="AW11" s="487">
        <v>1083</v>
      </c>
      <c r="AX11" s="487">
        <v>1157</v>
      </c>
      <c r="AY11" s="487">
        <v>1908</v>
      </c>
      <c r="AZ11" s="487">
        <v>1937</v>
      </c>
      <c r="BA11" s="487">
        <v>2238</v>
      </c>
      <c r="BB11" s="487">
        <v>2263</v>
      </c>
      <c r="BC11" s="487">
        <v>2299</v>
      </c>
      <c r="BD11" s="487">
        <v>2397</v>
      </c>
      <c r="BE11" s="487">
        <v>2356</v>
      </c>
      <c r="BF11" s="487">
        <v>2398</v>
      </c>
      <c r="BG11" s="487">
        <v>2420</v>
      </c>
      <c r="BH11" s="487">
        <v>2875</v>
      </c>
      <c r="BI11" s="487">
        <v>3019</v>
      </c>
      <c r="BJ11" s="487">
        <v>2746</v>
      </c>
    </row>
    <row r="12" spans="1:62" ht="14.1" customHeight="1" x14ac:dyDescent="0.2">
      <c r="A12" s="268" t="s">
        <v>170</v>
      </c>
      <c r="B12" s="486" t="s">
        <v>170</v>
      </c>
      <c r="C12" s="487">
        <v>13909</v>
      </c>
      <c r="D12" s="487">
        <v>15937</v>
      </c>
      <c r="E12" s="487">
        <v>9924</v>
      </c>
      <c r="F12" s="487">
        <v>10178</v>
      </c>
      <c r="G12" s="487">
        <v>9204</v>
      </c>
      <c r="H12" s="488">
        <v>11605</v>
      </c>
      <c r="I12" s="487">
        <v>12549</v>
      </c>
      <c r="J12" s="487">
        <v>18665</v>
      </c>
      <c r="K12" s="487">
        <v>22389</v>
      </c>
      <c r="L12" s="487">
        <v>19996</v>
      </c>
      <c r="M12" s="487">
        <v>20508</v>
      </c>
      <c r="N12" s="487">
        <v>21725</v>
      </c>
      <c r="O12" s="488">
        <v>30329</v>
      </c>
      <c r="P12" s="487">
        <v>28898</v>
      </c>
      <c r="Q12" s="487">
        <v>19495</v>
      </c>
      <c r="R12" s="487">
        <v>23889</v>
      </c>
      <c r="S12" s="487">
        <v>15987</v>
      </c>
      <c r="T12" s="488">
        <v>14510</v>
      </c>
      <c r="U12" s="487">
        <v>15375</v>
      </c>
      <c r="V12" s="487">
        <v>19086</v>
      </c>
      <c r="W12" s="487">
        <v>22813</v>
      </c>
      <c r="X12" s="487">
        <v>25649</v>
      </c>
      <c r="Y12" s="487">
        <v>22515</v>
      </c>
      <c r="Z12" s="487">
        <v>22710</v>
      </c>
      <c r="AA12" s="487">
        <v>19173</v>
      </c>
      <c r="AB12" s="487">
        <v>16057</v>
      </c>
      <c r="AC12" s="487">
        <v>13644</v>
      </c>
      <c r="AD12" s="487">
        <v>13032</v>
      </c>
      <c r="AE12" s="487">
        <v>2591</v>
      </c>
      <c r="AF12" s="490">
        <v>20551</v>
      </c>
      <c r="AG12" s="487">
        <v>6643.2006099999999</v>
      </c>
      <c r="AH12" s="490">
        <v>42770</v>
      </c>
      <c r="AI12" s="487">
        <v>14837</v>
      </c>
      <c r="AJ12" s="487">
        <v>3955</v>
      </c>
      <c r="AK12" s="487">
        <v>3001</v>
      </c>
      <c r="AL12" s="490">
        <v>12007</v>
      </c>
      <c r="AM12" s="487">
        <v>12317</v>
      </c>
      <c r="AN12" s="487">
        <v>12634</v>
      </c>
      <c r="AO12" s="490">
        <v>104567</v>
      </c>
      <c r="AP12" s="487">
        <v>106280</v>
      </c>
      <c r="AQ12" s="490">
        <v>57078</v>
      </c>
      <c r="AR12" s="487">
        <v>57277</v>
      </c>
      <c r="AS12" s="487">
        <v>50657</v>
      </c>
      <c r="AT12" s="487">
        <v>33989</v>
      </c>
      <c r="AU12" s="487">
        <v>30248</v>
      </c>
      <c r="AV12" s="490">
        <v>43566</v>
      </c>
      <c r="AW12" s="487">
        <v>42887</v>
      </c>
      <c r="AX12" s="487">
        <v>43369</v>
      </c>
      <c r="AY12" s="487">
        <v>44063</v>
      </c>
      <c r="AZ12" s="487">
        <v>44352</v>
      </c>
      <c r="BA12" s="487">
        <v>41196</v>
      </c>
      <c r="BB12" s="487">
        <v>24726</v>
      </c>
      <c r="BC12" s="487">
        <v>24340</v>
      </c>
      <c r="BD12" s="487">
        <v>20303</v>
      </c>
      <c r="BE12" s="487">
        <v>15773</v>
      </c>
      <c r="BF12" s="487">
        <v>11040</v>
      </c>
      <c r="BG12" s="487">
        <v>9955</v>
      </c>
      <c r="BH12" s="487">
        <v>7913</v>
      </c>
      <c r="BI12" s="487">
        <v>4827</v>
      </c>
      <c r="BJ12" s="487">
        <v>4380</v>
      </c>
    </row>
    <row r="13" spans="1:62" ht="14.1" customHeight="1" x14ac:dyDescent="0.2">
      <c r="A13" s="268" t="s">
        <v>171</v>
      </c>
      <c r="B13" s="486" t="s">
        <v>171</v>
      </c>
      <c r="C13" s="487">
        <v>10733</v>
      </c>
      <c r="D13" s="487">
        <v>8355</v>
      </c>
      <c r="E13" s="487">
        <v>8398</v>
      </c>
      <c r="F13" s="487">
        <v>14372.200566295001</v>
      </c>
      <c r="G13" s="487">
        <v>16118</v>
      </c>
      <c r="H13" s="488">
        <v>17216</v>
      </c>
      <c r="I13" s="487">
        <v>19141</v>
      </c>
      <c r="J13" s="487">
        <v>19442</v>
      </c>
      <c r="K13" s="487">
        <v>18988</v>
      </c>
      <c r="L13" s="487">
        <v>21592</v>
      </c>
      <c r="M13" s="487">
        <v>30204</v>
      </c>
      <c r="N13" s="487">
        <v>33668</v>
      </c>
      <c r="O13" s="488">
        <v>35444</v>
      </c>
      <c r="P13" s="487">
        <v>41054</v>
      </c>
      <c r="Q13" s="487">
        <v>50169</v>
      </c>
      <c r="R13" s="487">
        <v>29210</v>
      </c>
      <c r="S13" s="487">
        <v>22430</v>
      </c>
      <c r="T13" s="488">
        <v>20682</v>
      </c>
      <c r="U13" s="487">
        <v>134784</v>
      </c>
      <c r="V13" s="487">
        <v>104274</v>
      </c>
      <c r="W13" s="487">
        <v>62780</v>
      </c>
      <c r="X13" s="487">
        <v>65013.000000000007</v>
      </c>
      <c r="Y13" s="487">
        <v>20826</v>
      </c>
      <c r="Z13" s="487">
        <v>19738</v>
      </c>
      <c r="AA13" s="487">
        <v>17124</v>
      </c>
      <c r="AB13" s="487">
        <v>12954</v>
      </c>
      <c r="AC13" s="487">
        <v>12736</v>
      </c>
      <c r="AD13" s="487">
        <v>11048</v>
      </c>
      <c r="AE13" s="487">
        <v>10452</v>
      </c>
      <c r="AF13" s="487">
        <v>8277</v>
      </c>
      <c r="AG13" s="487">
        <v>5144</v>
      </c>
      <c r="AH13" s="487">
        <v>4528</v>
      </c>
      <c r="AI13" s="487">
        <v>4997</v>
      </c>
      <c r="AJ13" s="487">
        <v>5118</v>
      </c>
      <c r="AK13" s="487">
        <v>6055</v>
      </c>
      <c r="AL13" s="487">
        <v>6775</v>
      </c>
      <c r="AM13" s="487">
        <v>6217</v>
      </c>
      <c r="AN13" s="487">
        <v>5545</v>
      </c>
      <c r="AO13" s="487">
        <v>6225</v>
      </c>
      <c r="AP13" s="487">
        <v>6687</v>
      </c>
      <c r="AQ13" s="487">
        <v>8597</v>
      </c>
      <c r="AR13" s="487">
        <v>9426</v>
      </c>
      <c r="AS13" s="487">
        <v>9001</v>
      </c>
      <c r="AT13" s="487">
        <v>8266</v>
      </c>
      <c r="AU13" s="487">
        <v>9503</v>
      </c>
      <c r="AV13" s="487">
        <v>6835</v>
      </c>
      <c r="AW13" s="487">
        <v>7280</v>
      </c>
      <c r="AX13" s="487">
        <v>8891</v>
      </c>
      <c r="AY13" s="487">
        <v>7570</v>
      </c>
      <c r="AZ13" s="487">
        <v>8940</v>
      </c>
      <c r="BA13" s="487">
        <v>20280</v>
      </c>
      <c r="BB13" s="487">
        <v>15269</v>
      </c>
      <c r="BC13" s="487">
        <v>13492</v>
      </c>
      <c r="BD13" s="487">
        <v>13448</v>
      </c>
      <c r="BE13" s="487">
        <v>15088</v>
      </c>
      <c r="BF13" s="487">
        <v>14485</v>
      </c>
      <c r="BG13" s="487">
        <v>10566</v>
      </c>
      <c r="BH13" s="487">
        <v>12863</v>
      </c>
      <c r="BI13" s="487">
        <v>16675</v>
      </c>
      <c r="BJ13" s="487">
        <v>17922</v>
      </c>
    </row>
    <row r="14" spans="1:62" ht="14.1" customHeight="1" x14ac:dyDescent="0.2">
      <c r="B14" s="489" t="s">
        <v>175</v>
      </c>
      <c r="C14" s="487">
        <v>0</v>
      </c>
      <c r="D14" s="487">
        <v>0</v>
      </c>
      <c r="E14" s="487">
        <v>0</v>
      </c>
      <c r="F14" s="487">
        <v>0</v>
      </c>
      <c r="G14" s="487">
        <v>0</v>
      </c>
      <c r="H14" s="488">
        <v>0</v>
      </c>
      <c r="I14" s="487">
        <v>0</v>
      </c>
      <c r="J14" s="487">
        <v>1844</v>
      </c>
      <c r="K14" s="487">
        <v>0</v>
      </c>
      <c r="L14" s="487">
        <v>0</v>
      </c>
      <c r="M14" s="487">
        <v>0</v>
      </c>
      <c r="N14" s="487">
        <v>0</v>
      </c>
      <c r="O14" s="488">
        <v>0</v>
      </c>
      <c r="P14" s="487">
        <v>0</v>
      </c>
      <c r="Q14" s="487">
        <v>0</v>
      </c>
      <c r="R14" s="487">
        <v>0</v>
      </c>
      <c r="S14" s="487">
        <v>0</v>
      </c>
      <c r="T14" s="488">
        <v>0</v>
      </c>
      <c r="U14" s="487">
        <v>0</v>
      </c>
      <c r="V14" s="487">
        <v>0</v>
      </c>
      <c r="W14" s="487">
        <v>0</v>
      </c>
      <c r="X14" s="487">
        <v>0</v>
      </c>
      <c r="Y14" s="487">
        <v>0</v>
      </c>
      <c r="Z14" s="487">
        <v>0</v>
      </c>
      <c r="AA14" s="487">
        <v>0</v>
      </c>
      <c r="AB14" s="487">
        <v>0</v>
      </c>
      <c r="AC14" s="487">
        <v>0</v>
      </c>
      <c r="AD14" s="487">
        <v>0</v>
      </c>
      <c r="AE14" s="487">
        <v>0</v>
      </c>
      <c r="AF14" s="487">
        <v>0</v>
      </c>
      <c r="AG14" s="487">
        <v>0</v>
      </c>
      <c r="AH14" s="487">
        <v>0</v>
      </c>
      <c r="AI14" s="487">
        <v>0</v>
      </c>
      <c r="AJ14" s="487">
        <v>0</v>
      </c>
      <c r="AK14" s="487">
        <v>0</v>
      </c>
      <c r="AL14" s="487">
        <v>0</v>
      </c>
      <c r="AM14" s="487">
        <v>85</v>
      </c>
      <c r="AN14" s="487">
        <v>0</v>
      </c>
      <c r="AO14" s="487">
        <v>0</v>
      </c>
      <c r="AP14" s="487">
        <v>0</v>
      </c>
      <c r="AQ14" s="487">
        <v>0</v>
      </c>
      <c r="AR14" s="487">
        <v>0</v>
      </c>
      <c r="AS14" s="487">
        <v>0</v>
      </c>
      <c r="AT14" s="487">
        <v>0</v>
      </c>
      <c r="AU14" s="487">
        <v>0</v>
      </c>
      <c r="AV14" s="487">
        <v>127</v>
      </c>
      <c r="AW14" s="487">
        <v>0</v>
      </c>
      <c r="AX14" s="487">
        <v>0</v>
      </c>
      <c r="AY14" s="487">
        <v>0</v>
      </c>
      <c r="AZ14" s="487">
        <v>0</v>
      </c>
      <c r="BA14" s="487">
        <v>0</v>
      </c>
      <c r="BB14" s="487">
        <v>0</v>
      </c>
      <c r="BC14" s="487">
        <v>0</v>
      </c>
      <c r="BD14" s="487">
        <v>0</v>
      </c>
      <c r="BE14" s="487">
        <v>0</v>
      </c>
      <c r="BF14" s="487">
        <v>0</v>
      </c>
      <c r="BG14" s="487">
        <v>0</v>
      </c>
      <c r="BH14" s="487">
        <v>0</v>
      </c>
      <c r="BI14" s="487">
        <v>0</v>
      </c>
      <c r="BJ14" s="487">
        <v>0</v>
      </c>
    </row>
    <row r="15" spans="1:62" ht="14.1" customHeight="1" x14ac:dyDescent="0.2">
      <c r="B15" s="489" t="s">
        <v>172</v>
      </c>
      <c r="C15" s="487">
        <v>1852</v>
      </c>
      <c r="D15" s="487">
        <v>1491</v>
      </c>
      <c r="E15" s="487">
        <v>3618</v>
      </c>
      <c r="F15" s="487">
        <v>3728.3837300487498</v>
      </c>
      <c r="G15" s="487">
        <v>4479</v>
      </c>
      <c r="H15" s="488">
        <v>5017</v>
      </c>
      <c r="I15" s="487">
        <v>4601</v>
      </c>
      <c r="J15" s="487">
        <v>1960</v>
      </c>
      <c r="K15" s="487">
        <v>8965</v>
      </c>
      <c r="L15" s="487">
        <v>10480</v>
      </c>
      <c r="M15" s="487">
        <v>3666</v>
      </c>
      <c r="N15" s="487">
        <v>2555</v>
      </c>
      <c r="O15" s="488">
        <v>7863</v>
      </c>
      <c r="P15" s="487">
        <v>7629</v>
      </c>
      <c r="Q15" s="487">
        <v>4666</v>
      </c>
      <c r="R15" s="487">
        <v>1572</v>
      </c>
      <c r="S15" s="487">
        <v>7252</v>
      </c>
      <c r="T15" s="488">
        <v>5485</v>
      </c>
      <c r="U15" s="487">
        <v>3323</v>
      </c>
      <c r="V15" s="487">
        <v>1424</v>
      </c>
      <c r="W15" s="487">
        <v>8193</v>
      </c>
      <c r="X15" s="487">
        <v>6518</v>
      </c>
      <c r="Y15" s="487">
        <v>3877</v>
      </c>
      <c r="Z15" s="487">
        <v>1919</v>
      </c>
      <c r="AA15" s="487">
        <v>7544</v>
      </c>
      <c r="AB15" s="487">
        <v>5387</v>
      </c>
      <c r="AC15" s="487">
        <v>3013</v>
      </c>
      <c r="AD15" s="487">
        <v>968</v>
      </c>
      <c r="AE15" s="487">
        <v>7114</v>
      </c>
      <c r="AF15" s="487">
        <v>5149</v>
      </c>
      <c r="AG15" s="487">
        <v>3365</v>
      </c>
      <c r="AH15" s="487">
        <v>1267</v>
      </c>
      <c r="AI15" s="487">
        <v>3167</v>
      </c>
      <c r="AJ15" s="487">
        <v>3641</v>
      </c>
      <c r="AK15" s="487">
        <v>2498</v>
      </c>
      <c r="AL15" s="487">
        <v>1319</v>
      </c>
      <c r="AM15" s="487">
        <v>2908</v>
      </c>
      <c r="AN15" s="487">
        <v>3442</v>
      </c>
      <c r="AO15" s="487">
        <v>3311</v>
      </c>
      <c r="AP15" s="487">
        <v>1972</v>
      </c>
      <c r="AQ15" s="487">
        <v>3240</v>
      </c>
      <c r="AR15" s="487">
        <v>4366</v>
      </c>
      <c r="AS15" s="487">
        <v>3088</v>
      </c>
      <c r="AT15" s="487">
        <v>1834</v>
      </c>
      <c r="AU15" s="487">
        <v>4992</v>
      </c>
      <c r="AV15" s="487">
        <v>4941</v>
      </c>
      <c r="AW15" s="487">
        <v>3310</v>
      </c>
      <c r="AX15" s="487">
        <v>2620</v>
      </c>
      <c r="AY15" s="487">
        <v>4849</v>
      </c>
      <c r="AZ15" s="487">
        <v>4789</v>
      </c>
      <c r="BA15" s="487">
        <v>5536</v>
      </c>
      <c r="BB15" s="487">
        <v>4922</v>
      </c>
      <c r="BC15" s="487">
        <v>6609</v>
      </c>
      <c r="BD15" s="487">
        <v>5338</v>
      </c>
      <c r="BE15" s="487">
        <v>4720</v>
      </c>
      <c r="BF15" s="487">
        <v>5663</v>
      </c>
      <c r="BG15" s="487">
        <v>7907</v>
      </c>
      <c r="BH15" s="487">
        <v>6859</v>
      </c>
      <c r="BI15" s="487">
        <v>5878</v>
      </c>
      <c r="BJ15" s="487">
        <v>7611</v>
      </c>
    </row>
    <row r="16" spans="1:62" ht="14.1" customHeight="1" collapsed="1" x14ac:dyDescent="0.2">
      <c r="B16" s="489" t="s">
        <v>176</v>
      </c>
      <c r="C16" s="487">
        <v>0</v>
      </c>
      <c r="D16" s="487">
        <v>0</v>
      </c>
      <c r="E16" s="487">
        <v>0</v>
      </c>
      <c r="F16" s="487">
        <v>0</v>
      </c>
      <c r="G16" s="487">
        <v>0</v>
      </c>
      <c r="H16" s="488">
        <v>0</v>
      </c>
      <c r="I16" s="487">
        <v>0</v>
      </c>
      <c r="J16" s="487">
        <v>0</v>
      </c>
      <c r="K16" s="487">
        <v>0</v>
      </c>
      <c r="L16" s="487">
        <v>35167</v>
      </c>
      <c r="M16" s="487">
        <v>44469</v>
      </c>
      <c r="N16" s="487">
        <v>42154</v>
      </c>
      <c r="O16" s="488">
        <v>40143</v>
      </c>
      <c r="P16" s="487">
        <v>63174</v>
      </c>
      <c r="Q16" s="487">
        <v>5530</v>
      </c>
      <c r="R16" s="487">
        <v>7931</v>
      </c>
      <c r="S16" s="487">
        <v>3815</v>
      </c>
      <c r="T16" s="488">
        <v>0</v>
      </c>
      <c r="U16" s="487">
        <v>154</v>
      </c>
      <c r="V16" s="487">
        <v>928</v>
      </c>
      <c r="W16" s="487">
        <v>26757</v>
      </c>
      <c r="X16" s="487">
        <v>0</v>
      </c>
      <c r="Y16" s="487">
        <v>0</v>
      </c>
      <c r="Z16" s="487">
        <v>0</v>
      </c>
      <c r="AA16" s="487">
        <v>0</v>
      </c>
      <c r="AB16" s="487">
        <v>0</v>
      </c>
      <c r="AC16" s="487">
        <v>0</v>
      </c>
      <c r="AD16" s="487">
        <v>0</v>
      </c>
      <c r="AE16" s="487">
        <v>0</v>
      </c>
      <c r="AF16" s="487">
        <v>0</v>
      </c>
      <c r="AG16" s="487">
        <v>0</v>
      </c>
      <c r="AH16" s="487">
        <v>0</v>
      </c>
      <c r="AI16" s="487">
        <v>0</v>
      </c>
      <c r="AJ16" s="487">
        <v>0</v>
      </c>
      <c r="AK16" s="487">
        <v>0</v>
      </c>
      <c r="AL16" s="487">
        <v>0</v>
      </c>
      <c r="AM16" s="487">
        <v>0</v>
      </c>
      <c r="AN16" s="487">
        <v>0</v>
      </c>
      <c r="AO16" s="487">
        <v>5899</v>
      </c>
      <c r="AP16" s="487">
        <v>3739</v>
      </c>
      <c r="AQ16" s="487">
        <v>20658</v>
      </c>
      <c r="AR16" s="487">
        <v>23871</v>
      </c>
      <c r="AS16" s="487">
        <v>0</v>
      </c>
      <c r="AT16" s="487">
        <v>0</v>
      </c>
      <c r="AU16" s="487">
        <v>0</v>
      </c>
      <c r="AV16" s="487">
        <v>0</v>
      </c>
      <c r="AW16" s="487">
        <v>0</v>
      </c>
      <c r="AX16" s="487">
        <v>0</v>
      </c>
      <c r="AY16" s="487">
        <v>0</v>
      </c>
      <c r="AZ16" s="487">
        <v>0</v>
      </c>
      <c r="BA16" s="487">
        <v>0</v>
      </c>
      <c r="BB16" s="487">
        <v>0</v>
      </c>
      <c r="BC16" s="487">
        <v>0</v>
      </c>
      <c r="BD16" s="487">
        <v>0</v>
      </c>
      <c r="BE16" s="487">
        <v>0</v>
      </c>
      <c r="BF16" s="487">
        <v>0</v>
      </c>
      <c r="BG16" s="487">
        <v>0</v>
      </c>
      <c r="BH16" s="487">
        <v>0</v>
      </c>
      <c r="BI16" s="487">
        <v>0</v>
      </c>
      <c r="BJ16" s="487">
        <v>0</v>
      </c>
    </row>
    <row r="17" spans="1:62" ht="13.5" hidden="1" customHeight="1" outlineLevel="1" x14ac:dyDescent="0.2">
      <c r="B17" s="492" t="s">
        <v>173</v>
      </c>
      <c r="C17" s="493">
        <v>0</v>
      </c>
      <c r="D17" s="493">
        <v>0</v>
      </c>
      <c r="E17" s="493">
        <v>0</v>
      </c>
      <c r="F17" s="493">
        <v>0</v>
      </c>
      <c r="G17" s="493">
        <v>0</v>
      </c>
      <c r="H17" s="494">
        <v>0</v>
      </c>
      <c r="I17" s="493">
        <v>0</v>
      </c>
      <c r="J17" s="493">
        <v>0</v>
      </c>
      <c r="K17" s="493">
        <v>0</v>
      </c>
      <c r="L17" s="493">
        <v>0</v>
      </c>
      <c r="M17" s="493">
        <v>0</v>
      </c>
      <c r="N17" s="493">
        <v>0</v>
      </c>
      <c r="O17" s="494">
        <v>0</v>
      </c>
      <c r="P17" s="493">
        <v>0</v>
      </c>
      <c r="Q17" s="493">
        <v>0</v>
      </c>
      <c r="R17" s="493">
        <v>0</v>
      </c>
      <c r="S17" s="493">
        <v>0</v>
      </c>
      <c r="T17" s="494">
        <v>222913</v>
      </c>
      <c r="U17" s="493">
        <v>0</v>
      </c>
      <c r="V17" s="493">
        <v>0</v>
      </c>
      <c r="W17" s="493">
        <v>0</v>
      </c>
      <c r="X17" s="493">
        <v>0</v>
      </c>
      <c r="Y17" s="493">
        <v>0</v>
      </c>
      <c r="Z17" s="493">
        <v>0</v>
      </c>
      <c r="AA17" s="493">
        <v>0</v>
      </c>
      <c r="AB17" s="493">
        <v>0</v>
      </c>
      <c r="AC17" s="493">
        <v>0</v>
      </c>
      <c r="AD17" s="493">
        <v>0</v>
      </c>
      <c r="AE17" s="493">
        <v>0</v>
      </c>
      <c r="AF17" s="493">
        <v>0</v>
      </c>
      <c r="AG17" s="493">
        <v>0</v>
      </c>
      <c r="AH17" s="493">
        <v>0</v>
      </c>
      <c r="AI17" s="487">
        <v>0</v>
      </c>
      <c r="AJ17" s="487">
        <v>0</v>
      </c>
      <c r="AK17" s="487">
        <v>0</v>
      </c>
      <c r="AL17" s="487">
        <v>0</v>
      </c>
      <c r="AM17" s="487">
        <v>0</v>
      </c>
      <c r="AN17" s="487">
        <v>0</v>
      </c>
      <c r="AO17" s="487">
        <v>0</v>
      </c>
      <c r="AP17" s="487">
        <v>0</v>
      </c>
      <c r="AQ17" s="487">
        <v>0</v>
      </c>
      <c r="AR17" s="487">
        <v>0</v>
      </c>
      <c r="AS17" s="487">
        <v>0</v>
      </c>
      <c r="AT17" s="487">
        <v>0</v>
      </c>
      <c r="AU17" s="487">
        <v>0</v>
      </c>
      <c r="AV17" s="487">
        <v>0</v>
      </c>
      <c r="AW17" s="487">
        <v>0</v>
      </c>
      <c r="AX17" s="487"/>
      <c r="AY17" s="487">
        <v>0</v>
      </c>
      <c r="AZ17" s="487">
        <v>0</v>
      </c>
      <c r="BA17" s="487">
        <v>0</v>
      </c>
      <c r="BB17" s="487">
        <v>0</v>
      </c>
      <c r="BC17" s="487">
        <v>0</v>
      </c>
      <c r="BD17" s="487">
        <v>0</v>
      </c>
      <c r="BE17" s="487">
        <v>0</v>
      </c>
      <c r="BF17" s="487">
        <v>0</v>
      </c>
      <c r="BG17" s="487"/>
      <c r="BH17" s="487"/>
      <c r="BI17" s="487"/>
      <c r="BJ17" s="487">
        <v>0</v>
      </c>
    </row>
    <row r="18" spans="1:62" ht="14.1" hidden="1" customHeight="1" outlineLevel="1" x14ac:dyDescent="0.2">
      <c r="B18" s="495" t="s">
        <v>174</v>
      </c>
      <c r="C18" s="493">
        <v>8694</v>
      </c>
      <c r="D18" s="493">
        <v>9520</v>
      </c>
      <c r="E18" s="493">
        <v>0</v>
      </c>
      <c r="F18" s="493">
        <v>0</v>
      </c>
      <c r="G18" s="493">
        <v>0</v>
      </c>
      <c r="H18" s="494">
        <v>0</v>
      </c>
      <c r="I18" s="493">
        <v>0</v>
      </c>
      <c r="J18" s="493">
        <v>0</v>
      </c>
      <c r="K18" s="493">
        <v>0</v>
      </c>
      <c r="L18" s="493">
        <v>0</v>
      </c>
      <c r="M18" s="493">
        <v>0</v>
      </c>
      <c r="N18" s="493">
        <v>0</v>
      </c>
      <c r="O18" s="494">
        <v>0</v>
      </c>
      <c r="P18" s="493">
        <v>0</v>
      </c>
      <c r="Q18" s="493">
        <v>0</v>
      </c>
      <c r="R18" s="493">
        <v>0</v>
      </c>
      <c r="S18" s="493">
        <v>6572</v>
      </c>
      <c r="T18" s="494">
        <v>2719</v>
      </c>
      <c r="U18" s="493">
        <v>3493</v>
      </c>
      <c r="V18" s="493">
        <v>0</v>
      </c>
      <c r="W18" s="493">
        <v>0</v>
      </c>
      <c r="X18" s="493">
        <v>0</v>
      </c>
      <c r="Y18" s="493">
        <v>0</v>
      </c>
      <c r="Z18" s="493">
        <v>0</v>
      </c>
      <c r="AA18" s="493">
        <v>0</v>
      </c>
      <c r="AB18" s="493">
        <v>0</v>
      </c>
      <c r="AC18" s="493">
        <v>0</v>
      </c>
      <c r="AD18" s="493">
        <v>0</v>
      </c>
      <c r="AE18" s="493">
        <v>0</v>
      </c>
      <c r="AF18" s="493">
        <v>0</v>
      </c>
      <c r="AG18" s="493">
        <v>0</v>
      </c>
      <c r="AH18" s="493">
        <v>0</v>
      </c>
      <c r="AI18" s="487">
        <v>0</v>
      </c>
      <c r="AJ18" s="487">
        <v>0</v>
      </c>
      <c r="AK18" s="487">
        <v>0</v>
      </c>
      <c r="AL18" s="487">
        <v>0</v>
      </c>
      <c r="AM18" s="487">
        <v>0</v>
      </c>
      <c r="AN18" s="487">
        <v>0</v>
      </c>
      <c r="AO18" s="487">
        <v>0</v>
      </c>
      <c r="AP18" s="487">
        <v>0</v>
      </c>
      <c r="AQ18" s="487">
        <v>0</v>
      </c>
      <c r="AR18" s="487">
        <v>0</v>
      </c>
      <c r="AS18" s="487">
        <v>0</v>
      </c>
      <c r="AT18" s="487">
        <v>0</v>
      </c>
      <c r="AU18" s="487">
        <v>0</v>
      </c>
      <c r="AV18" s="487">
        <v>0</v>
      </c>
      <c r="AW18" s="487">
        <v>0</v>
      </c>
      <c r="AX18" s="487"/>
      <c r="AY18" s="487">
        <v>0</v>
      </c>
      <c r="AZ18" s="487">
        <v>0</v>
      </c>
      <c r="BA18" s="487">
        <v>0</v>
      </c>
      <c r="BB18" s="487">
        <v>0</v>
      </c>
      <c r="BC18" s="487">
        <v>0</v>
      </c>
      <c r="BD18" s="487">
        <v>0</v>
      </c>
      <c r="BE18" s="487">
        <v>0</v>
      </c>
      <c r="BF18" s="487">
        <v>0</v>
      </c>
      <c r="BG18" s="487"/>
      <c r="BH18" s="487"/>
      <c r="BI18" s="487"/>
      <c r="BJ18" s="487">
        <v>0</v>
      </c>
    </row>
    <row r="19" spans="1:62" ht="14.1" hidden="1" customHeight="1" outlineLevel="1" x14ac:dyDescent="0.2">
      <c r="B19" s="496" t="s">
        <v>177</v>
      </c>
      <c r="C19" s="497">
        <v>19063</v>
      </c>
      <c r="D19" s="497">
        <v>52215</v>
      </c>
      <c r="E19" s="497">
        <v>10100</v>
      </c>
      <c r="F19" s="497">
        <v>13727</v>
      </c>
      <c r="G19" s="497">
        <v>19533</v>
      </c>
      <c r="H19" s="498">
        <v>16966</v>
      </c>
      <c r="I19" s="497">
        <v>85232</v>
      </c>
      <c r="J19" s="497">
        <v>62933</v>
      </c>
      <c r="K19" s="497">
        <v>43196</v>
      </c>
      <c r="L19" s="497">
        <v>46707</v>
      </c>
      <c r="M19" s="497">
        <v>65109</v>
      </c>
      <c r="N19" s="497">
        <v>54383</v>
      </c>
      <c r="O19" s="498">
        <v>290027</v>
      </c>
      <c r="P19" s="497">
        <v>274117</v>
      </c>
      <c r="Q19" s="497">
        <v>172367</v>
      </c>
      <c r="R19" s="497">
        <v>0</v>
      </c>
      <c r="S19" s="497">
        <v>0</v>
      </c>
      <c r="T19" s="498">
        <v>0</v>
      </c>
      <c r="U19" s="497">
        <v>0</v>
      </c>
      <c r="V19" s="497">
        <v>0</v>
      </c>
      <c r="W19" s="497">
        <v>0</v>
      </c>
      <c r="X19" s="497">
        <v>0</v>
      </c>
      <c r="Y19" s="497">
        <v>0</v>
      </c>
      <c r="Z19" s="497">
        <v>0</v>
      </c>
      <c r="AA19" s="497">
        <v>0</v>
      </c>
      <c r="AB19" s="497">
        <v>0</v>
      </c>
      <c r="AC19" s="497">
        <v>0</v>
      </c>
      <c r="AD19" s="497">
        <v>0</v>
      </c>
      <c r="AE19" s="497">
        <v>0</v>
      </c>
      <c r="AF19" s="497">
        <v>0</v>
      </c>
      <c r="AG19" s="497">
        <v>0</v>
      </c>
      <c r="AH19" s="497">
        <v>0</v>
      </c>
      <c r="AI19" s="512">
        <v>0</v>
      </c>
      <c r="AJ19" s="512">
        <v>0</v>
      </c>
      <c r="AK19" s="512">
        <v>0</v>
      </c>
      <c r="AL19" s="512">
        <v>0</v>
      </c>
      <c r="AM19" s="512">
        <v>0</v>
      </c>
      <c r="AN19" s="512">
        <v>0</v>
      </c>
      <c r="AO19" s="512">
        <v>0</v>
      </c>
      <c r="AP19" s="512">
        <v>0</v>
      </c>
      <c r="AQ19" s="512">
        <v>0</v>
      </c>
      <c r="AR19" s="512">
        <v>0</v>
      </c>
      <c r="AS19" s="512">
        <v>0</v>
      </c>
      <c r="AT19" s="512">
        <v>0</v>
      </c>
      <c r="AU19" s="512">
        <v>0</v>
      </c>
      <c r="AV19" s="512">
        <v>0</v>
      </c>
      <c r="AW19" s="512">
        <v>0</v>
      </c>
      <c r="AX19" s="512"/>
      <c r="AY19" s="512">
        <v>0</v>
      </c>
      <c r="AZ19" s="512">
        <v>0</v>
      </c>
      <c r="BA19" s="512">
        <v>0</v>
      </c>
      <c r="BB19" s="512">
        <v>0</v>
      </c>
      <c r="BC19" s="512">
        <v>0</v>
      </c>
      <c r="BD19" s="512">
        <v>0</v>
      </c>
      <c r="BE19" s="512">
        <v>0</v>
      </c>
      <c r="BF19" s="512">
        <v>0</v>
      </c>
      <c r="BG19" s="512"/>
      <c r="BH19" s="512"/>
      <c r="BI19" s="512"/>
      <c r="BJ19" s="512">
        <v>0</v>
      </c>
    </row>
    <row r="20" spans="1:62" ht="6.75" hidden="1" customHeight="1" outlineLevel="1" x14ac:dyDescent="0.2">
      <c r="B20" s="499">
        <v>0</v>
      </c>
      <c r="C20" s="730"/>
      <c r="D20" s="730"/>
      <c r="E20" s="730"/>
      <c r="F20" s="730">
        <v>0</v>
      </c>
      <c r="G20" s="730">
        <f t="shared" ref="G20:S20" si="4">G19+G7</f>
        <v>48225</v>
      </c>
      <c r="H20" s="731">
        <f t="shared" si="4"/>
        <v>33820</v>
      </c>
      <c r="I20" s="730">
        <f t="shared" si="4"/>
        <v>104986</v>
      </c>
      <c r="J20" s="730">
        <f t="shared" si="4"/>
        <v>66817</v>
      </c>
      <c r="K20" s="730">
        <f t="shared" si="4"/>
        <v>61323</v>
      </c>
      <c r="L20" s="730">
        <f t="shared" si="4"/>
        <v>54203</v>
      </c>
      <c r="M20" s="730">
        <f t="shared" si="4"/>
        <v>80554</v>
      </c>
      <c r="N20" s="730">
        <f t="shared" si="4"/>
        <v>66743</v>
      </c>
      <c r="O20" s="730">
        <f t="shared" si="4"/>
        <v>302799</v>
      </c>
      <c r="P20" s="730">
        <f t="shared" si="4"/>
        <v>287281</v>
      </c>
      <c r="Q20" s="730">
        <f t="shared" si="4"/>
        <v>185415</v>
      </c>
      <c r="R20" s="730">
        <f t="shared" si="4"/>
        <v>204448</v>
      </c>
      <c r="S20" s="730">
        <f t="shared" si="4"/>
        <v>221474</v>
      </c>
      <c r="T20" s="732"/>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row>
    <row r="21" spans="1:62" ht="14.1" hidden="1" customHeight="1" outlineLevel="1" x14ac:dyDescent="0.2">
      <c r="B21" s="500" t="s">
        <v>178</v>
      </c>
      <c r="C21" s="501">
        <v>0</v>
      </c>
      <c r="D21" s="501">
        <v>0</v>
      </c>
      <c r="E21" s="501">
        <v>6519</v>
      </c>
      <c r="F21" s="501">
        <v>14698.745720000001</v>
      </c>
      <c r="G21" s="501">
        <v>14699</v>
      </c>
      <c r="H21" s="502">
        <v>12909</v>
      </c>
      <c r="I21" s="501">
        <v>12592</v>
      </c>
      <c r="J21" s="501">
        <v>12593</v>
      </c>
      <c r="K21" s="501">
        <v>6449</v>
      </c>
      <c r="L21" s="501">
        <v>4296</v>
      </c>
      <c r="M21" s="501">
        <v>3497</v>
      </c>
      <c r="N21" s="501">
        <v>2081</v>
      </c>
      <c r="O21" s="503">
        <v>796</v>
      </c>
      <c r="P21" s="501">
        <v>0</v>
      </c>
      <c r="Q21" s="501">
        <v>287</v>
      </c>
      <c r="R21" s="501">
        <v>287</v>
      </c>
      <c r="S21" s="501">
        <v>287</v>
      </c>
      <c r="T21" s="503">
        <v>287</v>
      </c>
      <c r="U21" s="501">
        <v>287</v>
      </c>
      <c r="V21" s="501">
        <v>0</v>
      </c>
      <c r="W21" s="501">
        <v>0</v>
      </c>
      <c r="X21" s="501">
        <v>0</v>
      </c>
      <c r="Y21" s="501">
        <v>0</v>
      </c>
      <c r="Z21" s="501">
        <v>0</v>
      </c>
      <c r="AA21" s="501">
        <v>0</v>
      </c>
      <c r="AB21" s="501">
        <v>0</v>
      </c>
      <c r="AC21" s="501">
        <v>0</v>
      </c>
      <c r="AD21" s="501">
        <v>0</v>
      </c>
      <c r="AE21" s="501">
        <v>0</v>
      </c>
      <c r="AF21" s="501">
        <v>0</v>
      </c>
      <c r="AG21" s="501">
        <v>0</v>
      </c>
      <c r="AH21" s="501">
        <v>0</v>
      </c>
      <c r="AI21" s="484">
        <v>0</v>
      </c>
      <c r="AJ21" s="484">
        <v>0</v>
      </c>
      <c r="AK21" s="484">
        <v>0</v>
      </c>
      <c r="AL21" s="484">
        <v>0</v>
      </c>
      <c r="AM21" s="484">
        <v>0</v>
      </c>
      <c r="AN21" s="484">
        <v>0</v>
      </c>
      <c r="AO21" s="484">
        <v>0</v>
      </c>
      <c r="AP21" s="484">
        <v>0</v>
      </c>
      <c r="AQ21" s="484">
        <v>0</v>
      </c>
      <c r="AR21" s="484">
        <v>0</v>
      </c>
      <c r="AS21" s="484">
        <v>0</v>
      </c>
      <c r="AT21" s="484">
        <v>0</v>
      </c>
      <c r="AU21" s="484">
        <v>0</v>
      </c>
      <c r="AV21" s="484">
        <v>0</v>
      </c>
      <c r="AW21" s="484">
        <v>0</v>
      </c>
      <c r="AX21" s="484"/>
      <c r="AY21" s="484">
        <v>0</v>
      </c>
      <c r="AZ21" s="484">
        <v>0</v>
      </c>
      <c r="BA21" s="484">
        <v>0</v>
      </c>
      <c r="BB21" s="484">
        <v>0</v>
      </c>
      <c r="BC21" s="484">
        <v>0</v>
      </c>
      <c r="BD21" s="484">
        <v>0</v>
      </c>
      <c r="BE21" s="484">
        <v>0</v>
      </c>
      <c r="BF21" s="484">
        <v>0</v>
      </c>
      <c r="BG21" s="484"/>
      <c r="BH21" s="484"/>
      <c r="BI21" s="484"/>
      <c r="BJ21" s="484">
        <v>0</v>
      </c>
    </row>
    <row r="22" spans="1:62" ht="6.75" customHeight="1" x14ac:dyDescent="0.2">
      <c r="B22" s="504"/>
      <c r="C22" s="734"/>
      <c r="D22" s="734"/>
      <c r="E22" s="734"/>
      <c r="F22" s="734"/>
      <c r="G22" s="734"/>
      <c r="H22" s="733"/>
      <c r="I22" s="734"/>
      <c r="J22" s="734"/>
      <c r="K22" s="734"/>
      <c r="L22" s="734"/>
      <c r="M22" s="734"/>
      <c r="N22" s="734"/>
      <c r="O22" s="735"/>
      <c r="P22" s="734"/>
      <c r="Q22" s="734"/>
      <c r="R22" s="734"/>
      <c r="S22" s="734"/>
      <c r="T22" s="735"/>
      <c r="U22" s="734"/>
      <c r="V22" s="736"/>
      <c r="W22" s="736"/>
      <c r="X22" s="736"/>
      <c r="Y22" s="736"/>
      <c r="Z22" s="736"/>
      <c r="AA22" s="736"/>
      <c r="AB22" s="736"/>
      <c r="AC22" s="736"/>
      <c r="AD22" s="736"/>
      <c r="AE22" s="736"/>
      <c r="AF22" s="736"/>
      <c r="AG22" s="737" t="s">
        <v>26</v>
      </c>
      <c r="AH22" s="737" t="s">
        <v>26</v>
      </c>
      <c r="AI22" s="737" t="s">
        <v>26</v>
      </c>
      <c r="AJ22" s="737" t="s">
        <v>26</v>
      </c>
      <c r="AK22" s="737" t="s">
        <v>26</v>
      </c>
      <c r="AL22" s="737"/>
      <c r="AM22" s="737" t="s">
        <v>26</v>
      </c>
      <c r="AN22" s="737" t="s">
        <v>26</v>
      </c>
      <c r="AO22" s="737" t="s">
        <v>26</v>
      </c>
      <c r="AP22" s="737" t="s">
        <v>26</v>
      </c>
      <c r="AQ22" s="737" t="s">
        <v>26</v>
      </c>
      <c r="AR22" s="737" t="s">
        <v>26</v>
      </c>
      <c r="AS22" s="737" t="s">
        <v>26</v>
      </c>
      <c r="AT22" s="737" t="s">
        <v>26</v>
      </c>
      <c r="AU22" s="737" t="s">
        <v>26</v>
      </c>
      <c r="AV22" s="737" t="s">
        <v>26</v>
      </c>
      <c r="AW22" s="737" t="s">
        <v>26</v>
      </c>
      <c r="AX22" s="737"/>
      <c r="AY22" s="737" t="s">
        <v>26</v>
      </c>
      <c r="AZ22" s="737" t="s">
        <v>26</v>
      </c>
      <c r="BA22" s="737" t="s">
        <v>26</v>
      </c>
      <c r="BB22" s="737" t="s">
        <v>26</v>
      </c>
      <c r="BC22" s="737" t="s">
        <v>26</v>
      </c>
      <c r="BD22" s="737" t="s">
        <v>26</v>
      </c>
      <c r="BE22" s="737" t="s">
        <v>26</v>
      </c>
      <c r="BF22" s="737" t="s">
        <v>26</v>
      </c>
      <c r="BG22" s="737"/>
      <c r="BH22" s="737"/>
      <c r="BI22" s="737"/>
      <c r="BJ22" s="737" t="s">
        <v>26</v>
      </c>
    </row>
    <row r="23" spans="1:62" ht="14.1" customHeight="1" x14ac:dyDescent="0.2">
      <c r="B23" s="483" t="s">
        <v>179</v>
      </c>
      <c r="C23" s="484">
        <f t="shared" ref="C23:AP23" si="5">SUM(C24:C32)</f>
        <v>9640</v>
      </c>
      <c r="D23" s="484">
        <f t="shared" si="5"/>
        <v>33160</v>
      </c>
      <c r="E23" s="484">
        <f t="shared" si="5"/>
        <v>30037</v>
      </c>
      <c r="F23" s="484">
        <f t="shared" si="5"/>
        <v>27923.705784500002</v>
      </c>
      <c r="G23" s="484">
        <f t="shared" si="5"/>
        <v>43942</v>
      </c>
      <c r="H23" s="485">
        <f t="shared" si="5"/>
        <v>57922</v>
      </c>
      <c r="I23" s="484">
        <f t="shared" si="5"/>
        <v>85983</v>
      </c>
      <c r="J23" s="484">
        <f t="shared" si="5"/>
        <v>80107</v>
      </c>
      <c r="K23" s="484">
        <f t="shared" si="5"/>
        <v>76148</v>
      </c>
      <c r="L23" s="484">
        <f t="shared" si="5"/>
        <v>58352</v>
      </c>
      <c r="M23" s="484">
        <f t="shared" si="5"/>
        <v>56065</v>
      </c>
      <c r="N23" s="484">
        <f t="shared" si="5"/>
        <v>53361</v>
      </c>
      <c r="O23" s="485">
        <f t="shared" si="5"/>
        <v>59476</v>
      </c>
      <c r="P23" s="484">
        <f t="shared" si="5"/>
        <v>71443</v>
      </c>
      <c r="Q23" s="484">
        <f t="shared" si="5"/>
        <v>97884</v>
      </c>
      <c r="R23" s="484">
        <f t="shared" si="5"/>
        <v>116766</v>
      </c>
      <c r="S23" s="484">
        <f t="shared" si="5"/>
        <v>108723</v>
      </c>
      <c r="T23" s="485">
        <f t="shared" si="5"/>
        <v>41653</v>
      </c>
      <c r="U23" s="484">
        <f t="shared" si="5"/>
        <v>70648</v>
      </c>
      <c r="V23" s="484">
        <f t="shared" si="5"/>
        <v>67770</v>
      </c>
      <c r="W23" s="484">
        <f t="shared" si="5"/>
        <v>76386</v>
      </c>
      <c r="X23" s="484">
        <f t="shared" si="5"/>
        <v>57857</v>
      </c>
      <c r="Y23" s="484">
        <f t="shared" si="5"/>
        <v>58935</v>
      </c>
      <c r="Z23" s="484">
        <f t="shared" si="5"/>
        <v>54178</v>
      </c>
      <c r="AA23" s="484">
        <f t="shared" si="5"/>
        <v>55989</v>
      </c>
      <c r="AB23" s="484">
        <f t="shared" si="5"/>
        <v>57230</v>
      </c>
      <c r="AC23" s="484">
        <f t="shared" si="5"/>
        <v>58256</v>
      </c>
      <c r="AD23" s="484">
        <f t="shared" si="5"/>
        <v>58185</v>
      </c>
      <c r="AE23" s="484">
        <f t="shared" si="5"/>
        <v>68766</v>
      </c>
      <c r="AF23" s="484">
        <f t="shared" si="5"/>
        <v>74282</v>
      </c>
      <c r="AG23" s="484">
        <f t="shared" si="5"/>
        <v>71903.79939</v>
      </c>
      <c r="AH23" s="484">
        <f t="shared" si="5"/>
        <v>75966</v>
      </c>
      <c r="AI23" s="484">
        <f t="shared" si="5"/>
        <v>58406</v>
      </c>
      <c r="AJ23" s="484">
        <f t="shared" si="5"/>
        <v>58878</v>
      </c>
      <c r="AK23" s="484">
        <f t="shared" si="5"/>
        <v>64765</v>
      </c>
      <c r="AL23" s="484">
        <f t="shared" si="5"/>
        <v>61358</v>
      </c>
      <c r="AM23" s="484">
        <f t="shared" si="5"/>
        <v>62082</v>
      </c>
      <c r="AN23" s="484">
        <f t="shared" si="5"/>
        <v>49698</v>
      </c>
      <c r="AO23" s="484">
        <f t="shared" si="5"/>
        <v>45925</v>
      </c>
      <c r="AP23" s="484">
        <f t="shared" si="5"/>
        <v>46598</v>
      </c>
      <c r="AQ23" s="484">
        <f t="shared" ref="AQ23:AZ23" si="6">SUM(AQ24:AQ32)</f>
        <v>46501</v>
      </c>
      <c r="AR23" s="484">
        <f t="shared" si="6"/>
        <v>48479</v>
      </c>
      <c r="AS23" s="484">
        <f t="shared" si="6"/>
        <v>46182</v>
      </c>
      <c r="AT23" s="484">
        <f t="shared" si="6"/>
        <v>46744</v>
      </c>
      <c r="AU23" s="484">
        <f t="shared" si="6"/>
        <v>45793</v>
      </c>
      <c r="AV23" s="484">
        <f t="shared" si="6"/>
        <v>42017</v>
      </c>
      <c r="AW23" s="484">
        <f t="shared" si="6"/>
        <v>55036</v>
      </c>
      <c r="AX23" s="484">
        <f t="shared" si="6"/>
        <v>56267</v>
      </c>
      <c r="AY23" s="484">
        <f t="shared" si="6"/>
        <v>56361</v>
      </c>
      <c r="AZ23" s="484">
        <f t="shared" si="6"/>
        <v>49978</v>
      </c>
      <c r="BA23" s="484">
        <f t="shared" ref="BA23:BJ23" si="7">SUM(BA24:BA32)</f>
        <v>48391</v>
      </c>
      <c r="BB23" s="484">
        <f t="shared" si="7"/>
        <v>60689</v>
      </c>
      <c r="BC23" s="484">
        <f t="shared" si="7"/>
        <v>62028</v>
      </c>
      <c r="BD23" s="484">
        <f t="shared" si="7"/>
        <v>62623</v>
      </c>
      <c r="BE23" s="484">
        <f t="shared" si="7"/>
        <v>64378</v>
      </c>
      <c r="BF23" s="484">
        <f t="shared" si="7"/>
        <v>65203</v>
      </c>
      <c r="BG23" s="484">
        <f t="shared" si="7"/>
        <v>63475</v>
      </c>
      <c r="BH23" s="484">
        <f t="shared" si="7"/>
        <v>65826</v>
      </c>
      <c r="BI23" s="484">
        <f t="shared" si="7"/>
        <v>52903</v>
      </c>
      <c r="BJ23" s="484">
        <f t="shared" si="7"/>
        <v>53635</v>
      </c>
    </row>
    <row r="24" spans="1:62" ht="14.1" customHeight="1" x14ac:dyDescent="0.2">
      <c r="A24" s="268" t="s">
        <v>170</v>
      </c>
      <c r="B24" s="486" t="s">
        <v>170</v>
      </c>
      <c r="C24" s="487">
        <v>0</v>
      </c>
      <c r="D24" s="487">
        <v>0</v>
      </c>
      <c r="E24" s="487">
        <v>0</v>
      </c>
      <c r="F24" s="487">
        <v>0</v>
      </c>
      <c r="G24" s="487">
        <v>0</v>
      </c>
      <c r="H24" s="488">
        <v>0</v>
      </c>
      <c r="I24" s="487">
        <v>0</v>
      </c>
      <c r="J24" s="487">
        <v>0</v>
      </c>
      <c r="K24" s="487">
        <v>0</v>
      </c>
      <c r="L24" s="487">
        <v>0</v>
      </c>
      <c r="M24" s="487">
        <v>0</v>
      </c>
      <c r="N24" s="487">
        <v>0</v>
      </c>
      <c r="O24" s="488">
        <v>0</v>
      </c>
      <c r="P24" s="487">
        <v>0</v>
      </c>
      <c r="Q24" s="487">
        <v>0</v>
      </c>
      <c r="R24" s="487">
        <v>0</v>
      </c>
      <c r="S24" s="487">
        <v>0</v>
      </c>
      <c r="T24" s="488">
        <v>0</v>
      </c>
      <c r="U24" s="487">
        <v>0</v>
      </c>
      <c r="V24" s="487">
        <v>0</v>
      </c>
      <c r="W24" s="487">
        <v>0</v>
      </c>
      <c r="X24" s="487">
        <v>0</v>
      </c>
      <c r="Y24" s="487">
        <v>0</v>
      </c>
      <c r="Z24" s="487">
        <v>0</v>
      </c>
      <c r="AA24" s="487">
        <v>0</v>
      </c>
      <c r="AB24" s="487">
        <v>0</v>
      </c>
      <c r="AC24" s="487">
        <v>0</v>
      </c>
      <c r="AD24" s="487">
        <v>0</v>
      </c>
      <c r="AE24" s="490">
        <v>9942</v>
      </c>
      <c r="AF24" s="490">
        <v>18044</v>
      </c>
      <c r="AG24" s="487">
        <v>18897.79939</v>
      </c>
      <c r="AH24" s="487">
        <v>23928</v>
      </c>
      <c r="AI24" s="487">
        <v>9201</v>
      </c>
      <c r="AJ24" s="487">
        <v>9273</v>
      </c>
      <c r="AK24" s="487">
        <v>9348</v>
      </c>
      <c r="AL24" s="487">
        <v>9417</v>
      </c>
      <c r="AM24" s="487">
        <v>9487</v>
      </c>
      <c r="AN24" s="487">
        <v>9558</v>
      </c>
      <c r="AO24" s="487">
        <v>9628</v>
      </c>
      <c r="AP24" s="487">
        <v>9689</v>
      </c>
      <c r="AQ24" s="487">
        <v>9737</v>
      </c>
      <c r="AR24" s="487">
        <v>9777</v>
      </c>
      <c r="AS24" s="487">
        <v>9802</v>
      </c>
      <c r="AT24" s="487">
        <v>9544</v>
      </c>
      <c r="AU24" s="487">
        <v>9564</v>
      </c>
      <c r="AV24" s="487">
        <v>9594</v>
      </c>
      <c r="AW24" s="487">
        <v>9637</v>
      </c>
      <c r="AX24" s="487">
        <v>9705</v>
      </c>
      <c r="AY24" s="487">
        <v>9079</v>
      </c>
      <c r="AZ24" s="487">
        <v>5559</v>
      </c>
      <c r="BA24" s="487">
        <v>5621</v>
      </c>
      <c r="BB24" s="487">
        <v>19812</v>
      </c>
      <c r="BC24" s="487">
        <v>20037</v>
      </c>
      <c r="BD24" s="487">
        <v>20015</v>
      </c>
      <c r="BE24" s="487">
        <v>20227</v>
      </c>
      <c r="BF24" s="487">
        <v>20400</v>
      </c>
      <c r="BG24" s="487">
        <v>18959</v>
      </c>
      <c r="BH24" s="487">
        <v>20188</v>
      </c>
      <c r="BI24" s="487">
        <v>5896</v>
      </c>
      <c r="BJ24" s="487">
        <v>5943</v>
      </c>
    </row>
    <row r="25" spans="1:62" ht="14.1" customHeight="1" x14ac:dyDescent="0.2">
      <c r="B25" s="489" t="s">
        <v>196</v>
      </c>
      <c r="C25" s="487">
        <v>0</v>
      </c>
      <c r="D25" s="487">
        <v>0</v>
      </c>
      <c r="E25" s="487">
        <v>0</v>
      </c>
      <c r="F25" s="487">
        <v>0</v>
      </c>
      <c r="G25" s="487">
        <v>0</v>
      </c>
      <c r="H25" s="487">
        <v>0</v>
      </c>
      <c r="I25" s="487">
        <v>0</v>
      </c>
      <c r="J25" s="487">
        <v>0</v>
      </c>
      <c r="K25" s="487">
        <v>0</v>
      </c>
      <c r="L25" s="487">
        <v>0</v>
      </c>
      <c r="M25" s="487">
        <v>0</v>
      </c>
      <c r="N25" s="487">
        <v>0</v>
      </c>
      <c r="O25" s="487">
        <v>0</v>
      </c>
      <c r="P25" s="487">
        <v>0</v>
      </c>
      <c r="Q25" s="487">
        <v>0</v>
      </c>
      <c r="R25" s="487">
        <v>0</v>
      </c>
      <c r="S25" s="487">
        <v>0</v>
      </c>
      <c r="T25" s="487">
        <v>0</v>
      </c>
      <c r="U25" s="487">
        <v>0</v>
      </c>
      <c r="V25" s="487">
        <v>0</v>
      </c>
      <c r="W25" s="487">
        <v>0</v>
      </c>
      <c r="X25" s="487">
        <v>0</v>
      </c>
      <c r="Y25" s="487">
        <v>0</v>
      </c>
      <c r="Z25" s="487">
        <v>0</v>
      </c>
      <c r="AA25" s="487">
        <v>0</v>
      </c>
      <c r="AB25" s="487">
        <v>0</v>
      </c>
      <c r="AC25" s="487">
        <v>0</v>
      </c>
      <c r="AD25" s="487">
        <v>0</v>
      </c>
      <c r="AE25" s="487">
        <v>0</v>
      </c>
      <c r="AF25" s="487">
        <v>0</v>
      </c>
      <c r="AG25" s="487">
        <v>0</v>
      </c>
      <c r="AH25" s="487">
        <v>0</v>
      </c>
      <c r="AI25" s="487">
        <v>0</v>
      </c>
      <c r="AJ25" s="487">
        <v>0</v>
      </c>
      <c r="AK25" s="487">
        <v>0</v>
      </c>
      <c r="AL25" s="487">
        <v>0</v>
      </c>
      <c r="AM25" s="487">
        <v>0</v>
      </c>
      <c r="AN25" s="487">
        <v>0</v>
      </c>
      <c r="AO25" s="487">
        <v>0</v>
      </c>
      <c r="AP25" s="487">
        <v>0</v>
      </c>
      <c r="AQ25" s="487">
        <v>0</v>
      </c>
      <c r="AR25" s="487">
        <v>0</v>
      </c>
      <c r="AS25" s="487">
        <v>0</v>
      </c>
      <c r="AT25" s="487">
        <v>0</v>
      </c>
      <c r="AU25" s="487">
        <v>0</v>
      </c>
      <c r="AV25" s="487">
        <v>0</v>
      </c>
      <c r="AW25" s="490">
        <v>12919</v>
      </c>
      <c r="AX25" s="487">
        <v>12919</v>
      </c>
      <c r="AY25" s="487">
        <v>12919</v>
      </c>
      <c r="AZ25" s="487">
        <v>13842</v>
      </c>
      <c r="BA25" s="487">
        <v>13842</v>
      </c>
      <c r="BB25" s="487">
        <v>13842</v>
      </c>
      <c r="BC25" s="487">
        <v>13842</v>
      </c>
      <c r="BD25" s="487">
        <v>16299</v>
      </c>
      <c r="BE25" s="487">
        <v>16723</v>
      </c>
      <c r="BF25" s="487">
        <v>17096</v>
      </c>
      <c r="BG25" s="487">
        <v>17440</v>
      </c>
      <c r="BH25" s="487">
        <v>17769</v>
      </c>
      <c r="BI25" s="487">
        <v>18101</v>
      </c>
      <c r="BJ25" s="487">
        <v>18432</v>
      </c>
    </row>
    <row r="26" spans="1:62" ht="14.1" customHeight="1" x14ac:dyDescent="0.2">
      <c r="A26" s="268" t="s">
        <v>180</v>
      </c>
      <c r="B26" s="486" t="s">
        <v>180</v>
      </c>
      <c r="C26" s="487">
        <v>300</v>
      </c>
      <c r="D26" s="487">
        <v>300</v>
      </c>
      <c r="E26" s="487">
        <v>0</v>
      </c>
      <c r="F26" s="487">
        <v>0</v>
      </c>
      <c r="G26" s="487">
        <v>20730</v>
      </c>
      <c r="H26" s="488">
        <v>20730</v>
      </c>
      <c r="I26" s="487">
        <v>20730</v>
      </c>
      <c r="J26" s="487">
        <v>20730</v>
      </c>
      <c r="K26" s="487">
        <v>20730</v>
      </c>
      <c r="L26" s="487">
        <v>20730</v>
      </c>
      <c r="M26" s="487">
        <v>20730</v>
      </c>
      <c r="N26" s="487">
        <v>20730</v>
      </c>
      <c r="O26" s="488">
        <v>20730</v>
      </c>
      <c r="P26" s="487">
        <v>20730</v>
      </c>
      <c r="Q26" s="487">
        <v>20730</v>
      </c>
      <c r="R26" s="487">
        <v>0</v>
      </c>
      <c r="S26" s="487">
        <v>0</v>
      </c>
      <c r="T26" s="488">
        <v>0</v>
      </c>
      <c r="U26" s="487">
        <v>13371</v>
      </c>
      <c r="V26" s="487">
        <v>13371</v>
      </c>
      <c r="W26" s="487">
        <v>13371</v>
      </c>
      <c r="X26" s="487">
        <v>13371</v>
      </c>
      <c r="Y26" s="487">
        <v>13371</v>
      </c>
      <c r="Z26" s="487">
        <v>13371</v>
      </c>
      <c r="AA26" s="487">
        <v>13371</v>
      </c>
      <c r="AB26" s="487">
        <v>13371</v>
      </c>
      <c r="AC26" s="487">
        <v>13371</v>
      </c>
      <c r="AD26" s="487">
        <v>13371</v>
      </c>
      <c r="AE26" s="487">
        <v>15003</v>
      </c>
      <c r="AF26" s="487">
        <v>15004</v>
      </c>
      <c r="AG26" s="490">
        <v>9272</v>
      </c>
      <c r="AH26" s="490">
        <v>1907</v>
      </c>
      <c r="AI26" s="487">
        <v>6240</v>
      </c>
      <c r="AJ26" s="487">
        <v>6206</v>
      </c>
      <c r="AK26" s="487">
        <v>6857</v>
      </c>
      <c r="AL26" s="487">
        <v>6670</v>
      </c>
      <c r="AM26" s="487">
        <v>6694</v>
      </c>
      <c r="AN26" s="487">
        <v>7165</v>
      </c>
      <c r="AO26" s="490">
        <v>1814</v>
      </c>
      <c r="AP26" s="487">
        <v>1832</v>
      </c>
      <c r="AQ26" s="487">
        <v>1850</v>
      </c>
      <c r="AR26" s="487">
        <v>1866</v>
      </c>
      <c r="AS26" s="487">
        <v>2290</v>
      </c>
      <c r="AT26" s="487">
        <v>2314</v>
      </c>
      <c r="AU26" s="487">
        <v>2344</v>
      </c>
      <c r="AV26" s="487">
        <v>1972</v>
      </c>
      <c r="AW26" s="487">
        <v>2002</v>
      </c>
      <c r="AX26" s="487">
        <v>1461</v>
      </c>
      <c r="AY26" s="487">
        <v>1461</v>
      </c>
      <c r="AZ26" s="487">
        <v>1462</v>
      </c>
      <c r="BA26" s="487">
        <v>1461</v>
      </c>
      <c r="BB26" s="487">
        <v>1485</v>
      </c>
      <c r="BC26" s="487">
        <v>1487</v>
      </c>
      <c r="BD26" s="487">
        <v>1018</v>
      </c>
      <c r="BE26" s="487">
        <v>1510</v>
      </c>
      <c r="BF26" s="487">
        <v>1628</v>
      </c>
      <c r="BG26" s="487">
        <v>1628</v>
      </c>
      <c r="BH26" s="487">
        <v>1628</v>
      </c>
      <c r="BI26" s="487">
        <v>1628</v>
      </c>
      <c r="BJ26" s="487">
        <v>1698</v>
      </c>
    </row>
    <row r="27" spans="1:62" ht="14.1" customHeight="1" x14ac:dyDescent="0.2">
      <c r="A27" s="268" t="s">
        <v>746</v>
      </c>
      <c r="B27" s="719" t="s">
        <v>746</v>
      </c>
      <c r="C27" s="487">
        <v>6602</v>
      </c>
      <c r="D27" s="487">
        <v>29719</v>
      </c>
      <c r="E27" s="487">
        <v>26934</v>
      </c>
      <c r="F27" s="487">
        <v>24122</v>
      </c>
      <c r="G27" s="487">
        <v>18405</v>
      </c>
      <c r="H27" s="488">
        <v>31302</v>
      </c>
      <c r="I27" s="487">
        <v>25902</v>
      </c>
      <c r="J27" s="487">
        <v>20035</v>
      </c>
      <c r="K27" s="487">
        <v>18742</v>
      </c>
      <c r="L27" s="487">
        <v>11292</v>
      </c>
      <c r="M27" s="487">
        <v>6950</v>
      </c>
      <c r="N27" s="487">
        <v>3835</v>
      </c>
      <c r="O27" s="488">
        <v>9639</v>
      </c>
      <c r="P27" s="487">
        <v>2670</v>
      </c>
      <c r="Q27" s="487">
        <v>29210</v>
      </c>
      <c r="R27" s="487">
        <v>61989</v>
      </c>
      <c r="S27" s="487">
        <v>69595</v>
      </c>
      <c r="T27" s="488">
        <v>21114</v>
      </c>
      <c r="U27" s="487">
        <v>23630</v>
      </c>
      <c r="V27" s="487">
        <v>13165</v>
      </c>
      <c r="W27" s="487">
        <v>14057</v>
      </c>
      <c r="X27" s="487">
        <v>17220</v>
      </c>
      <c r="Y27" s="487">
        <v>17954</v>
      </c>
      <c r="Z27" s="487">
        <v>18814</v>
      </c>
      <c r="AA27" s="487">
        <v>20296</v>
      </c>
      <c r="AB27" s="487">
        <v>21720</v>
      </c>
      <c r="AC27" s="487">
        <v>23296</v>
      </c>
      <c r="AD27" s="487">
        <v>23287</v>
      </c>
      <c r="AE27" s="487">
        <v>23288</v>
      </c>
      <c r="AF27" s="487">
        <v>23295</v>
      </c>
      <c r="AG27" s="487">
        <v>26097</v>
      </c>
      <c r="AH27" s="490">
        <v>36560</v>
      </c>
      <c r="AI27" s="487">
        <v>14120</v>
      </c>
      <c r="AJ27" s="487">
        <v>13687</v>
      </c>
      <c r="AK27" s="487">
        <v>14543</v>
      </c>
      <c r="AL27" s="487">
        <v>16129</v>
      </c>
      <c r="AM27" s="487">
        <v>15696</v>
      </c>
      <c r="AN27" s="487">
        <v>15712</v>
      </c>
      <c r="AO27" s="487">
        <v>13994</v>
      </c>
      <c r="AP27" s="487">
        <v>16910</v>
      </c>
      <c r="AQ27" s="487">
        <v>15538</v>
      </c>
      <c r="AR27" s="487">
        <v>17029</v>
      </c>
      <c r="AS27" s="487">
        <v>14293</v>
      </c>
      <c r="AT27" s="487">
        <v>14675</v>
      </c>
      <c r="AU27" s="487">
        <v>13569</v>
      </c>
      <c r="AV27" s="487">
        <v>10051</v>
      </c>
      <c r="AW27" s="487">
        <v>10694</v>
      </c>
      <c r="AX27" s="487">
        <v>9259</v>
      </c>
      <c r="AY27" s="487">
        <v>8185</v>
      </c>
      <c r="AZ27" s="487">
        <v>8091</v>
      </c>
      <c r="BA27" s="487">
        <v>7371</v>
      </c>
      <c r="BB27" s="487">
        <v>5654</v>
      </c>
      <c r="BC27" s="487">
        <v>6428</v>
      </c>
      <c r="BD27" s="487">
        <v>5137</v>
      </c>
      <c r="BE27" s="487">
        <v>5648</v>
      </c>
      <c r="BF27" s="487">
        <v>4708</v>
      </c>
      <c r="BG27" s="487">
        <v>3712</v>
      </c>
      <c r="BH27" s="487">
        <v>2477</v>
      </c>
      <c r="BI27" s="487">
        <v>3218</v>
      </c>
      <c r="BJ27" s="487">
        <v>3269</v>
      </c>
    </row>
    <row r="28" spans="1:62" ht="14.1" customHeight="1" x14ac:dyDescent="0.2">
      <c r="B28" s="719" t="s">
        <v>959</v>
      </c>
      <c r="C28" s="487">
        <v>0</v>
      </c>
      <c r="D28" s="487">
        <v>0</v>
      </c>
      <c r="E28" s="487">
        <v>0</v>
      </c>
      <c r="F28" s="487">
        <v>0</v>
      </c>
      <c r="G28" s="487">
        <v>0</v>
      </c>
      <c r="H28" s="488">
        <v>0</v>
      </c>
      <c r="I28" s="487">
        <v>0</v>
      </c>
      <c r="J28" s="487">
        <v>0</v>
      </c>
      <c r="K28" s="487">
        <v>0</v>
      </c>
      <c r="L28" s="487">
        <v>0</v>
      </c>
      <c r="M28" s="487">
        <v>0</v>
      </c>
      <c r="N28" s="487">
        <v>0</v>
      </c>
      <c r="O28" s="488">
        <v>0</v>
      </c>
      <c r="P28" s="487">
        <v>0</v>
      </c>
      <c r="Q28" s="487">
        <v>0</v>
      </c>
      <c r="R28" s="487">
        <v>0</v>
      </c>
      <c r="S28" s="487">
        <v>0</v>
      </c>
      <c r="T28" s="488">
        <v>0</v>
      </c>
      <c r="U28" s="487">
        <v>0</v>
      </c>
      <c r="V28" s="487">
        <v>0</v>
      </c>
      <c r="W28" s="487">
        <v>0</v>
      </c>
      <c r="X28" s="487">
        <v>0</v>
      </c>
      <c r="Y28" s="487">
        <v>0</v>
      </c>
      <c r="Z28" s="487">
        <v>0</v>
      </c>
      <c r="AA28" s="487">
        <v>0</v>
      </c>
      <c r="AB28" s="487">
        <v>0</v>
      </c>
      <c r="AC28" s="487">
        <v>0</v>
      </c>
      <c r="AD28" s="487">
        <v>0</v>
      </c>
      <c r="AE28" s="487">
        <v>0</v>
      </c>
      <c r="AF28" s="487">
        <v>0</v>
      </c>
      <c r="AG28" s="487">
        <v>0</v>
      </c>
      <c r="AH28" s="490">
        <v>0</v>
      </c>
      <c r="AI28" s="487">
        <v>0</v>
      </c>
      <c r="AJ28" s="487">
        <v>0</v>
      </c>
      <c r="AK28" s="487">
        <v>0</v>
      </c>
      <c r="AL28" s="487">
        <v>0</v>
      </c>
      <c r="AM28" s="487">
        <v>0</v>
      </c>
      <c r="AN28" s="487">
        <v>0</v>
      </c>
      <c r="AO28" s="487">
        <v>2350</v>
      </c>
      <c r="AP28" s="487">
        <v>2600</v>
      </c>
      <c r="AQ28" s="487">
        <v>3600</v>
      </c>
      <c r="AR28" s="487">
        <v>4600</v>
      </c>
      <c r="AS28" s="487">
        <v>4600</v>
      </c>
      <c r="AT28" s="487">
        <v>3956</v>
      </c>
      <c r="AU28" s="487">
        <v>3965</v>
      </c>
      <c r="AV28" s="487">
        <v>4253</v>
      </c>
      <c r="AW28" s="487">
        <v>3823</v>
      </c>
      <c r="AX28" s="487">
        <v>3636</v>
      </c>
      <c r="AY28" s="487">
        <v>3753</v>
      </c>
      <c r="AZ28" s="487">
        <v>0</v>
      </c>
      <c r="BA28" s="487">
        <v>0</v>
      </c>
      <c r="BB28" s="487">
        <v>0</v>
      </c>
      <c r="BC28" s="487">
        <v>0</v>
      </c>
      <c r="BD28" s="487">
        <v>0</v>
      </c>
      <c r="BE28" s="487">
        <v>0</v>
      </c>
      <c r="BF28" s="487">
        <v>0</v>
      </c>
      <c r="BG28" s="487">
        <v>0</v>
      </c>
      <c r="BH28" s="487">
        <v>0</v>
      </c>
      <c r="BI28" s="487">
        <v>0</v>
      </c>
      <c r="BJ28" s="487">
        <v>0</v>
      </c>
    </row>
    <row r="29" spans="1:62" ht="14.1" customHeight="1" x14ac:dyDescent="0.2">
      <c r="A29" s="268" t="s">
        <v>168</v>
      </c>
      <c r="B29" s="486" t="s">
        <v>168</v>
      </c>
      <c r="C29" s="487">
        <v>1447</v>
      </c>
      <c r="D29" s="487">
        <v>1653</v>
      </c>
      <c r="E29" s="487">
        <v>890</v>
      </c>
      <c r="F29" s="487">
        <v>859</v>
      </c>
      <c r="G29" s="487">
        <v>846</v>
      </c>
      <c r="H29" s="488">
        <v>822</v>
      </c>
      <c r="I29" s="487">
        <v>944</v>
      </c>
      <c r="J29" s="487">
        <v>1870</v>
      </c>
      <c r="K29" s="487">
        <v>933</v>
      </c>
      <c r="L29" s="487">
        <v>1021</v>
      </c>
      <c r="M29" s="487">
        <v>1011</v>
      </c>
      <c r="N29" s="487">
        <v>108</v>
      </c>
      <c r="O29" s="488">
        <v>105</v>
      </c>
      <c r="P29" s="487">
        <v>140</v>
      </c>
      <c r="Q29" s="487">
        <v>361</v>
      </c>
      <c r="R29" s="487">
        <v>402</v>
      </c>
      <c r="S29" s="487">
        <v>407</v>
      </c>
      <c r="T29" s="488">
        <v>439</v>
      </c>
      <c r="U29" s="487">
        <v>436</v>
      </c>
      <c r="V29" s="487">
        <v>436</v>
      </c>
      <c r="W29" s="487">
        <v>358</v>
      </c>
      <c r="X29" s="487">
        <v>124</v>
      </c>
      <c r="Y29" s="487">
        <v>124</v>
      </c>
      <c r="Z29" s="487">
        <v>124</v>
      </c>
      <c r="AA29" s="487">
        <v>124</v>
      </c>
      <c r="AB29" s="487">
        <v>0</v>
      </c>
      <c r="AC29" s="487">
        <v>0</v>
      </c>
      <c r="AD29" s="487">
        <v>0</v>
      </c>
      <c r="AE29" s="487">
        <v>0</v>
      </c>
      <c r="AF29" s="487">
        <v>0</v>
      </c>
      <c r="AG29" s="487">
        <v>0</v>
      </c>
      <c r="AH29" s="487">
        <v>0</v>
      </c>
      <c r="AI29" s="487">
        <v>16440</v>
      </c>
      <c r="AJ29" s="487">
        <v>17163</v>
      </c>
      <c r="AK29" s="487">
        <v>17713</v>
      </c>
      <c r="AL29" s="487">
        <v>15626</v>
      </c>
      <c r="AM29" s="487">
        <v>15964</v>
      </c>
      <c r="AN29" s="487">
        <v>3371</v>
      </c>
      <c r="AO29" s="487">
        <v>3676</v>
      </c>
      <c r="AP29" s="487">
        <v>1115</v>
      </c>
      <c r="AQ29" s="487">
        <v>1115</v>
      </c>
      <c r="AR29" s="487">
        <v>1115</v>
      </c>
      <c r="AS29" s="487">
        <v>1115</v>
      </c>
      <c r="AT29" s="487">
        <v>1115</v>
      </c>
      <c r="AU29" s="487">
        <v>1115</v>
      </c>
      <c r="AV29" s="487">
        <v>1115</v>
      </c>
      <c r="AW29" s="487">
        <v>1115</v>
      </c>
      <c r="AX29" s="487">
        <v>1115</v>
      </c>
      <c r="AY29" s="487">
        <v>1115</v>
      </c>
      <c r="AZ29" s="487">
        <v>1115</v>
      </c>
      <c r="BA29" s="487">
        <v>1115</v>
      </c>
      <c r="BB29" s="487">
        <v>1115</v>
      </c>
      <c r="BC29" s="487">
        <v>1115</v>
      </c>
      <c r="BD29" s="487">
        <v>1115</v>
      </c>
      <c r="BE29" s="487">
        <v>1115</v>
      </c>
      <c r="BF29" s="487">
        <v>1115</v>
      </c>
      <c r="BG29" s="487">
        <v>1115</v>
      </c>
      <c r="BH29" s="487">
        <v>1115</v>
      </c>
      <c r="BI29" s="487">
        <v>1115</v>
      </c>
      <c r="BJ29" s="487">
        <v>1115</v>
      </c>
    </row>
    <row r="30" spans="1:62" ht="14.1" customHeight="1" x14ac:dyDescent="0.2">
      <c r="A30" s="2"/>
      <c r="B30" s="486" t="s">
        <v>176</v>
      </c>
      <c r="C30" s="487">
        <v>0</v>
      </c>
      <c r="D30" s="487"/>
      <c r="E30" s="487">
        <v>0</v>
      </c>
      <c r="F30" s="487"/>
      <c r="G30" s="487">
        <v>0</v>
      </c>
      <c r="H30" s="487">
        <v>0</v>
      </c>
      <c r="I30" s="487">
        <v>32316</v>
      </c>
      <c r="J30" s="487">
        <v>30461</v>
      </c>
      <c r="K30" s="487">
        <v>27447</v>
      </c>
      <c r="L30" s="487">
        <v>15195</v>
      </c>
      <c r="M30" s="487">
        <v>15839</v>
      </c>
      <c r="N30" s="487">
        <v>15683</v>
      </c>
      <c r="O30" s="488">
        <v>14131</v>
      </c>
      <c r="P30" s="487">
        <v>31622</v>
      </c>
      <c r="Q30" s="487">
        <v>30023</v>
      </c>
      <c r="R30" s="487">
        <v>35462</v>
      </c>
      <c r="S30" s="487">
        <v>17079</v>
      </c>
      <c r="T30" s="488">
        <v>0</v>
      </c>
      <c r="U30" s="487">
        <v>8205</v>
      </c>
      <c r="V30" s="487">
        <v>15095</v>
      </c>
      <c r="W30" s="487">
        <v>22003</v>
      </c>
      <c r="X30" s="487">
        <v>0</v>
      </c>
      <c r="Y30" s="487">
        <v>0</v>
      </c>
      <c r="Z30" s="487">
        <v>0</v>
      </c>
      <c r="AA30" s="487">
        <v>0</v>
      </c>
      <c r="AB30" s="487">
        <v>0</v>
      </c>
      <c r="AC30" s="487">
        <v>0</v>
      </c>
      <c r="AD30" s="487">
        <v>0</v>
      </c>
      <c r="AE30" s="487">
        <v>0</v>
      </c>
      <c r="AF30" s="487">
        <v>0</v>
      </c>
      <c r="AG30" s="487">
        <v>0</v>
      </c>
      <c r="AH30" s="487">
        <v>0</v>
      </c>
      <c r="AI30" s="487">
        <v>0</v>
      </c>
      <c r="AJ30" s="487">
        <v>0</v>
      </c>
      <c r="AK30" s="490">
        <v>3945</v>
      </c>
      <c r="AL30" s="487">
        <v>1614</v>
      </c>
      <c r="AM30" s="487">
        <v>2661</v>
      </c>
      <c r="AN30" s="487">
        <v>1942</v>
      </c>
      <c r="AO30" s="487">
        <v>0</v>
      </c>
      <c r="AP30" s="487">
        <v>0</v>
      </c>
      <c r="AQ30" s="487">
        <v>0</v>
      </c>
      <c r="AR30" s="487">
        <v>0</v>
      </c>
      <c r="AS30" s="487">
        <v>0</v>
      </c>
      <c r="AT30" s="487">
        <v>0</v>
      </c>
      <c r="AU30" s="487">
        <v>0</v>
      </c>
      <c r="AV30" s="487">
        <v>0</v>
      </c>
      <c r="AW30" s="487">
        <v>0</v>
      </c>
      <c r="AX30" s="487">
        <v>0</v>
      </c>
      <c r="AY30" s="487">
        <v>0</v>
      </c>
      <c r="AZ30" s="487">
        <v>0</v>
      </c>
      <c r="BA30" s="487">
        <v>0</v>
      </c>
      <c r="BB30" s="487">
        <v>0</v>
      </c>
      <c r="BC30" s="487">
        <v>0</v>
      </c>
      <c r="BD30" s="487">
        <v>0</v>
      </c>
      <c r="BE30" s="487">
        <v>0</v>
      </c>
      <c r="BF30" s="487">
        <v>0</v>
      </c>
      <c r="BG30" s="487">
        <v>0</v>
      </c>
      <c r="BH30" s="487">
        <v>0</v>
      </c>
      <c r="BI30" s="487">
        <v>0</v>
      </c>
      <c r="BJ30" s="487">
        <v>0</v>
      </c>
    </row>
    <row r="31" spans="1:62" ht="14.1" customHeight="1" x14ac:dyDescent="0.2">
      <c r="A31" s="268" t="s">
        <v>181</v>
      </c>
      <c r="B31" s="486" t="s">
        <v>181</v>
      </c>
      <c r="C31" s="487">
        <v>1291</v>
      </c>
      <c r="D31" s="487">
        <v>1488</v>
      </c>
      <c r="E31" s="487">
        <v>2213</v>
      </c>
      <c r="F31" s="487">
        <v>2942.7057844999999</v>
      </c>
      <c r="G31" s="487">
        <v>3961</v>
      </c>
      <c r="H31" s="488">
        <v>5068</v>
      </c>
      <c r="I31" s="487">
        <v>6091</v>
      </c>
      <c r="J31" s="487">
        <v>7011</v>
      </c>
      <c r="K31" s="487">
        <v>8296</v>
      </c>
      <c r="L31" s="487">
        <v>10114</v>
      </c>
      <c r="M31" s="487">
        <v>11535</v>
      </c>
      <c r="N31" s="487">
        <v>13005</v>
      </c>
      <c r="O31" s="488">
        <v>14871</v>
      </c>
      <c r="P31" s="487">
        <v>16281</v>
      </c>
      <c r="Q31" s="487">
        <v>17560</v>
      </c>
      <c r="R31" s="487">
        <v>18913</v>
      </c>
      <c r="S31" s="487">
        <v>21642</v>
      </c>
      <c r="T31" s="488">
        <v>20100</v>
      </c>
      <c r="U31" s="487">
        <v>25006</v>
      </c>
      <c r="V31" s="487">
        <v>25703</v>
      </c>
      <c r="W31" s="487">
        <v>26597</v>
      </c>
      <c r="X31" s="487">
        <v>27142</v>
      </c>
      <c r="Y31" s="487">
        <v>27486</v>
      </c>
      <c r="Z31" s="487">
        <v>21869</v>
      </c>
      <c r="AA31" s="487">
        <v>22198</v>
      </c>
      <c r="AB31" s="487">
        <v>22139</v>
      </c>
      <c r="AC31" s="487">
        <v>21589</v>
      </c>
      <c r="AD31" s="487">
        <v>21527</v>
      </c>
      <c r="AE31" s="487">
        <v>20533</v>
      </c>
      <c r="AF31" s="487">
        <v>17939</v>
      </c>
      <c r="AG31" s="487">
        <v>17637</v>
      </c>
      <c r="AH31" s="487">
        <v>13571</v>
      </c>
      <c r="AI31" s="487">
        <v>12405</v>
      </c>
      <c r="AJ31" s="487">
        <v>12549</v>
      </c>
      <c r="AK31" s="487">
        <v>12359</v>
      </c>
      <c r="AL31" s="487">
        <v>11902</v>
      </c>
      <c r="AM31" s="487">
        <v>11580</v>
      </c>
      <c r="AN31" s="487">
        <v>11950</v>
      </c>
      <c r="AO31" s="487">
        <v>14463</v>
      </c>
      <c r="AP31" s="487">
        <v>14452</v>
      </c>
      <c r="AQ31" s="487">
        <v>14661</v>
      </c>
      <c r="AR31" s="487">
        <v>14092</v>
      </c>
      <c r="AS31" s="487">
        <v>14082</v>
      </c>
      <c r="AT31" s="487">
        <v>15140</v>
      </c>
      <c r="AU31" s="487">
        <v>15236</v>
      </c>
      <c r="AV31" s="487">
        <v>15032</v>
      </c>
      <c r="AW31" s="487">
        <v>14846</v>
      </c>
      <c r="AX31" s="487">
        <v>18172</v>
      </c>
      <c r="AY31" s="487">
        <v>19849</v>
      </c>
      <c r="AZ31" s="487">
        <v>19909</v>
      </c>
      <c r="BA31" s="487">
        <v>18981</v>
      </c>
      <c r="BB31" s="487">
        <v>18781</v>
      </c>
      <c r="BC31" s="487">
        <v>19119</v>
      </c>
      <c r="BD31" s="487">
        <v>19039</v>
      </c>
      <c r="BE31" s="487">
        <v>19155</v>
      </c>
      <c r="BF31" s="487">
        <v>20256</v>
      </c>
      <c r="BG31" s="487">
        <v>20621</v>
      </c>
      <c r="BH31" s="487">
        <v>22649</v>
      </c>
      <c r="BI31" s="487">
        <v>22945</v>
      </c>
      <c r="BJ31" s="487">
        <v>23178</v>
      </c>
    </row>
    <row r="32" spans="1:62" ht="6.75" customHeight="1" x14ac:dyDescent="0.2">
      <c r="B32" s="504"/>
      <c r="C32" s="734"/>
      <c r="D32" s="734"/>
      <c r="E32" s="734"/>
      <c r="F32" s="734"/>
      <c r="G32" s="734"/>
      <c r="H32" s="733"/>
      <c r="I32" s="734"/>
      <c r="J32" s="734"/>
      <c r="K32" s="734"/>
      <c r="L32" s="734"/>
      <c r="M32" s="734"/>
      <c r="N32" s="734"/>
      <c r="O32" s="735"/>
      <c r="P32" s="734"/>
      <c r="Q32" s="734"/>
      <c r="R32" s="734"/>
      <c r="S32" s="734"/>
      <c r="T32" s="735"/>
      <c r="U32" s="734"/>
      <c r="V32" s="736"/>
      <c r="W32" s="736"/>
      <c r="X32" s="736"/>
      <c r="Y32" s="736"/>
      <c r="Z32" s="736"/>
      <c r="AA32" s="736"/>
      <c r="AB32" s="736"/>
      <c r="AC32" s="736"/>
      <c r="AD32" s="736"/>
      <c r="AE32" s="736"/>
      <c r="AF32" s="736"/>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row>
    <row r="33" spans="1:62" ht="14.1" customHeight="1" x14ac:dyDescent="0.2">
      <c r="B33" s="483" t="s">
        <v>960</v>
      </c>
      <c r="C33" s="484">
        <f t="shared" ref="C33:AP33" si="8">+SUM(C34:C37)</f>
        <v>119460</v>
      </c>
      <c r="D33" s="484">
        <f t="shared" si="8"/>
        <v>325112</v>
      </c>
      <c r="E33" s="484">
        <f t="shared" si="8"/>
        <v>315548</v>
      </c>
      <c r="F33" s="484">
        <f t="shared" si="8"/>
        <v>309553</v>
      </c>
      <c r="G33" s="484">
        <f t="shared" si="8"/>
        <v>406660</v>
      </c>
      <c r="H33" s="485">
        <f t="shared" si="8"/>
        <v>398948</v>
      </c>
      <c r="I33" s="484">
        <f t="shared" si="8"/>
        <v>428675</v>
      </c>
      <c r="J33" s="484">
        <f t="shared" si="8"/>
        <v>442048</v>
      </c>
      <c r="K33" s="484">
        <f t="shared" si="8"/>
        <v>482078</v>
      </c>
      <c r="L33" s="484">
        <f t="shared" si="8"/>
        <v>479870</v>
      </c>
      <c r="M33" s="484">
        <f t="shared" si="8"/>
        <v>476694</v>
      </c>
      <c r="N33" s="484">
        <f t="shared" si="8"/>
        <v>470562</v>
      </c>
      <c r="O33" s="485">
        <f t="shared" si="8"/>
        <v>470018</v>
      </c>
      <c r="P33" s="484">
        <f t="shared" si="8"/>
        <v>464530</v>
      </c>
      <c r="Q33" s="484">
        <f t="shared" si="8"/>
        <v>473057</v>
      </c>
      <c r="R33" s="484">
        <f t="shared" si="8"/>
        <v>473771</v>
      </c>
      <c r="S33" s="484">
        <f t="shared" si="8"/>
        <v>470242</v>
      </c>
      <c r="T33" s="485">
        <f t="shared" si="8"/>
        <v>343863</v>
      </c>
      <c r="U33" s="484">
        <f t="shared" si="8"/>
        <v>345140</v>
      </c>
      <c r="V33" s="484">
        <f t="shared" si="8"/>
        <v>365266</v>
      </c>
      <c r="W33" s="484">
        <f t="shared" si="8"/>
        <v>370321</v>
      </c>
      <c r="X33" s="484">
        <f t="shared" si="8"/>
        <v>381022</v>
      </c>
      <c r="Y33" s="484">
        <f t="shared" si="8"/>
        <v>398397</v>
      </c>
      <c r="Z33" s="484">
        <f t="shared" si="8"/>
        <v>405516</v>
      </c>
      <c r="AA33" s="484">
        <f t="shared" si="8"/>
        <v>406886</v>
      </c>
      <c r="AB33" s="484">
        <f t="shared" si="8"/>
        <v>407028</v>
      </c>
      <c r="AC33" s="484">
        <f t="shared" si="8"/>
        <v>403310</v>
      </c>
      <c r="AD33" s="484">
        <f t="shared" si="8"/>
        <v>393960</v>
      </c>
      <c r="AE33" s="484">
        <f t="shared" si="8"/>
        <v>394038</v>
      </c>
      <c r="AF33" s="484">
        <f t="shared" si="8"/>
        <v>392597</v>
      </c>
      <c r="AG33" s="484">
        <f t="shared" si="8"/>
        <v>390707</v>
      </c>
      <c r="AH33" s="484">
        <f t="shared" si="8"/>
        <v>387205</v>
      </c>
      <c r="AI33" s="484">
        <f t="shared" si="8"/>
        <v>401027</v>
      </c>
      <c r="AJ33" s="484">
        <f t="shared" si="8"/>
        <v>396110</v>
      </c>
      <c r="AK33" s="484">
        <f t="shared" si="8"/>
        <v>404094</v>
      </c>
      <c r="AL33" s="484">
        <f t="shared" si="8"/>
        <v>410564</v>
      </c>
      <c r="AM33" s="484">
        <f t="shared" si="8"/>
        <v>475476.45750000002</v>
      </c>
      <c r="AN33" s="484">
        <f t="shared" si="8"/>
        <v>499477</v>
      </c>
      <c r="AO33" s="484">
        <f t="shared" si="8"/>
        <v>496904</v>
      </c>
      <c r="AP33" s="484">
        <f t="shared" si="8"/>
        <v>489751</v>
      </c>
      <c r="AQ33" s="484">
        <f t="shared" ref="AQ33:AZ33" si="9">+SUM(AQ34:AQ37)</f>
        <v>497502</v>
      </c>
      <c r="AR33" s="484">
        <f t="shared" si="9"/>
        <v>485587</v>
      </c>
      <c r="AS33" s="484">
        <f t="shared" si="9"/>
        <v>473973</v>
      </c>
      <c r="AT33" s="484">
        <f t="shared" si="9"/>
        <v>462481</v>
      </c>
      <c r="AU33" s="484">
        <f t="shared" si="9"/>
        <v>493380</v>
      </c>
      <c r="AV33" s="484">
        <f t="shared" si="9"/>
        <v>487384</v>
      </c>
      <c r="AW33" s="484">
        <f t="shared" si="9"/>
        <v>485266</v>
      </c>
      <c r="AX33" s="484">
        <f t="shared" si="9"/>
        <v>481332</v>
      </c>
      <c r="AY33" s="484">
        <f t="shared" si="9"/>
        <v>478566</v>
      </c>
      <c r="AZ33" s="484">
        <f t="shared" si="9"/>
        <v>488602</v>
      </c>
      <c r="BA33" s="484">
        <f t="shared" ref="BA33:BJ33" si="10">+SUM(BA34:BA37)</f>
        <v>490263</v>
      </c>
      <c r="BB33" s="484">
        <f t="shared" si="10"/>
        <v>497674</v>
      </c>
      <c r="BC33" s="484">
        <f t="shared" si="10"/>
        <v>519125</v>
      </c>
      <c r="BD33" s="484">
        <f t="shared" si="10"/>
        <v>523045</v>
      </c>
      <c r="BE33" s="484">
        <f t="shared" si="10"/>
        <v>523326</v>
      </c>
      <c r="BF33" s="484">
        <f t="shared" si="10"/>
        <v>521776</v>
      </c>
      <c r="BG33" s="484">
        <f t="shared" si="10"/>
        <v>532517</v>
      </c>
      <c r="BH33" s="484">
        <f t="shared" si="10"/>
        <v>545125</v>
      </c>
      <c r="BI33" s="484">
        <f t="shared" si="10"/>
        <v>542856</v>
      </c>
      <c r="BJ33" s="484">
        <f t="shared" si="10"/>
        <v>563031</v>
      </c>
    </row>
    <row r="34" spans="1:62" ht="14.1" customHeight="1" x14ac:dyDescent="0.2">
      <c r="A34" s="268" t="s">
        <v>182</v>
      </c>
      <c r="B34" s="719" t="s">
        <v>182</v>
      </c>
      <c r="C34" s="487">
        <v>47625</v>
      </c>
      <c r="D34" s="487">
        <v>0</v>
      </c>
      <c r="E34" s="487">
        <v>0</v>
      </c>
      <c r="F34" s="487"/>
      <c r="G34" s="487">
        <v>0</v>
      </c>
      <c r="H34" s="488">
        <v>0</v>
      </c>
      <c r="I34" s="487">
        <v>0</v>
      </c>
      <c r="J34" s="487">
        <v>4017</v>
      </c>
      <c r="K34" s="487">
        <v>0</v>
      </c>
      <c r="L34" s="487">
        <v>0</v>
      </c>
      <c r="M34" s="487">
        <v>0</v>
      </c>
      <c r="N34" s="487">
        <v>3769</v>
      </c>
      <c r="O34" s="488">
        <v>2580</v>
      </c>
      <c r="P34" s="487">
        <v>1808</v>
      </c>
      <c r="Q34" s="487">
        <v>1914</v>
      </c>
      <c r="R34" s="487">
        <v>2263</v>
      </c>
      <c r="S34" s="487">
        <v>2058</v>
      </c>
      <c r="T34" s="488">
        <v>2107</v>
      </c>
      <c r="U34" s="487">
        <v>2566</v>
      </c>
      <c r="V34" s="487">
        <v>4705</v>
      </c>
      <c r="W34" s="487">
        <v>5201</v>
      </c>
      <c r="X34" s="487">
        <v>5429</v>
      </c>
      <c r="Y34" s="487">
        <v>5361</v>
      </c>
      <c r="Z34" s="487">
        <v>5777</v>
      </c>
      <c r="AA34" s="487">
        <v>4302</v>
      </c>
      <c r="AB34" s="487">
        <v>3398</v>
      </c>
      <c r="AC34" s="487">
        <v>3379</v>
      </c>
      <c r="AD34" s="487">
        <v>2999</v>
      </c>
      <c r="AE34" s="487">
        <v>2984</v>
      </c>
      <c r="AF34" s="487">
        <v>1339</v>
      </c>
      <c r="AG34" s="487">
        <v>1382</v>
      </c>
      <c r="AH34" s="487">
        <v>1978</v>
      </c>
      <c r="AI34" s="487">
        <v>19190</v>
      </c>
      <c r="AJ34" s="487">
        <v>18720</v>
      </c>
      <c r="AK34" s="487">
        <v>18571</v>
      </c>
      <c r="AL34" s="487">
        <v>35944</v>
      </c>
      <c r="AM34" s="487">
        <v>18637</v>
      </c>
      <c r="AN34" s="487">
        <v>18777</v>
      </c>
      <c r="AO34" s="487">
        <v>19301</v>
      </c>
      <c r="AP34" s="487">
        <v>38343</v>
      </c>
      <c r="AQ34" s="487">
        <v>39737</v>
      </c>
      <c r="AR34" s="487">
        <v>40582</v>
      </c>
      <c r="AS34" s="487">
        <v>39439</v>
      </c>
      <c r="AT34" s="487">
        <v>38092</v>
      </c>
      <c r="AU34" s="487">
        <v>38902</v>
      </c>
      <c r="AV34" s="487">
        <v>39493</v>
      </c>
      <c r="AW34" s="487">
        <v>39174</v>
      </c>
      <c r="AX34" s="487">
        <v>40073</v>
      </c>
      <c r="AY34" s="487">
        <v>41942</v>
      </c>
      <c r="AZ34" s="487">
        <v>49953</v>
      </c>
      <c r="BA34" s="487">
        <v>47132</v>
      </c>
      <c r="BB34" s="487">
        <v>47950</v>
      </c>
      <c r="BC34" s="487">
        <v>49532</v>
      </c>
      <c r="BD34" s="487">
        <v>49313</v>
      </c>
      <c r="BE34" s="487">
        <v>50407</v>
      </c>
      <c r="BF34" s="487">
        <v>49347</v>
      </c>
      <c r="BG34" s="487">
        <v>55951</v>
      </c>
      <c r="BH34" s="487">
        <v>62131</v>
      </c>
      <c r="BI34" s="487">
        <v>62091</v>
      </c>
      <c r="BJ34" s="487">
        <v>61456</v>
      </c>
    </row>
    <row r="35" spans="1:62" ht="14.1" customHeight="1" x14ac:dyDescent="0.2">
      <c r="A35" s="268" t="s">
        <v>183</v>
      </c>
      <c r="B35" s="486" t="s">
        <v>183</v>
      </c>
      <c r="C35" s="487">
        <v>67151</v>
      </c>
      <c r="D35" s="487">
        <v>159217</v>
      </c>
      <c r="E35" s="487">
        <v>151187</v>
      </c>
      <c r="F35" s="487">
        <v>144864</v>
      </c>
      <c r="G35" s="487">
        <v>150696</v>
      </c>
      <c r="H35" s="488">
        <v>155892</v>
      </c>
      <c r="I35" s="487">
        <v>184487</v>
      </c>
      <c r="J35" s="487">
        <v>186506</v>
      </c>
      <c r="K35" s="487">
        <v>200043</v>
      </c>
      <c r="L35" s="487">
        <v>196631</v>
      </c>
      <c r="M35" s="487">
        <v>193071</v>
      </c>
      <c r="N35" s="487">
        <v>190153</v>
      </c>
      <c r="O35" s="488">
        <v>190547</v>
      </c>
      <c r="P35" s="487">
        <v>186373</v>
      </c>
      <c r="Q35" s="487">
        <v>194933</v>
      </c>
      <c r="R35" s="487">
        <v>194129</v>
      </c>
      <c r="S35" s="487">
        <v>191623</v>
      </c>
      <c r="T35" s="488">
        <v>170224</v>
      </c>
      <c r="U35" s="487">
        <v>171610</v>
      </c>
      <c r="V35" s="487">
        <v>189323</v>
      </c>
      <c r="W35" s="487">
        <v>187366</v>
      </c>
      <c r="X35" s="487">
        <v>197105</v>
      </c>
      <c r="Y35" s="487">
        <v>214192</v>
      </c>
      <c r="Z35" s="487">
        <v>221112</v>
      </c>
      <c r="AA35" s="487">
        <v>224998</v>
      </c>
      <c r="AB35" s="487">
        <v>224347</v>
      </c>
      <c r="AC35" s="487">
        <v>222245</v>
      </c>
      <c r="AD35" s="487">
        <v>214140</v>
      </c>
      <c r="AE35" s="487">
        <v>214161</v>
      </c>
      <c r="AF35" s="487">
        <v>216033</v>
      </c>
      <c r="AG35" s="487">
        <v>214285</v>
      </c>
      <c r="AH35" s="487">
        <v>210100</v>
      </c>
      <c r="AI35" s="487">
        <v>193695</v>
      </c>
      <c r="AJ35" s="487">
        <v>189509</v>
      </c>
      <c r="AK35" s="487">
        <v>197392</v>
      </c>
      <c r="AL35" s="487">
        <v>202166</v>
      </c>
      <c r="AM35" s="487">
        <v>201707</v>
      </c>
      <c r="AN35" s="487">
        <v>210345</v>
      </c>
      <c r="AO35" s="487">
        <v>208236</v>
      </c>
      <c r="AP35" s="487">
        <v>209033</v>
      </c>
      <c r="AQ35" s="487">
        <v>207833</v>
      </c>
      <c r="AR35" s="487">
        <v>204713</v>
      </c>
      <c r="AS35" s="487">
        <v>203615</v>
      </c>
      <c r="AT35" s="487">
        <v>202117</v>
      </c>
      <c r="AU35" s="487">
        <v>202115</v>
      </c>
      <c r="AV35" s="487">
        <v>202083</v>
      </c>
      <c r="AW35" s="487">
        <v>206653</v>
      </c>
      <c r="AX35" s="487">
        <v>206881</v>
      </c>
      <c r="AY35" s="487">
        <v>204701</v>
      </c>
      <c r="AZ35" s="487">
        <v>211132</v>
      </c>
      <c r="BA35" s="487">
        <v>212482</v>
      </c>
      <c r="BB35" s="487">
        <v>225154</v>
      </c>
      <c r="BC35" s="487">
        <v>223208</v>
      </c>
      <c r="BD35" s="487">
        <v>222276</v>
      </c>
      <c r="BE35" s="487">
        <v>228001</v>
      </c>
      <c r="BF35" s="487">
        <v>230500</v>
      </c>
      <c r="BG35" s="487">
        <v>234199</v>
      </c>
      <c r="BH35" s="487">
        <v>238171</v>
      </c>
      <c r="BI35" s="487">
        <v>239710</v>
      </c>
      <c r="BJ35" s="487">
        <v>245613</v>
      </c>
    </row>
    <row r="36" spans="1:62" ht="14.1" customHeight="1" x14ac:dyDescent="0.2">
      <c r="A36" s="268" t="s">
        <v>184</v>
      </c>
      <c r="B36" s="486" t="s">
        <v>184</v>
      </c>
      <c r="C36" s="487">
        <v>4684</v>
      </c>
      <c r="D36" s="487">
        <v>165895</v>
      </c>
      <c r="E36" s="487">
        <v>164361</v>
      </c>
      <c r="F36" s="487">
        <v>164689</v>
      </c>
      <c r="G36" s="487">
        <v>255964</v>
      </c>
      <c r="H36" s="488">
        <v>243056</v>
      </c>
      <c r="I36" s="487">
        <v>244188</v>
      </c>
      <c r="J36" s="487">
        <v>251525</v>
      </c>
      <c r="K36" s="487">
        <v>282035</v>
      </c>
      <c r="L36" s="487">
        <v>283239</v>
      </c>
      <c r="M36" s="487">
        <v>283623</v>
      </c>
      <c r="N36" s="487">
        <v>276640</v>
      </c>
      <c r="O36" s="488">
        <v>276891</v>
      </c>
      <c r="P36" s="487">
        <v>276349</v>
      </c>
      <c r="Q36" s="487">
        <v>276210</v>
      </c>
      <c r="R36" s="487">
        <v>277379</v>
      </c>
      <c r="S36" s="487">
        <v>276561</v>
      </c>
      <c r="T36" s="488">
        <v>171532</v>
      </c>
      <c r="U36" s="487">
        <v>170964</v>
      </c>
      <c r="V36" s="487">
        <v>171238</v>
      </c>
      <c r="W36" s="487">
        <v>177754</v>
      </c>
      <c r="X36" s="487">
        <v>178488</v>
      </c>
      <c r="Y36" s="487">
        <v>178844</v>
      </c>
      <c r="Z36" s="487">
        <v>178627</v>
      </c>
      <c r="AA36" s="487">
        <v>177586</v>
      </c>
      <c r="AB36" s="487">
        <v>179283</v>
      </c>
      <c r="AC36" s="487">
        <v>177686</v>
      </c>
      <c r="AD36" s="487">
        <v>176821</v>
      </c>
      <c r="AE36" s="487">
        <v>176893</v>
      </c>
      <c r="AF36" s="487">
        <v>175225</v>
      </c>
      <c r="AG36" s="487">
        <v>175040</v>
      </c>
      <c r="AH36" s="487">
        <v>175127</v>
      </c>
      <c r="AI36" s="487">
        <v>188142</v>
      </c>
      <c r="AJ36" s="487">
        <v>187881</v>
      </c>
      <c r="AK36" s="487">
        <v>188131</v>
      </c>
      <c r="AL36" s="487">
        <v>172454</v>
      </c>
      <c r="AM36" s="487">
        <v>189339</v>
      </c>
      <c r="AN36" s="487">
        <v>188727</v>
      </c>
      <c r="AO36" s="487">
        <v>188282</v>
      </c>
      <c r="AP36" s="487">
        <v>171446</v>
      </c>
      <c r="AQ36" s="487">
        <v>171772</v>
      </c>
      <c r="AR36" s="487">
        <v>171692</v>
      </c>
      <c r="AS36" s="487">
        <v>171274</v>
      </c>
      <c r="AT36" s="487">
        <v>170769</v>
      </c>
      <c r="AU36" s="487">
        <v>171575</v>
      </c>
      <c r="AV36" s="487">
        <v>171745</v>
      </c>
      <c r="AW36" s="487">
        <v>171898</v>
      </c>
      <c r="AX36" s="487">
        <v>172553</v>
      </c>
      <c r="AY36" s="487">
        <v>173531</v>
      </c>
      <c r="AZ36" s="487">
        <v>173196</v>
      </c>
      <c r="BA36" s="487">
        <v>174278</v>
      </c>
      <c r="BB36" s="487">
        <v>176104</v>
      </c>
      <c r="BC36" s="487">
        <v>177314</v>
      </c>
      <c r="BD36" s="487">
        <v>177385</v>
      </c>
      <c r="BE36" s="487">
        <v>177219</v>
      </c>
      <c r="BF36" s="487">
        <v>176780</v>
      </c>
      <c r="BG36" s="487">
        <v>182300</v>
      </c>
      <c r="BH36" s="487">
        <v>183893</v>
      </c>
      <c r="BI36" s="487">
        <v>187852</v>
      </c>
      <c r="BJ36" s="487">
        <v>190943</v>
      </c>
    </row>
    <row r="37" spans="1:62" ht="14.1" customHeight="1" x14ac:dyDescent="0.2">
      <c r="B37" s="718" t="s">
        <v>873</v>
      </c>
      <c r="C37" s="512">
        <v>0</v>
      </c>
      <c r="D37" s="512">
        <v>0</v>
      </c>
      <c r="E37" s="512">
        <v>0</v>
      </c>
      <c r="F37" s="512">
        <v>0</v>
      </c>
      <c r="G37" s="512">
        <v>0</v>
      </c>
      <c r="H37" s="512">
        <v>0</v>
      </c>
      <c r="I37" s="512">
        <v>0</v>
      </c>
      <c r="J37" s="512">
        <v>0</v>
      </c>
      <c r="K37" s="512">
        <v>0</v>
      </c>
      <c r="L37" s="512">
        <v>0</v>
      </c>
      <c r="M37" s="512">
        <v>0</v>
      </c>
      <c r="N37" s="512">
        <v>0</v>
      </c>
      <c r="O37" s="491">
        <v>0</v>
      </c>
      <c r="P37" s="512">
        <v>0</v>
      </c>
      <c r="Q37" s="512">
        <v>0</v>
      </c>
      <c r="R37" s="512">
        <v>0</v>
      </c>
      <c r="S37" s="512">
        <v>0</v>
      </c>
      <c r="T37" s="512">
        <v>0</v>
      </c>
      <c r="U37" s="512">
        <v>0</v>
      </c>
      <c r="V37" s="512">
        <v>0</v>
      </c>
      <c r="W37" s="512">
        <v>0</v>
      </c>
      <c r="X37" s="512">
        <v>0</v>
      </c>
      <c r="Y37" s="512">
        <v>0</v>
      </c>
      <c r="Z37" s="512">
        <v>0</v>
      </c>
      <c r="AA37" s="512">
        <v>0</v>
      </c>
      <c r="AB37" s="512">
        <v>0</v>
      </c>
      <c r="AC37" s="512">
        <v>0</v>
      </c>
      <c r="AD37" s="512">
        <v>0</v>
      </c>
      <c r="AE37" s="512">
        <v>0</v>
      </c>
      <c r="AF37" s="512">
        <v>0</v>
      </c>
      <c r="AG37" s="512">
        <v>0</v>
      </c>
      <c r="AH37" s="512">
        <v>0</v>
      </c>
      <c r="AI37" s="512">
        <v>0</v>
      </c>
      <c r="AJ37" s="512">
        <v>0</v>
      </c>
      <c r="AK37" s="512">
        <v>0</v>
      </c>
      <c r="AL37" s="512">
        <v>0</v>
      </c>
      <c r="AM37" s="512">
        <v>65793.457500000004</v>
      </c>
      <c r="AN37" s="512">
        <v>81628</v>
      </c>
      <c r="AO37" s="512">
        <v>81085</v>
      </c>
      <c r="AP37" s="512">
        <v>70929</v>
      </c>
      <c r="AQ37" s="512">
        <v>78160</v>
      </c>
      <c r="AR37" s="512">
        <v>68600</v>
      </c>
      <c r="AS37" s="512">
        <v>59645</v>
      </c>
      <c r="AT37" s="512">
        <v>51503</v>
      </c>
      <c r="AU37" s="512">
        <v>80788</v>
      </c>
      <c r="AV37" s="512">
        <v>74063</v>
      </c>
      <c r="AW37" s="512">
        <v>67541</v>
      </c>
      <c r="AX37" s="512">
        <v>61825</v>
      </c>
      <c r="AY37" s="512">
        <v>58392</v>
      </c>
      <c r="AZ37" s="512">
        <v>54321</v>
      </c>
      <c r="BA37" s="512">
        <v>56371</v>
      </c>
      <c r="BB37" s="512">
        <v>48466</v>
      </c>
      <c r="BC37" s="512">
        <v>69071</v>
      </c>
      <c r="BD37" s="512">
        <v>74071</v>
      </c>
      <c r="BE37" s="512">
        <v>67699</v>
      </c>
      <c r="BF37" s="512">
        <v>65149</v>
      </c>
      <c r="BG37" s="512">
        <v>60067</v>
      </c>
      <c r="BH37" s="512">
        <v>60930</v>
      </c>
      <c r="BI37" s="512">
        <v>53203</v>
      </c>
      <c r="BJ37" s="512">
        <v>65019</v>
      </c>
    </row>
    <row r="38" spans="1:62" ht="6.75" customHeight="1" x14ac:dyDescent="0.2">
      <c r="B38" s="499"/>
      <c r="C38" s="733"/>
      <c r="D38" s="733"/>
      <c r="E38" s="733"/>
      <c r="F38" s="733"/>
      <c r="G38" s="733"/>
      <c r="H38" s="733"/>
      <c r="I38" s="733"/>
      <c r="J38" s="733"/>
      <c r="K38" s="733"/>
      <c r="L38" s="733"/>
      <c r="M38" s="733"/>
      <c r="N38" s="733"/>
      <c r="O38" s="732"/>
      <c r="P38" s="733"/>
      <c r="Q38" s="733"/>
      <c r="R38" s="733"/>
      <c r="S38" s="733"/>
      <c r="T38" s="730">
        <f t="shared" ref="T38:AC38" si="11">+T36-163924</f>
        <v>7608</v>
      </c>
      <c r="U38" s="730">
        <f t="shared" si="11"/>
        <v>7040</v>
      </c>
      <c r="V38" s="730">
        <f t="shared" si="11"/>
        <v>7314</v>
      </c>
      <c r="W38" s="730">
        <f t="shared" si="11"/>
        <v>13830</v>
      </c>
      <c r="X38" s="730">
        <f t="shared" si="11"/>
        <v>14564</v>
      </c>
      <c r="Y38" s="730">
        <f t="shared" si="11"/>
        <v>14920</v>
      </c>
      <c r="Z38" s="730">
        <f t="shared" si="11"/>
        <v>14703</v>
      </c>
      <c r="AA38" s="730">
        <f t="shared" si="11"/>
        <v>13662</v>
      </c>
      <c r="AB38" s="730">
        <f t="shared" si="11"/>
        <v>15359</v>
      </c>
      <c r="AC38" s="730">
        <f t="shared" si="11"/>
        <v>13762</v>
      </c>
      <c r="AD38" s="730">
        <v>12897</v>
      </c>
      <c r="AE38" s="730">
        <v>12969</v>
      </c>
      <c r="AF38" s="730">
        <v>11301</v>
      </c>
      <c r="AG38" s="738" t="s">
        <v>26</v>
      </c>
      <c r="AH38" s="738" t="s">
        <v>26</v>
      </c>
      <c r="AI38" s="739" t="s">
        <v>26</v>
      </c>
      <c r="AJ38" s="739" t="s">
        <v>26</v>
      </c>
      <c r="AK38" s="739" t="s">
        <v>26</v>
      </c>
      <c r="AL38" s="739" t="s">
        <v>26</v>
      </c>
      <c r="AM38" s="739" t="s">
        <v>26</v>
      </c>
      <c r="AN38" s="739" t="s">
        <v>26</v>
      </c>
      <c r="AO38" s="739" t="s">
        <v>26</v>
      </c>
      <c r="AP38" s="739" t="s">
        <v>26</v>
      </c>
      <c r="AQ38" s="739" t="s">
        <v>26</v>
      </c>
      <c r="AR38" s="739" t="s">
        <v>26</v>
      </c>
      <c r="AS38" s="739" t="s">
        <v>26</v>
      </c>
      <c r="AT38" s="739" t="s">
        <v>26</v>
      </c>
      <c r="AU38" s="739" t="s">
        <v>26</v>
      </c>
      <c r="AV38" s="739" t="s">
        <v>26</v>
      </c>
      <c r="AW38" s="739" t="s">
        <v>26</v>
      </c>
      <c r="AX38" s="739"/>
      <c r="AY38" s="739"/>
      <c r="AZ38" s="739" t="s">
        <v>26</v>
      </c>
      <c r="BA38" s="739" t="s">
        <v>26</v>
      </c>
      <c r="BB38" s="739" t="s">
        <v>26</v>
      </c>
      <c r="BC38" s="739" t="s">
        <v>26</v>
      </c>
      <c r="BD38" s="739" t="s">
        <v>26</v>
      </c>
      <c r="BE38" s="739" t="s">
        <v>26</v>
      </c>
      <c r="BF38" s="739" t="s">
        <v>26</v>
      </c>
      <c r="BG38" s="739"/>
      <c r="BH38" s="739"/>
      <c r="BI38" s="739"/>
      <c r="BJ38" s="739" t="s">
        <v>26</v>
      </c>
    </row>
    <row r="39" spans="1:62" ht="14.1" customHeight="1" x14ac:dyDescent="0.2">
      <c r="B39" s="483" t="s">
        <v>185</v>
      </c>
      <c r="C39" s="484">
        <f t="shared" ref="C39:AP39" si="12">SUM(C6,C21,C23,C33)</f>
        <v>515057</v>
      </c>
      <c r="D39" s="484">
        <f t="shared" si="12"/>
        <v>589491</v>
      </c>
      <c r="E39" s="484">
        <f t="shared" si="12"/>
        <v>581921</v>
      </c>
      <c r="F39" s="484">
        <f t="shared" si="12"/>
        <v>600947.54894824373</v>
      </c>
      <c r="G39" s="484">
        <f t="shared" si="12"/>
        <v>737083</v>
      </c>
      <c r="H39" s="485">
        <f t="shared" si="12"/>
        <v>760015</v>
      </c>
      <c r="I39" s="484">
        <f t="shared" si="12"/>
        <v>910136</v>
      </c>
      <c r="J39" s="484">
        <f t="shared" si="12"/>
        <v>922687</v>
      </c>
      <c r="K39" s="484">
        <f t="shared" si="12"/>
        <v>975517</v>
      </c>
      <c r="L39" s="484">
        <f t="shared" si="12"/>
        <v>1019407</v>
      </c>
      <c r="M39" s="484">
        <f t="shared" si="12"/>
        <v>1071960</v>
      </c>
      <c r="N39" s="484">
        <f t="shared" si="12"/>
        <v>1056660</v>
      </c>
      <c r="O39" s="485">
        <f t="shared" si="12"/>
        <v>1291224</v>
      </c>
      <c r="P39" s="484">
        <f t="shared" si="12"/>
        <v>1363118</v>
      </c>
      <c r="Q39" s="484">
        <f t="shared" si="12"/>
        <v>1193809</v>
      </c>
      <c r="R39" s="484">
        <f t="shared" si="12"/>
        <v>1200483</v>
      </c>
      <c r="S39" s="484">
        <f t="shared" si="12"/>
        <v>1162183</v>
      </c>
      <c r="T39" s="485">
        <f t="shared" si="12"/>
        <v>1096268</v>
      </c>
      <c r="U39" s="484">
        <f t="shared" si="12"/>
        <v>1011372</v>
      </c>
      <c r="V39" s="484">
        <f t="shared" si="12"/>
        <v>1054376</v>
      </c>
      <c r="W39" s="484">
        <f t="shared" si="12"/>
        <v>1075934</v>
      </c>
      <c r="X39" s="484">
        <f t="shared" si="12"/>
        <v>893842</v>
      </c>
      <c r="Y39" s="484">
        <f t="shared" si="12"/>
        <v>897042</v>
      </c>
      <c r="Z39" s="484">
        <f t="shared" si="12"/>
        <v>909304</v>
      </c>
      <c r="AA39" s="484">
        <f t="shared" si="12"/>
        <v>870381</v>
      </c>
      <c r="AB39" s="484">
        <f t="shared" si="12"/>
        <v>857571</v>
      </c>
      <c r="AC39" s="484">
        <f t="shared" si="12"/>
        <v>860516</v>
      </c>
      <c r="AD39" s="484">
        <f t="shared" si="12"/>
        <v>828122</v>
      </c>
      <c r="AE39" s="484">
        <f t="shared" si="12"/>
        <v>728667</v>
      </c>
      <c r="AF39" s="484">
        <f t="shared" si="12"/>
        <v>810638</v>
      </c>
      <c r="AG39" s="484">
        <f t="shared" si="12"/>
        <v>764181</v>
      </c>
      <c r="AH39" s="484">
        <f t="shared" si="12"/>
        <v>837851</v>
      </c>
      <c r="AI39" s="484">
        <f t="shared" si="12"/>
        <v>760505</v>
      </c>
      <c r="AJ39" s="484">
        <f t="shared" si="12"/>
        <v>737154</v>
      </c>
      <c r="AK39" s="484">
        <f t="shared" si="12"/>
        <v>773129</v>
      </c>
      <c r="AL39" s="484">
        <f t="shared" si="12"/>
        <v>809433</v>
      </c>
      <c r="AM39" s="484">
        <f>SUM(AM6,AL21,AM23,AM33)</f>
        <v>875982.45750000002</v>
      </c>
      <c r="AN39" s="484">
        <f t="shared" si="12"/>
        <v>899895</v>
      </c>
      <c r="AO39" s="484">
        <f t="shared" si="12"/>
        <v>1000216</v>
      </c>
      <c r="AP39" s="484">
        <f t="shared" si="12"/>
        <v>985421</v>
      </c>
      <c r="AQ39" s="484">
        <f t="shared" ref="AQ39:AZ39" si="13">SUM(AQ6,AQ21,AQ23,AQ33)</f>
        <v>969368</v>
      </c>
      <c r="AR39" s="484">
        <f t="shared" si="13"/>
        <v>1043911</v>
      </c>
      <c r="AS39" s="484">
        <f t="shared" si="13"/>
        <v>1031401</v>
      </c>
      <c r="AT39" s="484">
        <f t="shared" si="13"/>
        <v>1026932</v>
      </c>
      <c r="AU39" s="484">
        <f t="shared" si="13"/>
        <v>1059456</v>
      </c>
      <c r="AV39" s="484">
        <f t="shared" si="13"/>
        <v>1028435</v>
      </c>
      <c r="AW39" s="484">
        <f t="shared" si="13"/>
        <v>1014024</v>
      </c>
      <c r="AX39" s="484">
        <f t="shared" si="13"/>
        <v>1044778</v>
      </c>
      <c r="AY39" s="484">
        <f t="shared" si="13"/>
        <v>1028865</v>
      </c>
      <c r="AZ39" s="484">
        <f t="shared" si="13"/>
        <v>985942</v>
      </c>
      <c r="BA39" s="484">
        <f t="shared" ref="BA39:BG39" si="14">SUM(BA6,BA21,BA23,BA33)</f>
        <v>1035433</v>
      </c>
      <c r="BB39" s="484">
        <f t="shared" si="14"/>
        <v>1111080</v>
      </c>
      <c r="BC39" s="484">
        <f t="shared" si="14"/>
        <v>1130840</v>
      </c>
      <c r="BD39" s="484">
        <f t="shared" si="14"/>
        <v>1129596</v>
      </c>
      <c r="BE39" s="484">
        <f t="shared" si="14"/>
        <v>1166098</v>
      </c>
      <c r="BF39" s="484">
        <f t="shared" si="14"/>
        <v>1199711</v>
      </c>
      <c r="BG39" s="484">
        <f t="shared" si="14"/>
        <v>1221936</v>
      </c>
      <c r="BH39" s="484">
        <f>SUM(BH6,BH21,BH23,BH33)</f>
        <v>1268379</v>
      </c>
      <c r="BI39" s="484">
        <f>SUM(BI6,BI21,BI23,BI33)</f>
        <v>1287540</v>
      </c>
      <c r="BJ39" s="484">
        <f>SUM(BJ6,BJ21,BJ23,BJ33)</f>
        <v>1329394</v>
      </c>
    </row>
    <row r="40" spans="1:62" ht="14.1" customHeight="1" x14ac:dyDescent="0.2">
      <c r="C40" s="740"/>
      <c r="D40" s="740"/>
      <c r="E40" s="740"/>
      <c r="F40" s="740"/>
      <c r="G40" s="740">
        <f t="shared" ref="G40:AE40" si="15">G43+G44+G61+G63+G56-G16-G30</f>
        <v>114814</v>
      </c>
      <c r="H40" s="740">
        <f t="shared" si="15"/>
        <v>175386</v>
      </c>
      <c r="I40" s="740">
        <f t="shared" si="15"/>
        <v>261128</v>
      </c>
      <c r="J40" s="740">
        <f t="shared" si="15"/>
        <v>263030</v>
      </c>
      <c r="K40" s="740">
        <f t="shared" si="15"/>
        <v>264571</v>
      </c>
      <c r="L40" s="740">
        <f t="shared" si="15"/>
        <v>280597</v>
      </c>
      <c r="M40" s="740">
        <f t="shared" si="15"/>
        <v>293629</v>
      </c>
      <c r="N40" s="740">
        <f t="shared" si="15"/>
        <v>302392</v>
      </c>
      <c r="O40" s="740">
        <f t="shared" si="15"/>
        <v>536637</v>
      </c>
      <c r="P40" s="740">
        <f t="shared" si="15"/>
        <v>566387</v>
      </c>
      <c r="Q40" s="740">
        <f t="shared" si="15"/>
        <v>461495</v>
      </c>
      <c r="R40" s="740">
        <f t="shared" si="15"/>
        <v>484647</v>
      </c>
      <c r="S40" s="740">
        <f t="shared" si="15"/>
        <v>495083</v>
      </c>
      <c r="T40" s="740">
        <f t="shared" si="15"/>
        <v>414446</v>
      </c>
      <c r="U40" s="740">
        <f t="shared" si="15"/>
        <v>489051</v>
      </c>
      <c r="V40" s="740">
        <f t="shared" si="15"/>
        <v>493332</v>
      </c>
      <c r="W40" s="740">
        <f t="shared" si="15"/>
        <v>490649</v>
      </c>
      <c r="X40" s="740">
        <f t="shared" si="15"/>
        <v>364474</v>
      </c>
      <c r="Y40" s="740">
        <f t="shared" si="15"/>
        <v>363556</v>
      </c>
      <c r="Z40" s="740">
        <f t="shared" si="15"/>
        <v>364297</v>
      </c>
      <c r="AA40" s="740">
        <f t="shared" si="15"/>
        <v>341865</v>
      </c>
      <c r="AB40" s="740">
        <f t="shared" si="15"/>
        <v>342593</v>
      </c>
      <c r="AC40" s="740">
        <f t="shared" si="15"/>
        <v>341733</v>
      </c>
      <c r="AD40" s="740">
        <f t="shared" si="15"/>
        <v>291577</v>
      </c>
      <c r="AE40" s="740">
        <f t="shared" si="15"/>
        <v>221452</v>
      </c>
      <c r="AF40" s="740">
        <v>273851</v>
      </c>
      <c r="AG40" s="740">
        <f t="shared" ref="AG40:AL40" si="16">AG43+AG44+AG61+AG63+AG56-AG16-AG30</f>
        <v>219975</v>
      </c>
      <c r="AH40" s="740">
        <f t="shared" si="16"/>
        <v>222874</v>
      </c>
      <c r="AI40" s="740">
        <f t="shared" si="16"/>
        <v>154169</v>
      </c>
      <c r="AJ40" s="740">
        <f t="shared" si="16"/>
        <v>148113</v>
      </c>
      <c r="AK40" s="740">
        <f t="shared" si="16"/>
        <v>158913</v>
      </c>
      <c r="AL40" s="740">
        <f t="shared" si="16"/>
        <v>158586</v>
      </c>
      <c r="AM40" s="740">
        <v>142726</v>
      </c>
      <c r="AN40" s="740">
        <v>138647</v>
      </c>
      <c r="AO40" s="740">
        <v>140100</v>
      </c>
      <c r="AP40" s="740">
        <v>137418</v>
      </c>
      <c r="AQ40" s="740">
        <f>AQ43+AQ44+AQ61+AQ63+AQ56-AQ16-AQ30</f>
        <v>133519</v>
      </c>
      <c r="AR40" s="740">
        <f>AR43+AR44+AR61+AR63+AR56-AR16-AR30</f>
        <v>223997</v>
      </c>
      <c r="AS40" s="740">
        <f>AS43+AS44+AS61+AS63+AS56-AS16-AS30</f>
        <v>193443</v>
      </c>
      <c r="AT40" s="740">
        <f t="shared" ref="AT40:AY40" si="17">AT43+AT44+AT61+AT63+AT56-AT16-AT30</f>
        <v>193811</v>
      </c>
      <c r="AU40" s="740">
        <f t="shared" si="17"/>
        <v>194589</v>
      </c>
      <c r="AV40" s="740">
        <f t="shared" si="17"/>
        <v>152313</v>
      </c>
      <c r="AW40" s="740">
        <f t="shared" si="17"/>
        <v>127676</v>
      </c>
      <c r="AX40" s="740">
        <f t="shared" si="17"/>
        <v>128886</v>
      </c>
      <c r="AY40" s="740">
        <f t="shared" si="17"/>
        <v>119250</v>
      </c>
      <c r="AZ40" s="740">
        <v>68411</v>
      </c>
      <c r="BA40" s="740">
        <f t="shared" ref="BA40:BJ40" si="18">BA43+BA44+BA61+BA63+BA56-BA16-BA30</f>
        <v>66432</v>
      </c>
      <c r="BB40" s="740">
        <f t="shared" si="18"/>
        <v>101740</v>
      </c>
      <c r="BC40" s="740">
        <f t="shared" si="18"/>
        <v>90366</v>
      </c>
      <c r="BD40" s="740">
        <f t="shared" si="18"/>
        <v>91267</v>
      </c>
      <c r="BE40" s="740">
        <f t="shared" si="18"/>
        <v>95806</v>
      </c>
      <c r="BF40" s="740">
        <f t="shared" si="18"/>
        <v>101599</v>
      </c>
      <c r="BG40" s="740">
        <f t="shared" si="18"/>
        <v>107217</v>
      </c>
      <c r="BH40" s="740">
        <f t="shared" si="18"/>
        <v>105966</v>
      </c>
      <c r="BI40" s="740">
        <f t="shared" si="18"/>
        <v>105679</v>
      </c>
      <c r="BJ40" s="740">
        <f t="shared" si="18"/>
        <v>105996</v>
      </c>
    </row>
    <row r="41" spans="1:62" ht="14.1" customHeight="1" x14ac:dyDescent="0.2">
      <c r="B41" s="480" t="s">
        <v>186</v>
      </c>
      <c r="C41" s="539" t="str">
        <f t="shared" ref="C41:AE41" si="19">C5</f>
        <v>2007</v>
      </c>
      <c r="D41" s="539" t="str">
        <f t="shared" si="19"/>
        <v>2008</v>
      </c>
      <c r="E41" s="539" t="str">
        <f t="shared" si="19"/>
        <v>2009</v>
      </c>
      <c r="F41" s="539" t="str">
        <f t="shared" si="19"/>
        <v>2010</v>
      </c>
      <c r="G41" s="539" t="str">
        <f t="shared" si="19"/>
        <v>1Q11</v>
      </c>
      <c r="H41" s="482" t="str">
        <f t="shared" si="19"/>
        <v>2Q11</v>
      </c>
      <c r="I41" s="481" t="str">
        <f t="shared" si="19"/>
        <v>3Q11</v>
      </c>
      <c r="J41" s="481" t="str">
        <f t="shared" si="19"/>
        <v>4Q11</v>
      </c>
      <c r="K41" s="481" t="str">
        <f t="shared" si="19"/>
        <v>1Q12</v>
      </c>
      <c r="L41" s="481" t="str">
        <f t="shared" si="19"/>
        <v>2Q12</v>
      </c>
      <c r="M41" s="481" t="str">
        <f t="shared" si="19"/>
        <v>3Q12</v>
      </c>
      <c r="N41" s="481" t="str">
        <f t="shared" si="19"/>
        <v>4Q12</v>
      </c>
      <c r="O41" s="481" t="str">
        <f t="shared" si="19"/>
        <v>1Q13</v>
      </c>
      <c r="P41" s="481" t="str">
        <f t="shared" si="19"/>
        <v>2Q13</v>
      </c>
      <c r="Q41" s="481" t="str">
        <f t="shared" si="19"/>
        <v>3Q13</v>
      </c>
      <c r="R41" s="481" t="str">
        <f t="shared" si="19"/>
        <v>4Q13</v>
      </c>
      <c r="S41" s="481" t="str">
        <f t="shared" si="19"/>
        <v>1Q14</v>
      </c>
      <c r="T41" s="482" t="str">
        <f t="shared" si="19"/>
        <v>2Q14</v>
      </c>
      <c r="U41" s="481" t="str">
        <f t="shared" si="19"/>
        <v>3Q14</v>
      </c>
      <c r="V41" s="481" t="str">
        <f t="shared" si="19"/>
        <v>4Q14</v>
      </c>
      <c r="W41" s="481" t="str">
        <f t="shared" si="19"/>
        <v>1Q15</v>
      </c>
      <c r="X41" s="481" t="str">
        <f t="shared" si="19"/>
        <v>2Q15</v>
      </c>
      <c r="Y41" s="481" t="str">
        <f t="shared" si="19"/>
        <v>3Q15</v>
      </c>
      <c r="Z41" s="481" t="str">
        <f t="shared" si="19"/>
        <v>4Q15</v>
      </c>
      <c r="AA41" s="481" t="str">
        <f t="shared" si="19"/>
        <v>1Q16</v>
      </c>
      <c r="AB41" s="481" t="str">
        <f t="shared" si="19"/>
        <v>2Q16</v>
      </c>
      <c r="AC41" s="481" t="str">
        <f t="shared" si="19"/>
        <v>3Q16</v>
      </c>
      <c r="AD41" s="481" t="str">
        <f t="shared" si="19"/>
        <v>4Q16</v>
      </c>
      <c r="AE41" s="481" t="str">
        <f t="shared" si="19"/>
        <v>1Q17</v>
      </c>
      <c r="AF41" s="481" t="s">
        <v>143</v>
      </c>
      <c r="AG41" s="481" t="str">
        <f t="shared" ref="AG41:AQ41" si="20">AG5</f>
        <v>3Q17</v>
      </c>
      <c r="AH41" s="481" t="str">
        <f t="shared" si="20"/>
        <v>4Q17</v>
      </c>
      <c r="AI41" s="481" t="str">
        <f t="shared" si="20"/>
        <v>1Q18</v>
      </c>
      <c r="AJ41" s="481" t="str">
        <f t="shared" si="20"/>
        <v>2Q18</v>
      </c>
      <c r="AK41" s="481" t="str">
        <f t="shared" si="20"/>
        <v>3Q18</v>
      </c>
      <c r="AL41" s="481" t="str">
        <f t="shared" si="20"/>
        <v>4Q18</v>
      </c>
      <c r="AM41" s="481" t="str">
        <f t="shared" si="20"/>
        <v>1Q19</v>
      </c>
      <c r="AN41" s="481" t="str">
        <f t="shared" si="20"/>
        <v>2Q19</v>
      </c>
      <c r="AO41" s="481" t="str">
        <f t="shared" si="20"/>
        <v>3Q19</v>
      </c>
      <c r="AP41" s="481" t="str">
        <f t="shared" si="20"/>
        <v>4Q19</v>
      </c>
      <c r="AQ41" s="481" t="str">
        <f t="shared" si="20"/>
        <v>1Q20</v>
      </c>
      <c r="AR41" s="481" t="str">
        <f>AR5</f>
        <v>2Q20</v>
      </c>
      <c r="AS41" s="481" t="str">
        <f>AS5</f>
        <v>3Q20</v>
      </c>
      <c r="AT41" s="481" t="str">
        <f>AT5</f>
        <v>4Q20</v>
      </c>
      <c r="AU41" s="481" t="str">
        <f>AU5</f>
        <v>1Q21</v>
      </c>
      <c r="AV41" s="481" t="str">
        <f>AV5</f>
        <v>2Q21</v>
      </c>
      <c r="AW41" s="481" t="str">
        <f t="shared" ref="AW41:BB41" si="21">AW5</f>
        <v>3Q21</v>
      </c>
      <c r="AX41" s="481" t="str">
        <f t="shared" si="21"/>
        <v>4Q21</v>
      </c>
      <c r="AY41" s="481" t="str">
        <f t="shared" si="21"/>
        <v>1Q22</v>
      </c>
      <c r="AZ41" s="481" t="str">
        <f t="shared" si="21"/>
        <v>2T22</v>
      </c>
      <c r="BA41" s="481" t="str">
        <f t="shared" si="21"/>
        <v>3Q22</v>
      </c>
      <c r="BB41" s="481" t="str">
        <f t="shared" si="21"/>
        <v>4Q22</v>
      </c>
      <c r="BC41" s="481" t="str">
        <f t="shared" ref="BC41:BJ41" si="22">BC5</f>
        <v>1Q23</v>
      </c>
      <c r="BD41" s="481" t="str">
        <f t="shared" si="22"/>
        <v>2Q23</v>
      </c>
      <c r="BE41" s="481" t="str">
        <f t="shared" si="22"/>
        <v>3Q23</v>
      </c>
      <c r="BF41" s="481" t="str">
        <f t="shared" si="22"/>
        <v>4Q23</v>
      </c>
      <c r="BG41" s="481" t="str">
        <f t="shared" si="22"/>
        <v>1Q24</v>
      </c>
      <c r="BH41" s="481" t="str">
        <f t="shared" si="22"/>
        <v>2Q24</v>
      </c>
      <c r="BI41" s="481" t="str">
        <f t="shared" si="22"/>
        <v>3Q24</v>
      </c>
      <c r="BJ41" s="481" t="str">
        <f t="shared" si="22"/>
        <v>4Q24</v>
      </c>
    </row>
    <row r="42" spans="1:62" ht="14.1" customHeight="1" x14ac:dyDescent="0.2">
      <c r="B42" s="483" t="s">
        <v>187</v>
      </c>
      <c r="C42" s="484">
        <f t="shared" ref="C42:AE42" si="23">SUM(C43:C58)</f>
        <v>123214</v>
      </c>
      <c r="D42" s="484">
        <f t="shared" si="23"/>
        <v>172956</v>
      </c>
      <c r="E42" s="484">
        <f t="shared" si="23"/>
        <v>189702</v>
      </c>
      <c r="F42" s="484">
        <f t="shared" si="23"/>
        <v>142004</v>
      </c>
      <c r="G42" s="484">
        <f t="shared" si="23"/>
        <v>232269</v>
      </c>
      <c r="H42" s="485">
        <f t="shared" si="23"/>
        <v>267591</v>
      </c>
      <c r="I42" s="484">
        <f t="shared" si="23"/>
        <v>158434</v>
      </c>
      <c r="J42" s="484">
        <f t="shared" si="23"/>
        <v>150595</v>
      </c>
      <c r="K42" s="484">
        <f t="shared" si="23"/>
        <v>183699</v>
      </c>
      <c r="L42" s="484">
        <f t="shared" si="23"/>
        <v>410131</v>
      </c>
      <c r="M42" s="484">
        <f t="shared" si="23"/>
        <v>402365</v>
      </c>
      <c r="N42" s="484">
        <f t="shared" si="23"/>
        <v>398631</v>
      </c>
      <c r="O42" s="485">
        <f t="shared" si="23"/>
        <v>427782</v>
      </c>
      <c r="P42" s="484">
        <f t="shared" si="23"/>
        <v>492462</v>
      </c>
      <c r="Q42" s="484">
        <f t="shared" si="23"/>
        <v>379017</v>
      </c>
      <c r="R42" s="484">
        <f t="shared" si="23"/>
        <v>266364</v>
      </c>
      <c r="S42" s="484">
        <f t="shared" si="23"/>
        <v>241230</v>
      </c>
      <c r="T42" s="485">
        <f t="shared" si="23"/>
        <v>280021</v>
      </c>
      <c r="U42" s="484">
        <f t="shared" si="23"/>
        <v>161560</v>
      </c>
      <c r="V42" s="484">
        <f t="shared" si="23"/>
        <v>174059</v>
      </c>
      <c r="W42" s="484">
        <f t="shared" si="23"/>
        <v>249546</v>
      </c>
      <c r="X42" s="484">
        <f t="shared" si="23"/>
        <v>144036</v>
      </c>
      <c r="Y42" s="484">
        <f t="shared" si="23"/>
        <v>143964</v>
      </c>
      <c r="Z42" s="484">
        <f t="shared" si="23"/>
        <v>209648</v>
      </c>
      <c r="AA42" s="484">
        <f t="shared" si="23"/>
        <v>252074</v>
      </c>
      <c r="AB42" s="484">
        <f t="shared" si="23"/>
        <v>242992</v>
      </c>
      <c r="AC42" s="484">
        <f t="shared" si="23"/>
        <v>240793</v>
      </c>
      <c r="AD42" s="484">
        <f t="shared" si="23"/>
        <v>250848</v>
      </c>
      <c r="AE42" s="484">
        <f t="shared" si="23"/>
        <v>212116</v>
      </c>
      <c r="AF42" s="484">
        <v>206079</v>
      </c>
      <c r="AG42" s="484">
        <f t="shared" ref="AG42:AP42" si="24">+SUM(AG43:AG52)</f>
        <v>161436</v>
      </c>
      <c r="AH42" s="484">
        <f t="shared" si="24"/>
        <v>187078</v>
      </c>
      <c r="AI42" s="484">
        <f t="shared" si="24"/>
        <v>145360</v>
      </c>
      <c r="AJ42" s="484">
        <f t="shared" si="24"/>
        <v>176820</v>
      </c>
      <c r="AK42" s="484">
        <f t="shared" si="24"/>
        <v>151868</v>
      </c>
      <c r="AL42" s="484">
        <f t="shared" si="24"/>
        <v>170642</v>
      </c>
      <c r="AM42" s="484">
        <f t="shared" si="24"/>
        <v>134655.97785573493</v>
      </c>
      <c r="AN42" s="484">
        <f t="shared" si="24"/>
        <v>143636</v>
      </c>
      <c r="AO42" s="484">
        <f t="shared" si="24"/>
        <v>269599</v>
      </c>
      <c r="AP42" s="484">
        <f t="shared" si="24"/>
        <v>268715</v>
      </c>
      <c r="AQ42" s="484">
        <f t="shared" ref="AQ42:AZ42" si="25">+SUM(AQ43:AQ52)</f>
        <v>224242</v>
      </c>
      <c r="AR42" s="484">
        <f t="shared" si="25"/>
        <v>268711</v>
      </c>
      <c r="AS42" s="484">
        <f t="shared" si="25"/>
        <v>211203</v>
      </c>
      <c r="AT42" s="484">
        <f t="shared" si="25"/>
        <v>205845</v>
      </c>
      <c r="AU42" s="484">
        <f t="shared" si="25"/>
        <v>201928</v>
      </c>
      <c r="AV42" s="484">
        <f t="shared" si="25"/>
        <v>216388</v>
      </c>
      <c r="AW42" s="484">
        <f t="shared" si="25"/>
        <v>197909</v>
      </c>
      <c r="AX42" s="484">
        <f t="shared" si="25"/>
        <v>219730</v>
      </c>
      <c r="AY42" s="484">
        <f t="shared" si="25"/>
        <v>196907</v>
      </c>
      <c r="AZ42" s="484">
        <f t="shared" si="25"/>
        <v>155290</v>
      </c>
      <c r="BA42" s="484">
        <f t="shared" ref="BA42:BG42" si="26">+SUM(BA43:BA52)</f>
        <v>219791</v>
      </c>
      <c r="BB42" s="484">
        <f t="shared" si="26"/>
        <v>240365</v>
      </c>
      <c r="BC42" s="484">
        <f t="shared" si="26"/>
        <v>205045</v>
      </c>
      <c r="BD42" s="484">
        <f t="shared" si="26"/>
        <v>207866</v>
      </c>
      <c r="BE42" s="484">
        <f t="shared" si="26"/>
        <v>180813</v>
      </c>
      <c r="BF42" s="484">
        <f t="shared" si="26"/>
        <v>198094</v>
      </c>
      <c r="BG42" s="484">
        <f t="shared" si="26"/>
        <v>176361</v>
      </c>
      <c r="BH42" s="484">
        <f>+SUM(BH43:BH52)</f>
        <v>201830</v>
      </c>
      <c r="BI42" s="484">
        <f>+SUM(BI43:BI52)</f>
        <v>246889</v>
      </c>
      <c r="BJ42" s="484">
        <f>+SUM(BJ43:BJ52)</f>
        <v>262914</v>
      </c>
    </row>
    <row r="43" spans="1:62" ht="14.1" customHeight="1" x14ac:dyDescent="0.2">
      <c r="A43" s="268" t="s">
        <v>188</v>
      </c>
      <c r="B43" s="486" t="s">
        <v>188</v>
      </c>
      <c r="C43" s="487">
        <v>7903</v>
      </c>
      <c r="D43" s="487">
        <v>34438</v>
      </c>
      <c r="E43" s="487">
        <v>39064</v>
      </c>
      <c r="F43" s="487">
        <v>18576</v>
      </c>
      <c r="G43" s="487">
        <v>78355</v>
      </c>
      <c r="H43" s="488">
        <v>138245</v>
      </c>
      <c r="I43" s="487">
        <v>12997</v>
      </c>
      <c r="J43" s="487">
        <v>18967</v>
      </c>
      <c r="K43" s="487">
        <v>20348</v>
      </c>
      <c r="L43" s="487">
        <v>235092</v>
      </c>
      <c r="M43" s="487">
        <v>214905</v>
      </c>
      <c r="N43" s="487">
        <v>225287</v>
      </c>
      <c r="O43" s="488">
        <v>251932</v>
      </c>
      <c r="P43" s="487">
        <v>303395</v>
      </c>
      <c r="Q43" s="487">
        <v>143918</v>
      </c>
      <c r="R43" s="487">
        <v>83235</v>
      </c>
      <c r="S43" s="487">
        <v>80949</v>
      </c>
      <c r="T43" s="488">
        <v>3909</v>
      </c>
      <c r="U43" s="487">
        <v>24323</v>
      </c>
      <c r="V43" s="487">
        <v>25980</v>
      </c>
      <c r="W43" s="487">
        <v>100937</v>
      </c>
      <c r="X43" s="487">
        <v>1949</v>
      </c>
      <c r="Y43" s="487">
        <v>1694</v>
      </c>
      <c r="Z43" s="487">
        <v>1295</v>
      </c>
      <c r="AA43" s="487">
        <v>1132</v>
      </c>
      <c r="AB43" s="487">
        <v>1087</v>
      </c>
      <c r="AC43" s="487">
        <v>1049</v>
      </c>
      <c r="AD43" s="487">
        <v>1048</v>
      </c>
      <c r="AE43" s="487">
        <v>921</v>
      </c>
      <c r="AF43" s="487">
        <v>953</v>
      </c>
      <c r="AG43" s="487">
        <v>1348</v>
      </c>
      <c r="AH43" s="487">
        <v>1112</v>
      </c>
      <c r="AI43" s="487">
        <v>1507</v>
      </c>
      <c r="AJ43" s="487">
        <v>43353</v>
      </c>
      <c r="AK43" s="487">
        <v>3990</v>
      </c>
      <c r="AL43" s="487">
        <v>6703</v>
      </c>
      <c r="AM43" s="487">
        <v>7558</v>
      </c>
      <c r="AN43" s="487">
        <v>8511</v>
      </c>
      <c r="AO43" s="487">
        <v>64820</v>
      </c>
      <c r="AP43" s="487">
        <v>61022</v>
      </c>
      <c r="AQ43" s="487">
        <v>73286</v>
      </c>
      <c r="AR43" s="487">
        <v>116354</v>
      </c>
      <c r="AS43" s="487">
        <v>43276</v>
      </c>
      <c r="AT43" s="487">
        <v>43764</v>
      </c>
      <c r="AU43" s="487">
        <v>54300</v>
      </c>
      <c r="AV43" s="487">
        <v>62243</v>
      </c>
      <c r="AW43" s="487">
        <v>62676</v>
      </c>
      <c r="AX43" s="487">
        <v>63886</v>
      </c>
      <c r="AY43" s="487">
        <v>64250</v>
      </c>
      <c r="AZ43" s="487">
        <v>13411</v>
      </c>
      <c r="BA43" s="487">
        <v>56432</v>
      </c>
      <c r="BB43" s="487">
        <v>59172</v>
      </c>
      <c r="BC43" s="487">
        <v>47798</v>
      </c>
      <c r="BD43" s="487">
        <v>58699</v>
      </c>
      <c r="BE43" s="487">
        <v>11972</v>
      </c>
      <c r="BF43" s="487">
        <v>12759</v>
      </c>
      <c r="BG43" s="487">
        <v>13485</v>
      </c>
      <c r="BH43" s="487">
        <v>4523</v>
      </c>
      <c r="BI43" s="487">
        <v>27754</v>
      </c>
      <c r="BJ43" s="487">
        <v>29089</v>
      </c>
    </row>
    <row r="44" spans="1:62" ht="14.1" customHeight="1" x14ac:dyDescent="0.2">
      <c r="A44" s="268" t="s">
        <v>189</v>
      </c>
      <c r="B44" s="486" t="s">
        <v>189</v>
      </c>
      <c r="C44" s="487">
        <v>0</v>
      </c>
      <c r="D44" s="487">
        <v>0</v>
      </c>
      <c r="E44" s="487">
        <v>0</v>
      </c>
      <c r="F44" s="487">
        <v>0</v>
      </c>
      <c r="G44" s="487">
        <v>0</v>
      </c>
      <c r="H44" s="488">
        <v>0</v>
      </c>
      <c r="I44" s="487">
        <v>0</v>
      </c>
      <c r="J44" s="487">
        <v>0</v>
      </c>
      <c r="K44" s="487">
        <v>0</v>
      </c>
      <c r="L44" s="487">
        <v>0</v>
      </c>
      <c r="M44" s="487">
        <v>0</v>
      </c>
      <c r="N44" s="487">
        <v>0</v>
      </c>
      <c r="O44" s="488">
        <v>0</v>
      </c>
      <c r="P44" s="487">
        <v>0</v>
      </c>
      <c r="Q44" s="487">
        <v>0</v>
      </c>
      <c r="R44" s="487">
        <v>0</v>
      </c>
      <c r="S44" s="487">
        <v>0</v>
      </c>
      <c r="T44" s="488">
        <v>8630</v>
      </c>
      <c r="U44" s="487">
        <v>8318</v>
      </c>
      <c r="V44" s="487">
        <v>9798</v>
      </c>
      <c r="W44" s="487">
        <v>28643</v>
      </c>
      <c r="X44" s="487">
        <v>30485</v>
      </c>
      <c r="Y44" s="487">
        <v>30338</v>
      </c>
      <c r="Z44" s="487">
        <v>81814</v>
      </c>
      <c r="AA44" s="487">
        <v>126467</v>
      </c>
      <c r="AB44" s="487">
        <v>127502</v>
      </c>
      <c r="AC44" s="487">
        <v>126941</v>
      </c>
      <c r="AD44" s="487">
        <v>127043</v>
      </c>
      <c r="AE44" s="487">
        <v>122503</v>
      </c>
      <c r="AF44" s="487">
        <v>122017</v>
      </c>
      <c r="AG44" s="487">
        <v>68026</v>
      </c>
      <c r="AH44" s="487">
        <v>71441</v>
      </c>
      <c r="AI44" s="487">
        <v>49296</v>
      </c>
      <c r="AJ44" s="487">
        <v>48083</v>
      </c>
      <c r="AK44" s="487">
        <v>48304</v>
      </c>
      <c r="AL44" s="487">
        <v>48073</v>
      </c>
      <c r="AM44" s="487">
        <v>1150</v>
      </c>
      <c r="AN44" s="487">
        <v>130</v>
      </c>
      <c r="AO44" s="487">
        <v>26174</v>
      </c>
      <c r="AP44" s="487">
        <v>25130</v>
      </c>
      <c r="AQ44" s="487">
        <v>25886</v>
      </c>
      <c r="AR44" s="487">
        <v>26509</v>
      </c>
      <c r="AS44" s="487">
        <v>25167</v>
      </c>
      <c r="AT44" s="487">
        <v>25047</v>
      </c>
      <c r="AU44" s="487">
        <v>25289</v>
      </c>
      <c r="AV44" s="487">
        <v>25070</v>
      </c>
      <c r="AW44" s="487">
        <v>0</v>
      </c>
      <c r="AX44" s="487">
        <v>0</v>
      </c>
      <c r="AY44" s="487">
        <v>0</v>
      </c>
      <c r="AZ44" s="487">
        <v>0</v>
      </c>
      <c r="BA44" s="487">
        <v>0</v>
      </c>
      <c r="BB44" s="487">
        <v>0</v>
      </c>
      <c r="BC44" s="487">
        <v>0</v>
      </c>
      <c r="BD44" s="487">
        <v>0</v>
      </c>
      <c r="BE44" s="487">
        <v>0</v>
      </c>
      <c r="BF44" s="487">
        <v>0</v>
      </c>
      <c r="BG44" s="487">
        <v>0</v>
      </c>
      <c r="BH44" s="487">
        <v>0</v>
      </c>
      <c r="BI44" s="487">
        <v>0</v>
      </c>
      <c r="BJ44" s="487">
        <v>0</v>
      </c>
    </row>
    <row r="45" spans="1:62" ht="14.1" customHeight="1" x14ac:dyDescent="0.2">
      <c r="B45" s="486" t="s">
        <v>874</v>
      </c>
      <c r="C45" s="487" t="s">
        <v>47</v>
      </c>
      <c r="D45" s="487" t="s">
        <v>47</v>
      </c>
      <c r="E45" s="487" t="s">
        <v>47</v>
      </c>
      <c r="F45" s="487" t="s">
        <v>47</v>
      </c>
      <c r="G45" s="487" t="s">
        <v>47</v>
      </c>
      <c r="H45" s="488" t="s">
        <v>47</v>
      </c>
      <c r="I45" s="487" t="s">
        <v>47</v>
      </c>
      <c r="J45" s="487" t="s">
        <v>47</v>
      </c>
      <c r="K45" s="487" t="s">
        <v>47</v>
      </c>
      <c r="L45" s="487" t="s">
        <v>47</v>
      </c>
      <c r="M45" s="487" t="s">
        <v>47</v>
      </c>
      <c r="N45" s="487" t="s">
        <v>47</v>
      </c>
      <c r="O45" s="488" t="s">
        <v>47</v>
      </c>
      <c r="P45" s="487" t="s">
        <v>47</v>
      </c>
      <c r="Q45" s="487" t="s">
        <v>47</v>
      </c>
      <c r="R45" s="487" t="s">
        <v>47</v>
      </c>
      <c r="S45" s="487" t="s">
        <v>47</v>
      </c>
      <c r="T45" s="488" t="s">
        <v>47</v>
      </c>
      <c r="U45" s="487" t="s">
        <v>47</v>
      </c>
      <c r="V45" s="487" t="s">
        <v>47</v>
      </c>
      <c r="W45" s="487" t="s">
        <v>47</v>
      </c>
      <c r="X45" s="487" t="s">
        <v>47</v>
      </c>
      <c r="Y45" s="487" t="s">
        <v>47</v>
      </c>
      <c r="Z45" s="487" t="s">
        <v>47</v>
      </c>
      <c r="AA45" s="487" t="s">
        <v>47</v>
      </c>
      <c r="AB45" s="487" t="s">
        <v>47</v>
      </c>
      <c r="AC45" s="487" t="s">
        <v>47</v>
      </c>
      <c r="AD45" s="487" t="s">
        <v>47</v>
      </c>
      <c r="AE45" s="487" t="s">
        <v>47</v>
      </c>
      <c r="AF45" s="487" t="s">
        <v>47</v>
      </c>
      <c r="AG45" s="487" t="s">
        <v>47</v>
      </c>
      <c r="AH45" s="487" t="s">
        <v>47</v>
      </c>
      <c r="AI45" s="487">
        <v>0</v>
      </c>
      <c r="AJ45" s="487" t="s">
        <v>47</v>
      </c>
      <c r="AK45" s="487" t="s">
        <v>47</v>
      </c>
      <c r="AL45" s="487">
        <v>0</v>
      </c>
      <c r="AM45" s="487">
        <v>27189.977855734931</v>
      </c>
      <c r="AN45" s="487">
        <v>29052</v>
      </c>
      <c r="AO45" s="487">
        <v>30545</v>
      </c>
      <c r="AP45" s="487">
        <v>28867</v>
      </c>
      <c r="AQ45" s="487">
        <v>33535</v>
      </c>
      <c r="AR45" s="487">
        <v>31676</v>
      </c>
      <c r="AS45" s="487">
        <v>29614</v>
      </c>
      <c r="AT45" s="487">
        <v>26980</v>
      </c>
      <c r="AU45" s="487">
        <v>32082</v>
      </c>
      <c r="AV45" s="487">
        <v>31287</v>
      </c>
      <c r="AW45" s="487">
        <v>28458</v>
      </c>
      <c r="AX45" s="487">
        <v>30845</v>
      </c>
      <c r="AY45" s="487">
        <v>29942</v>
      </c>
      <c r="AZ45" s="487">
        <v>32743</v>
      </c>
      <c r="BA45" s="487">
        <v>33765</v>
      </c>
      <c r="BB45" s="487">
        <v>33050</v>
      </c>
      <c r="BC45" s="487">
        <v>29874</v>
      </c>
      <c r="BD45" s="487">
        <v>27382</v>
      </c>
      <c r="BE45" s="487">
        <v>26895</v>
      </c>
      <c r="BF45" s="487">
        <v>29340</v>
      </c>
      <c r="BG45" s="487">
        <v>26366</v>
      </c>
      <c r="BH45" s="487">
        <v>26338</v>
      </c>
      <c r="BI45" s="487">
        <v>23134</v>
      </c>
      <c r="BJ45" s="487">
        <v>28680</v>
      </c>
    </row>
    <row r="46" spans="1:62" ht="14.1" customHeight="1" x14ac:dyDescent="0.2">
      <c r="B46" s="489" t="s">
        <v>190</v>
      </c>
      <c r="C46" s="487">
        <v>36798</v>
      </c>
      <c r="D46" s="487">
        <v>18271</v>
      </c>
      <c r="E46" s="487">
        <v>29616</v>
      </c>
      <c r="F46" s="487">
        <v>42767</v>
      </c>
      <c r="G46" s="487">
        <v>40787</v>
      </c>
      <c r="H46" s="488">
        <v>35904</v>
      </c>
      <c r="I46" s="487">
        <v>46080</v>
      </c>
      <c r="J46" s="487">
        <v>36752</v>
      </c>
      <c r="K46" s="487">
        <v>45173</v>
      </c>
      <c r="L46" s="487">
        <v>47474</v>
      </c>
      <c r="M46" s="487">
        <v>43965</v>
      </c>
      <c r="N46" s="487">
        <v>32532</v>
      </c>
      <c r="O46" s="488">
        <v>42104</v>
      </c>
      <c r="P46" s="487">
        <v>54771</v>
      </c>
      <c r="Q46" s="487">
        <v>65269</v>
      </c>
      <c r="R46" s="487">
        <v>56817</v>
      </c>
      <c r="S46" s="487">
        <v>53213</v>
      </c>
      <c r="T46" s="488">
        <v>46278</v>
      </c>
      <c r="U46" s="487">
        <v>53006</v>
      </c>
      <c r="V46" s="487">
        <v>51894</v>
      </c>
      <c r="W46" s="487">
        <v>48471</v>
      </c>
      <c r="X46" s="487">
        <v>39196</v>
      </c>
      <c r="Y46" s="487">
        <f>11981+27508</f>
        <v>39489</v>
      </c>
      <c r="Z46" s="487">
        <v>45404</v>
      </c>
      <c r="AA46" s="487">
        <v>33904</v>
      </c>
      <c r="AB46" s="487">
        <v>30891</v>
      </c>
      <c r="AC46" s="487">
        <v>32399</v>
      </c>
      <c r="AD46" s="487">
        <v>43164</v>
      </c>
      <c r="AE46" s="487">
        <v>23189</v>
      </c>
      <c r="AF46" s="487">
        <v>23235</v>
      </c>
      <c r="AG46" s="487">
        <v>26706</v>
      </c>
      <c r="AH46" s="487">
        <v>32237</v>
      </c>
      <c r="AI46" s="487">
        <v>28016</v>
      </c>
      <c r="AJ46" s="487">
        <v>24553</v>
      </c>
      <c r="AK46" s="487">
        <v>27786</v>
      </c>
      <c r="AL46" s="487">
        <v>36898</v>
      </c>
      <c r="AM46" s="487">
        <v>32147</v>
      </c>
      <c r="AN46" s="487">
        <v>30700</v>
      </c>
      <c r="AO46" s="487">
        <v>30325</v>
      </c>
      <c r="AP46" s="487">
        <v>36312</v>
      </c>
      <c r="AQ46" s="487">
        <v>21287</v>
      </c>
      <c r="AR46" s="487">
        <v>17169</v>
      </c>
      <c r="AS46" s="487">
        <v>28173</v>
      </c>
      <c r="AT46" s="487">
        <v>31268</v>
      </c>
      <c r="AU46" s="487">
        <v>27426</v>
      </c>
      <c r="AV46" s="487">
        <v>29673</v>
      </c>
      <c r="AW46" s="487">
        <v>37709</v>
      </c>
      <c r="AX46" s="487">
        <v>47838</v>
      </c>
      <c r="AY46" s="487">
        <v>39307</v>
      </c>
      <c r="AZ46" s="487">
        <v>34064</v>
      </c>
      <c r="BA46" s="487">
        <v>30411</v>
      </c>
      <c r="BB46" s="487">
        <v>49406</v>
      </c>
      <c r="BC46" s="487">
        <v>36895</v>
      </c>
      <c r="BD46" s="487">
        <v>36160</v>
      </c>
      <c r="BE46" s="487">
        <v>43470</v>
      </c>
      <c r="BF46" s="487">
        <v>49620</v>
      </c>
      <c r="BG46" s="487">
        <v>45666</v>
      </c>
      <c r="BH46" s="487">
        <v>54715</v>
      </c>
      <c r="BI46" s="487">
        <v>56527</v>
      </c>
      <c r="BJ46" s="487">
        <v>62418</v>
      </c>
    </row>
    <row r="47" spans="1:62" ht="14.1" customHeight="1" x14ac:dyDescent="0.2">
      <c r="B47" s="489" t="s">
        <v>191</v>
      </c>
      <c r="C47" s="487">
        <v>5584</v>
      </c>
      <c r="D47" s="487">
        <v>7901</v>
      </c>
      <c r="E47" s="487">
        <v>10773</v>
      </c>
      <c r="F47" s="487">
        <v>12140</v>
      </c>
      <c r="G47" s="487">
        <v>18916</v>
      </c>
      <c r="H47" s="488">
        <v>12417</v>
      </c>
      <c r="I47" s="487">
        <v>14697</v>
      </c>
      <c r="J47" s="487">
        <v>18046</v>
      </c>
      <c r="K47" s="487">
        <v>0</v>
      </c>
      <c r="L47" s="487">
        <v>21094</v>
      </c>
      <c r="M47" s="487">
        <v>23153</v>
      </c>
      <c r="N47" s="487">
        <v>22971</v>
      </c>
      <c r="O47" s="488">
        <v>25396</v>
      </c>
      <c r="P47" s="487">
        <v>24955</v>
      </c>
      <c r="Q47" s="487">
        <v>22550</v>
      </c>
      <c r="R47" s="487">
        <v>23505</v>
      </c>
      <c r="S47" s="487">
        <v>21064</v>
      </c>
      <c r="T47" s="488">
        <v>14116</v>
      </c>
      <c r="U47" s="487">
        <v>16455</v>
      </c>
      <c r="V47" s="487">
        <v>17545</v>
      </c>
      <c r="W47" s="487">
        <v>15426</v>
      </c>
      <c r="X47" s="487">
        <v>14354</v>
      </c>
      <c r="Y47" s="487">
        <v>14333</v>
      </c>
      <c r="Z47" s="487">
        <v>13423</v>
      </c>
      <c r="AA47" s="487">
        <v>13233</v>
      </c>
      <c r="AB47" s="487">
        <v>12968</v>
      </c>
      <c r="AC47" s="487">
        <v>11593</v>
      </c>
      <c r="AD47" s="487">
        <v>13120</v>
      </c>
      <c r="AE47" s="487">
        <v>13442</v>
      </c>
      <c r="AF47" s="487">
        <v>11791</v>
      </c>
      <c r="AG47" s="487">
        <v>12059</v>
      </c>
      <c r="AH47" s="487">
        <v>15453</v>
      </c>
      <c r="AI47" s="487">
        <v>13367</v>
      </c>
      <c r="AJ47" s="487">
        <v>14799</v>
      </c>
      <c r="AK47" s="487">
        <v>13372</v>
      </c>
      <c r="AL47" s="487">
        <v>15095</v>
      </c>
      <c r="AM47" s="487">
        <v>15905</v>
      </c>
      <c r="AN47" s="487">
        <v>14780</v>
      </c>
      <c r="AO47" s="487">
        <v>16497</v>
      </c>
      <c r="AP47" s="487">
        <v>19414</v>
      </c>
      <c r="AQ47" s="487">
        <v>14872</v>
      </c>
      <c r="AR47" s="487">
        <v>16832</v>
      </c>
      <c r="AS47" s="487">
        <v>17593</v>
      </c>
      <c r="AT47" s="487">
        <v>16433</v>
      </c>
      <c r="AU47" s="487">
        <v>14132</v>
      </c>
      <c r="AV47" s="487">
        <v>13633</v>
      </c>
      <c r="AW47" s="487">
        <v>14177</v>
      </c>
      <c r="AX47" s="487">
        <v>16183</v>
      </c>
      <c r="AY47" s="487">
        <v>14387</v>
      </c>
      <c r="AZ47" s="487">
        <v>16746</v>
      </c>
      <c r="BA47" s="487">
        <v>19305</v>
      </c>
      <c r="BB47" s="487">
        <v>21043</v>
      </c>
      <c r="BC47" s="487">
        <v>21178</v>
      </c>
      <c r="BD47" s="487">
        <v>19485</v>
      </c>
      <c r="BE47" s="487">
        <v>21893</v>
      </c>
      <c r="BF47" s="487">
        <v>25863</v>
      </c>
      <c r="BG47" s="487">
        <v>23591</v>
      </c>
      <c r="BH47" s="487">
        <v>28894</v>
      </c>
      <c r="BI47" s="487">
        <v>30330</v>
      </c>
      <c r="BJ47" s="487">
        <v>31470</v>
      </c>
    </row>
    <row r="48" spans="1:62" ht="14.1" customHeight="1" x14ac:dyDescent="0.2">
      <c r="A48" s="268" t="s">
        <v>193</v>
      </c>
      <c r="B48" s="486" t="s">
        <v>193</v>
      </c>
      <c r="C48" s="487">
        <v>11493</v>
      </c>
      <c r="D48" s="487">
        <v>17331</v>
      </c>
      <c r="E48" s="487">
        <v>18994</v>
      </c>
      <c r="F48" s="487">
        <v>24622</v>
      </c>
      <c r="G48" s="487">
        <v>27418</v>
      </c>
      <c r="H48" s="488">
        <v>32320</v>
      </c>
      <c r="I48" s="487">
        <v>35501</v>
      </c>
      <c r="J48" s="487">
        <v>31111</v>
      </c>
      <c r="K48" s="487">
        <v>1825</v>
      </c>
      <c r="L48" s="487">
        <v>41949</v>
      </c>
      <c r="M48" s="487">
        <v>49767</v>
      </c>
      <c r="N48" s="487">
        <v>40201</v>
      </c>
      <c r="O48" s="488">
        <v>38591</v>
      </c>
      <c r="P48" s="487">
        <v>42879</v>
      </c>
      <c r="Q48" s="487">
        <v>48548</v>
      </c>
      <c r="R48" s="487">
        <v>42636</v>
      </c>
      <c r="S48" s="487">
        <v>30217</v>
      </c>
      <c r="T48" s="488">
        <v>26005</v>
      </c>
      <c r="U48" s="487">
        <v>32384.999999999996</v>
      </c>
      <c r="V48" s="487">
        <v>31728</v>
      </c>
      <c r="W48" s="487">
        <v>30293</v>
      </c>
      <c r="X48" s="487">
        <v>27767</v>
      </c>
      <c r="Y48" s="487">
        <v>31042</v>
      </c>
      <c r="Z48" s="487">
        <v>29908</v>
      </c>
      <c r="AA48" s="487">
        <v>27283</v>
      </c>
      <c r="AB48" s="487">
        <v>28528</v>
      </c>
      <c r="AC48" s="487">
        <v>31823</v>
      </c>
      <c r="AD48" s="487">
        <v>27489</v>
      </c>
      <c r="AE48" s="487">
        <v>27662</v>
      </c>
      <c r="AF48" s="490">
        <v>22533</v>
      </c>
      <c r="AG48" s="487">
        <v>26587</v>
      </c>
      <c r="AH48" s="487">
        <v>24644</v>
      </c>
      <c r="AI48" s="487">
        <v>20662</v>
      </c>
      <c r="AJ48" s="487">
        <v>22290</v>
      </c>
      <c r="AK48" s="487">
        <v>26340</v>
      </c>
      <c r="AL48" s="487">
        <v>24261</v>
      </c>
      <c r="AM48" s="487">
        <v>20598</v>
      </c>
      <c r="AN48" s="487">
        <v>24268</v>
      </c>
      <c r="AO48" s="487">
        <v>28162</v>
      </c>
      <c r="AP48" s="487">
        <v>26263</v>
      </c>
      <c r="AQ48" s="487">
        <v>22000</v>
      </c>
      <c r="AR48" s="487">
        <v>24867</v>
      </c>
      <c r="AS48" s="487">
        <v>26129</v>
      </c>
      <c r="AT48" s="487">
        <v>20741</v>
      </c>
      <c r="AU48" s="487">
        <v>18015</v>
      </c>
      <c r="AV48" s="487">
        <v>21742</v>
      </c>
      <c r="AW48" s="487">
        <v>25599</v>
      </c>
      <c r="AX48" s="487">
        <v>24456</v>
      </c>
      <c r="AY48" s="487">
        <v>20259</v>
      </c>
      <c r="AZ48" s="487">
        <v>22848</v>
      </c>
      <c r="BA48" s="487">
        <v>26993</v>
      </c>
      <c r="BB48" s="487">
        <v>26361</v>
      </c>
      <c r="BC48" s="487">
        <v>22583</v>
      </c>
      <c r="BD48" s="487">
        <v>27637</v>
      </c>
      <c r="BE48" s="487">
        <v>32381</v>
      </c>
      <c r="BF48" s="487">
        <v>30229</v>
      </c>
      <c r="BG48" s="487">
        <v>25225</v>
      </c>
      <c r="BH48" s="487">
        <v>30130</v>
      </c>
      <c r="BI48" s="487">
        <v>35859</v>
      </c>
      <c r="BJ48" s="487">
        <v>33430</v>
      </c>
    </row>
    <row r="49" spans="1:62" ht="14.1" customHeight="1" x14ac:dyDescent="0.2">
      <c r="A49" s="268" t="s">
        <v>194</v>
      </c>
      <c r="B49" s="486" t="s">
        <v>194</v>
      </c>
      <c r="C49" s="487">
        <f>23763+27062</f>
        <v>50825</v>
      </c>
      <c r="D49" s="487">
        <f>24314+51634</f>
        <v>75948</v>
      </c>
      <c r="E49" s="487">
        <f>18205+19555+30000</f>
        <v>67760</v>
      </c>
      <c r="F49" s="487">
        <v>23430</v>
      </c>
      <c r="G49" s="487">
        <f>27134+18539</f>
        <v>45673</v>
      </c>
      <c r="H49" s="488">
        <v>28402</v>
      </c>
      <c r="I49" s="487">
        <v>32053</v>
      </c>
      <c r="J49" s="487">
        <v>31594</v>
      </c>
      <c r="K49" s="487">
        <v>31458</v>
      </c>
      <c r="L49" s="487">
        <v>34774</v>
      </c>
      <c r="M49" s="487">
        <v>48111</v>
      </c>
      <c r="N49" s="487">
        <v>69203</v>
      </c>
      <c r="O49" s="488">
        <v>55856</v>
      </c>
      <c r="P49" s="487">
        <v>57399</v>
      </c>
      <c r="Q49" s="487">
        <v>38783</v>
      </c>
      <c r="R49" s="487">
        <v>47352</v>
      </c>
      <c r="S49" s="487">
        <v>45861</v>
      </c>
      <c r="T49" s="488">
        <v>21772</v>
      </c>
      <c r="U49" s="487">
        <v>20672</v>
      </c>
      <c r="V49" s="487">
        <v>31656</v>
      </c>
      <c r="W49" s="487">
        <v>22014</v>
      </c>
      <c r="X49" s="487">
        <v>25575</v>
      </c>
      <c r="Y49" s="487">
        <v>17307</v>
      </c>
      <c r="Z49" s="487">
        <v>30643</v>
      </c>
      <c r="AA49" s="487">
        <v>31994</v>
      </c>
      <c r="AB49" s="487">
        <v>24228</v>
      </c>
      <c r="AC49" s="487">
        <v>22518</v>
      </c>
      <c r="AD49" s="487">
        <v>18011</v>
      </c>
      <c r="AE49" s="487">
        <v>19131</v>
      </c>
      <c r="AF49" s="487">
        <v>18806</v>
      </c>
      <c r="AG49" s="487">
        <v>20787</v>
      </c>
      <c r="AH49" s="487">
        <v>26067</v>
      </c>
      <c r="AI49" s="487">
        <v>22736</v>
      </c>
      <c r="AJ49" s="487">
        <v>22510</v>
      </c>
      <c r="AK49" s="487">
        <v>26432</v>
      </c>
      <c r="AL49" s="487">
        <v>30863</v>
      </c>
      <c r="AM49" s="487">
        <v>22572</v>
      </c>
      <c r="AN49" s="487">
        <v>25260</v>
      </c>
      <c r="AO49" s="487">
        <v>31858</v>
      </c>
      <c r="AP49" s="487">
        <v>29637</v>
      </c>
      <c r="AQ49" s="487">
        <v>28825</v>
      </c>
      <c r="AR49" s="487">
        <v>29862</v>
      </c>
      <c r="AS49" s="487">
        <v>30252</v>
      </c>
      <c r="AT49" s="487">
        <v>30588</v>
      </c>
      <c r="AU49" s="487">
        <v>25480</v>
      </c>
      <c r="AV49" s="487">
        <v>26483</v>
      </c>
      <c r="AW49" s="487">
        <v>23986</v>
      </c>
      <c r="AX49" s="487">
        <v>27057</v>
      </c>
      <c r="AY49" s="487">
        <v>23261</v>
      </c>
      <c r="AZ49" s="487">
        <v>26414</v>
      </c>
      <c r="BA49" s="487">
        <v>31363</v>
      </c>
      <c r="BB49" s="487">
        <v>39126</v>
      </c>
      <c r="BC49" s="487">
        <v>32255</v>
      </c>
      <c r="BD49" s="487">
        <v>30478</v>
      </c>
      <c r="BE49" s="487">
        <v>29824</v>
      </c>
      <c r="BF49" s="487">
        <v>36632</v>
      </c>
      <c r="BG49" s="487">
        <v>30730</v>
      </c>
      <c r="BH49" s="487">
        <v>34519</v>
      </c>
      <c r="BI49" s="487">
        <v>38033</v>
      </c>
      <c r="BJ49" s="487">
        <v>45780</v>
      </c>
    </row>
    <row r="50" spans="1:62" ht="12.75" x14ac:dyDescent="0.2">
      <c r="A50" s="268" t="s">
        <v>168</v>
      </c>
      <c r="B50" s="486" t="s">
        <v>168</v>
      </c>
      <c r="C50" s="487">
        <v>680</v>
      </c>
      <c r="D50" s="487">
        <v>13716</v>
      </c>
      <c r="E50" s="487">
        <v>11687</v>
      </c>
      <c r="F50" s="487">
        <v>6537</v>
      </c>
      <c r="G50" s="487">
        <v>6871</v>
      </c>
      <c r="H50" s="488">
        <v>2054</v>
      </c>
      <c r="I50" s="487">
        <v>2306</v>
      </c>
      <c r="J50" s="487">
        <v>2191</v>
      </c>
      <c r="K50" s="487">
        <v>2295</v>
      </c>
      <c r="L50" s="487">
        <v>2458</v>
      </c>
      <c r="M50" s="487">
        <v>2572</v>
      </c>
      <c r="N50" s="487">
        <v>641</v>
      </c>
      <c r="O50" s="488">
        <v>641</v>
      </c>
      <c r="P50" s="487">
        <v>641</v>
      </c>
      <c r="Q50" s="487">
        <v>641</v>
      </c>
      <c r="R50" s="487">
        <v>7480</v>
      </c>
      <c r="S50" s="487">
        <v>756</v>
      </c>
      <c r="T50" s="488">
        <v>1420</v>
      </c>
      <c r="U50" s="487">
        <v>0</v>
      </c>
      <c r="V50" s="487">
        <v>757</v>
      </c>
      <c r="W50" s="487">
        <v>0</v>
      </c>
      <c r="X50" s="487">
        <v>785</v>
      </c>
      <c r="Y50" s="487">
        <v>6139</v>
      </c>
      <c r="Z50" s="487">
        <v>6139</v>
      </c>
      <c r="AA50" s="487">
        <v>6081</v>
      </c>
      <c r="AB50" s="487">
        <v>5822</v>
      </c>
      <c r="AC50" s="487">
        <v>903</v>
      </c>
      <c r="AD50" s="487">
        <v>1128</v>
      </c>
      <c r="AE50" s="487">
        <v>1158</v>
      </c>
      <c r="AF50" s="487">
        <v>882</v>
      </c>
      <c r="AG50" s="487">
        <v>826</v>
      </c>
      <c r="AH50" s="487">
        <v>826</v>
      </c>
      <c r="AI50" s="487">
        <v>812</v>
      </c>
      <c r="AJ50" s="487">
        <v>784</v>
      </c>
      <c r="AK50" s="487">
        <v>1588</v>
      </c>
      <c r="AL50" s="487">
        <v>2311</v>
      </c>
      <c r="AM50" s="487">
        <v>98</v>
      </c>
      <c r="AN50" s="487">
        <v>1025</v>
      </c>
      <c r="AO50" s="487">
        <v>32</v>
      </c>
      <c r="AP50" s="487">
        <v>72</v>
      </c>
      <c r="AQ50" s="487">
        <v>28</v>
      </c>
      <c r="AR50" s="487">
        <v>37</v>
      </c>
      <c r="AS50" s="487">
        <v>35</v>
      </c>
      <c r="AT50" s="487">
        <v>73</v>
      </c>
      <c r="AU50" s="487">
        <v>54</v>
      </c>
      <c r="AV50" s="487">
        <v>25</v>
      </c>
      <c r="AW50" s="487">
        <v>421</v>
      </c>
      <c r="AX50" s="487">
        <v>141</v>
      </c>
      <c r="AY50" s="487">
        <v>69</v>
      </c>
      <c r="AZ50" s="487">
        <v>137</v>
      </c>
      <c r="BA50" s="487">
        <v>169</v>
      </c>
      <c r="BB50" s="487">
        <v>806</v>
      </c>
      <c r="BC50" s="487">
        <v>749</v>
      </c>
      <c r="BD50" s="487">
        <v>684</v>
      </c>
      <c r="BE50" s="487">
        <v>656</v>
      </c>
      <c r="BF50" s="487">
        <v>731</v>
      </c>
      <c r="BG50" s="487">
        <v>1155</v>
      </c>
      <c r="BH50" s="487">
        <v>894</v>
      </c>
      <c r="BI50" s="487">
        <v>869</v>
      </c>
      <c r="BJ50" s="487">
        <v>661</v>
      </c>
    </row>
    <row r="51" spans="1:62" ht="14.1" customHeight="1" x14ac:dyDescent="0.2">
      <c r="A51" s="268" t="s">
        <v>196</v>
      </c>
      <c r="B51" s="486" t="s">
        <v>196</v>
      </c>
      <c r="C51" s="487">
        <v>2941</v>
      </c>
      <c r="D51" s="487">
        <v>168</v>
      </c>
      <c r="E51" s="487">
        <v>2240</v>
      </c>
      <c r="F51" s="487">
        <v>2416</v>
      </c>
      <c r="G51" s="487">
        <v>975</v>
      </c>
      <c r="H51" s="488">
        <v>2695</v>
      </c>
      <c r="I51" s="487">
        <v>2763</v>
      </c>
      <c r="J51" s="487">
        <v>110</v>
      </c>
      <c r="K51" s="487">
        <v>8068</v>
      </c>
      <c r="L51" s="487">
        <v>1358</v>
      </c>
      <c r="M51" s="487">
        <v>3323</v>
      </c>
      <c r="N51" s="487">
        <v>1676</v>
      </c>
      <c r="O51" s="488">
        <v>4054</v>
      </c>
      <c r="P51" s="487">
        <v>0</v>
      </c>
      <c r="Q51" s="487">
        <v>0</v>
      </c>
      <c r="R51" s="487">
        <v>0</v>
      </c>
      <c r="S51" s="487">
        <v>4016</v>
      </c>
      <c r="T51" s="488">
        <v>2286</v>
      </c>
      <c r="U51" s="487">
        <v>0</v>
      </c>
      <c r="V51" s="487">
        <v>0</v>
      </c>
      <c r="W51" s="487">
        <v>0</v>
      </c>
      <c r="X51" s="487">
        <v>422</v>
      </c>
      <c r="Y51" s="487">
        <v>69</v>
      </c>
      <c r="Z51" s="487">
        <v>993</v>
      </c>
      <c r="AA51" s="487">
        <v>585</v>
      </c>
      <c r="AB51" s="487">
        <v>188</v>
      </c>
      <c r="AC51" s="487">
        <v>1384</v>
      </c>
      <c r="AD51" s="487">
        <v>4001</v>
      </c>
      <c r="AE51" s="487">
        <v>826</v>
      </c>
      <c r="AF51" s="490">
        <v>5862</v>
      </c>
      <c r="AG51" s="487">
        <v>5097</v>
      </c>
      <c r="AH51" s="490">
        <v>12170</v>
      </c>
      <c r="AI51" s="487">
        <v>5836</v>
      </c>
      <c r="AJ51" s="487">
        <v>448</v>
      </c>
      <c r="AK51" s="487">
        <v>4056</v>
      </c>
      <c r="AL51" s="487">
        <v>6438</v>
      </c>
      <c r="AM51" s="487">
        <v>7438</v>
      </c>
      <c r="AN51" s="487">
        <v>9910</v>
      </c>
      <c r="AO51" s="490">
        <v>41186</v>
      </c>
      <c r="AP51" s="487">
        <v>41998</v>
      </c>
      <c r="AQ51" s="487">
        <v>4523</v>
      </c>
      <c r="AR51" s="487">
        <v>5405</v>
      </c>
      <c r="AS51" s="487">
        <v>10964</v>
      </c>
      <c r="AT51" s="487">
        <v>10951</v>
      </c>
      <c r="AU51" s="487">
        <v>5150</v>
      </c>
      <c r="AV51" s="487">
        <v>6232</v>
      </c>
      <c r="AW51" s="487">
        <v>4883</v>
      </c>
      <c r="AX51" s="487">
        <v>9324</v>
      </c>
      <c r="AY51" s="487">
        <v>5432</v>
      </c>
      <c r="AZ51" s="487">
        <v>8927</v>
      </c>
      <c r="BA51" s="487">
        <v>21353</v>
      </c>
      <c r="BB51" s="487">
        <v>11401</v>
      </c>
      <c r="BC51" s="487">
        <v>13713</v>
      </c>
      <c r="BD51" s="487">
        <v>7341</v>
      </c>
      <c r="BE51" s="487">
        <v>13722</v>
      </c>
      <c r="BF51" s="487">
        <v>12920</v>
      </c>
      <c r="BG51" s="487">
        <v>10143</v>
      </c>
      <c r="BH51" s="487">
        <v>21817</v>
      </c>
      <c r="BI51" s="487">
        <v>34383</v>
      </c>
      <c r="BJ51" s="487">
        <v>31386</v>
      </c>
    </row>
    <row r="52" spans="1:62" ht="14.1" customHeight="1" collapsed="1" x14ac:dyDescent="0.2">
      <c r="B52" s="511" t="s">
        <v>197</v>
      </c>
      <c r="C52" s="512">
        <v>0</v>
      </c>
      <c r="D52" s="512">
        <v>0</v>
      </c>
      <c r="E52" s="512">
        <v>0</v>
      </c>
      <c r="F52" s="512">
        <v>0</v>
      </c>
      <c r="G52" s="512">
        <v>0</v>
      </c>
      <c r="H52" s="491">
        <v>0</v>
      </c>
      <c r="I52" s="512">
        <v>0</v>
      </c>
      <c r="J52" s="512">
        <v>0</v>
      </c>
      <c r="K52" s="512">
        <v>0</v>
      </c>
      <c r="L52" s="512">
        <v>0</v>
      </c>
      <c r="M52" s="512">
        <v>0</v>
      </c>
      <c r="N52" s="512">
        <v>0</v>
      </c>
      <c r="O52" s="491">
        <v>0</v>
      </c>
      <c r="P52" s="512">
        <v>0</v>
      </c>
      <c r="Q52" s="512">
        <v>0</v>
      </c>
      <c r="R52" s="512">
        <v>0</v>
      </c>
      <c r="S52" s="512">
        <v>0</v>
      </c>
      <c r="T52" s="491">
        <v>0</v>
      </c>
      <c r="U52" s="512">
        <v>0</v>
      </c>
      <c r="V52" s="512">
        <v>0</v>
      </c>
      <c r="W52" s="512">
        <v>0</v>
      </c>
      <c r="X52" s="512">
        <v>0</v>
      </c>
      <c r="Y52" s="512">
        <v>0</v>
      </c>
      <c r="Z52" s="512">
        <v>0</v>
      </c>
      <c r="AA52" s="512">
        <v>0</v>
      </c>
      <c r="AB52" s="512">
        <v>0</v>
      </c>
      <c r="AC52" s="512">
        <v>0</v>
      </c>
      <c r="AD52" s="512">
        <v>3284</v>
      </c>
      <c r="AE52" s="512">
        <v>3284</v>
      </c>
      <c r="AF52" s="512">
        <v>0</v>
      </c>
      <c r="AG52" s="512">
        <v>0</v>
      </c>
      <c r="AH52" s="512">
        <v>3128</v>
      </c>
      <c r="AI52" s="512">
        <v>3128</v>
      </c>
      <c r="AJ52" s="512">
        <v>0</v>
      </c>
      <c r="AK52" s="512">
        <v>0</v>
      </c>
      <c r="AL52" s="512">
        <v>0</v>
      </c>
      <c r="AM52" s="512">
        <v>0</v>
      </c>
      <c r="AN52" s="512">
        <v>0</v>
      </c>
      <c r="AO52" s="512">
        <v>0</v>
      </c>
      <c r="AP52" s="512">
        <v>0</v>
      </c>
      <c r="AQ52" s="512">
        <v>0</v>
      </c>
      <c r="AR52" s="512">
        <v>0</v>
      </c>
      <c r="AS52" s="512">
        <v>0</v>
      </c>
      <c r="AT52" s="512">
        <v>0</v>
      </c>
      <c r="AU52" s="512">
        <v>0</v>
      </c>
      <c r="AV52" s="512">
        <v>0</v>
      </c>
      <c r="AW52" s="512">
        <v>0</v>
      </c>
      <c r="AX52" s="512">
        <v>0</v>
      </c>
      <c r="AY52" s="512">
        <v>0</v>
      </c>
      <c r="AZ52" s="512">
        <v>0</v>
      </c>
      <c r="BA52" s="512">
        <v>0</v>
      </c>
      <c r="BB52" s="512">
        <v>0</v>
      </c>
      <c r="BC52" s="512">
        <v>0</v>
      </c>
      <c r="BD52" s="512">
        <v>0</v>
      </c>
      <c r="BE52" s="512">
        <v>0</v>
      </c>
      <c r="BF52" s="512">
        <v>0</v>
      </c>
      <c r="BG52" s="512">
        <v>0</v>
      </c>
      <c r="BH52" s="512">
        <v>0</v>
      </c>
      <c r="BI52" s="512">
        <v>0</v>
      </c>
      <c r="BJ52" s="512">
        <v>0</v>
      </c>
    </row>
    <row r="53" spans="1:62" ht="14.1" hidden="1" customHeight="1" outlineLevel="1" x14ac:dyDescent="0.2">
      <c r="A53" s="268" t="s">
        <v>195</v>
      </c>
      <c r="B53" s="492" t="s">
        <v>195</v>
      </c>
      <c r="C53" s="493">
        <v>0</v>
      </c>
      <c r="D53" s="493">
        <v>0</v>
      </c>
      <c r="E53" s="493">
        <v>0</v>
      </c>
      <c r="F53" s="493">
        <v>0</v>
      </c>
      <c r="G53" s="493">
        <v>0</v>
      </c>
      <c r="H53" s="493">
        <v>0</v>
      </c>
      <c r="I53" s="493">
        <v>0</v>
      </c>
      <c r="J53" s="493">
        <v>0</v>
      </c>
      <c r="K53" s="493">
        <v>19830</v>
      </c>
      <c r="L53" s="493">
        <v>15978</v>
      </c>
      <c r="M53" s="493">
        <v>6127</v>
      </c>
      <c r="N53" s="493">
        <v>0</v>
      </c>
      <c r="O53" s="494">
        <v>0</v>
      </c>
      <c r="P53" s="493">
        <v>0</v>
      </c>
      <c r="Q53" s="493">
        <v>0</v>
      </c>
      <c r="R53" s="493">
        <v>0</v>
      </c>
      <c r="S53" s="493">
        <v>0</v>
      </c>
      <c r="T53" s="494">
        <v>0</v>
      </c>
      <c r="U53" s="493">
        <v>0</v>
      </c>
      <c r="V53" s="493">
        <v>0</v>
      </c>
      <c r="W53" s="493">
        <v>0</v>
      </c>
      <c r="X53" s="493">
        <v>0</v>
      </c>
      <c r="Y53" s="493">
        <v>0</v>
      </c>
      <c r="Z53" s="493">
        <v>0</v>
      </c>
      <c r="AA53" s="493">
        <v>11366</v>
      </c>
      <c r="AB53" s="493">
        <v>11749</v>
      </c>
      <c r="AC53" s="493">
        <v>12157</v>
      </c>
      <c r="AD53" s="493">
        <v>12541</v>
      </c>
      <c r="AE53" s="493">
        <v>0</v>
      </c>
      <c r="AF53" s="493">
        <v>0</v>
      </c>
      <c r="AG53" s="493">
        <v>0</v>
      </c>
      <c r="AH53" s="493">
        <v>0</v>
      </c>
      <c r="AI53" s="487">
        <v>0</v>
      </c>
      <c r="AJ53" s="487">
        <v>0</v>
      </c>
      <c r="AK53" s="487">
        <v>0</v>
      </c>
      <c r="AL53" s="487">
        <v>0</v>
      </c>
      <c r="AM53" s="487">
        <v>0</v>
      </c>
      <c r="AN53" s="487">
        <v>0</v>
      </c>
      <c r="AO53" s="487">
        <v>0</v>
      </c>
      <c r="AP53" s="487">
        <v>0</v>
      </c>
      <c r="AQ53" s="487">
        <v>0</v>
      </c>
      <c r="AR53" s="487">
        <v>0</v>
      </c>
      <c r="AS53" s="487">
        <v>0</v>
      </c>
      <c r="AT53" s="487">
        <v>0</v>
      </c>
      <c r="AU53" s="487">
        <v>0</v>
      </c>
      <c r="AV53" s="487">
        <v>0</v>
      </c>
      <c r="AW53" s="487">
        <v>0</v>
      </c>
      <c r="AX53" s="487"/>
      <c r="AY53" s="487">
        <v>0</v>
      </c>
      <c r="AZ53" s="487">
        <v>0</v>
      </c>
      <c r="BA53" s="487">
        <v>0</v>
      </c>
      <c r="BB53" s="487">
        <v>0</v>
      </c>
      <c r="BC53" s="487">
        <v>0</v>
      </c>
      <c r="BD53" s="487">
        <v>0</v>
      </c>
      <c r="BE53" s="487">
        <v>0</v>
      </c>
      <c r="BF53" s="487">
        <v>0</v>
      </c>
      <c r="BG53" s="487"/>
      <c r="BH53" s="487"/>
      <c r="BI53" s="487"/>
      <c r="BJ53" s="487">
        <v>0</v>
      </c>
    </row>
    <row r="54" spans="1:62" ht="14.1" hidden="1" customHeight="1" outlineLevel="1" x14ac:dyDescent="0.2">
      <c r="B54" s="492" t="s">
        <v>192</v>
      </c>
      <c r="C54" s="493">
        <v>2165</v>
      </c>
      <c r="D54" s="493">
        <v>1812</v>
      </c>
      <c r="E54" s="493">
        <v>1736</v>
      </c>
      <c r="F54" s="493">
        <v>2639</v>
      </c>
      <c r="G54" s="493">
        <v>3376</v>
      </c>
      <c r="H54" s="493">
        <v>2871</v>
      </c>
      <c r="I54" s="493">
        <v>2441</v>
      </c>
      <c r="J54" s="493">
        <v>1343</v>
      </c>
      <c r="K54" s="493">
        <v>18022</v>
      </c>
      <c r="L54" s="493">
        <v>1983</v>
      </c>
      <c r="M54" s="493">
        <v>1692</v>
      </c>
      <c r="N54" s="493">
        <v>2230</v>
      </c>
      <c r="O54" s="494">
        <v>1854</v>
      </c>
      <c r="P54" s="493">
        <v>1164</v>
      </c>
      <c r="Q54" s="493">
        <v>814</v>
      </c>
      <c r="R54" s="493">
        <v>1060</v>
      </c>
      <c r="S54" s="493">
        <v>1048</v>
      </c>
      <c r="T54" s="494">
        <v>104</v>
      </c>
      <c r="U54" s="493">
        <v>409</v>
      </c>
      <c r="V54" s="493">
        <v>28</v>
      </c>
      <c r="W54" s="493">
        <v>9</v>
      </c>
      <c r="X54" s="493">
        <v>29</v>
      </c>
      <c r="Y54" s="493">
        <v>26</v>
      </c>
      <c r="Z54" s="493">
        <v>29</v>
      </c>
      <c r="AA54" s="493">
        <v>29</v>
      </c>
      <c r="AB54" s="493">
        <v>29</v>
      </c>
      <c r="AC54" s="493">
        <v>26</v>
      </c>
      <c r="AD54" s="493">
        <v>19</v>
      </c>
      <c r="AE54" s="493">
        <v>0</v>
      </c>
      <c r="AF54" s="493">
        <v>0</v>
      </c>
      <c r="AG54" s="493">
        <v>386</v>
      </c>
      <c r="AH54" s="493">
        <v>6034</v>
      </c>
      <c r="AI54" s="487">
        <v>0</v>
      </c>
      <c r="AJ54" s="487">
        <v>0</v>
      </c>
      <c r="AK54" s="487">
        <v>0</v>
      </c>
      <c r="AL54" s="487">
        <v>0</v>
      </c>
      <c r="AM54" s="487">
        <v>0</v>
      </c>
      <c r="AN54" s="487">
        <v>0</v>
      </c>
      <c r="AO54" s="487">
        <v>0</v>
      </c>
      <c r="AP54" s="487">
        <v>0</v>
      </c>
      <c r="AQ54" s="487">
        <v>0</v>
      </c>
      <c r="AR54" s="487">
        <v>0</v>
      </c>
      <c r="AS54" s="487">
        <v>0</v>
      </c>
      <c r="AT54" s="487">
        <v>0</v>
      </c>
      <c r="AU54" s="487">
        <v>0</v>
      </c>
      <c r="AV54" s="487">
        <v>0</v>
      </c>
      <c r="AW54" s="487">
        <v>0</v>
      </c>
      <c r="AX54" s="487"/>
      <c r="AY54" s="487">
        <v>0</v>
      </c>
      <c r="AZ54" s="487">
        <v>0</v>
      </c>
      <c r="BA54" s="487">
        <v>0</v>
      </c>
      <c r="BB54" s="487">
        <v>0</v>
      </c>
      <c r="BC54" s="487">
        <v>0</v>
      </c>
      <c r="BD54" s="487">
        <v>0</v>
      </c>
      <c r="BE54" s="487">
        <v>0</v>
      </c>
      <c r="BF54" s="487">
        <v>0</v>
      </c>
      <c r="BG54" s="487"/>
      <c r="BH54" s="487"/>
      <c r="BI54" s="487"/>
      <c r="BJ54" s="487">
        <v>0</v>
      </c>
    </row>
    <row r="55" spans="1:62" ht="14.1" hidden="1" customHeight="1" outlineLevel="1" x14ac:dyDescent="0.2">
      <c r="B55" s="492" t="s">
        <v>198</v>
      </c>
      <c r="C55" s="493">
        <v>4825</v>
      </c>
      <c r="D55" s="493">
        <v>3371</v>
      </c>
      <c r="E55" s="493">
        <v>7832</v>
      </c>
      <c r="F55" s="493">
        <v>8877</v>
      </c>
      <c r="G55" s="493">
        <v>8637</v>
      </c>
      <c r="H55" s="493">
        <v>8246</v>
      </c>
      <c r="I55" s="493">
        <v>9596</v>
      </c>
      <c r="J55" s="493">
        <v>5422</v>
      </c>
      <c r="K55" s="493">
        <v>35680</v>
      </c>
      <c r="L55" s="493">
        <v>7971</v>
      </c>
      <c r="M55" s="493">
        <v>8750</v>
      </c>
      <c r="N55" s="493">
        <v>3890</v>
      </c>
      <c r="O55" s="494">
        <v>5580</v>
      </c>
      <c r="P55" s="493">
        <v>7258</v>
      </c>
      <c r="Q55" s="493">
        <v>6254</v>
      </c>
      <c r="R55" s="493">
        <v>4279</v>
      </c>
      <c r="S55" s="493">
        <v>4106</v>
      </c>
      <c r="T55" s="494">
        <v>6459</v>
      </c>
      <c r="U55" s="493">
        <v>5992</v>
      </c>
      <c r="V55" s="493">
        <v>4673</v>
      </c>
      <c r="W55" s="493">
        <v>3753</v>
      </c>
      <c r="X55" s="493">
        <v>3474</v>
      </c>
      <c r="Y55" s="493">
        <v>3527</v>
      </c>
      <c r="Z55" s="493">
        <v>0</v>
      </c>
      <c r="AA55" s="493">
        <v>0</v>
      </c>
      <c r="AB55" s="493">
        <v>0</v>
      </c>
      <c r="AC55" s="493">
        <v>0</v>
      </c>
      <c r="AD55" s="493">
        <v>0</v>
      </c>
      <c r="AE55" s="493">
        <v>0</v>
      </c>
      <c r="AF55" s="493">
        <v>0</v>
      </c>
      <c r="AG55" s="493">
        <v>0</v>
      </c>
      <c r="AH55" s="493">
        <v>0</v>
      </c>
      <c r="AI55" s="487">
        <v>0</v>
      </c>
      <c r="AJ55" s="487">
        <v>0</v>
      </c>
      <c r="AK55" s="487">
        <v>0</v>
      </c>
      <c r="AL55" s="487">
        <v>0</v>
      </c>
      <c r="AM55" s="487">
        <v>0</v>
      </c>
      <c r="AN55" s="487">
        <v>0</v>
      </c>
      <c r="AO55" s="487">
        <v>0</v>
      </c>
      <c r="AP55" s="487">
        <v>0</v>
      </c>
      <c r="AQ55" s="487">
        <v>0</v>
      </c>
      <c r="AR55" s="487">
        <v>0</v>
      </c>
      <c r="AS55" s="487">
        <v>0</v>
      </c>
      <c r="AT55" s="487">
        <v>0</v>
      </c>
      <c r="AU55" s="487">
        <v>0</v>
      </c>
      <c r="AV55" s="487">
        <v>0</v>
      </c>
      <c r="AW55" s="487">
        <v>0</v>
      </c>
      <c r="AX55" s="487"/>
      <c r="AY55" s="487">
        <v>0</v>
      </c>
      <c r="AZ55" s="487">
        <v>0</v>
      </c>
      <c r="BA55" s="487">
        <v>0</v>
      </c>
      <c r="BB55" s="487">
        <v>0</v>
      </c>
      <c r="BC55" s="487">
        <v>0</v>
      </c>
      <c r="BD55" s="487">
        <v>0</v>
      </c>
      <c r="BE55" s="487">
        <v>0</v>
      </c>
      <c r="BF55" s="487">
        <v>0</v>
      </c>
      <c r="BG55" s="487"/>
      <c r="BH55" s="487"/>
      <c r="BI55" s="487"/>
      <c r="BJ55" s="487">
        <v>0</v>
      </c>
    </row>
    <row r="56" spans="1:62" ht="14.1" hidden="1" customHeight="1" outlineLevel="1" x14ac:dyDescent="0.2">
      <c r="B56" s="492" t="s">
        <v>176</v>
      </c>
      <c r="C56" s="493">
        <v>0</v>
      </c>
      <c r="D56" s="493">
        <v>0</v>
      </c>
      <c r="E56" s="493">
        <v>0</v>
      </c>
      <c r="F56" s="493">
        <v>0</v>
      </c>
      <c r="G56" s="493">
        <v>1261</v>
      </c>
      <c r="H56" s="493">
        <v>4437</v>
      </c>
      <c r="I56" s="493">
        <v>0</v>
      </c>
      <c r="J56" s="493">
        <v>0</v>
      </c>
      <c r="K56" s="493">
        <v>1000</v>
      </c>
      <c r="L56" s="493">
        <v>0</v>
      </c>
      <c r="M56" s="493">
        <v>0</v>
      </c>
      <c r="N56" s="493">
        <v>0</v>
      </c>
      <c r="O56" s="494">
        <v>1774</v>
      </c>
      <c r="P56" s="493">
        <v>0</v>
      </c>
      <c r="Q56" s="493">
        <v>0</v>
      </c>
      <c r="R56" s="493">
        <v>0</v>
      </c>
      <c r="S56" s="493">
        <v>0</v>
      </c>
      <c r="T56" s="494">
        <v>0</v>
      </c>
      <c r="U56" s="493">
        <v>0</v>
      </c>
      <c r="V56" s="493">
        <v>0</v>
      </c>
      <c r="W56" s="493">
        <v>0</v>
      </c>
      <c r="X56" s="493">
        <v>0</v>
      </c>
      <c r="Y56" s="493">
        <v>0</v>
      </c>
      <c r="Z56" s="493">
        <v>0</v>
      </c>
      <c r="AA56" s="493">
        <v>0</v>
      </c>
      <c r="AB56" s="493">
        <v>0</v>
      </c>
      <c r="AC56" s="493">
        <v>0</v>
      </c>
      <c r="AD56" s="493">
        <v>0</v>
      </c>
      <c r="AE56" s="493">
        <v>0</v>
      </c>
      <c r="AF56" s="493">
        <v>0</v>
      </c>
      <c r="AG56" s="493">
        <v>0</v>
      </c>
      <c r="AH56" s="493">
        <v>0</v>
      </c>
      <c r="AI56" s="487">
        <v>0</v>
      </c>
      <c r="AJ56" s="487">
        <v>0</v>
      </c>
      <c r="AK56" s="487">
        <v>0</v>
      </c>
      <c r="AL56" s="487">
        <v>0</v>
      </c>
      <c r="AM56" s="487">
        <v>0</v>
      </c>
      <c r="AN56" s="487">
        <v>0</v>
      </c>
      <c r="AO56" s="487">
        <v>0</v>
      </c>
      <c r="AP56" s="487">
        <v>0</v>
      </c>
      <c r="AQ56" s="487">
        <v>0</v>
      </c>
      <c r="AR56" s="487">
        <v>0</v>
      </c>
      <c r="AS56" s="487">
        <v>0</v>
      </c>
      <c r="AT56" s="487">
        <v>0</v>
      </c>
      <c r="AU56" s="487">
        <v>0</v>
      </c>
      <c r="AV56" s="487">
        <v>0</v>
      </c>
      <c r="AW56" s="487">
        <v>0</v>
      </c>
      <c r="AX56" s="487"/>
      <c r="AY56" s="487">
        <v>0</v>
      </c>
      <c r="AZ56" s="487">
        <v>0</v>
      </c>
      <c r="BA56" s="487">
        <v>0</v>
      </c>
      <c r="BB56" s="487">
        <v>0</v>
      </c>
      <c r="BC56" s="487">
        <v>0</v>
      </c>
      <c r="BD56" s="487">
        <v>0</v>
      </c>
      <c r="BE56" s="487">
        <v>0</v>
      </c>
      <c r="BF56" s="487">
        <v>0</v>
      </c>
      <c r="BG56" s="487"/>
      <c r="BH56" s="487"/>
      <c r="BI56" s="487"/>
      <c r="BJ56" s="487">
        <v>0</v>
      </c>
    </row>
    <row r="57" spans="1:62" ht="14.1" hidden="1" customHeight="1" outlineLevel="1" x14ac:dyDescent="0.2">
      <c r="B57" s="492" t="s">
        <v>199</v>
      </c>
      <c r="C57" s="493">
        <v>0</v>
      </c>
      <c r="D57" s="493">
        <v>0</v>
      </c>
      <c r="E57" s="493">
        <v>0</v>
      </c>
      <c r="F57" s="493">
        <v>0</v>
      </c>
      <c r="G57" s="493">
        <v>0</v>
      </c>
      <c r="H57" s="493">
        <v>0</v>
      </c>
      <c r="I57" s="493">
        <v>0</v>
      </c>
      <c r="J57" s="493">
        <v>5059</v>
      </c>
      <c r="K57" s="493">
        <v>0</v>
      </c>
      <c r="L57" s="493">
        <v>0</v>
      </c>
      <c r="M57" s="493">
        <v>0</v>
      </c>
      <c r="N57" s="493">
        <v>0</v>
      </c>
      <c r="O57" s="494">
        <v>0</v>
      </c>
      <c r="P57" s="493">
        <v>0</v>
      </c>
      <c r="Q57" s="493">
        <v>52240</v>
      </c>
      <c r="R57" s="493">
        <v>0</v>
      </c>
      <c r="S57" s="493">
        <v>0</v>
      </c>
      <c r="T57" s="494">
        <v>0</v>
      </c>
      <c r="U57" s="493">
        <v>0</v>
      </c>
      <c r="V57" s="493">
        <v>0</v>
      </c>
      <c r="W57" s="493">
        <v>0</v>
      </c>
      <c r="X57" s="493">
        <v>0</v>
      </c>
      <c r="Y57" s="493">
        <v>0</v>
      </c>
      <c r="Z57" s="493">
        <v>0</v>
      </c>
      <c r="AA57" s="493">
        <v>0</v>
      </c>
      <c r="AB57" s="493">
        <v>0</v>
      </c>
      <c r="AC57" s="493">
        <v>0</v>
      </c>
      <c r="AD57" s="493">
        <v>0</v>
      </c>
      <c r="AE57" s="493">
        <v>0</v>
      </c>
      <c r="AF57" s="493">
        <v>0</v>
      </c>
      <c r="AG57" s="493">
        <v>0</v>
      </c>
      <c r="AH57" s="493">
        <v>0</v>
      </c>
      <c r="AI57" s="487">
        <v>0</v>
      </c>
      <c r="AJ57" s="487">
        <v>0</v>
      </c>
      <c r="AK57" s="487">
        <v>0</v>
      </c>
      <c r="AL57" s="487">
        <v>0</v>
      </c>
      <c r="AM57" s="487">
        <v>0</v>
      </c>
      <c r="AN57" s="487">
        <v>0</v>
      </c>
      <c r="AO57" s="487">
        <v>0</v>
      </c>
      <c r="AP57" s="487">
        <v>0</v>
      </c>
      <c r="AQ57" s="487">
        <v>0</v>
      </c>
      <c r="AR57" s="487">
        <v>0</v>
      </c>
      <c r="AS57" s="487">
        <v>0</v>
      </c>
      <c r="AT57" s="487">
        <v>0</v>
      </c>
      <c r="AU57" s="487">
        <v>0</v>
      </c>
      <c r="AV57" s="487">
        <v>0</v>
      </c>
      <c r="AW57" s="487">
        <v>0</v>
      </c>
      <c r="AX57" s="487"/>
      <c r="AY57" s="487">
        <v>0</v>
      </c>
      <c r="AZ57" s="487">
        <v>0</v>
      </c>
      <c r="BA57" s="487">
        <v>0</v>
      </c>
      <c r="BB57" s="487">
        <v>0</v>
      </c>
      <c r="BC57" s="487">
        <v>0</v>
      </c>
      <c r="BD57" s="487">
        <v>0</v>
      </c>
      <c r="BE57" s="487">
        <v>0</v>
      </c>
      <c r="BF57" s="487">
        <v>0</v>
      </c>
      <c r="BG57" s="487"/>
      <c r="BH57" s="487"/>
      <c r="BI57" s="487"/>
      <c r="BJ57" s="487">
        <v>0</v>
      </c>
    </row>
    <row r="58" spans="1:62" ht="14.1" hidden="1" customHeight="1" outlineLevel="1" x14ac:dyDescent="0.2">
      <c r="B58" s="506" t="s">
        <v>200</v>
      </c>
      <c r="C58" s="497">
        <v>0</v>
      </c>
      <c r="D58" s="497">
        <v>0</v>
      </c>
      <c r="E58" s="497">
        <v>0</v>
      </c>
      <c r="F58" s="497">
        <v>0</v>
      </c>
      <c r="G58" s="497">
        <v>0</v>
      </c>
      <c r="H58" s="497">
        <v>0</v>
      </c>
      <c r="I58" s="497">
        <v>0</v>
      </c>
      <c r="J58" s="497">
        <v>0</v>
      </c>
      <c r="K58" s="497">
        <v>0</v>
      </c>
      <c r="L58" s="497">
        <v>0</v>
      </c>
      <c r="M58" s="497">
        <v>0</v>
      </c>
      <c r="N58" s="497">
        <v>0</v>
      </c>
      <c r="O58" s="498">
        <v>0</v>
      </c>
      <c r="P58" s="497">
        <v>0</v>
      </c>
      <c r="Q58" s="497">
        <v>0</v>
      </c>
      <c r="R58" s="497">
        <v>0</v>
      </c>
      <c r="S58" s="497">
        <v>0</v>
      </c>
      <c r="T58" s="498">
        <v>149042</v>
      </c>
      <c r="U58" s="497">
        <v>0</v>
      </c>
      <c r="V58" s="497">
        <v>0</v>
      </c>
      <c r="W58" s="497">
        <v>0</v>
      </c>
      <c r="X58" s="497">
        <v>0</v>
      </c>
      <c r="Y58" s="497">
        <v>0</v>
      </c>
      <c r="Z58" s="497">
        <v>0</v>
      </c>
      <c r="AA58" s="497">
        <v>0</v>
      </c>
      <c r="AB58" s="497">
        <v>0</v>
      </c>
      <c r="AC58" s="497">
        <v>0</v>
      </c>
      <c r="AD58" s="497">
        <v>0</v>
      </c>
      <c r="AE58" s="497">
        <v>0</v>
      </c>
      <c r="AF58" s="497">
        <v>0</v>
      </c>
      <c r="AG58" s="497">
        <v>0</v>
      </c>
      <c r="AH58" s="497">
        <v>0</v>
      </c>
      <c r="AI58" s="512">
        <v>0</v>
      </c>
      <c r="AJ58" s="512">
        <v>0</v>
      </c>
      <c r="AK58" s="512">
        <v>0</v>
      </c>
      <c r="AL58" s="512">
        <v>0</v>
      </c>
      <c r="AM58" s="512">
        <v>0</v>
      </c>
      <c r="AN58" s="512">
        <v>0</v>
      </c>
      <c r="AO58" s="512">
        <v>0</v>
      </c>
      <c r="AP58" s="512">
        <v>0</v>
      </c>
      <c r="AQ58" s="512">
        <v>0</v>
      </c>
      <c r="AR58" s="512">
        <v>0</v>
      </c>
      <c r="AS58" s="512">
        <v>0</v>
      </c>
      <c r="AT58" s="512">
        <v>0</v>
      </c>
      <c r="AU58" s="512">
        <v>0</v>
      </c>
      <c r="AV58" s="512">
        <v>0</v>
      </c>
      <c r="AW58" s="512">
        <v>0</v>
      </c>
      <c r="AX58" s="512"/>
      <c r="AY58" s="512">
        <v>0</v>
      </c>
      <c r="AZ58" s="512">
        <v>0</v>
      </c>
      <c r="BA58" s="512">
        <v>0</v>
      </c>
      <c r="BB58" s="512">
        <v>0</v>
      </c>
      <c r="BC58" s="512">
        <v>0</v>
      </c>
      <c r="BD58" s="512">
        <v>0</v>
      </c>
      <c r="BE58" s="512">
        <v>0</v>
      </c>
      <c r="BF58" s="512">
        <v>0</v>
      </c>
      <c r="BG58" s="512"/>
      <c r="BH58" s="512"/>
      <c r="BI58" s="512"/>
      <c r="BJ58" s="512">
        <v>0</v>
      </c>
    </row>
    <row r="59" spans="1:62" ht="6.75" customHeight="1" x14ac:dyDescent="0.2">
      <c r="B59" s="499"/>
      <c r="C59" s="733"/>
      <c r="D59" s="733"/>
      <c r="E59" s="733"/>
      <c r="F59" s="733"/>
      <c r="G59" s="733"/>
      <c r="H59" s="733"/>
      <c r="I59" s="733"/>
      <c r="J59" s="733"/>
      <c r="K59" s="733"/>
      <c r="L59" s="733"/>
      <c r="M59" s="733"/>
      <c r="N59" s="733"/>
      <c r="O59" s="732"/>
      <c r="P59" s="733"/>
      <c r="Q59" s="733"/>
      <c r="R59" s="733"/>
      <c r="S59" s="733"/>
      <c r="T59" s="741">
        <f t="shared" ref="T59:AC59" si="27">+T44+T43</f>
        <v>12539</v>
      </c>
      <c r="U59" s="742">
        <f t="shared" si="27"/>
        <v>32641</v>
      </c>
      <c r="V59" s="723">
        <f t="shared" si="27"/>
        <v>35778</v>
      </c>
      <c r="W59" s="723">
        <f t="shared" si="27"/>
        <v>129580</v>
      </c>
      <c r="X59" s="723">
        <f t="shared" si="27"/>
        <v>32434</v>
      </c>
      <c r="Y59" s="723">
        <f t="shared" si="27"/>
        <v>32032</v>
      </c>
      <c r="Z59" s="723">
        <f t="shared" si="27"/>
        <v>83109</v>
      </c>
      <c r="AA59" s="723">
        <f t="shared" si="27"/>
        <v>127599</v>
      </c>
      <c r="AB59" s="723">
        <f t="shared" si="27"/>
        <v>128589</v>
      </c>
      <c r="AC59" s="723">
        <f t="shared" si="27"/>
        <v>127990</v>
      </c>
      <c r="AD59" s="723">
        <v>128091</v>
      </c>
      <c r="AE59" s="723">
        <v>123424</v>
      </c>
      <c r="AF59" s="723">
        <v>122970</v>
      </c>
      <c r="AG59" s="743" t="s">
        <v>26</v>
      </c>
      <c r="AH59" s="743"/>
      <c r="AI59" s="744"/>
      <c r="AJ59" s="744"/>
      <c r="AK59" s="744"/>
      <c r="AL59" s="744"/>
      <c r="AM59" s="744"/>
      <c r="AN59" s="744"/>
      <c r="AO59" s="744"/>
      <c r="AP59" s="744"/>
      <c r="AQ59" s="744"/>
      <c r="AR59" s="744"/>
      <c r="AS59" s="744"/>
      <c r="AT59" s="744"/>
      <c r="AU59" s="744"/>
      <c r="AV59" s="744"/>
      <c r="AW59" s="744"/>
      <c r="AX59" s="744"/>
      <c r="AY59" s="744"/>
      <c r="AZ59" s="744"/>
      <c r="BA59" s="744"/>
      <c r="BB59" s="744"/>
      <c r="BC59" s="744"/>
      <c r="BD59" s="744"/>
      <c r="BE59" s="744"/>
      <c r="BF59" s="744"/>
      <c r="BG59" s="744"/>
      <c r="BH59" s="744"/>
      <c r="BI59" s="744"/>
      <c r="BJ59" s="744"/>
    </row>
    <row r="60" spans="1:62" ht="14.1" customHeight="1" x14ac:dyDescent="0.2">
      <c r="B60" s="483" t="s">
        <v>201</v>
      </c>
      <c r="C60" s="484">
        <f t="shared" ref="C60:AE60" si="28">SUM(C61:C74)</f>
        <v>38284</v>
      </c>
      <c r="D60" s="484">
        <f t="shared" si="28"/>
        <v>92934</v>
      </c>
      <c r="E60" s="484">
        <f t="shared" si="28"/>
        <v>52326</v>
      </c>
      <c r="F60" s="484">
        <f t="shared" si="28"/>
        <v>39042</v>
      </c>
      <c r="G60" s="484">
        <f t="shared" si="28"/>
        <v>93499</v>
      </c>
      <c r="H60" s="485">
        <f t="shared" si="28"/>
        <v>90899</v>
      </c>
      <c r="I60" s="484">
        <f t="shared" si="28"/>
        <v>339243</v>
      </c>
      <c r="J60" s="484">
        <f t="shared" si="28"/>
        <v>374004</v>
      </c>
      <c r="K60" s="484">
        <f t="shared" si="28"/>
        <v>379179</v>
      </c>
      <c r="L60" s="484">
        <f t="shared" si="28"/>
        <v>207596</v>
      </c>
      <c r="M60" s="484">
        <f t="shared" si="28"/>
        <v>254583</v>
      </c>
      <c r="N60" s="484">
        <f t="shared" si="28"/>
        <v>242854</v>
      </c>
      <c r="O60" s="485">
        <f t="shared" si="28"/>
        <v>447282</v>
      </c>
      <c r="P60" s="484">
        <f t="shared" si="28"/>
        <v>469050</v>
      </c>
      <c r="Q60" s="484">
        <f t="shared" si="28"/>
        <v>409663</v>
      </c>
      <c r="R60" s="484">
        <f t="shared" si="28"/>
        <v>532521</v>
      </c>
      <c r="S60" s="484">
        <f t="shared" si="28"/>
        <v>517913</v>
      </c>
      <c r="T60" s="485">
        <f t="shared" si="28"/>
        <v>439801</v>
      </c>
      <c r="U60" s="484">
        <f t="shared" si="28"/>
        <v>501191</v>
      </c>
      <c r="V60" s="484">
        <f t="shared" si="28"/>
        <v>518145</v>
      </c>
      <c r="W60" s="484">
        <f t="shared" si="28"/>
        <v>456558</v>
      </c>
      <c r="X60" s="484">
        <f t="shared" si="28"/>
        <v>378711</v>
      </c>
      <c r="Y60" s="484">
        <f t="shared" si="28"/>
        <v>382094</v>
      </c>
      <c r="Z60" s="484">
        <f t="shared" si="28"/>
        <v>334293</v>
      </c>
      <c r="AA60" s="484">
        <f t="shared" si="28"/>
        <v>255525</v>
      </c>
      <c r="AB60" s="484">
        <f t="shared" si="28"/>
        <v>252525</v>
      </c>
      <c r="AC60" s="484">
        <f t="shared" si="28"/>
        <v>253828</v>
      </c>
      <c r="AD60" s="484">
        <f t="shared" si="28"/>
        <v>202197</v>
      </c>
      <c r="AE60" s="484">
        <f t="shared" si="28"/>
        <v>136023</v>
      </c>
      <c r="AF60" s="484">
        <v>204486</v>
      </c>
      <c r="AG60" s="484">
        <f t="shared" ref="AG60:BB60" si="29">SUM(AG61:AG74)</f>
        <v>201750</v>
      </c>
      <c r="AH60" s="484">
        <f t="shared" si="29"/>
        <v>195933</v>
      </c>
      <c r="AI60" s="484">
        <f t="shared" si="29"/>
        <v>152343</v>
      </c>
      <c r="AJ60" s="484">
        <f t="shared" si="29"/>
        <v>105075</v>
      </c>
      <c r="AK60" s="484">
        <f t="shared" si="29"/>
        <v>155846</v>
      </c>
      <c r="AL60" s="484">
        <f t="shared" si="29"/>
        <v>154419</v>
      </c>
      <c r="AM60" s="484">
        <f t="shared" si="29"/>
        <v>230321.47964426508</v>
      </c>
      <c r="AN60" s="484">
        <f t="shared" si="29"/>
        <v>240419</v>
      </c>
      <c r="AO60" s="484">
        <f t="shared" si="29"/>
        <v>152882</v>
      </c>
      <c r="AP60" s="484">
        <f t="shared" si="29"/>
        <v>141627</v>
      </c>
      <c r="AQ60" s="484">
        <f t="shared" si="29"/>
        <v>149995</v>
      </c>
      <c r="AR60" s="484">
        <f t="shared" si="29"/>
        <v>185112</v>
      </c>
      <c r="AS60" s="484">
        <f t="shared" si="29"/>
        <v>200251</v>
      </c>
      <c r="AT60" s="484">
        <f t="shared" si="29"/>
        <v>195448</v>
      </c>
      <c r="AU60" s="484">
        <f t="shared" si="29"/>
        <v>211731</v>
      </c>
      <c r="AV60" s="484">
        <f t="shared" si="29"/>
        <v>154635</v>
      </c>
      <c r="AW60" s="484">
        <f t="shared" si="29"/>
        <v>146667</v>
      </c>
      <c r="AX60" s="484">
        <f t="shared" si="29"/>
        <v>143747</v>
      </c>
      <c r="AY60" s="484">
        <f t="shared" si="29"/>
        <v>131876</v>
      </c>
      <c r="AZ60" s="484">
        <f t="shared" si="29"/>
        <v>122325</v>
      </c>
      <c r="BA60" s="484">
        <f t="shared" si="29"/>
        <v>78435</v>
      </c>
      <c r="BB60" s="484">
        <f t="shared" si="29"/>
        <v>103588</v>
      </c>
      <c r="BC60" s="484">
        <f t="shared" ref="BC60:BJ60" si="30">SUM(BC61:BC74)</f>
        <v>123789</v>
      </c>
      <c r="BD60" s="484">
        <f t="shared" si="30"/>
        <v>119430</v>
      </c>
      <c r="BE60" s="484">
        <f t="shared" si="30"/>
        <v>164321</v>
      </c>
      <c r="BF60" s="484">
        <f t="shared" si="30"/>
        <v>165072</v>
      </c>
      <c r="BG60" s="484">
        <f t="shared" si="30"/>
        <v>171515</v>
      </c>
      <c r="BH60" s="484">
        <f t="shared" si="30"/>
        <v>176687</v>
      </c>
      <c r="BI60" s="484">
        <f t="shared" si="30"/>
        <v>146788</v>
      </c>
      <c r="BJ60" s="484">
        <f t="shared" si="30"/>
        <v>145071</v>
      </c>
    </row>
    <row r="61" spans="1:62" ht="14.1" customHeight="1" x14ac:dyDescent="0.2">
      <c r="A61" s="268" t="s">
        <v>188</v>
      </c>
      <c r="B61" s="486" t="s">
        <v>188</v>
      </c>
      <c r="C61" s="487">
        <v>20251</v>
      </c>
      <c r="D61" s="487">
        <v>59503</v>
      </c>
      <c r="E61" s="487">
        <v>40791</v>
      </c>
      <c r="F61" s="487">
        <v>33013</v>
      </c>
      <c r="G61" s="487">
        <v>35198</v>
      </c>
      <c r="H61" s="488">
        <v>32704</v>
      </c>
      <c r="I61" s="487">
        <v>280447</v>
      </c>
      <c r="J61" s="487">
        <v>274524</v>
      </c>
      <c r="K61" s="487">
        <v>270670</v>
      </c>
      <c r="L61" s="487">
        <v>95867</v>
      </c>
      <c r="M61" s="487">
        <v>139032</v>
      </c>
      <c r="N61" s="487">
        <v>134942</v>
      </c>
      <c r="O61" s="488">
        <v>137205</v>
      </c>
      <c r="P61" s="487">
        <v>151935</v>
      </c>
      <c r="Q61" s="487">
        <v>150794</v>
      </c>
      <c r="R61" s="487">
        <v>156960</v>
      </c>
      <c r="S61" s="487">
        <v>149965</v>
      </c>
      <c r="T61" s="488">
        <v>51907</v>
      </c>
      <c r="U61" s="487">
        <v>114769</v>
      </c>
      <c r="V61" s="487">
        <v>123577</v>
      </c>
      <c r="W61" s="487">
        <v>79827</v>
      </c>
      <c r="X61" s="487">
        <v>2037.9999999999998</v>
      </c>
      <c r="Y61" s="487">
        <v>1522</v>
      </c>
      <c r="Z61" s="487">
        <v>1181</v>
      </c>
      <c r="AA61" s="487">
        <v>919</v>
      </c>
      <c r="AB61" s="487">
        <v>657</v>
      </c>
      <c r="AC61" s="487">
        <v>396</v>
      </c>
      <c r="AD61" s="487">
        <v>134</v>
      </c>
      <c r="AE61" s="487">
        <v>1342</v>
      </c>
      <c r="AF61" s="490">
        <v>54195</v>
      </c>
      <c r="AG61" s="507">
        <v>53915</v>
      </c>
      <c r="AH61" s="507">
        <v>53635</v>
      </c>
      <c r="AI61" s="487">
        <v>53356</v>
      </c>
      <c r="AJ61" s="487">
        <v>6667</v>
      </c>
      <c r="AK61" s="487">
        <v>60554</v>
      </c>
      <c r="AL61" s="487">
        <v>55414</v>
      </c>
      <c r="AM61" s="487">
        <v>86669</v>
      </c>
      <c r="AN61" s="487">
        <v>81938</v>
      </c>
      <c r="AO61" s="487">
        <v>30000</v>
      </c>
      <c r="AP61" s="487">
        <v>30000</v>
      </c>
      <c r="AQ61" s="487">
        <v>30000</v>
      </c>
      <c r="AR61" s="487">
        <v>80000</v>
      </c>
      <c r="AS61" s="487">
        <v>125000</v>
      </c>
      <c r="AT61" s="487">
        <v>125000</v>
      </c>
      <c r="AU61" s="487">
        <v>115000</v>
      </c>
      <c r="AV61" s="487">
        <v>65000</v>
      </c>
      <c r="AW61" s="487">
        <v>65000</v>
      </c>
      <c r="AX61" s="487">
        <v>65000</v>
      </c>
      <c r="AY61" s="487">
        <v>55000</v>
      </c>
      <c r="AZ61" s="487">
        <v>55000</v>
      </c>
      <c r="BA61" s="487">
        <v>10000</v>
      </c>
      <c r="BB61" s="487">
        <v>42568</v>
      </c>
      <c r="BC61" s="487">
        <v>42568</v>
      </c>
      <c r="BD61" s="487">
        <v>32568</v>
      </c>
      <c r="BE61" s="487">
        <v>83834</v>
      </c>
      <c r="BF61" s="487">
        <v>88840</v>
      </c>
      <c r="BG61" s="487">
        <v>93732</v>
      </c>
      <c r="BH61" s="487">
        <v>101443</v>
      </c>
      <c r="BI61" s="487">
        <v>77925</v>
      </c>
      <c r="BJ61" s="487">
        <v>76907</v>
      </c>
    </row>
    <row r="62" spans="1:62" ht="14.1" customHeight="1" x14ac:dyDescent="0.2">
      <c r="A62" s="268" t="s">
        <v>168</v>
      </c>
      <c r="B62" s="486" t="s">
        <v>168</v>
      </c>
      <c r="C62" s="487" t="s">
        <v>47</v>
      </c>
      <c r="D62" s="487" t="s">
        <v>47</v>
      </c>
      <c r="E62" s="487" t="s">
        <v>47</v>
      </c>
      <c r="F62" s="487" t="s">
        <v>47</v>
      </c>
      <c r="G62" s="487" t="s">
        <v>47</v>
      </c>
      <c r="H62" s="488" t="s">
        <v>47</v>
      </c>
      <c r="I62" s="487" t="s">
        <v>47</v>
      </c>
      <c r="J62" s="487" t="s">
        <v>47</v>
      </c>
      <c r="K62" s="487" t="s">
        <v>47</v>
      </c>
      <c r="L62" s="487" t="s">
        <v>47</v>
      </c>
      <c r="M62" s="487" t="s">
        <v>47</v>
      </c>
      <c r="N62" s="487" t="s">
        <v>47</v>
      </c>
      <c r="O62" s="488" t="s">
        <v>47</v>
      </c>
      <c r="P62" s="487" t="s">
        <v>47</v>
      </c>
      <c r="Q62" s="487" t="s">
        <v>47</v>
      </c>
      <c r="R62" s="487" t="s">
        <v>47</v>
      </c>
      <c r="S62" s="487" t="s">
        <v>47</v>
      </c>
      <c r="T62" s="488" t="s">
        <v>47</v>
      </c>
      <c r="U62" s="487" t="s">
        <v>47</v>
      </c>
      <c r="V62" s="487" t="s">
        <v>47</v>
      </c>
      <c r="W62" s="487" t="s">
        <v>47</v>
      </c>
      <c r="X62" s="487" t="s">
        <v>47</v>
      </c>
      <c r="Y62" s="487" t="s">
        <v>47</v>
      </c>
      <c r="Z62" s="487" t="s">
        <v>47</v>
      </c>
      <c r="AA62" s="487" t="s">
        <v>47</v>
      </c>
      <c r="AB62" s="487" t="s">
        <v>47</v>
      </c>
      <c r="AC62" s="487" t="s">
        <v>47</v>
      </c>
      <c r="AD62" s="487" t="s">
        <v>47</v>
      </c>
      <c r="AE62" s="487" t="s">
        <v>47</v>
      </c>
      <c r="AF62" s="487" t="s">
        <v>47</v>
      </c>
      <c r="AG62" s="487" t="s">
        <v>47</v>
      </c>
      <c r="AH62" s="487" t="s">
        <v>47</v>
      </c>
      <c r="AI62" s="487">
        <v>0</v>
      </c>
      <c r="AJ62" s="487">
        <v>1042</v>
      </c>
      <c r="AK62" s="487">
        <v>1503</v>
      </c>
      <c r="AL62" s="487">
        <v>1958</v>
      </c>
      <c r="AM62" s="487">
        <v>2087</v>
      </c>
      <c r="AN62" s="487">
        <v>2445</v>
      </c>
      <c r="AO62" s="487">
        <v>2829</v>
      </c>
      <c r="AP62" s="487">
        <v>542</v>
      </c>
      <c r="AQ62" s="487">
        <v>663</v>
      </c>
      <c r="AR62" s="487">
        <v>700</v>
      </c>
      <c r="AS62" s="487">
        <v>592</v>
      </c>
      <c r="AT62" s="487">
        <v>559</v>
      </c>
      <c r="AU62" s="487">
        <v>559</v>
      </c>
      <c r="AV62" s="487">
        <v>553</v>
      </c>
      <c r="AW62" s="487">
        <v>553</v>
      </c>
      <c r="AX62" s="487">
        <v>551</v>
      </c>
      <c r="AY62" s="487">
        <v>528</v>
      </c>
      <c r="AZ62" s="487">
        <v>524</v>
      </c>
      <c r="BA62" s="487">
        <v>524</v>
      </c>
      <c r="BB62" s="487">
        <v>524</v>
      </c>
      <c r="BC62" s="487">
        <v>524</v>
      </c>
      <c r="BD62" s="487">
        <v>524</v>
      </c>
      <c r="BE62" s="487">
        <v>524</v>
      </c>
      <c r="BF62" s="487">
        <v>524</v>
      </c>
      <c r="BG62" s="487">
        <v>524</v>
      </c>
      <c r="BH62" s="487">
        <v>524</v>
      </c>
      <c r="BI62" s="487">
        <v>524</v>
      </c>
      <c r="BJ62" s="487">
        <v>524</v>
      </c>
    </row>
    <row r="63" spans="1:62" ht="14.1" customHeight="1" x14ac:dyDescent="0.2">
      <c r="A63" s="268" t="s">
        <v>189</v>
      </c>
      <c r="B63" s="486" t="s">
        <v>189</v>
      </c>
      <c r="C63" s="487">
        <v>0</v>
      </c>
      <c r="D63" s="487">
        <v>0</v>
      </c>
      <c r="E63" s="487">
        <v>0</v>
      </c>
      <c r="F63" s="487">
        <v>0</v>
      </c>
      <c r="G63" s="487">
        <v>0</v>
      </c>
      <c r="H63" s="488">
        <v>0</v>
      </c>
      <c r="I63" s="487">
        <v>0</v>
      </c>
      <c r="J63" s="487">
        <v>0</v>
      </c>
      <c r="K63" s="487">
        <v>0</v>
      </c>
      <c r="L63" s="487">
        <v>0</v>
      </c>
      <c r="M63" s="487">
        <v>0</v>
      </c>
      <c r="N63" s="487">
        <v>0</v>
      </c>
      <c r="O63" s="488">
        <v>200000</v>
      </c>
      <c r="P63" s="487">
        <v>205853</v>
      </c>
      <c r="Q63" s="487">
        <v>202336</v>
      </c>
      <c r="R63" s="487">
        <v>287845</v>
      </c>
      <c r="S63" s="487">
        <v>285063</v>
      </c>
      <c r="T63" s="488">
        <v>350000</v>
      </c>
      <c r="U63" s="487">
        <v>350000</v>
      </c>
      <c r="V63" s="487">
        <v>350000</v>
      </c>
      <c r="W63" s="487">
        <v>330002</v>
      </c>
      <c r="X63" s="487">
        <v>330002</v>
      </c>
      <c r="Y63" s="487">
        <v>330002</v>
      </c>
      <c r="Z63" s="487">
        <v>280007</v>
      </c>
      <c r="AA63" s="487">
        <v>213347</v>
      </c>
      <c r="AB63" s="487">
        <v>213347</v>
      </c>
      <c r="AC63" s="487">
        <v>213347</v>
      </c>
      <c r="AD63" s="487">
        <v>163352</v>
      </c>
      <c r="AE63" s="487">
        <v>96686</v>
      </c>
      <c r="AF63" s="487">
        <v>96686</v>
      </c>
      <c r="AG63" s="507">
        <v>96686</v>
      </c>
      <c r="AH63" s="507">
        <v>96686</v>
      </c>
      <c r="AI63" s="487">
        <v>50010</v>
      </c>
      <c r="AJ63" s="487">
        <v>50010</v>
      </c>
      <c r="AK63" s="487">
        <v>50010</v>
      </c>
      <c r="AL63" s="487">
        <v>50010</v>
      </c>
      <c r="AM63" s="487">
        <v>50010</v>
      </c>
      <c r="AN63" s="487">
        <v>50010</v>
      </c>
      <c r="AO63" s="487">
        <v>25005</v>
      </c>
      <c r="AP63" s="487">
        <v>25005</v>
      </c>
      <c r="AQ63" s="487">
        <v>25005</v>
      </c>
      <c r="AR63" s="487">
        <v>25005</v>
      </c>
      <c r="AS63" s="487">
        <v>0</v>
      </c>
      <c r="AT63" s="487">
        <v>0</v>
      </c>
      <c r="AU63" s="487">
        <v>0</v>
      </c>
      <c r="AV63" s="487">
        <v>0</v>
      </c>
      <c r="AW63" s="487">
        <v>0</v>
      </c>
      <c r="AX63" s="487">
        <v>0</v>
      </c>
      <c r="AY63" s="487">
        <v>0</v>
      </c>
      <c r="AZ63" s="487">
        <v>0</v>
      </c>
      <c r="BA63" s="487">
        <v>0</v>
      </c>
      <c r="BB63" s="487">
        <v>0</v>
      </c>
      <c r="BC63" s="487">
        <v>0</v>
      </c>
      <c r="BD63" s="487">
        <v>0</v>
      </c>
      <c r="BE63" s="487">
        <v>0</v>
      </c>
      <c r="BF63" s="487">
        <v>0</v>
      </c>
      <c r="BG63" s="487">
        <v>0</v>
      </c>
      <c r="BH63" s="487">
        <v>0</v>
      </c>
      <c r="BI63" s="487">
        <v>0</v>
      </c>
      <c r="BJ63" s="487">
        <v>0</v>
      </c>
    </row>
    <row r="64" spans="1:62" ht="14.1" customHeight="1" x14ac:dyDescent="0.2">
      <c r="B64" s="486" t="s">
        <v>874</v>
      </c>
      <c r="C64" s="487" t="s">
        <v>47</v>
      </c>
      <c r="D64" s="487" t="s">
        <v>47</v>
      </c>
      <c r="E64" s="487" t="s">
        <v>47</v>
      </c>
      <c r="F64" s="487" t="s">
        <v>47</v>
      </c>
      <c r="G64" s="487" t="s">
        <v>47</v>
      </c>
      <c r="H64" s="488" t="s">
        <v>47</v>
      </c>
      <c r="I64" s="487" t="s">
        <v>47</v>
      </c>
      <c r="J64" s="487" t="s">
        <v>47</v>
      </c>
      <c r="K64" s="487" t="s">
        <v>47</v>
      </c>
      <c r="L64" s="487" t="s">
        <v>47</v>
      </c>
      <c r="M64" s="487" t="s">
        <v>47</v>
      </c>
      <c r="N64" s="487" t="s">
        <v>47</v>
      </c>
      <c r="O64" s="488" t="s">
        <v>47</v>
      </c>
      <c r="P64" s="487" t="s">
        <v>47</v>
      </c>
      <c r="Q64" s="487" t="s">
        <v>47</v>
      </c>
      <c r="R64" s="487" t="s">
        <v>47</v>
      </c>
      <c r="S64" s="487" t="s">
        <v>47</v>
      </c>
      <c r="T64" s="488" t="s">
        <v>47</v>
      </c>
      <c r="U64" s="487" t="s">
        <v>47</v>
      </c>
      <c r="V64" s="487" t="s">
        <v>47</v>
      </c>
      <c r="W64" s="487" t="s">
        <v>47</v>
      </c>
      <c r="X64" s="487" t="s">
        <v>47</v>
      </c>
      <c r="Y64" s="487" t="s">
        <v>47</v>
      </c>
      <c r="Z64" s="487" t="s">
        <v>47</v>
      </c>
      <c r="AA64" s="487" t="s">
        <v>47</v>
      </c>
      <c r="AB64" s="487" t="s">
        <v>47</v>
      </c>
      <c r="AC64" s="487" t="s">
        <v>47</v>
      </c>
      <c r="AD64" s="487" t="s">
        <v>47</v>
      </c>
      <c r="AE64" s="487" t="s">
        <v>47</v>
      </c>
      <c r="AF64" s="487" t="s">
        <v>47</v>
      </c>
      <c r="AG64" s="487" t="s">
        <v>47</v>
      </c>
      <c r="AH64" s="487" t="s">
        <v>47</v>
      </c>
      <c r="AI64" s="487">
        <v>0</v>
      </c>
      <c r="AJ64" s="487" t="s">
        <v>47</v>
      </c>
      <c r="AK64" s="487" t="s">
        <v>47</v>
      </c>
      <c r="AL64" s="487">
        <v>0</v>
      </c>
      <c r="AM64" s="487">
        <v>42561.47964426507</v>
      </c>
      <c r="AN64" s="487">
        <v>57143</v>
      </c>
      <c r="AO64" s="487">
        <v>55769</v>
      </c>
      <c r="AP64" s="487">
        <v>48055</v>
      </c>
      <c r="AQ64" s="487">
        <v>50983</v>
      </c>
      <c r="AR64" s="487">
        <v>45194</v>
      </c>
      <c r="AS64" s="487">
        <v>39107</v>
      </c>
      <c r="AT64" s="487">
        <v>33561</v>
      </c>
      <c r="AU64" s="487">
        <v>57188</v>
      </c>
      <c r="AV64" s="487">
        <v>50884</v>
      </c>
      <c r="AW64" s="487">
        <v>47150</v>
      </c>
      <c r="AX64" s="487">
        <v>38882</v>
      </c>
      <c r="AY64" s="487">
        <v>37376</v>
      </c>
      <c r="AZ64" s="487">
        <v>31181</v>
      </c>
      <c r="BA64" s="487">
        <v>28026</v>
      </c>
      <c r="BB64" s="487">
        <v>20513</v>
      </c>
      <c r="BC64" s="487">
        <v>44279</v>
      </c>
      <c r="BD64" s="487">
        <v>51997</v>
      </c>
      <c r="BE64" s="487">
        <v>46263</v>
      </c>
      <c r="BF64" s="487">
        <v>41330</v>
      </c>
      <c r="BG64" s="487">
        <v>39809</v>
      </c>
      <c r="BH64" s="487">
        <v>41139</v>
      </c>
      <c r="BI64" s="487">
        <v>36482</v>
      </c>
      <c r="BJ64" s="487">
        <v>42397</v>
      </c>
    </row>
    <row r="65" spans="1:62" ht="14.1" customHeight="1" x14ac:dyDescent="0.2">
      <c r="A65" s="268" t="s">
        <v>745</v>
      </c>
      <c r="B65" s="489" t="s">
        <v>745</v>
      </c>
      <c r="C65" s="487">
        <v>2600</v>
      </c>
      <c r="D65" s="487">
        <v>1896</v>
      </c>
      <c r="E65" s="487">
        <v>4450</v>
      </c>
      <c r="F65" s="487">
        <v>0</v>
      </c>
      <c r="G65" s="487">
        <v>0</v>
      </c>
      <c r="H65" s="488">
        <v>0</v>
      </c>
      <c r="I65" s="487">
        <v>0</v>
      </c>
      <c r="J65" s="487">
        <v>0</v>
      </c>
      <c r="K65" s="487">
        <v>0</v>
      </c>
      <c r="L65" s="487">
        <v>0</v>
      </c>
      <c r="M65" s="487">
        <v>0</v>
      </c>
      <c r="N65" s="487">
        <v>0</v>
      </c>
      <c r="O65" s="488">
        <v>0</v>
      </c>
      <c r="P65" s="487">
        <v>0</v>
      </c>
      <c r="Q65" s="487">
        <v>0</v>
      </c>
      <c r="R65" s="487">
        <v>34569</v>
      </c>
      <c r="S65" s="487">
        <v>34139</v>
      </c>
      <c r="T65" s="488">
        <v>15181</v>
      </c>
      <c r="U65" s="487">
        <v>16526</v>
      </c>
      <c r="V65" s="487">
        <v>23325</v>
      </c>
      <c r="W65" s="487">
        <v>27065</v>
      </c>
      <c r="X65" s="487">
        <v>26494</v>
      </c>
      <c r="Y65" s="487">
        <v>29884</v>
      </c>
      <c r="Z65" s="487">
        <v>19327</v>
      </c>
      <c r="AA65" s="487">
        <v>19452</v>
      </c>
      <c r="AB65" s="487">
        <v>21499</v>
      </c>
      <c r="AC65" s="487">
        <v>24455</v>
      </c>
      <c r="AD65" s="487">
        <v>23577</v>
      </c>
      <c r="AE65" s="487">
        <v>22782</v>
      </c>
      <c r="AF65" s="490">
        <v>17002</v>
      </c>
      <c r="AG65" s="507">
        <v>16195</v>
      </c>
      <c r="AH65" s="507">
        <v>6629</v>
      </c>
      <c r="AI65" s="487">
        <v>5207</v>
      </c>
      <c r="AJ65" s="487">
        <v>6264</v>
      </c>
      <c r="AK65" s="487">
        <v>6945</v>
      </c>
      <c r="AL65" s="487">
        <v>2593</v>
      </c>
      <c r="AM65" s="487">
        <v>5792</v>
      </c>
      <c r="AN65" s="487">
        <v>6133</v>
      </c>
      <c r="AO65" s="487">
        <v>2668</v>
      </c>
      <c r="AP65" s="487">
        <v>2759</v>
      </c>
      <c r="AQ65" s="487">
        <v>6512</v>
      </c>
      <c r="AR65" s="487">
        <v>0</v>
      </c>
      <c r="AS65" s="487">
        <v>0</v>
      </c>
      <c r="AT65" s="487">
        <v>0</v>
      </c>
      <c r="AU65" s="487">
        <v>3428</v>
      </c>
      <c r="AV65" s="487">
        <v>3787</v>
      </c>
      <c r="AW65" s="487">
        <v>4866</v>
      </c>
      <c r="AX65" s="487">
        <v>5572</v>
      </c>
      <c r="AY65" s="487">
        <v>6422</v>
      </c>
      <c r="AZ65" s="487">
        <v>6314</v>
      </c>
      <c r="BA65" s="487">
        <v>4643</v>
      </c>
      <c r="BB65" s="487">
        <v>8875</v>
      </c>
      <c r="BC65" s="487">
        <v>5037</v>
      </c>
      <c r="BD65" s="487">
        <v>5137</v>
      </c>
      <c r="BE65" s="487">
        <v>4326</v>
      </c>
      <c r="BF65" s="487">
        <v>3888</v>
      </c>
      <c r="BG65" s="487">
        <v>6238</v>
      </c>
      <c r="BH65" s="487">
        <v>1777</v>
      </c>
      <c r="BI65" s="487">
        <v>1249</v>
      </c>
      <c r="BJ65" s="487">
        <v>1695</v>
      </c>
    </row>
    <row r="66" spans="1:62" ht="14.1" customHeight="1" x14ac:dyDescent="0.2">
      <c r="A66" s="268" t="s">
        <v>203</v>
      </c>
      <c r="B66" s="486" t="s">
        <v>203</v>
      </c>
      <c r="C66" s="487">
        <v>2153</v>
      </c>
      <c r="D66" s="487">
        <v>1978</v>
      </c>
      <c r="E66" s="487">
        <v>1942</v>
      </c>
      <c r="F66" s="487">
        <v>3469</v>
      </c>
      <c r="G66" s="487">
        <v>24198</v>
      </c>
      <c r="H66" s="488">
        <v>24198</v>
      </c>
      <c r="I66" s="487">
        <v>24971</v>
      </c>
      <c r="J66" s="487">
        <v>24579</v>
      </c>
      <c r="K66" s="487">
        <v>25181</v>
      </c>
      <c r="L66" s="487">
        <v>25479</v>
      </c>
      <c r="M66" s="487">
        <v>25872</v>
      </c>
      <c r="N66" s="487">
        <v>26538</v>
      </c>
      <c r="O66" s="488">
        <v>27095</v>
      </c>
      <c r="P66" s="487">
        <v>26368</v>
      </c>
      <c r="Q66" s="487">
        <v>39871</v>
      </c>
      <c r="R66" s="487">
        <v>37197</v>
      </c>
      <c r="S66" s="487">
        <v>32167</v>
      </c>
      <c r="T66" s="488">
        <v>11047</v>
      </c>
      <c r="U66" s="487">
        <v>9656</v>
      </c>
      <c r="V66" s="487">
        <v>11486</v>
      </c>
      <c r="W66" s="487">
        <v>9645</v>
      </c>
      <c r="X66" s="487">
        <v>9861</v>
      </c>
      <c r="Y66" s="487">
        <v>10007</v>
      </c>
      <c r="Z66" s="487">
        <v>22751</v>
      </c>
      <c r="AA66" s="487">
        <v>21795</v>
      </c>
      <c r="AB66" s="487">
        <v>17017</v>
      </c>
      <c r="AC66" s="487">
        <v>15630</v>
      </c>
      <c r="AD66" s="487">
        <v>14938</v>
      </c>
      <c r="AE66" s="487">
        <v>14709</v>
      </c>
      <c r="AF66" s="490">
        <v>36603</v>
      </c>
      <c r="AG66" s="507">
        <v>34954</v>
      </c>
      <c r="AH66" s="507">
        <v>38983</v>
      </c>
      <c r="AI66" s="487">
        <v>43770</v>
      </c>
      <c r="AJ66" s="487">
        <v>41092</v>
      </c>
      <c r="AK66" s="487">
        <v>36834</v>
      </c>
      <c r="AL66" s="490">
        <v>44444</v>
      </c>
      <c r="AM66" s="487">
        <v>43202</v>
      </c>
      <c r="AN66" s="487">
        <v>42750</v>
      </c>
      <c r="AO66" s="490">
        <v>36611</v>
      </c>
      <c r="AP66" s="487">
        <v>35266</v>
      </c>
      <c r="AQ66" s="487">
        <v>36832</v>
      </c>
      <c r="AR66" s="487">
        <v>34213</v>
      </c>
      <c r="AS66" s="487">
        <v>35552</v>
      </c>
      <c r="AT66" s="487">
        <v>33878</v>
      </c>
      <c r="AU66" s="487">
        <v>33106</v>
      </c>
      <c r="AV66" s="487">
        <v>31961</v>
      </c>
      <c r="AW66" s="487">
        <v>26648</v>
      </c>
      <c r="AX66" s="487">
        <v>30830</v>
      </c>
      <c r="AY66" s="487">
        <v>29638</v>
      </c>
      <c r="AZ66" s="487">
        <v>26394</v>
      </c>
      <c r="BA66" s="487">
        <v>32330</v>
      </c>
      <c r="BB66" s="487">
        <v>28382</v>
      </c>
      <c r="BC66" s="487">
        <v>28655</v>
      </c>
      <c r="BD66" s="487">
        <v>26478</v>
      </c>
      <c r="BE66" s="487">
        <v>26648</v>
      </c>
      <c r="BF66" s="487">
        <v>28015</v>
      </c>
      <c r="BG66" s="487">
        <v>28737</v>
      </c>
      <c r="BH66" s="487">
        <v>29329</v>
      </c>
      <c r="BI66" s="487">
        <v>28133</v>
      </c>
      <c r="BJ66" s="487">
        <v>21692</v>
      </c>
    </row>
    <row r="67" spans="1:62" ht="14.1" customHeight="1" x14ac:dyDescent="0.2">
      <c r="B67" s="489" t="s">
        <v>194</v>
      </c>
      <c r="C67" s="487">
        <v>0</v>
      </c>
      <c r="D67" s="487">
        <v>0</v>
      </c>
      <c r="E67" s="487">
        <v>0</v>
      </c>
      <c r="F67" s="487">
        <v>0</v>
      </c>
      <c r="G67" s="487">
        <v>0</v>
      </c>
      <c r="H67" s="488">
        <v>0</v>
      </c>
      <c r="I67" s="487">
        <v>0</v>
      </c>
      <c r="J67" s="487">
        <v>0</v>
      </c>
      <c r="K67" s="487">
        <v>0</v>
      </c>
      <c r="L67" s="487">
        <v>0</v>
      </c>
      <c r="M67" s="487">
        <v>0</v>
      </c>
      <c r="N67" s="487">
        <v>0</v>
      </c>
      <c r="O67" s="488">
        <v>0</v>
      </c>
      <c r="P67" s="487">
        <v>0</v>
      </c>
      <c r="Q67" s="487">
        <v>0</v>
      </c>
      <c r="R67" s="487">
        <v>0</v>
      </c>
      <c r="S67" s="487">
        <v>0</v>
      </c>
      <c r="T67" s="488">
        <v>0</v>
      </c>
      <c r="U67" s="487">
        <v>0</v>
      </c>
      <c r="V67" s="487">
        <v>0</v>
      </c>
      <c r="W67" s="487">
        <v>0</v>
      </c>
      <c r="X67" s="487">
        <v>0</v>
      </c>
      <c r="Y67" s="487">
        <v>0</v>
      </c>
      <c r="Z67" s="487">
        <v>0</v>
      </c>
      <c r="AA67" s="487">
        <v>0</v>
      </c>
      <c r="AB67" s="487">
        <v>0</v>
      </c>
      <c r="AC67" s="487">
        <v>0</v>
      </c>
      <c r="AD67" s="487">
        <v>0</v>
      </c>
      <c r="AE67" s="487">
        <v>0</v>
      </c>
      <c r="AF67" s="490">
        <v>0</v>
      </c>
      <c r="AG67" s="507">
        <v>0</v>
      </c>
      <c r="AH67" s="507">
        <v>0</v>
      </c>
      <c r="AI67" s="487">
        <v>0</v>
      </c>
      <c r="AJ67" s="487">
        <v>0</v>
      </c>
      <c r="AK67" s="487">
        <v>0</v>
      </c>
      <c r="AL67" s="490">
        <v>0</v>
      </c>
      <c r="AM67" s="487">
        <v>0</v>
      </c>
      <c r="AN67" s="487">
        <v>0</v>
      </c>
      <c r="AO67" s="490">
        <v>0</v>
      </c>
      <c r="AP67" s="487">
        <v>0</v>
      </c>
      <c r="AQ67" s="487">
        <v>0</v>
      </c>
      <c r="AR67" s="487">
        <v>0</v>
      </c>
      <c r="AS67" s="487">
        <v>0</v>
      </c>
      <c r="AT67" s="487">
        <v>0</v>
      </c>
      <c r="AU67" s="487">
        <v>0</v>
      </c>
      <c r="AV67" s="487">
        <v>0</v>
      </c>
      <c r="AW67" s="487">
        <v>0</v>
      </c>
      <c r="AX67" s="487">
        <v>0</v>
      </c>
      <c r="AY67" s="487">
        <v>0</v>
      </c>
      <c r="AZ67" s="487">
        <v>0</v>
      </c>
      <c r="BA67" s="487">
        <v>0</v>
      </c>
      <c r="BB67" s="487">
        <v>0</v>
      </c>
      <c r="BC67" s="487">
        <v>0</v>
      </c>
      <c r="BD67" s="487">
        <v>0</v>
      </c>
      <c r="BE67" s="487">
        <v>0</v>
      </c>
      <c r="BF67" s="487">
        <v>0</v>
      </c>
      <c r="BG67" s="487">
        <v>0</v>
      </c>
      <c r="BH67" s="487">
        <v>0</v>
      </c>
      <c r="BI67" s="487">
        <v>0</v>
      </c>
      <c r="BJ67" s="487">
        <v>0</v>
      </c>
    </row>
    <row r="68" spans="1:62" ht="14.1" customHeight="1" collapsed="1" x14ac:dyDescent="0.2">
      <c r="A68" s="268" t="s">
        <v>1135</v>
      </c>
      <c r="B68" s="489" t="s">
        <v>1135</v>
      </c>
      <c r="C68" s="487">
        <v>0</v>
      </c>
      <c r="D68" s="487">
        <v>0</v>
      </c>
      <c r="E68" s="487">
        <v>0</v>
      </c>
      <c r="F68" s="487">
        <v>0</v>
      </c>
      <c r="G68" s="487">
        <v>0</v>
      </c>
      <c r="H68" s="488">
        <v>0</v>
      </c>
      <c r="I68" s="487">
        <v>0</v>
      </c>
      <c r="J68" s="487">
        <v>0</v>
      </c>
      <c r="K68" s="487">
        <v>0</v>
      </c>
      <c r="L68" s="487">
        <v>0</v>
      </c>
      <c r="M68" s="487">
        <v>0</v>
      </c>
      <c r="N68" s="487">
        <v>0</v>
      </c>
      <c r="O68" s="488" t="s">
        <v>47</v>
      </c>
      <c r="P68" s="487" t="s">
        <v>47</v>
      </c>
      <c r="Q68" s="487" t="s">
        <v>47</v>
      </c>
      <c r="R68" s="487" t="s">
        <v>47</v>
      </c>
      <c r="S68" s="487" t="s">
        <v>47</v>
      </c>
      <c r="T68" s="488" t="s">
        <v>47</v>
      </c>
      <c r="U68" s="487" t="s">
        <v>47</v>
      </c>
      <c r="V68" s="487" t="s">
        <v>47</v>
      </c>
      <c r="W68" s="487" t="s">
        <v>47</v>
      </c>
      <c r="X68" s="487" t="s">
        <v>47</v>
      </c>
      <c r="Y68" s="487" t="s">
        <v>47</v>
      </c>
      <c r="Z68" s="487" t="s">
        <v>47</v>
      </c>
      <c r="AA68" s="487" t="s">
        <v>47</v>
      </c>
      <c r="AB68" s="487" t="s">
        <v>47</v>
      </c>
      <c r="AC68" s="487" t="s">
        <v>47</v>
      </c>
      <c r="AD68" s="487" t="s">
        <v>47</v>
      </c>
      <c r="AE68" s="487" t="s">
        <v>47</v>
      </c>
      <c r="AF68" s="487" t="s">
        <v>47</v>
      </c>
      <c r="AG68" s="487" t="s">
        <v>47</v>
      </c>
      <c r="AH68" s="487" t="s">
        <v>47</v>
      </c>
      <c r="AI68" s="487">
        <v>0</v>
      </c>
      <c r="AJ68" s="487" t="s">
        <v>47</v>
      </c>
      <c r="AK68" s="487">
        <v>0</v>
      </c>
      <c r="AL68" s="487">
        <v>0</v>
      </c>
      <c r="AM68" s="487">
        <v>0</v>
      </c>
      <c r="AN68" s="487">
        <v>0</v>
      </c>
      <c r="AO68" s="487">
        <v>0</v>
      </c>
      <c r="AP68" s="487">
        <v>0</v>
      </c>
      <c r="AQ68" s="487">
        <v>0</v>
      </c>
      <c r="AR68" s="487">
        <v>0</v>
      </c>
      <c r="AS68" s="487">
        <v>0</v>
      </c>
      <c r="AT68" s="487">
        <v>2450</v>
      </c>
      <c r="AU68" s="487">
        <v>2450</v>
      </c>
      <c r="AV68" s="487">
        <v>2450</v>
      </c>
      <c r="AW68" s="487">
        <v>2450</v>
      </c>
      <c r="AX68" s="487">
        <v>2912</v>
      </c>
      <c r="AY68" s="487">
        <v>2912</v>
      </c>
      <c r="AZ68" s="487">
        <v>2912</v>
      </c>
      <c r="BA68" s="487">
        <v>2912</v>
      </c>
      <c r="BB68" s="487">
        <v>2726</v>
      </c>
      <c r="BC68" s="487">
        <v>2726</v>
      </c>
      <c r="BD68" s="487">
        <v>2726</v>
      </c>
      <c r="BE68" s="487">
        <v>2726</v>
      </c>
      <c r="BF68" s="487">
        <v>2475</v>
      </c>
      <c r="BG68" s="487">
        <v>2475</v>
      </c>
      <c r="BH68" s="487">
        <v>2475</v>
      </c>
      <c r="BI68" s="487">
        <v>2475</v>
      </c>
      <c r="BJ68" s="487">
        <v>1856</v>
      </c>
    </row>
    <row r="69" spans="1:62" ht="14.1" hidden="1" customHeight="1" outlineLevel="1" x14ac:dyDescent="0.2">
      <c r="B69" s="495" t="s">
        <v>204</v>
      </c>
      <c r="C69" s="493">
        <v>13280</v>
      </c>
      <c r="D69" s="493">
        <v>10206</v>
      </c>
      <c r="E69" s="493">
        <v>5143</v>
      </c>
      <c r="F69" s="493">
        <v>2560</v>
      </c>
      <c r="G69" s="493">
        <v>10403</v>
      </c>
      <c r="H69" s="493">
        <v>10297</v>
      </c>
      <c r="I69" s="493">
        <v>9325</v>
      </c>
      <c r="J69" s="493">
        <v>10845</v>
      </c>
      <c r="K69" s="493">
        <v>9415</v>
      </c>
      <c r="L69" s="493">
        <v>8604</v>
      </c>
      <c r="M69" s="493">
        <v>8604</v>
      </c>
      <c r="N69" s="493">
        <v>8246</v>
      </c>
      <c r="O69" s="494">
        <v>8139</v>
      </c>
      <c r="P69" s="493">
        <v>8207</v>
      </c>
      <c r="Q69" s="493">
        <v>8098</v>
      </c>
      <c r="R69" s="493">
        <v>7188</v>
      </c>
      <c r="S69" s="493">
        <v>7083</v>
      </c>
      <c r="T69" s="494">
        <v>268</v>
      </c>
      <c r="U69" s="493">
        <v>586</v>
      </c>
      <c r="V69" s="493">
        <v>48</v>
      </c>
      <c r="W69" s="493">
        <v>38</v>
      </c>
      <c r="X69" s="493">
        <v>33</v>
      </c>
      <c r="Y69" s="493">
        <v>29</v>
      </c>
      <c r="Z69" s="493">
        <v>19</v>
      </c>
      <c r="AA69" s="493">
        <v>12</v>
      </c>
      <c r="AB69" s="493">
        <v>5</v>
      </c>
      <c r="AC69" s="493">
        <v>0</v>
      </c>
      <c r="AD69" s="493">
        <v>0</v>
      </c>
      <c r="AE69" s="493">
        <v>0</v>
      </c>
      <c r="AF69" s="493">
        <v>0</v>
      </c>
      <c r="AG69" s="493">
        <v>0</v>
      </c>
      <c r="AH69" s="493">
        <v>0</v>
      </c>
      <c r="AI69" s="493">
        <v>0</v>
      </c>
      <c r="AJ69" s="493">
        <v>0</v>
      </c>
      <c r="AK69" s="493">
        <v>0</v>
      </c>
      <c r="AL69" s="493">
        <v>0</v>
      </c>
      <c r="AM69" s="493">
        <v>0</v>
      </c>
      <c r="AN69" s="493">
        <v>0</v>
      </c>
      <c r="AO69" s="493">
        <v>0</v>
      </c>
      <c r="AP69" s="493">
        <v>0</v>
      </c>
      <c r="AQ69" s="493">
        <v>0</v>
      </c>
      <c r="AR69" s="493">
        <v>0</v>
      </c>
      <c r="AS69" s="493">
        <v>0</v>
      </c>
      <c r="AT69" s="493">
        <v>0</v>
      </c>
      <c r="AU69" s="493">
        <v>0</v>
      </c>
      <c r="AV69" s="493">
        <v>0</v>
      </c>
      <c r="AW69" s="493">
        <v>0</v>
      </c>
      <c r="AX69" s="493"/>
      <c r="AY69" s="493">
        <v>0</v>
      </c>
      <c r="AZ69" s="493">
        <v>0</v>
      </c>
      <c r="BA69" s="493">
        <v>0</v>
      </c>
      <c r="BB69" s="493">
        <v>0</v>
      </c>
      <c r="BC69" s="493">
        <v>0</v>
      </c>
      <c r="BD69" s="493">
        <v>0</v>
      </c>
      <c r="BE69" s="493">
        <v>0</v>
      </c>
      <c r="BF69" s="493">
        <v>0</v>
      </c>
      <c r="BG69" s="493"/>
      <c r="BH69" s="493"/>
      <c r="BI69" s="493"/>
      <c r="BJ69" s="493">
        <v>0</v>
      </c>
    </row>
    <row r="70" spans="1:62" ht="14.1" hidden="1" customHeight="1" outlineLevel="1" x14ac:dyDescent="0.2">
      <c r="B70" s="495" t="s">
        <v>202</v>
      </c>
      <c r="C70" s="493">
        <v>0</v>
      </c>
      <c r="D70" s="493">
        <v>0</v>
      </c>
      <c r="E70" s="493">
        <v>0</v>
      </c>
      <c r="F70" s="493">
        <v>0</v>
      </c>
      <c r="G70" s="493">
        <v>0</v>
      </c>
      <c r="H70" s="493">
        <v>0</v>
      </c>
      <c r="I70" s="493">
        <v>0</v>
      </c>
      <c r="J70" s="493">
        <v>0</v>
      </c>
      <c r="K70" s="493">
        <v>0</v>
      </c>
      <c r="L70" s="493">
        <v>0</v>
      </c>
      <c r="M70" s="493">
        <v>0</v>
      </c>
      <c r="N70" s="493">
        <v>0</v>
      </c>
      <c r="O70" s="494">
        <v>0</v>
      </c>
      <c r="P70" s="493">
        <v>0</v>
      </c>
      <c r="Q70" s="493">
        <v>0</v>
      </c>
      <c r="R70" s="493">
        <v>0</v>
      </c>
      <c r="S70" s="493">
        <v>0</v>
      </c>
      <c r="T70" s="494">
        <v>0</v>
      </c>
      <c r="U70" s="493">
        <v>0</v>
      </c>
      <c r="V70" s="493">
        <v>0</v>
      </c>
      <c r="W70" s="493">
        <v>0</v>
      </c>
      <c r="X70" s="493">
        <v>0</v>
      </c>
      <c r="Y70" s="493">
        <v>0</v>
      </c>
      <c r="Z70" s="493">
        <v>0</v>
      </c>
      <c r="AA70" s="493">
        <v>0</v>
      </c>
      <c r="AB70" s="493">
        <v>0</v>
      </c>
      <c r="AC70" s="493">
        <v>0</v>
      </c>
      <c r="AD70" s="493">
        <v>196</v>
      </c>
      <c r="AE70" s="493">
        <v>504</v>
      </c>
      <c r="AF70" s="493">
        <v>0</v>
      </c>
      <c r="AG70" s="493">
        <v>0</v>
      </c>
      <c r="AH70" s="493">
        <v>0</v>
      </c>
      <c r="AI70" s="493">
        <v>0</v>
      </c>
      <c r="AJ70" s="493">
        <v>0</v>
      </c>
      <c r="AK70" s="493">
        <v>0</v>
      </c>
      <c r="AL70" s="493">
        <v>0</v>
      </c>
      <c r="AM70" s="493">
        <v>0</v>
      </c>
      <c r="AN70" s="493">
        <v>0</v>
      </c>
      <c r="AO70" s="493">
        <v>0</v>
      </c>
      <c r="AP70" s="493">
        <v>0</v>
      </c>
      <c r="AQ70" s="493">
        <v>0</v>
      </c>
      <c r="AR70" s="493">
        <v>0</v>
      </c>
      <c r="AS70" s="493">
        <v>0</v>
      </c>
      <c r="AT70" s="493">
        <v>0</v>
      </c>
      <c r="AU70" s="493">
        <v>0</v>
      </c>
      <c r="AV70" s="493">
        <v>0</v>
      </c>
      <c r="AW70" s="493">
        <v>0</v>
      </c>
      <c r="AX70" s="493"/>
      <c r="AY70" s="493">
        <v>0</v>
      </c>
      <c r="AZ70" s="493">
        <v>0</v>
      </c>
      <c r="BA70" s="493">
        <v>0</v>
      </c>
      <c r="BB70" s="493">
        <v>0</v>
      </c>
      <c r="BC70" s="493">
        <v>0</v>
      </c>
      <c r="BD70" s="493">
        <v>0</v>
      </c>
      <c r="BE70" s="493">
        <v>0</v>
      </c>
      <c r="BF70" s="493">
        <v>0</v>
      </c>
      <c r="BG70" s="493"/>
      <c r="BH70" s="493"/>
      <c r="BI70" s="493"/>
      <c r="BJ70" s="493">
        <v>0</v>
      </c>
    </row>
    <row r="71" spans="1:62" ht="14.1" hidden="1" customHeight="1" outlineLevel="1" x14ac:dyDescent="0.2">
      <c r="B71" s="495" t="s">
        <v>205</v>
      </c>
      <c r="C71" s="493">
        <v>0</v>
      </c>
      <c r="D71" s="493">
        <v>0</v>
      </c>
      <c r="E71" s="493">
        <v>0</v>
      </c>
      <c r="F71" s="493">
        <v>0</v>
      </c>
      <c r="G71" s="493">
        <v>2600</v>
      </c>
      <c r="H71" s="493">
        <v>0</v>
      </c>
      <c r="I71" s="493">
        <v>0</v>
      </c>
      <c r="J71" s="493">
        <v>13056</v>
      </c>
      <c r="K71" s="493">
        <v>21589</v>
      </c>
      <c r="L71" s="493">
        <v>24000</v>
      </c>
      <c r="M71" s="493">
        <v>14062</v>
      </c>
      <c r="N71" s="493">
        <v>16552</v>
      </c>
      <c r="O71" s="494">
        <v>16955</v>
      </c>
      <c r="P71" s="493">
        <v>17387</v>
      </c>
      <c r="Q71" s="493">
        <v>8564</v>
      </c>
      <c r="R71" s="493">
        <v>8762</v>
      </c>
      <c r="S71" s="493">
        <v>8972</v>
      </c>
      <c r="T71" s="494">
        <v>9197</v>
      </c>
      <c r="U71" s="493">
        <v>9448</v>
      </c>
      <c r="V71" s="493">
        <v>9709</v>
      </c>
      <c r="W71" s="493">
        <v>9981</v>
      </c>
      <c r="X71" s="493">
        <v>10283</v>
      </c>
      <c r="Y71" s="493">
        <v>10650</v>
      </c>
      <c r="Z71" s="493">
        <v>11008</v>
      </c>
      <c r="AA71" s="493">
        <v>0</v>
      </c>
      <c r="AB71" s="493">
        <v>0</v>
      </c>
      <c r="AC71" s="493">
        <v>0</v>
      </c>
      <c r="AD71" s="493">
        <v>0</v>
      </c>
      <c r="AE71" s="493">
        <v>0</v>
      </c>
      <c r="AF71" s="493">
        <v>0</v>
      </c>
      <c r="AG71" s="493">
        <v>0</v>
      </c>
      <c r="AH71" s="493">
        <v>0</v>
      </c>
      <c r="AI71" s="493">
        <v>0</v>
      </c>
      <c r="AJ71" s="493">
        <v>0</v>
      </c>
      <c r="AK71" s="493">
        <v>0</v>
      </c>
      <c r="AL71" s="493">
        <v>0</v>
      </c>
      <c r="AM71" s="493">
        <v>0</v>
      </c>
      <c r="AN71" s="493">
        <v>0</v>
      </c>
      <c r="AO71" s="493">
        <v>0</v>
      </c>
      <c r="AP71" s="493">
        <v>0</v>
      </c>
      <c r="AQ71" s="493">
        <v>0</v>
      </c>
      <c r="AR71" s="493">
        <v>0</v>
      </c>
      <c r="AS71" s="493">
        <v>0</v>
      </c>
      <c r="AT71" s="493">
        <v>0</v>
      </c>
      <c r="AU71" s="493">
        <v>0</v>
      </c>
      <c r="AV71" s="493">
        <v>0</v>
      </c>
      <c r="AW71" s="493">
        <v>0</v>
      </c>
      <c r="AX71" s="493"/>
      <c r="AY71" s="493">
        <v>0</v>
      </c>
      <c r="AZ71" s="493">
        <v>0</v>
      </c>
      <c r="BA71" s="493">
        <v>0</v>
      </c>
      <c r="BB71" s="493">
        <v>0</v>
      </c>
      <c r="BC71" s="493">
        <v>0</v>
      </c>
      <c r="BD71" s="493">
        <v>0</v>
      </c>
      <c r="BE71" s="493">
        <v>0</v>
      </c>
      <c r="BF71" s="493">
        <v>0</v>
      </c>
      <c r="BG71" s="493"/>
      <c r="BH71" s="493"/>
      <c r="BI71" s="493"/>
      <c r="BJ71" s="493">
        <v>0</v>
      </c>
    </row>
    <row r="72" spans="1:62" ht="14.1" hidden="1" customHeight="1" outlineLevel="1" x14ac:dyDescent="0.2">
      <c r="B72" s="492" t="s">
        <v>194</v>
      </c>
      <c r="C72" s="493">
        <v>0</v>
      </c>
      <c r="D72" s="493">
        <v>19351</v>
      </c>
      <c r="E72" s="493">
        <v>0</v>
      </c>
      <c r="F72" s="493">
        <v>0</v>
      </c>
      <c r="G72" s="493">
        <v>0</v>
      </c>
      <c r="H72" s="493">
        <v>0</v>
      </c>
      <c r="I72" s="493">
        <v>0</v>
      </c>
      <c r="J72" s="493">
        <v>0</v>
      </c>
      <c r="K72" s="493">
        <v>0</v>
      </c>
      <c r="L72" s="493">
        <v>0</v>
      </c>
      <c r="M72" s="493">
        <v>0</v>
      </c>
      <c r="N72" s="493">
        <v>0</v>
      </c>
      <c r="O72" s="494">
        <v>0</v>
      </c>
      <c r="P72" s="493">
        <v>0</v>
      </c>
      <c r="Q72" s="493">
        <v>0</v>
      </c>
      <c r="R72" s="493">
        <v>0</v>
      </c>
      <c r="S72" s="493">
        <v>206</v>
      </c>
      <c r="T72" s="494">
        <v>206</v>
      </c>
      <c r="U72" s="493">
        <v>206</v>
      </c>
      <c r="V72" s="493">
        <v>0</v>
      </c>
      <c r="W72" s="493">
        <v>0</v>
      </c>
      <c r="X72" s="493">
        <v>0</v>
      </c>
      <c r="Y72" s="493">
        <v>0</v>
      </c>
      <c r="Z72" s="493">
        <v>0</v>
      </c>
      <c r="AA72" s="493">
        <v>0</v>
      </c>
      <c r="AB72" s="493">
        <v>0</v>
      </c>
      <c r="AC72" s="493">
        <v>0</v>
      </c>
      <c r="AD72" s="493">
        <v>0</v>
      </c>
      <c r="AE72" s="493">
        <v>0</v>
      </c>
      <c r="AF72" s="493">
        <v>0</v>
      </c>
      <c r="AG72" s="493">
        <v>0</v>
      </c>
      <c r="AH72" s="493">
        <v>0</v>
      </c>
      <c r="AI72" s="493">
        <v>0</v>
      </c>
      <c r="AJ72" s="493">
        <v>0</v>
      </c>
      <c r="AK72" s="493">
        <v>0</v>
      </c>
      <c r="AL72" s="493">
        <v>0</v>
      </c>
      <c r="AM72" s="493">
        <v>0</v>
      </c>
      <c r="AN72" s="493">
        <v>0</v>
      </c>
      <c r="AO72" s="493">
        <v>0</v>
      </c>
      <c r="AP72" s="493">
        <v>0</v>
      </c>
      <c r="AQ72" s="493">
        <v>0</v>
      </c>
      <c r="AR72" s="493">
        <v>0</v>
      </c>
      <c r="AS72" s="493">
        <v>0</v>
      </c>
      <c r="AT72" s="493">
        <v>0</v>
      </c>
      <c r="AU72" s="493">
        <v>0</v>
      </c>
      <c r="AV72" s="493">
        <v>0</v>
      </c>
      <c r="AW72" s="493">
        <v>0</v>
      </c>
      <c r="AX72" s="493"/>
      <c r="AY72" s="493">
        <v>0</v>
      </c>
      <c r="AZ72" s="493">
        <v>0</v>
      </c>
      <c r="BA72" s="493">
        <v>0</v>
      </c>
      <c r="BB72" s="493">
        <v>0</v>
      </c>
      <c r="BC72" s="493">
        <v>0</v>
      </c>
      <c r="BD72" s="493">
        <v>0</v>
      </c>
      <c r="BE72" s="493">
        <v>0</v>
      </c>
      <c r="BF72" s="493">
        <v>0</v>
      </c>
      <c r="BG72" s="493"/>
      <c r="BH72" s="493"/>
      <c r="BI72" s="493"/>
      <c r="BJ72" s="493">
        <v>0</v>
      </c>
    </row>
    <row r="73" spans="1:62" ht="14.1" hidden="1" customHeight="1" outlineLevel="1" x14ac:dyDescent="0.2">
      <c r="B73" s="492" t="s">
        <v>176</v>
      </c>
      <c r="C73" s="493">
        <v>0</v>
      </c>
      <c r="D73" s="493">
        <v>0</v>
      </c>
      <c r="E73" s="493">
        <v>0</v>
      </c>
      <c r="F73" s="493">
        <v>0</v>
      </c>
      <c r="G73" s="493">
        <v>0</v>
      </c>
      <c r="H73" s="493">
        <v>0</v>
      </c>
      <c r="I73" s="493">
        <v>0</v>
      </c>
      <c r="J73" s="493">
        <v>0</v>
      </c>
      <c r="K73" s="493">
        <v>0</v>
      </c>
      <c r="L73" s="493">
        <v>0</v>
      </c>
      <c r="M73" s="493">
        <v>0</v>
      </c>
      <c r="N73" s="493">
        <v>0</v>
      </c>
      <c r="O73" s="494">
        <v>0</v>
      </c>
      <c r="P73" s="493">
        <v>0</v>
      </c>
      <c r="Q73" s="493">
        <v>0</v>
      </c>
      <c r="R73" s="493">
        <v>0</v>
      </c>
      <c r="S73" s="493">
        <v>318</v>
      </c>
      <c r="T73" s="494">
        <v>1995</v>
      </c>
      <c r="U73" s="493">
        <v>0</v>
      </c>
      <c r="V73" s="493">
        <v>0</v>
      </c>
      <c r="W73" s="493">
        <v>0</v>
      </c>
      <c r="X73" s="493">
        <v>0</v>
      </c>
      <c r="Y73" s="493">
        <v>0</v>
      </c>
      <c r="Z73" s="493">
        <v>0</v>
      </c>
      <c r="AA73" s="493">
        <v>0</v>
      </c>
      <c r="AB73" s="493">
        <v>0</v>
      </c>
      <c r="AC73" s="493">
        <v>0</v>
      </c>
      <c r="AD73" s="493">
        <v>0</v>
      </c>
      <c r="AE73" s="493">
        <v>0</v>
      </c>
      <c r="AF73" s="493">
        <v>0</v>
      </c>
      <c r="AG73" s="493">
        <v>0</v>
      </c>
      <c r="AH73" s="493">
        <v>0</v>
      </c>
      <c r="AI73" s="493">
        <v>0</v>
      </c>
      <c r="AJ73" s="493">
        <v>0</v>
      </c>
      <c r="AK73" s="493">
        <v>0</v>
      </c>
      <c r="AL73" s="493">
        <v>0</v>
      </c>
      <c r="AM73" s="493">
        <v>0</v>
      </c>
      <c r="AN73" s="493">
        <v>0</v>
      </c>
      <c r="AO73" s="493">
        <v>0</v>
      </c>
      <c r="AP73" s="493">
        <v>0</v>
      </c>
      <c r="AQ73" s="493">
        <v>0</v>
      </c>
      <c r="AR73" s="493">
        <v>0</v>
      </c>
      <c r="AS73" s="493">
        <v>0</v>
      </c>
      <c r="AT73" s="493">
        <v>0</v>
      </c>
      <c r="AU73" s="493">
        <v>0</v>
      </c>
      <c r="AV73" s="493">
        <v>0</v>
      </c>
      <c r="AW73" s="493">
        <v>0</v>
      </c>
      <c r="AX73" s="493"/>
      <c r="AY73" s="493">
        <v>0</v>
      </c>
      <c r="AZ73" s="493">
        <v>0</v>
      </c>
      <c r="BA73" s="493">
        <v>0</v>
      </c>
      <c r="BB73" s="493">
        <v>0</v>
      </c>
      <c r="BC73" s="493">
        <v>0</v>
      </c>
      <c r="BD73" s="493">
        <v>0</v>
      </c>
      <c r="BE73" s="493">
        <v>0</v>
      </c>
      <c r="BF73" s="493">
        <v>0</v>
      </c>
      <c r="BG73" s="493"/>
      <c r="BH73" s="493"/>
      <c r="BI73" s="493"/>
      <c r="BJ73" s="493">
        <v>0</v>
      </c>
    </row>
    <row r="74" spans="1:62" ht="14.1" hidden="1" customHeight="1" outlineLevel="1" x14ac:dyDescent="0.2">
      <c r="B74" s="506" t="s">
        <v>199</v>
      </c>
      <c r="C74" s="497">
        <v>0</v>
      </c>
      <c r="D74" s="497">
        <v>0</v>
      </c>
      <c r="E74" s="497">
        <v>0</v>
      </c>
      <c r="F74" s="497">
        <v>0</v>
      </c>
      <c r="G74" s="497">
        <v>21100</v>
      </c>
      <c r="H74" s="497">
        <v>23700</v>
      </c>
      <c r="I74" s="497">
        <v>24500</v>
      </c>
      <c r="J74" s="497">
        <v>51000</v>
      </c>
      <c r="K74" s="497">
        <v>52324</v>
      </c>
      <c r="L74" s="497">
        <v>53646</v>
      </c>
      <c r="M74" s="497">
        <v>67013</v>
      </c>
      <c r="N74" s="497">
        <v>56576</v>
      </c>
      <c r="O74" s="498">
        <v>57888</v>
      </c>
      <c r="P74" s="497">
        <v>59300</v>
      </c>
      <c r="Q74" s="497">
        <v>0</v>
      </c>
      <c r="R74" s="497">
        <v>0</v>
      </c>
      <c r="S74" s="497">
        <v>0</v>
      </c>
      <c r="T74" s="498">
        <v>0</v>
      </c>
      <c r="U74" s="497">
        <v>0</v>
      </c>
      <c r="V74" s="497">
        <v>0</v>
      </c>
      <c r="W74" s="497">
        <v>0</v>
      </c>
      <c r="X74" s="497">
        <v>0</v>
      </c>
      <c r="Y74" s="497">
        <v>0</v>
      </c>
      <c r="Z74" s="497">
        <v>0</v>
      </c>
      <c r="AA74" s="497">
        <v>0</v>
      </c>
      <c r="AB74" s="497">
        <v>0</v>
      </c>
      <c r="AC74" s="497">
        <v>0</v>
      </c>
      <c r="AD74" s="497">
        <v>0</v>
      </c>
      <c r="AE74" s="497">
        <v>0</v>
      </c>
      <c r="AF74" s="497">
        <v>0</v>
      </c>
      <c r="AG74" s="497">
        <v>0</v>
      </c>
      <c r="AH74" s="497">
        <v>0</v>
      </c>
      <c r="AI74" s="497">
        <v>0</v>
      </c>
      <c r="AJ74" s="497">
        <v>0</v>
      </c>
      <c r="AK74" s="497">
        <v>0</v>
      </c>
      <c r="AL74" s="497">
        <v>0</v>
      </c>
      <c r="AM74" s="497">
        <v>0</v>
      </c>
      <c r="AN74" s="497">
        <v>0</v>
      </c>
      <c r="AO74" s="497">
        <v>0</v>
      </c>
      <c r="AP74" s="497">
        <v>0</v>
      </c>
      <c r="AQ74" s="497">
        <v>0</v>
      </c>
      <c r="AR74" s="497">
        <v>0</v>
      </c>
      <c r="AS74" s="497">
        <v>0</v>
      </c>
      <c r="AT74" s="497">
        <v>0</v>
      </c>
      <c r="AU74" s="497">
        <v>0</v>
      </c>
      <c r="AV74" s="497">
        <v>0</v>
      </c>
      <c r="AW74" s="497">
        <v>0</v>
      </c>
      <c r="AX74" s="497"/>
      <c r="AY74" s="497">
        <v>0</v>
      </c>
      <c r="AZ74" s="497">
        <v>0</v>
      </c>
      <c r="BA74" s="497">
        <v>0</v>
      </c>
      <c r="BB74" s="497">
        <v>0</v>
      </c>
      <c r="BC74" s="497">
        <v>0</v>
      </c>
      <c r="BD74" s="497">
        <v>0</v>
      </c>
      <c r="BE74" s="497">
        <v>0</v>
      </c>
      <c r="BF74" s="497">
        <v>0</v>
      </c>
      <c r="BG74" s="497"/>
      <c r="BH74" s="497"/>
      <c r="BI74" s="497"/>
      <c r="BJ74" s="497">
        <v>0</v>
      </c>
    </row>
    <row r="75" spans="1:62" ht="18" customHeight="1" x14ac:dyDescent="0.2">
      <c r="B75" s="505"/>
      <c r="C75" s="734"/>
      <c r="D75" s="734"/>
      <c r="E75" s="734"/>
      <c r="F75" s="734"/>
      <c r="G75" s="734"/>
      <c r="H75" s="734"/>
      <c r="I75" s="734"/>
      <c r="J75" s="734"/>
      <c r="K75" s="734"/>
      <c r="L75" s="734"/>
      <c r="M75" s="734"/>
      <c r="N75" s="734"/>
      <c r="O75" s="735"/>
      <c r="P75" s="734"/>
      <c r="Q75" s="734"/>
      <c r="R75" s="734"/>
      <c r="S75" s="734"/>
      <c r="T75" s="735"/>
      <c r="U75" s="734"/>
      <c r="V75" s="736"/>
      <c r="W75" s="736"/>
      <c r="X75" s="736"/>
      <c r="Y75" s="998"/>
      <c r="Z75" s="998"/>
      <c r="AA75" s="998"/>
      <c r="AB75" s="998"/>
      <c r="AC75" s="998"/>
      <c r="AD75" s="998"/>
      <c r="AE75" s="998"/>
      <c r="AF75" s="998"/>
      <c r="AG75" s="998"/>
      <c r="AH75" s="998"/>
      <c r="AI75" s="998"/>
      <c r="AJ75" s="998"/>
      <c r="AK75" s="998"/>
      <c r="AL75" s="998"/>
      <c r="AM75" s="998"/>
      <c r="AN75" s="998"/>
      <c r="AO75" s="998"/>
      <c r="AP75" s="998"/>
      <c r="AQ75" s="998"/>
      <c r="AR75" s="998"/>
      <c r="AS75" s="998"/>
      <c r="AT75" s="998"/>
      <c r="AU75" s="998"/>
      <c r="AV75" s="998"/>
      <c r="AW75" s="998"/>
      <c r="AX75" s="998"/>
      <c r="AY75" s="998"/>
      <c r="AZ75" s="998"/>
      <c r="BA75" s="998"/>
      <c r="BB75" s="998"/>
      <c r="BC75" s="998"/>
      <c r="BD75" s="998"/>
      <c r="BE75" s="998"/>
      <c r="BF75" s="998"/>
      <c r="BG75" s="998"/>
      <c r="BH75" s="998"/>
      <c r="BI75" s="998"/>
      <c r="BJ75" s="998"/>
    </row>
    <row r="76" spans="1:62" ht="14.1" customHeight="1" thickBot="1" x14ac:dyDescent="0.25">
      <c r="B76" s="483" t="s">
        <v>206</v>
      </c>
      <c r="C76" s="484">
        <f t="shared" ref="C76:AE76" si="31">SUM(C77:C83)</f>
        <v>353544</v>
      </c>
      <c r="D76" s="484">
        <f t="shared" si="31"/>
        <v>323597</v>
      </c>
      <c r="E76" s="484">
        <f t="shared" si="31"/>
        <v>339862</v>
      </c>
      <c r="F76" s="484">
        <f t="shared" si="31"/>
        <v>419862</v>
      </c>
      <c r="G76" s="484">
        <f t="shared" si="31"/>
        <v>418810</v>
      </c>
      <c r="H76" s="485">
        <f t="shared" si="31"/>
        <v>408402</v>
      </c>
      <c r="I76" s="484">
        <f t="shared" si="31"/>
        <v>419218</v>
      </c>
      <c r="J76" s="484">
        <f t="shared" si="31"/>
        <v>404086</v>
      </c>
      <c r="K76" s="484">
        <f t="shared" si="31"/>
        <v>418220</v>
      </c>
      <c r="L76" s="484">
        <f t="shared" si="31"/>
        <v>407478</v>
      </c>
      <c r="M76" s="484">
        <f t="shared" si="31"/>
        <v>423468</v>
      </c>
      <c r="N76" s="484">
        <f t="shared" si="31"/>
        <v>424064</v>
      </c>
      <c r="O76" s="485">
        <f t="shared" si="31"/>
        <v>428272</v>
      </c>
      <c r="P76" s="484">
        <f t="shared" si="31"/>
        <v>416422</v>
      </c>
      <c r="Q76" s="484">
        <f t="shared" si="31"/>
        <v>422689</v>
      </c>
      <c r="R76" s="484">
        <f t="shared" si="31"/>
        <v>401540</v>
      </c>
      <c r="S76" s="484">
        <f t="shared" si="31"/>
        <v>402978</v>
      </c>
      <c r="T76" s="485">
        <f t="shared" si="31"/>
        <v>376377</v>
      </c>
      <c r="U76" s="484">
        <f t="shared" si="31"/>
        <v>348548</v>
      </c>
      <c r="V76" s="484">
        <f t="shared" si="31"/>
        <v>362097</v>
      </c>
      <c r="W76" s="484">
        <f t="shared" si="31"/>
        <v>369830</v>
      </c>
      <c r="X76" s="484">
        <f t="shared" si="31"/>
        <v>371095</v>
      </c>
      <c r="Y76" s="484">
        <f t="shared" si="31"/>
        <v>370984</v>
      </c>
      <c r="Z76" s="484">
        <f t="shared" si="31"/>
        <v>365363</v>
      </c>
      <c r="AA76" s="484">
        <f t="shared" si="31"/>
        <v>362782</v>
      </c>
      <c r="AB76" s="484">
        <f t="shared" si="31"/>
        <v>362054</v>
      </c>
      <c r="AC76" s="484">
        <f t="shared" si="31"/>
        <v>365895</v>
      </c>
      <c r="AD76" s="484">
        <f t="shared" si="31"/>
        <v>375077</v>
      </c>
      <c r="AE76" s="484">
        <f t="shared" si="31"/>
        <v>380528</v>
      </c>
      <c r="AF76" s="484">
        <v>400073</v>
      </c>
      <c r="AG76" s="484">
        <f t="shared" ref="AG76:AP76" si="32">SUM(AG77:AG83)</f>
        <v>400609</v>
      </c>
      <c r="AH76" s="484">
        <f t="shared" si="32"/>
        <v>448806</v>
      </c>
      <c r="AI76" s="484">
        <f t="shared" si="32"/>
        <v>462802</v>
      </c>
      <c r="AJ76" s="484">
        <f t="shared" si="32"/>
        <v>455259</v>
      </c>
      <c r="AK76" s="484">
        <f t="shared" si="32"/>
        <v>465415</v>
      </c>
      <c r="AL76" s="484">
        <f t="shared" si="32"/>
        <v>484372</v>
      </c>
      <c r="AM76" s="484">
        <f t="shared" si="32"/>
        <v>511005</v>
      </c>
      <c r="AN76" s="484">
        <f t="shared" si="32"/>
        <v>515840</v>
      </c>
      <c r="AO76" s="484">
        <f t="shared" si="32"/>
        <v>577735</v>
      </c>
      <c r="AP76" s="484">
        <f t="shared" si="32"/>
        <v>575079</v>
      </c>
      <c r="AQ76" s="484">
        <f t="shared" ref="AQ76:AZ76" si="33">SUM(AQ77:AQ83)</f>
        <v>595131</v>
      </c>
      <c r="AR76" s="484">
        <f t="shared" si="33"/>
        <v>590088</v>
      </c>
      <c r="AS76" s="484">
        <f t="shared" si="33"/>
        <v>619947</v>
      </c>
      <c r="AT76" s="484">
        <f t="shared" si="33"/>
        <v>624663</v>
      </c>
      <c r="AU76" s="484">
        <f t="shared" si="33"/>
        <v>644911</v>
      </c>
      <c r="AV76" s="484">
        <f t="shared" si="33"/>
        <v>656554</v>
      </c>
      <c r="AW76" s="484">
        <f t="shared" si="33"/>
        <v>668634</v>
      </c>
      <c r="AX76" s="484">
        <f t="shared" si="33"/>
        <v>680734</v>
      </c>
      <c r="AY76" s="484">
        <f t="shared" si="33"/>
        <v>699442</v>
      </c>
      <c r="AZ76" s="484">
        <f t="shared" si="33"/>
        <v>707573</v>
      </c>
      <c r="BA76" s="484">
        <f t="shared" ref="BA76:BJ76" si="34">SUM(BA77:BA83)</f>
        <v>736379</v>
      </c>
      <c r="BB76" s="484">
        <f t="shared" si="34"/>
        <v>766189</v>
      </c>
      <c r="BC76" s="484">
        <f t="shared" si="34"/>
        <v>800844</v>
      </c>
      <c r="BD76" s="484">
        <f t="shared" si="34"/>
        <v>800942</v>
      </c>
      <c r="BE76" s="484">
        <f t="shared" si="34"/>
        <v>819533</v>
      </c>
      <c r="BF76" s="484">
        <f t="shared" si="34"/>
        <v>835170</v>
      </c>
      <c r="BG76" s="484">
        <f t="shared" si="34"/>
        <v>872453</v>
      </c>
      <c r="BH76" s="484">
        <f t="shared" si="34"/>
        <v>888230</v>
      </c>
      <c r="BI76" s="484">
        <f t="shared" si="34"/>
        <v>892007</v>
      </c>
      <c r="BJ76" s="484">
        <f t="shared" si="34"/>
        <v>921409</v>
      </c>
    </row>
    <row r="77" spans="1:62" ht="14.1" customHeight="1" x14ac:dyDescent="0.2">
      <c r="B77" s="508" t="s">
        <v>207</v>
      </c>
      <c r="C77" s="509">
        <v>144469</v>
      </c>
      <c r="D77" s="509">
        <v>144469</v>
      </c>
      <c r="E77" s="509">
        <v>144469</v>
      </c>
      <c r="F77" s="509">
        <v>144469</v>
      </c>
      <c r="G77" s="509">
        <v>144469</v>
      </c>
      <c r="H77" s="510">
        <v>144469</v>
      </c>
      <c r="I77" s="509">
        <v>144469</v>
      </c>
      <c r="J77" s="509">
        <v>144469</v>
      </c>
      <c r="K77" s="509">
        <v>144469</v>
      </c>
      <c r="L77" s="509">
        <v>144469</v>
      </c>
      <c r="M77" s="509">
        <v>144469</v>
      </c>
      <c r="N77" s="509">
        <v>144469</v>
      </c>
      <c r="O77" s="510">
        <v>144469</v>
      </c>
      <c r="P77" s="509">
        <v>144469</v>
      </c>
      <c r="Q77" s="509">
        <v>144469</v>
      </c>
      <c r="R77" s="509">
        <v>144469</v>
      </c>
      <c r="S77" s="509">
        <v>144469</v>
      </c>
      <c r="T77" s="510">
        <v>144469</v>
      </c>
      <c r="U77" s="509">
        <v>144469</v>
      </c>
      <c r="V77" s="509">
        <v>144469</v>
      </c>
      <c r="W77" s="509">
        <v>144469</v>
      </c>
      <c r="X77" s="509">
        <v>144469</v>
      </c>
      <c r="Y77" s="509">
        <v>144469</v>
      </c>
      <c r="Z77" s="509">
        <v>144469</v>
      </c>
      <c r="AA77" s="509">
        <v>144469</v>
      </c>
      <c r="AB77" s="509">
        <v>144469</v>
      </c>
      <c r="AC77" s="509">
        <v>144469</v>
      </c>
      <c r="AD77" s="509">
        <v>144469</v>
      </c>
      <c r="AE77" s="509">
        <v>144469</v>
      </c>
      <c r="AF77" s="509">
        <v>144469</v>
      </c>
      <c r="AG77" s="509">
        <v>144469</v>
      </c>
      <c r="AH77" s="509">
        <v>144469</v>
      </c>
      <c r="AI77" s="509">
        <v>144469</v>
      </c>
      <c r="AJ77" s="509">
        <v>144469</v>
      </c>
      <c r="AK77" s="509">
        <v>144469</v>
      </c>
      <c r="AL77" s="509">
        <v>144469</v>
      </c>
      <c r="AM77" s="509">
        <v>144469</v>
      </c>
      <c r="AN77" s="509">
        <v>144469</v>
      </c>
      <c r="AO77" s="509">
        <v>144469</v>
      </c>
      <c r="AP77" s="509">
        <v>144469</v>
      </c>
      <c r="AQ77" s="509">
        <v>144469</v>
      </c>
      <c r="AR77" s="509">
        <v>318524</v>
      </c>
      <c r="AS77" s="509">
        <v>318524</v>
      </c>
      <c r="AT77" s="509">
        <v>318524</v>
      </c>
      <c r="AU77" s="509">
        <v>318524</v>
      </c>
      <c r="AV77" s="509">
        <v>318524</v>
      </c>
      <c r="AW77" s="509">
        <v>318524</v>
      </c>
      <c r="AX77" s="509">
        <v>318524</v>
      </c>
      <c r="AY77" s="509">
        <v>318524</v>
      </c>
      <c r="AZ77" s="509">
        <v>318524</v>
      </c>
      <c r="BA77" s="509">
        <v>318524</v>
      </c>
      <c r="BB77" s="509">
        <v>318524</v>
      </c>
      <c r="BC77" s="509">
        <v>318524</v>
      </c>
      <c r="BD77" s="509">
        <v>318524</v>
      </c>
      <c r="BE77" s="509">
        <v>318524</v>
      </c>
      <c r="BF77" s="509">
        <v>318524</v>
      </c>
      <c r="BG77" s="509">
        <v>438839</v>
      </c>
      <c r="BH77" s="509">
        <v>438839</v>
      </c>
      <c r="BI77" s="509">
        <v>438839</v>
      </c>
      <c r="BJ77" s="509">
        <v>438839</v>
      </c>
    </row>
    <row r="78" spans="1:62" ht="14.1" customHeight="1" x14ac:dyDescent="0.2">
      <c r="B78" s="489" t="s">
        <v>208</v>
      </c>
      <c r="C78" s="487">
        <v>206861</v>
      </c>
      <c r="D78" s="487">
        <v>174055</v>
      </c>
      <c r="E78" s="487">
        <v>174055</v>
      </c>
      <c r="F78" s="487">
        <v>174055</v>
      </c>
      <c r="G78" s="487">
        <v>174055</v>
      </c>
      <c r="H78" s="488">
        <v>174055</v>
      </c>
      <c r="I78" s="487">
        <v>174055</v>
      </c>
      <c r="J78" s="487">
        <v>174090</v>
      </c>
      <c r="K78" s="487">
        <v>174332</v>
      </c>
      <c r="L78" s="487">
        <v>174400</v>
      </c>
      <c r="M78" s="487">
        <v>174468</v>
      </c>
      <c r="N78" s="487">
        <v>174815</v>
      </c>
      <c r="O78" s="488">
        <v>175262</v>
      </c>
      <c r="P78" s="487">
        <v>175431</v>
      </c>
      <c r="Q78" s="487">
        <v>175605</v>
      </c>
      <c r="R78" s="487">
        <v>175780</v>
      </c>
      <c r="S78" s="487">
        <v>175921</v>
      </c>
      <c r="T78" s="488">
        <v>176288</v>
      </c>
      <c r="U78" s="487">
        <v>176097</v>
      </c>
      <c r="V78" s="487">
        <v>176212</v>
      </c>
      <c r="W78" s="487">
        <v>176322</v>
      </c>
      <c r="X78" s="487">
        <v>176432</v>
      </c>
      <c r="Y78" s="487">
        <v>175829</v>
      </c>
      <c r="Z78" s="487">
        <v>174099</v>
      </c>
      <c r="AA78" s="487">
        <v>174099</v>
      </c>
      <c r="AB78" s="487">
        <v>174055</v>
      </c>
      <c r="AC78" s="487">
        <v>174055</v>
      </c>
      <c r="AD78" s="487">
        <v>174055</v>
      </c>
      <c r="AE78" s="487">
        <v>174055</v>
      </c>
      <c r="AF78" s="487">
        <v>174055</v>
      </c>
      <c r="AG78" s="487">
        <v>174055</v>
      </c>
      <c r="AH78" s="487">
        <v>174055</v>
      </c>
      <c r="AI78" s="487">
        <v>174055</v>
      </c>
      <c r="AJ78" s="487">
        <v>174055</v>
      </c>
      <c r="AK78" s="487">
        <v>174055</v>
      </c>
      <c r="AL78" s="487">
        <v>174055</v>
      </c>
      <c r="AM78" s="487">
        <v>174055</v>
      </c>
      <c r="AN78" s="487">
        <v>174055</v>
      </c>
      <c r="AO78" s="487">
        <v>174055</v>
      </c>
      <c r="AP78" s="487">
        <v>174055</v>
      </c>
      <c r="AQ78" s="487">
        <v>174055</v>
      </c>
      <c r="AR78" s="487">
        <v>0</v>
      </c>
      <c r="AS78" s="487">
        <v>0</v>
      </c>
      <c r="AT78" s="487">
        <v>0</v>
      </c>
      <c r="AU78" s="487">
        <v>0</v>
      </c>
      <c r="AV78" s="487">
        <v>0</v>
      </c>
      <c r="AW78" s="487">
        <v>0</v>
      </c>
      <c r="AX78" s="487">
        <v>0</v>
      </c>
      <c r="AY78" s="487">
        <v>0</v>
      </c>
      <c r="AZ78" s="487">
        <v>0</v>
      </c>
      <c r="BA78" s="487">
        <v>0</v>
      </c>
      <c r="BB78" s="487">
        <v>0</v>
      </c>
      <c r="BC78" s="487">
        <v>0</v>
      </c>
      <c r="BD78" s="487">
        <v>0</v>
      </c>
      <c r="BE78" s="487">
        <v>0</v>
      </c>
      <c r="BF78" s="487">
        <v>0</v>
      </c>
      <c r="BG78" s="487">
        <v>0</v>
      </c>
      <c r="BH78" s="487">
        <v>0</v>
      </c>
      <c r="BI78" s="487">
        <v>0</v>
      </c>
      <c r="BJ78" s="487">
        <v>0</v>
      </c>
    </row>
    <row r="79" spans="1:62" ht="14.1" customHeight="1" x14ac:dyDescent="0.2">
      <c r="B79" s="489" t="s">
        <v>209</v>
      </c>
      <c r="C79" s="487">
        <v>2214</v>
      </c>
      <c r="D79" s="487">
        <v>5073</v>
      </c>
      <c r="E79" s="487">
        <v>21553</v>
      </c>
      <c r="F79" s="487">
        <v>101346</v>
      </c>
      <c r="G79" s="487">
        <v>121244</v>
      </c>
      <c r="H79" s="488">
        <v>110848</v>
      </c>
      <c r="I79" s="487">
        <v>121592</v>
      </c>
      <c r="J79" s="487">
        <v>132725</v>
      </c>
      <c r="K79" s="487">
        <v>132725</v>
      </c>
      <c r="L79" s="487">
        <v>102725</v>
      </c>
      <c r="M79" s="487">
        <v>102728</v>
      </c>
      <c r="N79" s="487">
        <v>152093</v>
      </c>
      <c r="O79" s="488">
        <v>152093</v>
      </c>
      <c r="P79" s="487">
        <v>122094</v>
      </c>
      <c r="Q79" s="487">
        <v>107093</v>
      </c>
      <c r="R79" s="487">
        <v>81570</v>
      </c>
      <c r="S79" s="487">
        <v>81570</v>
      </c>
      <c r="T79" s="488">
        <v>64588</v>
      </c>
      <c r="U79" s="487">
        <v>64587.999999999993</v>
      </c>
      <c r="V79" s="487">
        <v>41626</v>
      </c>
      <c r="W79" s="487">
        <v>41626</v>
      </c>
      <c r="X79" s="487">
        <v>41626</v>
      </c>
      <c r="Y79" s="487">
        <v>36626</v>
      </c>
      <c r="Z79" s="487">
        <v>46556</v>
      </c>
      <c r="AA79" s="487">
        <v>46556</v>
      </c>
      <c r="AB79" s="487">
        <v>46556</v>
      </c>
      <c r="AC79" s="487">
        <v>46556</v>
      </c>
      <c r="AD79" s="487">
        <v>52382</v>
      </c>
      <c r="AE79" s="487">
        <v>52382</v>
      </c>
      <c r="AF79" s="487">
        <v>52382</v>
      </c>
      <c r="AG79" s="487">
        <v>52382</v>
      </c>
      <c r="AH79" s="487">
        <v>94896</v>
      </c>
      <c r="AI79" s="487">
        <v>94896</v>
      </c>
      <c r="AJ79" s="487">
        <v>94896</v>
      </c>
      <c r="AK79" s="487">
        <v>94896</v>
      </c>
      <c r="AL79" s="487">
        <v>138195</v>
      </c>
      <c r="AM79" s="487">
        <v>138195</v>
      </c>
      <c r="AN79" s="487">
        <v>138195</v>
      </c>
      <c r="AO79" s="487">
        <v>138195</v>
      </c>
      <c r="AP79" s="487">
        <v>256903</v>
      </c>
      <c r="AQ79" s="487">
        <v>260946</v>
      </c>
      <c r="AR79" s="487">
        <v>262553</v>
      </c>
      <c r="AS79" s="487">
        <v>266821</v>
      </c>
      <c r="AT79" s="487">
        <v>295557</v>
      </c>
      <c r="AU79" s="487">
        <v>299149</v>
      </c>
      <c r="AV79" s="487">
        <v>302512</v>
      </c>
      <c r="AW79" s="487">
        <v>306111</v>
      </c>
      <c r="AX79" s="487">
        <v>342489</v>
      </c>
      <c r="AY79" s="487">
        <v>345960</v>
      </c>
      <c r="AZ79" s="487">
        <v>350661</v>
      </c>
      <c r="BA79" s="487">
        <v>357326</v>
      </c>
      <c r="BB79" s="487">
        <v>410601</v>
      </c>
      <c r="BC79" s="487">
        <v>415438</v>
      </c>
      <c r="BD79" s="487">
        <v>421332</v>
      </c>
      <c r="BE79" s="487">
        <v>428335</v>
      </c>
      <c r="BF79" s="487">
        <v>471347</v>
      </c>
      <c r="BG79" s="487">
        <v>351032</v>
      </c>
      <c r="BH79" s="487">
        <v>351032</v>
      </c>
      <c r="BI79" s="487">
        <v>270588</v>
      </c>
      <c r="BJ79" s="487">
        <v>445434</v>
      </c>
    </row>
    <row r="80" spans="1:62" ht="14.1" customHeight="1" x14ac:dyDescent="0.2">
      <c r="B80" s="489" t="s">
        <v>210</v>
      </c>
      <c r="C80" s="487">
        <v>0</v>
      </c>
      <c r="D80" s="487">
        <v>0</v>
      </c>
      <c r="E80" s="487">
        <v>-342</v>
      </c>
      <c r="F80" s="487">
        <v>0</v>
      </c>
      <c r="G80" s="487">
        <v>0</v>
      </c>
      <c r="H80" s="488">
        <v>0</v>
      </c>
      <c r="I80" s="487">
        <v>0</v>
      </c>
      <c r="J80" s="487">
        <v>0</v>
      </c>
      <c r="K80" s="487">
        <v>13897</v>
      </c>
      <c r="L80" s="487">
        <v>33035</v>
      </c>
      <c r="M80" s="487">
        <v>48956</v>
      </c>
      <c r="N80" s="487">
        <v>0</v>
      </c>
      <c r="O80" s="488">
        <v>4222</v>
      </c>
      <c r="P80" s="487">
        <v>22135</v>
      </c>
      <c r="Q80" s="487">
        <v>43227</v>
      </c>
      <c r="R80" s="487">
        <v>0</v>
      </c>
      <c r="S80" s="487">
        <v>1299</v>
      </c>
      <c r="T80" s="488">
        <v>-8669</v>
      </c>
      <c r="U80" s="487">
        <v>-36357</v>
      </c>
      <c r="V80" s="487">
        <v>0</v>
      </c>
      <c r="W80" s="487">
        <v>7500</v>
      </c>
      <c r="X80" s="487">
        <v>8683</v>
      </c>
      <c r="Y80" s="487">
        <v>13784</v>
      </c>
      <c r="Z80" s="487">
        <v>0</v>
      </c>
      <c r="AA80" s="487">
        <v>-1903</v>
      </c>
      <c r="AB80" s="487">
        <v>-2591</v>
      </c>
      <c r="AC80" s="487">
        <v>1250</v>
      </c>
      <c r="AD80" s="487">
        <v>0</v>
      </c>
      <c r="AE80" s="487">
        <v>5452</v>
      </c>
      <c r="AF80" s="487">
        <v>29509</v>
      </c>
      <c r="AG80" s="487">
        <v>30045</v>
      </c>
      <c r="AH80" s="487">
        <v>0</v>
      </c>
      <c r="AI80" s="487">
        <v>13996</v>
      </c>
      <c r="AJ80" s="487">
        <v>42181</v>
      </c>
      <c r="AK80" s="487">
        <v>52198</v>
      </c>
      <c r="AL80" s="487">
        <v>0</v>
      </c>
      <c r="AM80" s="487">
        <v>26621</v>
      </c>
      <c r="AN80" s="487">
        <v>59135</v>
      </c>
      <c r="AO80" s="487">
        <v>120959</v>
      </c>
      <c r="AP80" s="487">
        <v>0</v>
      </c>
      <c r="AQ80" s="487">
        <v>15243</v>
      </c>
      <c r="AR80" s="487">
        <v>9273</v>
      </c>
      <c r="AS80" s="487">
        <v>34944</v>
      </c>
      <c r="AT80" s="487">
        <v>0</v>
      </c>
      <c r="AU80" s="487">
        <v>16656</v>
      </c>
      <c r="AV80" s="487">
        <v>37477</v>
      </c>
      <c r="AW80" s="487">
        <v>45958</v>
      </c>
      <c r="AX80" s="487">
        <v>0</v>
      </c>
      <c r="AY80" s="487">
        <v>15237</v>
      </c>
      <c r="AZ80" s="487">
        <v>41010</v>
      </c>
      <c r="BA80" s="487">
        <v>63151</v>
      </c>
      <c r="BB80" s="487">
        <v>0</v>
      </c>
      <c r="BC80" s="487">
        <v>29662</v>
      </c>
      <c r="BD80" s="487">
        <v>63428</v>
      </c>
      <c r="BE80" s="487">
        <v>75016</v>
      </c>
      <c r="BF80" s="487">
        <v>0</v>
      </c>
      <c r="BG80" s="487">
        <v>37283</v>
      </c>
      <c r="BH80" s="487">
        <v>100535</v>
      </c>
      <c r="BI80" s="487">
        <v>184756</v>
      </c>
      <c r="BJ80" s="487">
        <v>0</v>
      </c>
    </row>
    <row r="81" spans="1:62" ht="14.1" customHeight="1" x14ac:dyDescent="0.2">
      <c r="B81" s="489" t="s">
        <v>211</v>
      </c>
      <c r="C81" s="487">
        <v>0</v>
      </c>
      <c r="D81" s="487">
        <v>0</v>
      </c>
      <c r="E81" s="487">
        <v>0</v>
      </c>
      <c r="F81" s="487">
        <v>-342</v>
      </c>
      <c r="G81" s="487">
        <v>-342</v>
      </c>
      <c r="H81" s="488">
        <v>-342</v>
      </c>
      <c r="I81" s="487">
        <v>-342</v>
      </c>
      <c r="J81" s="487">
        <v>-342</v>
      </c>
      <c r="K81" s="487">
        <v>-342</v>
      </c>
      <c r="L81" s="487">
        <v>-342</v>
      </c>
      <c r="M81" s="487">
        <v>-343</v>
      </c>
      <c r="N81" s="487">
        <v>-342</v>
      </c>
      <c r="O81" s="488">
        <v>-342</v>
      </c>
      <c r="P81" s="487">
        <v>-342</v>
      </c>
      <c r="Q81" s="487">
        <v>-342</v>
      </c>
      <c r="R81" s="487">
        <v>-342</v>
      </c>
      <c r="S81" s="487">
        <v>-342</v>
      </c>
      <c r="T81" s="488">
        <v>-342</v>
      </c>
      <c r="U81" s="487">
        <v>-342</v>
      </c>
      <c r="V81" s="487">
        <v>-342</v>
      </c>
      <c r="W81" s="487">
        <v>-342</v>
      </c>
      <c r="X81" s="487">
        <v>-342</v>
      </c>
      <c r="Y81" s="487">
        <v>-342</v>
      </c>
      <c r="Z81" s="487">
        <v>-342</v>
      </c>
      <c r="AA81" s="487">
        <v>-342</v>
      </c>
      <c r="AB81" s="487">
        <v>-342</v>
      </c>
      <c r="AC81" s="487">
        <v>-342</v>
      </c>
      <c r="AD81" s="487">
        <v>-342</v>
      </c>
      <c r="AE81" s="487">
        <v>-342</v>
      </c>
      <c r="AF81" s="487">
        <v>-342</v>
      </c>
      <c r="AG81" s="487">
        <v>-342</v>
      </c>
      <c r="AH81" s="487">
        <v>-342</v>
      </c>
      <c r="AI81" s="487">
        <v>-342</v>
      </c>
      <c r="AJ81" s="487">
        <v>-342</v>
      </c>
      <c r="AK81" s="487">
        <v>-342</v>
      </c>
      <c r="AL81" s="487">
        <v>-342</v>
      </c>
      <c r="AM81" s="487">
        <v>-342</v>
      </c>
      <c r="AN81" s="487">
        <v>-342</v>
      </c>
      <c r="AO81" s="487">
        <v>-342</v>
      </c>
      <c r="AP81" s="487">
        <v>-342</v>
      </c>
      <c r="AQ81" s="487">
        <v>-342</v>
      </c>
      <c r="AR81" s="487">
        <v>-342</v>
      </c>
      <c r="AS81" s="487">
        <v>-342</v>
      </c>
      <c r="AT81" s="487">
        <v>-342</v>
      </c>
      <c r="AU81" s="487">
        <v>-342</v>
      </c>
      <c r="AV81" s="487">
        <v>-342</v>
      </c>
      <c r="AW81" s="487">
        <v>-342</v>
      </c>
      <c r="AX81" s="487">
        <v>-342</v>
      </c>
      <c r="AY81" s="487">
        <v>-342</v>
      </c>
      <c r="AZ81" s="487">
        <v>-343</v>
      </c>
      <c r="BA81" s="487">
        <v>-343</v>
      </c>
      <c r="BB81" s="487">
        <v>-343</v>
      </c>
      <c r="BC81" s="487">
        <v>-343</v>
      </c>
      <c r="BD81" s="487">
        <v>-343</v>
      </c>
      <c r="BE81" s="487">
        <v>-343</v>
      </c>
      <c r="BF81" s="487">
        <v>-343</v>
      </c>
      <c r="BG81" s="487">
        <v>-343</v>
      </c>
      <c r="BH81" s="487">
        <v>-343</v>
      </c>
      <c r="BI81" s="487">
        <v>-343</v>
      </c>
      <c r="BJ81" s="487">
        <v>-343</v>
      </c>
    </row>
    <row r="82" spans="1:62" ht="14.1" customHeight="1" x14ac:dyDescent="0.2">
      <c r="B82" s="489" t="s">
        <v>212</v>
      </c>
      <c r="C82" s="487">
        <v>0</v>
      </c>
      <c r="D82" s="487">
        <v>0</v>
      </c>
      <c r="E82" s="487">
        <v>127</v>
      </c>
      <c r="F82" s="487">
        <v>334</v>
      </c>
      <c r="G82" s="487">
        <v>-20616</v>
      </c>
      <c r="H82" s="488">
        <v>-20628</v>
      </c>
      <c r="I82" s="487">
        <v>-20556</v>
      </c>
      <c r="J82" s="487">
        <v>-46856</v>
      </c>
      <c r="K82" s="487">
        <v>-46861</v>
      </c>
      <c r="L82" s="487">
        <v>-46809</v>
      </c>
      <c r="M82" s="487">
        <v>-46810</v>
      </c>
      <c r="N82" s="487">
        <v>-46971</v>
      </c>
      <c r="O82" s="488">
        <v>-47432</v>
      </c>
      <c r="P82" s="487">
        <v>-47365</v>
      </c>
      <c r="Q82" s="487">
        <v>-47363</v>
      </c>
      <c r="R82" s="487">
        <v>63</v>
      </c>
      <c r="S82" s="487">
        <v>61</v>
      </c>
      <c r="T82" s="488">
        <v>43</v>
      </c>
      <c r="U82" s="487">
        <v>93</v>
      </c>
      <c r="V82" s="487">
        <v>132</v>
      </c>
      <c r="W82" s="487">
        <v>255</v>
      </c>
      <c r="X82" s="487">
        <v>227</v>
      </c>
      <c r="Y82" s="487">
        <v>618</v>
      </c>
      <c r="Z82" s="487">
        <v>581</v>
      </c>
      <c r="AA82" s="487">
        <v>-97</v>
      </c>
      <c r="AB82" s="487">
        <v>-93</v>
      </c>
      <c r="AC82" s="487">
        <v>-93</v>
      </c>
      <c r="AD82" s="487">
        <v>-203</v>
      </c>
      <c r="AE82" s="487">
        <v>-204</v>
      </c>
      <c r="AF82" s="487">
        <v>0</v>
      </c>
      <c r="AG82" s="487">
        <v>0</v>
      </c>
      <c r="AH82" s="487">
        <v>0</v>
      </c>
      <c r="AI82" s="487">
        <v>0</v>
      </c>
      <c r="AJ82" s="487" t="s">
        <v>47</v>
      </c>
      <c r="AK82" s="487">
        <v>139</v>
      </c>
      <c r="AL82" s="487">
        <v>-311</v>
      </c>
      <c r="AM82" s="487">
        <v>-299</v>
      </c>
      <c r="AN82" s="487">
        <v>328</v>
      </c>
      <c r="AO82" s="487">
        <v>399</v>
      </c>
      <c r="AP82" s="487">
        <v>-6</v>
      </c>
      <c r="AQ82" s="487">
        <v>760</v>
      </c>
      <c r="AR82" s="487">
        <v>80</v>
      </c>
      <c r="AS82" s="487">
        <v>0</v>
      </c>
      <c r="AT82" s="487">
        <v>-1617</v>
      </c>
      <c r="AU82" s="487">
        <v>-1617</v>
      </c>
      <c r="AV82" s="487">
        <v>-1617</v>
      </c>
      <c r="AW82" s="487">
        <v>-1617</v>
      </c>
      <c r="AX82" s="487">
        <v>-2276</v>
      </c>
      <c r="AY82" s="487">
        <v>-2276</v>
      </c>
      <c r="AZ82" s="487">
        <v>-2279</v>
      </c>
      <c r="BA82" s="487">
        <v>-2279</v>
      </c>
      <c r="BB82" s="487">
        <v>-2156</v>
      </c>
      <c r="BC82" s="487">
        <v>-2000</v>
      </c>
      <c r="BD82" s="487">
        <v>-1999</v>
      </c>
      <c r="BE82" s="487">
        <v>-1999</v>
      </c>
      <c r="BF82" s="487">
        <v>-1833</v>
      </c>
      <c r="BG82" s="487">
        <v>-1833</v>
      </c>
      <c r="BH82" s="487">
        <v>-1833</v>
      </c>
      <c r="BI82" s="487">
        <v>-1833</v>
      </c>
      <c r="BJ82" s="487">
        <v>-1424</v>
      </c>
    </row>
    <row r="83" spans="1:62" ht="14.1" customHeight="1" x14ac:dyDescent="0.2">
      <c r="B83" s="511" t="s">
        <v>212</v>
      </c>
      <c r="C83" s="512">
        <v>0</v>
      </c>
      <c r="D83" s="512">
        <v>0</v>
      </c>
      <c r="E83" s="512">
        <v>0</v>
      </c>
      <c r="F83" s="512">
        <v>0</v>
      </c>
      <c r="G83" s="512">
        <v>0</v>
      </c>
      <c r="H83" s="491">
        <v>0</v>
      </c>
      <c r="I83" s="512">
        <v>0</v>
      </c>
      <c r="J83" s="512">
        <v>0</v>
      </c>
      <c r="K83" s="512">
        <v>0</v>
      </c>
      <c r="L83" s="512">
        <v>0</v>
      </c>
      <c r="M83" s="512">
        <v>0</v>
      </c>
      <c r="N83" s="512">
        <v>0</v>
      </c>
      <c r="O83" s="491">
        <v>0</v>
      </c>
      <c r="P83" s="512">
        <v>0</v>
      </c>
      <c r="Q83" s="512">
        <v>0</v>
      </c>
      <c r="R83" s="512">
        <v>0</v>
      </c>
      <c r="S83" s="512">
        <v>0</v>
      </c>
      <c r="T83" s="491">
        <v>0</v>
      </c>
      <c r="U83" s="512">
        <v>0</v>
      </c>
      <c r="V83" s="512">
        <v>0</v>
      </c>
      <c r="W83" s="512">
        <v>0</v>
      </c>
      <c r="X83" s="512">
        <v>0</v>
      </c>
      <c r="Y83" s="512">
        <v>0</v>
      </c>
      <c r="Z83" s="512">
        <v>0</v>
      </c>
      <c r="AA83" s="512">
        <v>0</v>
      </c>
      <c r="AB83" s="512">
        <v>0</v>
      </c>
      <c r="AC83" s="512">
        <v>0</v>
      </c>
      <c r="AD83" s="512">
        <v>4716</v>
      </c>
      <c r="AE83" s="512">
        <v>4716</v>
      </c>
      <c r="AF83" s="512">
        <v>0</v>
      </c>
      <c r="AG83" s="512">
        <v>0</v>
      </c>
      <c r="AH83" s="512">
        <v>35728</v>
      </c>
      <c r="AI83" s="512">
        <v>35728</v>
      </c>
      <c r="AJ83" s="512">
        <v>0</v>
      </c>
      <c r="AK83" s="512">
        <v>0</v>
      </c>
      <c r="AL83" s="512">
        <v>28306</v>
      </c>
      <c r="AM83" s="512">
        <v>28306</v>
      </c>
      <c r="AN83" s="512">
        <v>0</v>
      </c>
      <c r="AO83" s="512">
        <v>0</v>
      </c>
      <c r="AP83" s="512">
        <v>0</v>
      </c>
      <c r="AQ83" s="512">
        <v>0</v>
      </c>
      <c r="AR83" s="512">
        <v>0</v>
      </c>
      <c r="AS83" s="512">
        <v>0</v>
      </c>
      <c r="AT83" s="512">
        <v>12541</v>
      </c>
      <c r="AU83" s="512">
        <v>12541</v>
      </c>
      <c r="AV83" s="512">
        <v>0</v>
      </c>
      <c r="AW83" s="512">
        <v>0</v>
      </c>
      <c r="AX83" s="512">
        <v>22339</v>
      </c>
      <c r="AY83" s="512">
        <v>22339</v>
      </c>
      <c r="AZ83" s="512">
        <v>0</v>
      </c>
      <c r="BA83" s="512">
        <v>0</v>
      </c>
      <c r="BB83" s="512">
        <v>39563</v>
      </c>
      <c r="BC83" s="512">
        <v>39563</v>
      </c>
      <c r="BD83" s="512">
        <v>0</v>
      </c>
      <c r="BE83" s="512">
        <v>0</v>
      </c>
      <c r="BF83" s="512">
        <v>47475</v>
      </c>
      <c r="BG83" s="512">
        <v>47475</v>
      </c>
      <c r="BH83" s="512">
        <v>0</v>
      </c>
      <c r="BI83" s="512">
        <v>0</v>
      </c>
      <c r="BJ83" s="512">
        <v>38903</v>
      </c>
    </row>
    <row r="84" spans="1:62" ht="6.75" customHeight="1" x14ac:dyDescent="0.2">
      <c r="B84" s="499"/>
      <c r="C84" s="733"/>
      <c r="D84" s="733"/>
      <c r="E84" s="733"/>
      <c r="F84" s="733"/>
      <c r="G84" s="733"/>
      <c r="H84" s="733"/>
      <c r="I84" s="733"/>
      <c r="J84" s="733"/>
      <c r="K84" s="733"/>
      <c r="L84" s="733"/>
      <c r="M84" s="733"/>
      <c r="N84" s="733"/>
      <c r="O84" s="732"/>
      <c r="P84" s="733"/>
      <c r="Q84" s="733"/>
      <c r="R84" s="733"/>
      <c r="S84" s="733"/>
      <c r="T84" s="732"/>
      <c r="U84" s="733"/>
    </row>
    <row r="85" spans="1:62" ht="14.1" customHeight="1" x14ac:dyDescent="0.2">
      <c r="A85" s="2"/>
      <c r="B85" s="972" t="s">
        <v>213</v>
      </c>
      <c r="C85" s="973">
        <v>15</v>
      </c>
      <c r="D85" s="973">
        <v>4</v>
      </c>
      <c r="E85" s="973">
        <v>31</v>
      </c>
      <c r="F85" s="973">
        <v>40</v>
      </c>
      <c r="G85" s="973">
        <v>-7495</v>
      </c>
      <c r="H85" s="973">
        <v>-6877</v>
      </c>
      <c r="I85" s="973">
        <v>-6759</v>
      </c>
      <c r="J85" s="973">
        <v>-5998</v>
      </c>
      <c r="K85" s="973">
        <v>-5581</v>
      </c>
      <c r="L85" s="973">
        <v>-5798</v>
      </c>
      <c r="M85" s="973">
        <v>-8456</v>
      </c>
      <c r="N85" s="973">
        <v>-8889</v>
      </c>
      <c r="O85" s="974">
        <v>-12112</v>
      </c>
      <c r="P85" s="973">
        <v>-14816</v>
      </c>
      <c r="Q85" s="973">
        <v>-17560</v>
      </c>
      <c r="R85" s="973">
        <v>58</v>
      </c>
      <c r="S85" s="973">
        <v>62</v>
      </c>
      <c r="T85" s="974">
        <v>69</v>
      </c>
      <c r="U85" s="973">
        <v>73</v>
      </c>
      <c r="V85" s="973">
        <v>75</v>
      </c>
      <c r="W85" s="973">
        <v>0</v>
      </c>
      <c r="X85" s="973">
        <v>0</v>
      </c>
      <c r="Y85" s="973">
        <v>0</v>
      </c>
      <c r="Z85" s="973">
        <v>0</v>
      </c>
      <c r="AA85" s="973">
        <v>0</v>
      </c>
      <c r="AB85" s="973">
        <v>0</v>
      </c>
      <c r="AC85" s="973">
        <v>0</v>
      </c>
      <c r="AD85" s="973">
        <v>0</v>
      </c>
      <c r="AE85" s="973">
        <v>0</v>
      </c>
      <c r="AF85" s="973">
        <v>0</v>
      </c>
      <c r="AG85" s="973">
        <v>0</v>
      </c>
      <c r="AH85" s="973">
        <v>0</v>
      </c>
      <c r="AI85" s="973">
        <v>0</v>
      </c>
      <c r="AJ85" s="973">
        <v>0</v>
      </c>
      <c r="AK85" s="973">
        <v>0</v>
      </c>
      <c r="AL85" s="973">
        <v>0</v>
      </c>
      <c r="AM85" s="973">
        <v>0</v>
      </c>
      <c r="AN85" s="973">
        <v>0</v>
      </c>
      <c r="AO85" s="973">
        <v>0</v>
      </c>
      <c r="AP85" s="973">
        <v>0</v>
      </c>
      <c r="AQ85" s="973">
        <v>0</v>
      </c>
      <c r="AR85" s="973">
        <v>0</v>
      </c>
      <c r="AS85" s="973">
        <v>0</v>
      </c>
      <c r="AT85" s="973">
        <v>976</v>
      </c>
      <c r="AU85" s="973">
        <v>886</v>
      </c>
      <c r="AV85" s="973">
        <v>858</v>
      </c>
      <c r="AW85" s="973">
        <v>814</v>
      </c>
      <c r="AX85" s="973">
        <v>567</v>
      </c>
      <c r="AY85" s="973">
        <v>640</v>
      </c>
      <c r="AZ85" s="973">
        <v>754</v>
      </c>
      <c r="BA85" s="973">
        <v>828</v>
      </c>
      <c r="BB85" s="973">
        <v>938</v>
      </c>
      <c r="BC85" s="973">
        <v>1162</v>
      </c>
      <c r="BD85" s="973">
        <v>1358</v>
      </c>
      <c r="BE85" s="973">
        <v>1431</v>
      </c>
      <c r="BF85" s="973">
        <v>1375</v>
      </c>
      <c r="BG85" s="973">
        <v>1607</v>
      </c>
      <c r="BH85" s="973">
        <v>1632</v>
      </c>
      <c r="BI85" s="973">
        <v>1856</v>
      </c>
      <c r="BJ85" s="973">
        <v>0</v>
      </c>
    </row>
    <row r="86" spans="1:62" ht="6.75" customHeight="1" x14ac:dyDescent="0.2">
      <c r="B86" s="479"/>
      <c r="C86" s="733"/>
      <c r="D86" s="733"/>
      <c r="E86" s="733"/>
      <c r="F86" s="733"/>
      <c r="G86" s="733"/>
      <c r="H86" s="733"/>
      <c r="I86" s="733"/>
      <c r="J86" s="733"/>
      <c r="K86" s="733"/>
      <c r="L86" s="733"/>
      <c r="M86" s="733"/>
      <c r="N86" s="733"/>
      <c r="O86" s="732"/>
      <c r="P86" s="733"/>
      <c r="Q86" s="733"/>
      <c r="R86" s="733"/>
      <c r="S86" s="733"/>
      <c r="T86" s="732"/>
      <c r="U86" s="733"/>
      <c r="AG86" s="744"/>
      <c r="AH86" s="744"/>
      <c r="AI86" s="744"/>
      <c r="AJ86" s="744"/>
      <c r="AK86" s="744"/>
      <c r="AL86" s="744"/>
      <c r="AM86" s="744"/>
      <c r="AN86" s="744"/>
      <c r="AO86" s="744"/>
      <c r="AP86" s="744"/>
      <c r="AQ86" s="744"/>
      <c r="AR86" s="744"/>
      <c r="AS86" s="744"/>
      <c r="AT86" s="744"/>
      <c r="AU86" s="744"/>
      <c r="AV86" s="744"/>
      <c r="AW86" s="744"/>
      <c r="AX86" s="744"/>
      <c r="AY86" s="744"/>
      <c r="AZ86" s="744"/>
      <c r="BA86" s="744"/>
      <c r="BB86" s="744"/>
      <c r="BC86" s="744"/>
      <c r="BD86" s="744"/>
      <c r="BE86" s="744"/>
      <c r="BF86" s="744"/>
      <c r="BG86" s="744"/>
      <c r="BH86" s="744"/>
      <c r="BI86" s="744"/>
      <c r="BJ86" s="744"/>
    </row>
    <row r="87" spans="1:62" ht="14.1" customHeight="1" x14ac:dyDescent="0.2">
      <c r="B87" s="483" t="s">
        <v>186</v>
      </c>
      <c r="C87" s="484">
        <f t="shared" ref="C87:AE87" si="35">C42+C60+C76+C85</f>
        <v>515057</v>
      </c>
      <c r="D87" s="484">
        <f t="shared" si="35"/>
        <v>589491</v>
      </c>
      <c r="E87" s="484">
        <f t="shared" si="35"/>
        <v>581921</v>
      </c>
      <c r="F87" s="484">
        <f t="shared" si="35"/>
        <v>600948</v>
      </c>
      <c r="G87" s="484">
        <f t="shared" si="35"/>
        <v>737083</v>
      </c>
      <c r="H87" s="485">
        <f t="shared" si="35"/>
        <v>760015</v>
      </c>
      <c r="I87" s="484">
        <f t="shared" si="35"/>
        <v>910136</v>
      </c>
      <c r="J87" s="484">
        <f t="shared" si="35"/>
        <v>922687</v>
      </c>
      <c r="K87" s="484">
        <f t="shared" si="35"/>
        <v>975517</v>
      </c>
      <c r="L87" s="484">
        <f t="shared" si="35"/>
        <v>1019407</v>
      </c>
      <c r="M87" s="484">
        <f t="shared" si="35"/>
        <v>1071960</v>
      </c>
      <c r="N87" s="484">
        <f t="shared" si="35"/>
        <v>1056660</v>
      </c>
      <c r="O87" s="485">
        <f t="shared" si="35"/>
        <v>1291224</v>
      </c>
      <c r="P87" s="484">
        <f t="shared" si="35"/>
        <v>1363118</v>
      </c>
      <c r="Q87" s="484">
        <f t="shared" si="35"/>
        <v>1193809</v>
      </c>
      <c r="R87" s="484">
        <f t="shared" si="35"/>
        <v>1200483</v>
      </c>
      <c r="S87" s="484">
        <f t="shared" si="35"/>
        <v>1162183</v>
      </c>
      <c r="T87" s="485">
        <f t="shared" si="35"/>
        <v>1096268</v>
      </c>
      <c r="U87" s="484">
        <f t="shared" si="35"/>
        <v>1011372</v>
      </c>
      <c r="V87" s="484">
        <f t="shared" si="35"/>
        <v>1054376</v>
      </c>
      <c r="W87" s="484">
        <f t="shared" si="35"/>
        <v>1075934</v>
      </c>
      <c r="X87" s="484">
        <f t="shared" si="35"/>
        <v>893842</v>
      </c>
      <c r="Y87" s="484">
        <f t="shared" si="35"/>
        <v>897042</v>
      </c>
      <c r="Z87" s="484">
        <f t="shared" si="35"/>
        <v>909304</v>
      </c>
      <c r="AA87" s="484">
        <f t="shared" si="35"/>
        <v>870381</v>
      </c>
      <c r="AB87" s="484">
        <f t="shared" si="35"/>
        <v>857571</v>
      </c>
      <c r="AC87" s="484">
        <f t="shared" si="35"/>
        <v>860516</v>
      </c>
      <c r="AD87" s="484">
        <f t="shared" si="35"/>
        <v>828122</v>
      </c>
      <c r="AE87" s="484">
        <f t="shared" si="35"/>
        <v>728667</v>
      </c>
      <c r="AF87" s="484">
        <v>810638</v>
      </c>
      <c r="AG87" s="484">
        <f>AG42+AG60+AG76+AG85+AG54</f>
        <v>764181</v>
      </c>
      <c r="AH87" s="484">
        <f>AH42+AH60+AH76+AH85+AH54</f>
        <v>837851</v>
      </c>
      <c r="AI87" s="484">
        <f t="shared" ref="AI87:BB87" si="36">AI42+AI60+AI76+AI85</f>
        <v>760505</v>
      </c>
      <c r="AJ87" s="484">
        <f t="shared" si="36"/>
        <v>737154</v>
      </c>
      <c r="AK87" s="484">
        <f t="shared" si="36"/>
        <v>773129</v>
      </c>
      <c r="AL87" s="484">
        <f t="shared" si="36"/>
        <v>809433</v>
      </c>
      <c r="AM87" s="484">
        <f t="shared" si="36"/>
        <v>875982.45750000002</v>
      </c>
      <c r="AN87" s="484">
        <f t="shared" si="36"/>
        <v>899895</v>
      </c>
      <c r="AO87" s="484">
        <f t="shared" si="36"/>
        <v>1000216</v>
      </c>
      <c r="AP87" s="484">
        <f t="shared" si="36"/>
        <v>985421</v>
      </c>
      <c r="AQ87" s="484">
        <f t="shared" si="36"/>
        <v>969368</v>
      </c>
      <c r="AR87" s="484">
        <f t="shared" si="36"/>
        <v>1043911</v>
      </c>
      <c r="AS87" s="484">
        <f t="shared" si="36"/>
        <v>1031401</v>
      </c>
      <c r="AT87" s="484">
        <f t="shared" si="36"/>
        <v>1026932</v>
      </c>
      <c r="AU87" s="484">
        <f t="shared" si="36"/>
        <v>1059456</v>
      </c>
      <c r="AV87" s="484">
        <f t="shared" si="36"/>
        <v>1028435</v>
      </c>
      <c r="AW87" s="484">
        <f t="shared" si="36"/>
        <v>1014024</v>
      </c>
      <c r="AX87" s="484">
        <f t="shared" si="36"/>
        <v>1044778</v>
      </c>
      <c r="AY87" s="484">
        <f t="shared" si="36"/>
        <v>1028865</v>
      </c>
      <c r="AZ87" s="484">
        <f t="shared" si="36"/>
        <v>985942</v>
      </c>
      <c r="BA87" s="484">
        <f t="shared" si="36"/>
        <v>1035433</v>
      </c>
      <c r="BB87" s="484">
        <f t="shared" si="36"/>
        <v>1111080</v>
      </c>
      <c r="BC87" s="484">
        <f t="shared" ref="BC87:BJ87" si="37">BC42+BC60+BC76+BC85</f>
        <v>1130840</v>
      </c>
      <c r="BD87" s="484">
        <f t="shared" si="37"/>
        <v>1129596</v>
      </c>
      <c r="BE87" s="484">
        <f t="shared" si="37"/>
        <v>1166098</v>
      </c>
      <c r="BF87" s="484">
        <f t="shared" si="37"/>
        <v>1199711</v>
      </c>
      <c r="BG87" s="484">
        <f t="shared" si="37"/>
        <v>1221936</v>
      </c>
      <c r="BH87" s="484">
        <f>BH42+BH60+BH76+BH85</f>
        <v>1268379</v>
      </c>
      <c r="BI87" s="484">
        <f>BI42+BI60+BI76+BI85</f>
        <v>1287540</v>
      </c>
      <c r="BJ87" s="484">
        <f t="shared" si="37"/>
        <v>1329394</v>
      </c>
    </row>
    <row r="88" spans="1:62" s="513" customFormat="1" ht="14.1" customHeight="1" x14ac:dyDescent="0.2">
      <c r="A88" s="554"/>
      <c r="B88" s="514"/>
      <c r="C88" s="515">
        <f t="shared" ref="C88:AE88" si="38">C87-C39</f>
        <v>0</v>
      </c>
      <c r="D88" s="515">
        <f t="shared" si="38"/>
        <v>0</v>
      </c>
      <c r="E88" s="515">
        <f t="shared" si="38"/>
        <v>0</v>
      </c>
      <c r="F88" s="515">
        <f t="shared" si="38"/>
        <v>0.45105175627395511</v>
      </c>
      <c r="G88" s="515">
        <f t="shared" si="38"/>
        <v>0</v>
      </c>
      <c r="H88" s="515">
        <f t="shared" si="38"/>
        <v>0</v>
      </c>
      <c r="I88" s="515">
        <f t="shared" si="38"/>
        <v>0</v>
      </c>
      <c r="J88" s="515">
        <f t="shared" si="38"/>
        <v>0</v>
      </c>
      <c r="K88" s="515">
        <f t="shared" si="38"/>
        <v>0</v>
      </c>
      <c r="L88" s="515">
        <f t="shared" si="38"/>
        <v>0</v>
      </c>
      <c r="M88" s="515">
        <f t="shared" si="38"/>
        <v>0</v>
      </c>
      <c r="N88" s="515">
        <f t="shared" si="38"/>
        <v>0</v>
      </c>
      <c r="O88" s="515">
        <f t="shared" si="38"/>
        <v>0</v>
      </c>
      <c r="P88" s="515">
        <f t="shared" si="38"/>
        <v>0</v>
      </c>
      <c r="Q88" s="515">
        <f t="shared" si="38"/>
        <v>0</v>
      </c>
      <c r="R88" s="515">
        <f t="shared" si="38"/>
        <v>0</v>
      </c>
      <c r="S88" s="515">
        <f t="shared" si="38"/>
        <v>0</v>
      </c>
      <c r="T88" s="515">
        <f t="shared" si="38"/>
        <v>0</v>
      </c>
      <c r="U88" s="515">
        <f t="shared" si="38"/>
        <v>0</v>
      </c>
      <c r="V88" s="515">
        <f t="shared" si="38"/>
        <v>0</v>
      </c>
      <c r="W88" s="515">
        <f t="shared" si="38"/>
        <v>0</v>
      </c>
      <c r="X88" s="515">
        <f t="shared" si="38"/>
        <v>0</v>
      </c>
      <c r="Y88" s="515">
        <f t="shared" si="38"/>
        <v>0</v>
      </c>
      <c r="Z88" s="515">
        <f t="shared" si="38"/>
        <v>0</v>
      </c>
      <c r="AA88" s="515">
        <f t="shared" si="38"/>
        <v>0</v>
      </c>
      <c r="AB88" s="515">
        <f t="shared" si="38"/>
        <v>0</v>
      </c>
      <c r="AC88" s="515">
        <f t="shared" si="38"/>
        <v>0</v>
      </c>
      <c r="AD88" s="515">
        <f t="shared" si="38"/>
        <v>0</v>
      </c>
      <c r="AE88" s="515">
        <f t="shared" si="38"/>
        <v>0</v>
      </c>
      <c r="AF88" s="515">
        <v>0</v>
      </c>
      <c r="AG88" s="515">
        <f t="shared" ref="AG88:AO88" si="39">AG87-AG39</f>
        <v>0</v>
      </c>
      <c r="AH88" s="515">
        <f t="shared" si="39"/>
        <v>0</v>
      </c>
      <c r="AI88" s="515">
        <f t="shared" si="39"/>
        <v>0</v>
      </c>
      <c r="AJ88" s="515">
        <f t="shared" si="39"/>
        <v>0</v>
      </c>
      <c r="AK88" s="515">
        <f t="shared" si="39"/>
        <v>0</v>
      </c>
      <c r="AL88" s="515">
        <f t="shared" si="39"/>
        <v>0</v>
      </c>
      <c r="AM88" s="515">
        <f t="shared" si="39"/>
        <v>0</v>
      </c>
      <c r="AN88" s="515">
        <f t="shared" si="39"/>
        <v>0</v>
      </c>
      <c r="AO88" s="515">
        <f t="shared" si="39"/>
        <v>0</v>
      </c>
      <c r="AP88" s="515">
        <v>0</v>
      </c>
      <c r="AQ88" s="515">
        <f t="shared" ref="AQ88:BB88" si="40">AQ87-AQ39</f>
        <v>0</v>
      </c>
      <c r="AR88" s="515">
        <f t="shared" si="40"/>
        <v>0</v>
      </c>
      <c r="AS88" s="515">
        <f t="shared" si="40"/>
        <v>0</v>
      </c>
      <c r="AT88" s="515">
        <f t="shared" si="40"/>
        <v>0</v>
      </c>
      <c r="AU88" s="515">
        <f t="shared" si="40"/>
        <v>0</v>
      </c>
      <c r="AV88" s="515">
        <f t="shared" si="40"/>
        <v>0</v>
      </c>
      <c r="AW88" s="515">
        <f t="shared" si="40"/>
        <v>0</v>
      </c>
      <c r="AX88" s="515">
        <f t="shared" si="40"/>
        <v>0</v>
      </c>
      <c r="AY88" s="515">
        <f t="shared" si="40"/>
        <v>0</v>
      </c>
      <c r="AZ88" s="515">
        <f t="shared" si="40"/>
        <v>0</v>
      </c>
      <c r="BA88" s="515">
        <f t="shared" si="40"/>
        <v>0</v>
      </c>
      <c r="BB88" s="515">
        <f t="shared" si="40"/>
        <v>0</v>
      </c>
      <c r="BC88" s="515">
        <f t="shared" ref="BC88:BJ88" si="41">BC87-BC39</f>
        <v>0</v>
      </c>
      <c r="BD88" s="515">
        <f t="shared" si="41"/>
        <v>0</v>
      </c>
      <c r="BE88" s="515">
        <f t="shared" si="41"/>
        <v>0</v>
      </c>
      <c r="BF88" s="515">
        <f t="shared" si="41"/>
        <v>0</v>
      </c>
      <c r="BG88" s="515">
        <f t="shared" si="41"/>
        <v>0</v>
      </c>
      <c r="BH88" s="515">
        <f t="shared" si="41"/>
        <v>0</v>
      </c>
      <c r="BI88" s="515"/>
      <c r="BJ88" s="515">
        <f t="shared" si="41"/>
        <v>0</v>
      </c>
    </row>
    <row r="89" spans="1:62" ht="14.1" customHeight="1" x14ac:dyDescent="0.2">
      <c r="B89" s="479"/>
      <c r="AI89" s="745"/>
      <c r="AJ89" s="745"/>
      <c r="AK89" s="745"/>
      <c r="AL89" s="515"/>
      <c r="AM89" s="515"/>
      <c r="AN89" s="745"/>
      <c r="AO89" s="745"/>
      <c r="AP89" s="745"/>
      <c r="AQ89" s="745"/>
      <c r="AR89" s="745"/>
      <c r="AS89" s="745"/>
      <c r="AT89" s="745"/>
      <c r="AU89" s="745"/>
      <c r="AV89" s="745"/>
      <c r="AW89" s="745"/>
      <c r="AX89" s="745"/>
      <c r="AY89" s="745"/>
      <c r="AZ89" s="745"/>
      <c r="BA89" s="745"/>
      <c r="BB89" s="745"/>
      <c r="BC89" s="745"/>
      <c r="BD89" s="745"/>
      <c r="BE89" s="745"/>
      <c r="BF89" s="745"/>
      <c r="BG89" s="745"/>
      <c r="BH89" s="745"/>
      <c r="BI89" s="745"/>
      <c r="BJ89" s="745"/>
    </row>
    <row r="90" spans="1:62" ht="14.1" customHeight="1" x14ac:dyDescent="0.2">
      <c r="N90" s="746"/>
      <c r="O90" s="746"/>
      <c r="P90" s="746"/>
      <c r="Q90" s="746"/>
      <c r="R90" s="746"/>
      <c r="S90" s="746"/>
      <c r="T90" s="747"/>
      <c r="U90" s="747"/>
      <c r="V90" s="747"/>
      <c r="W90" s="747"/>
      <c r="X90" s="747"/>
      <c r="Y90" s="747"/>
      <c r="Z90" s="747"/>
      <c r="AA90" s="747"/>
      <c r="AB90" s="747"/>
      <c r="AC90" s="747"/>
      <c r="AD90" s="747"/>
      <c r="AE90" s="747"/>
      <c r="AF90" s="747"/>
      <c r="AG90" s="747"/>
      <c r="AH90" s="747"/>
      <c r="AI90" s="747"/>
      <c r="AJ90" s="747"/>
      <c r="AK90" s="747"/>
      <c r="AL90" s="747"/>
      <c r="AM90" s="747"/>
      <c r="AN90" s="747"/>
      <c r="AO90" s="747"/>
      <c r="AP90" s="747"/>
      <c r="AQ90" s="747"/>
      <c r="AR90" s="747"/>
      <c r="AS90" s="747"/>
      <c r="AT90" s="747"/>
      <c r="AU90" s="747"/>
      <c r="AV90" s="747"/>
      <c r="AW90" s="747"/>
      <c r="AX90" s="747"/>
      <c r="AY90" s="747"/>
      <c r="AZ90" s="747"/>
      <c r="BA90" s="747"/>
      <c r="BB90" s="747"/>
      <c r="BC90" s="747"/>
      <c r="BD90" s="747"/>
      <c r="BE90" s="747"/>
      <c r="BF90" s="747"/>
      <c r="BG90" s="747"/>
      <c r="BH90" s="747"/>
      <c r="BI90" s="747"/>
      <c r="BJ90" s="747"/>
    </row>
    <row r="91" spans="1:62" ht="14.1" customHeight="1" x14ac:dyDescent="0.2">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c r="AT91" s="747"/>
      <c r="AU91" s="747"/>
      <c r="AV91" s="747"/>
      <c r="AW91" s="747"/>
      <c r="AX91" s="747"/>
      <c r="AY91" s="747"/>
      <c r="AZ91" s="747"/>
      <c r="BA91" s="747"/>
      <c r="BB91" s="747"/>
      <c r="BC91" s="747"/>
      <c r="BD91" s="747"/>
      <c r="BE91" s="747"/>
      <c r="BF91" s="747"/>
      <c r="BG91" s="747"/>
      <c r="BH91" s="747"/>
      <c r="BI91" s="747"/>
      <c r="BJ91" s="747"/>
    </row>
    <row r="92" spans="1:62" ht="14.1" customHeight="1" x14ac:dyDescent="0.2">
      <c r="T92" s="747"/>
      <c r="U92" s="747"/>
      <c r="V92" s="747">
        <f>V8-V46</f>
        <v>201710</v>
      </c>
      <c r="W92" s="747"/>
      <c r="X92" s="747"/>
      <c r="Y92" s="747"/>
      <c r="Z92" s="745">
        <f>Z8-Z46</f>
        <v>142196</v>
      </c>
      <c r="AA92" s="747"/>
      <c r="AB92" s="747"/>
      <c r="AC92" s="748"/>
      <c r="AD92" s="745"/>
      <c r="AE92" s="748"/>
      <c r="AF92" s="748"/>
      <c r="AG92" s="748"/>
      <c r="AH92" s="745"/>
      <c r="AI92" s="748"/>
      <c r="AJ92" s="748"/>
      <c r="AK92" s="748"/>
      <c r="AL92" s="745"/>
      <c r="AM92" s="748"/>
      <c r="AN92" s="748"/>
      <c r="AO92" s="748"/>
      <c r="AP92" s="745"/>
      <c r="AQ92" s="748"/>
      <c r="AR92" s="748"/>
      <c r="AS92" s="748"/>
      <c r="AT92" s="748"/>
      <c r="AU92" s="748"/>
      <c r="AV92" s="748"/>
      <c r="AW92" s="748"/>
      <c r="AX92" s="748"/>
      <c r="AY92" s="748"/>
      <c r="AZ92" s="748"/>
      <c r="BA92" s="748"/>
      <c r="BB92" s="748"/>
      <c r="BC92" s="748"/>
      <c r="BD92" s="748"/>
      <c r="BE92" s="748"/>
      <c r="BF92" s="748"/>
      <c r="BG92" s="748"/>
      <c r="BH92" s="748"/>
      <c r="BI92" s="748"/>
      <c r="BJ92" s="748"/>
    </row>
    <row r="93" spans="1:62" ht="14.1" customHeight="1" x14ac:dyDescent="0.2">
      <c r="T93" s="747"/>
      <c r="U93" s="747"/>
      <c r="V93" s="747">
        <f>V92-R92</f>
        <v>201710</v>
      </c>
      <c r="W93" s="747"/>
      <c r="X93" s="747"/>
      <c r="Y93" s="747"/>
      <c r="Z93" s="745">
        <f>Z92-V92</f>
        <v>-59514</v>
      </c>
      <c r="AA93" s="747"/>
      <c r="AB93" s="747"/>
      <c r="AC93" s="748"/>
      <c r="AD93" s="745"/>
      <c r="AE93" s="748"/>
      <c r="AF93" s="748"/>
      <c r="AG93" s="748"/>
      <c r="AH93" s="745"/>
      <c r="AI93" s="748"/>
      <c r="AJ93" s="748"/>
      <c r="AK93" s="748"/>
      <c r="AL93" s="745"/>
      <c r="AM93" s="748"/>
      <c r="AN93" s="748"/>
      <c r="AO93" s="748"/>
      <c r="AP93" s="745"/>
      <c r="AQ93" s="748"/>
      <c r="AR93" s="748"/>
      <c r="AS93" s="748"/>
      <c r="AT93" s="748"/>
      <c r="AU93" s="748"/>
      <c r="AV93" s="748"/>
      <c r="AW93" s="748"/>
      <c r="AX93" s="748"/>
      <c r="AY93" s="748"/>
      <c r="AZ93" s="748"/>
      <c r="BA93" s="748"/>
      <c r="BB93" s="748"/>
      <c r="BC93" s="748"/>
      <c r="BD93" s="748"/>
      <c r="BE93" s="748"/>
      <c r="BF93" s="748"/>
      <c r="BG93" s="748"/>
      <c r="BH93" s="748"/>
      <c r="BI93" s="748"/>
      <c r="BJ93" s="748"/>
    </row>
  </sheetData>
  <mergeCells count="2">
    <mergeCell ref="R4:S4"/>
    <mergeCell ref="L4:N4"/>
  </mergeCells>
  <hyperlinks>
    <hyperlink ref="B71" location="'Investimentos A'!A1" display="Investimentos" xr:uid="{00000000-0004-0000-0300-000000000000}"/>
    <hyperlink ref="B18" location="'Impostos a Recuperar'!A1" display="Imposto de renda e contribuição social a recuperar" xr:uid="{00000000-0004-0000-0300-000001000000}"/>
    <hyperlink ref="B19" location="'Caixa e Equivalente de Caixa'!A1" display="Aplicações financeiras" xr:uid="{00000000-0004-0000-0300-000002000000}"/>
    <hyperlink ref="B45" location="'Arrendamento Mercantil'!A1" display="'Arrendamento Mercantil'!A1" xr:uid="{00000000-0004-0000-0300-000003000000}"/>
    <hyperlink ref="B64" location="'Arrendamento Mercantil'!A1" display="'Arrendamento Mercantil'!A1" xr:uid="{00000000-0004-0000-0300-000004000000}"/>
    <hyperlink ref="B7" location="'Caixa e Equivalente de Caixa'!A1" display="'Caixa e Equivalente de Caixa'!A1" xr:uid="{00000000-0004-0000-0300-000005000000}"/>
    <hyperlink ref="B8" location="'Contas a Receber'!A1" display="'Contas a Receber'!A1" xr:uid="{00000000-0004-0000-0300-000006000000}"/>
    <hyperlink ref="B9" location="'Partes Relacionadas'!A1" display="'Partes Relacionadas'!A1" xr:uid="{00000000-0004-0000-0300-000007000000}"/>
    <hyperlink ref="B12" location="'Impostos a Recuperar'!A1" display="'Impostos a Recuperar'!A1" xr:uid="{00000000-0004-0000-0300-000008000000}"/>
    <hyperlink ref="B13" location="'Demais Contas a Receber'!A1" display="'Demais Contas a Receber'!A1" xr:uid="{00000000-0004-0000-0300-000009000000}"/>
    <hyperlink ref="B24" location="'Impostos a Recuperar'!A1" display="'Impostos a Recuperar'!A1" xr:uid="{00000000-0004-0000-0300-00000A000000}"/>
    <hyperlink ref="B26" location="'Demais Contas a Receber'!A1" display="'Demais Contas a Receber'!A1" xr:uid="{00000000-0004-0000-0300-00000B000000}"/>
    <hyperlink ref="B29" location="'Partes Relacionadas'!A1" display="'Partes Relacionadas'!A1" xr:uid="{00000000-0004-0000-0300-00000C000000}"/>
    <hyperlink ref="B50" location="'Partes Relacionadas'!A1" display="'Partes Relacionadas'!A1" xr:uid="{00000000-0004-0000-0300-00000D000000}"/>
    <hyperlink ref="B30" location="'Empréstimos e Financiamentos'!A1" display="'Empréstimos e Financiamentos'!A1" xr:uid="{00000000-0004-0000-0300-00000E000000}"/>
    <hyperlink ref="B31" location="'Riscos Judiciais'!A1" display="'Riscos Judiciais'!A1" xr:uid="{00000000-0004-0000-0300-00000F000000}"/>
    <hyperlink ref="B34" location="'Investimentos A'!A1" display="'Investimentos A'!A1" xr:uid="{00000000-0004-0000-0300-000010000000}"/>
    <hyperlink ref="B35" location="'Imobilizado '!A1" display="'Imobilizado '!A1" xr:uid="{00000000-0004-0000-0300-000011000000}"/>
    <hyperlink ref="B36" location="Intangível!A1" display="Intangível!A1" xr:uid="{00000000-0004-0000-0300-000012000000}"/>
    <hyperlink ref="B37" location="'Direito de Uso'!A1" display="'Direito de Uso'!A1" xr:uid="{00000000-0004-0000-0300-000013000000}"/>
    <hyperlink ref="B43" location="'Empréstimos e Financiamentos'!A1" display="'Empréstimos e Financiamentos'!A1" xr:uid="{00000000-0004-0000-0300-000014000000}"/>
    <hyperlink ref="B61" location="'Empréstimos e Financiamentos'!A1" display="'Empréstimos e Financiamentos'!A1" xr:uid="{00000000-0004-0000-0300-000015000000}"/>
    <hyperlink ref="B44" location="'Empréstimos e Financiamentos'!A1" display="'Empréstimos e Financiamentos'!A1" xr:uid="{00000000-0004-0000-0300-000016000000}"/>
    <hyperlink ref="B63" location="'Empréstimos e Financiamentos'!A1" display="'Empréstimos e Financiamentos'!A1" xr:uid="{00000000-0004-0000-0300-000017000000}"/>
    <hyperlink ref="B48" location="'Salários e Encargos Sociais'!A1" display="'Salários e Encargos Sociais'!A1" xr:uid="{00000000-0004-0000-0300-000018000000}"/>
    <hyperlink ref="B49" location="'Demais Contas a Pagar'!A1" display="'Demais Contas a Pagar'!A1" xr:uid="{00000000-0004-0000-0300-000019000000}"/>
    <hyperlink ref="B51" location="'IR e CS Diferidos'!A1" display="'IR e CS Diferidos'!A1" xr:uid="{00000000-0004-0000-0300-00001A000000}"/>
    <hyperlink ref="B62" location="'Partes Relacionadas'!A1" display="'Partes Relacionadas'!A1" xr:uid="{00000000-0004-0000-0300-00001B000000}"/>
    <hyperlink ref="B66" location="'Riscos Judiciais'!A1" display="Depósitos judiciais" xr:uid="{00000000-0004-0000-0300-00001C000000}"/>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tabColor theme="9"/>
    <pageSetUpPr autoPageBreaks="0"/>
  </sheetPr>
  <dimension ref="A1:BN39"/>
  <sheetViews>
    <sheetView showGridLines="0" zoomScaleNormal="100" workbookViewId="0">
      <pane xSplit="2" ySplit="5" topLeftCell="AU6" activePane="bottomRight" state="frozen"/>
      <selection activeCell="F56" sqref="F56"/>
      <selection pane="topRight" activeCell="F56" sqref="F56"/>
      <selection pane="bottomLeft" activeCell="F56" sqref="F56"/>
      <selection pane="bottomRight" activeCell="BG5" sqref="BG5"/>
    </sheetView>
  </sheetViews>
  <sheetFormatPr defaultColWidth="9.28515625" defaultRowHeight="12.75" outlineLevelRow="1" x14ac:dyDescent="0.2"/>
  <cols>
    <col min="1" max="1" width="1.42578125" style="641" customWidth="1"/>
    <col min="2" max="2" width="45" style="1097" customWidth="1"/>
    <col min="3" max="38" width="10.7109375" style="548" customWidth="1"/>
    <col min="39" max="59" width="10" style="1098" customWidth="1"/>
    <col min="60" max="60" width="11.28515625" style="575" bestFit="1" customWidth="1"/>
    <col min="61" max="16384" width="9.28515625" style="575"/>
  </cols>
  <sheetData>
    <row r="1" spans="1:66" ht="7.5" customHeight="1" x14ac:dyDescent="0.2">
      <c r="B1" s="576"/>
      <c r="AM1" s="548"/>
      <c r="AN1" s="548"/>
      <c r="AO1" s="548"/>
      <c r="AP1" s="548"/>
      <c r="AQ1" s="548"/>
      <c r="AR1" s="548"/>
      <c r="AS1" s="548"/>
      <c r="AT1" s="548"/>
      <c r="AU1" s="548"/>
      <c r="AV1" s="548"/>
      <c r="AW1" s="548"/>
      <c r="AX1" s="548"/>
      <c r="AY1" s="548"/>
      <c r="AZ1" s="548"/>
      <c r="BA1" s="548"/>
      <c r="BB1" s="548"/>
      <c r="BC1" s="548"/>
      <c r="BD1" s="548"/>
      <c r="BE1" s="548"/>
      <c r="BF1" s="548"/>
      <c r="BG1" s="548"/>
      <c r="BH1" s="548"/>
    </row>
    <row r="2" spans="1:66" s="577" customFormat="1" ht="12.75" customHeight="1" x14ac:dyDescent="0.2">
      <c r="A2" s="63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row>
    <row r="3" spans="1:66" s="577" customFormat="1" ht="12.75" customHeight="1" x14ac:dyDescent="0.2">
      <c r="A3" s="633"/>
      <c r="B3" s="520"/>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48"/>
      <c r="AP3" s="548"/>
      <c r="AQ3" s="517"/>
      <c r="AR3" s="517"/>
      <c r="AS3" s="517"/>
      <c r="AT3" s="517"/>
      <c r="AU3" s="517"/>
      <c r="AV3" s="517"/>
      <c r="AW3" s="517"/>
      <c r="AX3" s="517"/>
      <c r="AY3" s="517"/>
      <c r="AZ3" s="517"/>
      <c r="BA3" s="517"/>
      <c r="BB3" s="517"/>
      <c r="BC3" s="517"/>
      <c r="BD3" s="517"/>
      <c r="BE3" s="517"/>
      <c r="BF3" s="517"/>
      <c r="BG3" s="517"/>
      <c r="BH3" s="517"/>
    </row>
    <row r="4" spans="1:66" s="577" customFormat="1" ht="12.75" customHeight="1" x14ac:dyDescent="0.2">
      <c r="A4" s="633"/>
      <c r="B4" s="520" t="s">
        <v>214</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762" t="s">
        <v>863</v>
      </c>
      <c r="AK4" s="517"/>
      <c r="AL4" s="517"/>
      <c r="AM4" s="761"/>
      <c r="AN4" s="761"/>
      <c r="AO4" s="761"/>
      <c r="AP4" s="761"/>
      <c r="AQ4" s="761"/>
      <c r="AR4" s="761"/>
      <c r="AS4" s="761"/>
      <c r="AT4" s="761"/>
      <c r="AU4" s="761"/>
      <c r="AV4" s="761"/>
      <c r="AW4" s="761"/>
      <c r="AX4" s="761"/>
      <c r="AY4" s="761"/>
      <c r="AZ4" s="761"/>
      <c r="BA4" s="761"/>
      <c r="BB4" s="761"/>
      <c r="BC4" s="761"/>
      <c r="BD4" s="761"/>
      <c r="BE4" s="761"/>
      <c r="BF4" s="761"/>
      <c r="BG4" s="761"/>
    </row>
    <row r="5" spans="1:66" ht="12.75" customHeight="1" x14ac:dyDescent="0.2">
      <c r="A5" s="633"/>
      <c r="B5" s="521" t="s">
        <v>215</v>
      </c>
      <c r="C5" s="539" t="s">
        <v>128</v>
      </c>
      <c r="D5" s="481" t="s">
        <v>129</v>
      </c>
      <c r="E5" s="481" t="s">
        <v>130</v>
      </c>
      <c r="F5" s="481" t="s">
        <v>121</v>
      </c>
      <c r="G5" s="481" t="s">
        <v>120</v>
      </c>
      <c r="H5" s="522" t="s">
        <v>1023</v>
      </c>
      <c r="I5" s="522" t="s">
        <v>1024</v>
      </c>
      <c r="J5" s="522" t="s">
        <v>1025</v>
      </c>
      <c r="K5" s="522" t="s">
        <v>1026</v>
      </c>
      <c r="L5" s="481" t="s">
        <v>467</v>
      </c>
      <c r="M5" s="481" t="s">
        <v>468</v>
      </c>
      <c r="N5" s="481" t="s">
        <v>469</v>
      </c>
      <c r="O5" s="481" t="s">
        <v>470</v>
      </c>
      <c r="P5" s="481" t="s">
        <v>471</v>
      </c>
      <c r="Q5" s="523" t="s">
        <v>472</v>
      </c>
      <c r="R5" s="523" t="s">
        <v>473</v>
      </c>
      <c r="S5" s="481" t="s">
        <v>474</v>
      </c>
      <c r="T5" s="481" t="s">
        <v>475</v>
      </c>
      <c r="U5" s="481" t="s">
        <v>476</v>
      </c>
      <c r="V5" s="481" t="s">
        <v>477</v>
      </c>
      <c r="W5" s="481" t="s">
        <v>478</v>
      </c>
      <c r="X5" s="481" t="s">
        <v>479</v>
      </c>
      <c r="Y5" s="481" t="s">
        <v>371</v>
      </c>
      <c r="Z5" s="481" t="s">
        <v>372</v>
      </c>
      <c r="AA5" s="481" t="s">
        <v>373</v>
      </c>
      <c r="AB5" s="481" t="s">
        <v>374</v>
      </c>
      <c r="AC5" s="481" t="s">
        <v>375</v>
      </c>
      <c r="AD5" s="481" t="s">
        <v>376</v>
      </c>
      <c r="AE5" s="481" t="s">
        <v>694</v>
      </c>
      <c r="AF5" s="481" t="s">
        <v>758</v>
      </c>
      <c r="AG5" s="481" t="s">
        <v>771</v>
      </c>
      <c r="AH5" s="481" t="s">
        <v>788</v>
      </c>
      <c r="AI5" s="481" t="s">
        <v>844</v>
      </c>
      <c r="AJ5" s="482" t="s">
        <v>862</v>
      </c>
      <c r="AK5" s="481" t="s">
        <v>922</v>
      </c>
      <c r="AL5" s="481" t="s">
        <v>923</v>
      </c>
      <c r="AM5" s="481" t="s">
        <v>924</v>
      </c>
      <c r="AN5" s="481" t="s">
        <v>995</v>
      </c>
      <c r="AO5" s="481" t="s">
        <v>1027</v>
      </c>
      <c r="AP5" s="481" t="s">
        <v>1028</v>
      </c>
      <c r="AQ5" s="481" t="s">
        <v>993</v>
      </c>
      <c r="AR5" s="481" t="s">
        <v>1124</v>
      </c>
      <c r="AS5" s="481" t="s">
        <v>1125</v>
      </c>
      <c r="AT5" s="481" t="s">
        <v>1126</v>
      </c>
      <c r="AU5" s="481" t="s">
        <v>1127</v>
      </c>
      <c r="AV5" s="481" t="s">
        <v>1181</v>
      </c>
      <c r="AW5" s="481" t="s">
        <v>1189</v>
      </c>
      <c r="AX5" s="481" t="s">
        <v>1191</v>
      </c>
      <c r="AY5" s="481" t="s">
        <v>1193</v>
      </c>
      <c r="AZ5" s="481" t="s">
        <v>1232</v>
      </c>
      <c r="BA5" s="481" t="s">
        <v>1245</v>
      </c>
      <c r="BB5" s="481" t="s">
        <v>1247</v>
      </c>
      <c r="BC5" s="481" t="s">
        <v>1249</v>
      </c>
      <c r="BD5" s="481" t="s">
        <v>1306</v>
      </c>
      <c r="BE5" s="481" t="s">
        <v>1316</v>
      </c>
      <c r="BF5" s="481" t="s">
        <v>1317</v>
      </c>
      <c r="BG5" s="481" t="s">
        <v>1318</v>
      </c>
    </row>
    <row r="6" spans="1:66" x14ac:dyDescent="0.2">
      <c r="A6" s="633"/>
      <c r="B6" s="524" t="s">
        <v>216</v>
      </c>
      <c r="C6" s="525">
        <f>SUM(C7:C8)</f>
        <v>860656</v>
      </c>
      <c r="D6" s="525">
        <f>SUM(D7:D8)</f>
        <v>1141144</v>
      </c>
      <c r="E6" s="525">
        <f>SUM(E7:E8)</f>
        <v>1331123</v>
      </c>
      <c r="F6" s="525">
        <v>1449176</v>
      </c>
      <c r="G6" s="525">
        <v>1886117</v>
      </c>
      <c r="H6" s="525">
        <v>423401</v>
      </c>
      <c r="I6" s="525">
        <v>478102</v>
      </c>
      <c r="J6" s="525">
        <v>557628</v>
      </c>
      <c r="K6" s="525">
        <v>554820</v>
      </c>
      <c r="L6" s="525">
        <v>467402</v>
      </c>
      <c r="M6" s="525">
        <v>565167</v>
      </c>
      <c r="N6" s="525">
        <v>575517</v>
      </c>
      <c r="O6" s="525">
        <v>571830</v>
      </c>
      <c r="P6" s="525">
        <v>473707</v>
      </c>
      <c r="Q6" s="525">
        <v>504301</v>
      </c>
      <c r="R6" s="525">
        <v>483485</v>
      </c>
      <c r="S6" s="525">
        <v>492847</v>
      </c>
      <c r="T6" s="525">
        <v>352881</v>
      </c>
      <c r="U6" s="525">
        <v>342164</v>
      </c>
      <c r="V6" s="525">
        <v>343147.99199999997</v>
      </c>
      <c r="W6" s="525">
        <f t="shared" ref="W6:AC6" si="0">+SUM(W7:W8)</f>
        <v>353863.47408000001</v>
      </c>
      <c r="X6" s="525">
        <f t="shared" si="0"/>
        <v>251045.03344000003</v>
      </c>
      <c r="Y6" s="525">
        <f t="shared" si="0"/>
        <v>283051.75686000002</v>
      </c>
      <c r="Z6" s="525">
        <f t="shared" si="0"/>
        <v>292570.58199999999</v>
      </c>
      <c r="AA6" s="525">
        <f t="shared" si="0"/>
        <v>313561.64393000002</v>
      </c>
      <c r="AB6" s="525">
        <f t="shared" si="0"/>
        <v>263139.49319000001</v>
      </c>
      <c r="AC6" s="525">
        <f t="shared" si="0"/>
        <v>316766.97174999997</v>
      </c>
      <c r="AD6" s="525">
        <f t="shared" ref="AD6:AM6" si="1">+SUM(AD7:AD8)</f>
        <v>355630.59041000006</v>
      </c>
      <c r="AE6" s="525">
        <f t="shared" si="1"/>
        <v>394652.87448999996</v>
      </c>
      <c r="AF6" s="525">
        <f t="shared" si="1"/>
        <v>322849.44328000001</v>
      </c>
      <c r="AG6" s="525">
        <f t="shared" si="1"/>
        <v>360398.53693999996</v>
      </c>
      <c r="AH6" s="525">
        <f t="shared" si="1"/>
        <v>415845.59081999998</v>
      </c>
      <c r="AI6" s="525">
        <f t="shared" si="1"/>
        <v>439626.19826000003</v>
      </c>
      <c r="AJ6" s="756">
        <f t="shared" si="1"/>
        <v>367282.45629</v>
      </c>
      <c r="AK6" s="525">
        <f t="shared" si="1"/>
        <v>406330.85576000006</v>
      </c>
      <c r="AL6" s="525">
        <f t="shared" si="1"/>
        <v>415849.18766000005</v>
      </c>
      <c r="AM6" s="525">
        <f t="shared" si="1"/>
        <v>463847.30074000004</v>
      </c>
      <c r="AN6" s="525">
        <f t="shared" ref="AN6:AT6" si="2">+SUM(AN7:AN8)</f>
        <v>345453.34173999995</v>
      </c>
      <c r="AO6" s="525">
        <f t="shared" si="2"/>
        <v>160265.12508</v>
      </c>
      <c r="AP6" s="525">
        <f t="shared" si="2"/>
        <v>358316.07078000001</v>
      </c>
      <c r="AQ6" s="525">
        <f t="shared" si="2"/>
        <v>386729.15333999996</v>
      </c>
      <c r="AR6" s="525">
        <f t="shared" si="2"/>
        <v>290764.73402999999</v>
      </c>
      <c r="AS6" s="525">
        <f t="shared" si="2"/>
        <v>294711.26993999997</v>
      </c>
      <c r="AT6" s="525">
        <f t="shared" si="2"/>
        <v>289282.03484000004</v>
      </c>
      <c r="AU6" s="525">
        <f>+SUM(AU7:AU8)</f>
        <v>379482.27760999993</v>
      </c>
      <c r="AV6" s="525">
        <f>+SUM(AV7:AV8)</f>
        <v>298338.78965999995</v>
      </c>
      <c r="AW6" s="525">
        <f>+SUM(AW7:AW8)</f>
        <v>375831.22440000001</v>
      </c>
      <c r="AX6" s="525">
        <f t="shared" ref="AX6:BF6" si="3">+SUM(AX7:AX8)</f>
        <v>511410.33604000002</v>
      </c>
      <c r="AY6" s="525">
        <f t="shared" si="3"/>
        <v>506300.46126999997</v>
      </c>
      <c r="AZ6" s="525">
        <f t="shared" si="3"/>
        <v>417226.32456999982</v>
      </c>
      <c r="BA6" s="525">
        <f t="shared" si="3"/>
        <v>457143.44667000009</v>
      </c>
      <c r="BB6" s="525">
        <f t="shared" si="3"/>
        <v>531099.36146000004</v>
      </c>
      <c r="BC6" s="525">
        <f t="shared" si="3"/>
        <v>565970.18728000007</v>
      </c>
      <c r="BD6" s="525">
        <f t="shared" si="3"/>
        <v>483235.76516999991</v>
      </c>
      <c r="BE6" s="525">
        <f t="shared" si="3"/>
        <v>584888.07593000005</v>
      </c>
      <c r="BF6" s="525">
        <f t="shared" si="3"/>
        <v>746758.51612000004</v>
      </c>
      <c r="BG6" s="525">
        <f>+SUM(BG7:BG8)</f>
        <v>770341.37877999991</v>
      </c>
    </row>
    <row r="7" spans="1:66" s="577" customFormat="1" ht="13.5" customHeight="1" outlineLevel="1" x14ac:dyDescent="0.2">
      <c r="A7" s="633" t="s">
        <v>217</v>
      </c>
      <c r="B7" s="1008" t="s">
        <v>217</v>
      </c>
      <c r="C7" s="487">
        <v>745495</v>
      </c>
      <c r="D7" s="487">
        <v>1006490</v>
      </c>
      <c r="E7" s="487">
        <v>1199171</v>
      </c>
      <c r="F7" s="487">
        <v>1249234</v>
      </c>
      <c r="G7" s="487">
        <v>1443787</v>
      </c>
      <c r="H7" s="487">
        <v>295825</v>
      </c>
      <c r="I7" s="487">
        <v>334929</v>
      </c>
      <c r="J7" s="487">
        <v>396308</v>
      </c>
      <c r="K7" s="487">
        <v>398907</v>
      </c>
      <c r="L7" s="487">
        <v>352522</v>
      </c>
      <c r="M7" s="487">
        <v>449684</v>
      </c>
      <c r="N7" s="487">
        <v>458071</v>
      </c>
      <c r="O7" s="487">
        <v>438447</v>
      </c>
      <c r="P7" s="487">
        <v>353100</v>
      </c>
      <c r="Q7" s="487">
        <v>387721</v>
      </c>
      <c r="R7" s="487">
        <v>384907</v>
      </c>
      <c r="S7" s="487">
        <v>431261</v>
      </c>
      <c r="T7" s="487">
        <v>296153</v>
      </c>
      <c r="U7" s="487">
        <v>282208</v>
      </c>
      <c r="V7" s="487">
        <v>279188.13734000002</v>
      </c>
      <c r="W7" s="487">
        <f>+IncSAuto!R9</f>
        <v>291665.83533000003</v>
      </c>
      <c r="X7" s="487">
        <f>+IncSAuto!S9</f>
        <v>198606.12298000001</v>
      </c>
      <c r="Y7" s="487">
        <f>+IncSAuto!T9</f>
        <v>232426.84667</v>
      </c>
      <c r="Z7" s="487">
        <f>+IncSAuto!U9</f>
        <v>244388.95153000002</v>
      </c>
      <c r="AA7" s="487">
        <f>+IncSAuto!V9</f>
        <v>264784.09666000004</v>
      </c>
      <c r="AB7" s="487">
        <f>+IncSAuto!W9</f>
        <v>214422.15101999999</v>
      </c>
      <c r="AC7" s="487">
        <f>+IncSAuto!X9</f>
        <v>268717.10787999997</v>
      </c>
      <c r="AD7" s="487">
        <f>+IncSAuto!Y9</f>
        <v>305185.31597000005</v>
      </c>
      <c r="AE7" s="487">
        <f>+IncSAuto!Z9</f>
        <v>340565.25495999999</v>
      </c>
      <c r="AF7" s="487">
        <f>+IncSAuto!AA9</f>
        <v>275057.54545999999</v>
      </c>
      <c r="AG7" s="487">
        <f>+IncSAuto!AB9</f>
        <v>315279.75394999998</v>
      </c>
      <c r="AH7" s="487">
        <v>365789.47778999998</v>
      </c>
      <c r="AI7" s="487">
        <v>391684.40824000002</v>
      </c>
      <c r="AJ7" s="488">
        <v>321706.25628999999</v>
      </c>
      <c r="AK7" s="487">
        <f>+IncSAuto!AF9</f>
        <v>360853.55104000005</v>
      </c>
      <c r="AL7" s="487">
        <f>+IncSAuto!AG9</f>
        <v>366405.11531000002</v>
      </c>
      <c r="AM7" s="487">
        <f>+IncSAuto!AH9</f>
        <v>414841.17645000003</v>
      </c>
      <c r="AN7" s="487">
        <f>+IncSAuto!AI9</f>
        <v>298654.90463999996</v>
      </c>
      <c r="AO7" s="487">
        <f>+IncSAuto!AJ9</f>
        <v>108624.88222</v>
      </c>
      <c r="AP7" s="487">
        <f>+IncSAuto!AK9</f>
        <v>305501.52506000001</v>
      </c>
      <c r="AQ7" s="487">
        <f>+IncSAuto!AL9</f>
        <v>337571.33675999998</v>
      </c>
      <c r="AR7" s="487">
        <f>+IncSAuto!AM9</f>
        <v>250078.92903</v>
      </c>
      <c r="AS7" s="487">
        <f>+IncSAuto!AN9</f>
        <v>249944.68143999999</v>
      </c>
      <c r="AT7" s="487">
        <f>+IncSAuto!AO9</f>
        <v>243798.95912000004</v>
      </c>
      <c r="AU7" s="487">
        <f>+IncSAuto!AP9</f>
        <v>339046.03587999992</v>
      </c>
      <c r="AV7" s="487">
        <f>+IncSAuto!AQ9</f>
        <v>249984.01542999997</v>
      </c>
      <c r="AW7" s="487">
        <v>329187.05628000002</v>
      </c>
      <c r="AX7" s="487">
        <f>+IncSAuto!AS9</f>
        <v>460036.70981000003</v>
      </c>
      <c r="AY7" s="487">
        <f>+IncSAuto!AT9</f>
        <v>461462.62537999998</v>
      </c>
      <c r="AZ7" s="487">
        <f>+IncSAuto!AU9</f>
        <v>369902.34818999982</v>
      </c>
      <c r="BA7" s="487">
        <f>+IncSAuto!AV9</f>
        <v>413999.29704000009</v>
      </c>
      <c r="BB7" s="487">
        <f>+IncSAuto!AW9</f>
        <v>481071.89130000008</v>
      </c>
      <c r="BC7" s="487">
        <f>+IncSAuto!AX9</f>
        <v>516751.48728000012</v>
      </c>
      <c r="BD7" s="487">
        <v>432552.07787999994</v>
      </c>
      <c r="BE7" s="487">
        <v>529168.94435000001</v>
      </c>
      <c r="BF7" s="487">
        <v>695890.14059000008</v>
      </c>
      <c r="BG7" s="487">
        <f>+IncSAuto!BB9</f>
        <v>720353.22578999994</v>
      </c>
      <c r="BH7" s="1212"/>
      <c r="BI7" s="1212"/>
      <c r="BL7" s="1212"/>
      <c r="BM7" s="1212"/>
      <c r="BN7" s="1212"/>
    </row>
    <row r="8" spans="1:66" ht="13.5" customHeight="1" outlineLevel="1" x14ac:dyDescent="0.2">
      <c r="A8" s="633" t="s">
        <v>218</v>
      </c>
      <c r="B8" s="1008" t="str">
        <f>HYPERLINK(Menu!$AY$5,A8)</f>
        <v>Integrated logistics</v>
      </c>
      <c r="C8" s="487">
        <v>115161</v>
      </c>
      <c r="D8" s="487">
        <v>134654</v>
      </c>
      <c r="E8" s="487">
        <v>131952</v>
      </c>
      <c r="F8" s="487">
        <v>199942</v>
      </c>
      <c r="G8" s="487">
        <v>442331</v>
      </c>
      <c r="H8" s="487">
        <v>127576</v>
      </c>
      <c r="I8" s="487">
        <v>143173</v>
      </c>
      <c r="J8" s="487">
        <v>161320</v>
      </c>
      <c r="K8" s="487">
        <v>155913</v>
      </c>
      <c r="L8" s="487">
        <v>114880</v>
      </c>
      <c r="M8" s="487">
        <v>115483</v>
      </c>
      <c r="N8" s="487">
        <v>117446</v>
      </c>
      <c r="O8" s="487">
        <v>133383</v>
      </c>
      <c r="P8" s="487">
        <v>120607</v>
      </c>
      <c r="Q8" s="487">
        <v>116580</v>
      </c>
      <c r="R8" s="487">
        <v>98578</v>
      </c>
      <c r="S8" s="487">
        <v>61586</v>
      </c>
      <c r="T8" s="487">
        <f>+IncSIntLog!O10</f>
        <v>56728</v>
      </c>
      <c r="U8" s="487">
        <f>+IncSIntLog!P10</f>
        <v>59956</v>
      </c>
      <c r="V8" s="487">
        <f>+IncSIntLog!Q10</f>
        <v>63960</v>
      </c>
      <c r="W8" s="487">
        <f>+IncSIntLog!R10</f>
        <v>62197.638749999998</v>
      </c>
      <c r="X8" s="487">
        <f>+IncSIntLog!S10</f>
        <v>52438.910459999999</v>
      </c>
      <c r="Y8" s="487">
        <f>+IncSIntLog!T10</f>
        <v>50624.91019000001</v>
      </c>
      <c r="Z8" s="487">
        <f>+IncSIntLog!U10</f>
        <v>48181.630469999996</v>
      </c>
      <c r="AA8" s="487">
        <f>+IncSIntLog!V10</f>
        <v>48777.547270000003</v>
      </c>
      <c r="AB8" s="487">
        <f>+IncSIntLog!W10</f>
        <v>48717.342169999996</v>
      </c>
      <c r="AC8" s="487">
        <f>+IncSIntLog!X10</f>
        <v>48049.863870000001</v>
      </c>
      <c r="AD8" s="487">
        <f>+IncSIntLog!Y10</f>
        <v>50445.274439999994</v>
      </c>
      <c r="AE8" s="487">
        <f>+IncSIntLog!Z10</f>
        <v>54087.619529999996</v>
      </c>
      <c r="AF8" s="487">
        <f>+IncSIntLog!AA10</f>
        <v>47791.897820000006</v>
      </c>
      <c r="AG8" s="487">
        <f>+IncSIntLog!AB10</f>
        <v>45118.782989999992</v>
      </c>
      <c r="AH8" s="487">
        <f>+IncSIntLog!AC10</f>
        <v>50056.113029999993</v>
      </c>
      <c r="AI8" s="487">
        <f>+IncSIntLog!AD10</f>
        <v>47941.790019999993</v>
      </c>
      <c r="AJ8" s="488">
        <f>+IncSIntLog!AE10</f>
        <v>45576.200000000004</v>
      </c>
      <c r="AK8" s="487">
        <f>+IncSIntLog!AF10</f>
        <v>45477.30472</v>
      </c>
      <c r="AL8" s="487">
        <f>+IncSIntLog!AG10</f>
        <v>49444.072350000002</v>
      </c>
      <c r="AM8" s="487">
        <f>+IncSIntLog!AH10</f>
        <v>49006.12429</v>
      </c>
      <c r="AN8" s="487">
        <f>+IncSIntLog!AI10</f>
        <v>46798.437100000003</v>
      </c>
      <c r="AO8" s="487">
        <f>+IncSIntLog!AJ10</f>
        <v>51640.242859999998</v>
      </c>
      <c r="AP8" s="487">
        <f>+IncSIntLog!AK10</f>
        <v>52814.545720000002</v>
      </c>
      <c r="AQ8" s="487">
        <f>+IncSIntLog!AL10</f>
        <v>49157.816579999999</v>
      </c>
      <c r="AR8" s="487">
        <f>+IncSIntLog!AM10</f>
        <v>40685.805</v>
      </c>
      <c r="AS8" s="487">
        <f>+IncSIntLog!AN10</f>
        <v>44766.588499999998</v>
      </c>
      <c r="AT8" s="487">
        <f>+IncSIntLog!AO10</f>
        <v>45483.075720000001</v>
      </c>
      <c r="AU8" s="487">
        <f>+IncSIntLog!AP10</f>
        <v>40436.241730000009</v>
      </c>
      <c r="AV8" s="487">
        <f>+IncSIntLog!AQ10</f>
        <v>48354.774229999995</v>
      </c>
      <c r="AW8" s="487">
        <v>46644.168120000002</v>
      </c>
      <c r="AX8" s="487">
        <f>+IncSIntLog!AS10</f>
        <v>51373.626230000002</v>
      </c>
      <c r="AY8" s="487">
        <f>+IncSIntLog!AT10</f>
        <v>44837.835890000002</v>
      </c>
      <c r="AZ8" s="487">
        <f>+IncSIntLog!AU10</f>
        <v>47323.97638</v>
      </c>
      <c r="BA8" s="487">
        <f>+IncSIntLog!AV10</f>
        <v>43144.14963</v>
      </c>
      <c r="BB8" s="487">
        <f>+IncSIntLog!AW10</f>
        <v>50027.470160000004</v>
      </c>
      <c r="BC8" s="487">
        <f>+IncSIntLog!AX10</f>
        <v>49218.7</v>
      </c>
      <c r="BD8" s="487">
        <v>50683.687290000002</v>
      </c>
      <c r="BE8" s="487">
        <v>55719.131580000001</v>
      </c>
      <c r="BF8" s="487">
        <v>50868.375529999998</v>
      </c>
      <c r="BG8" s="487">
        <f>+IncSIntLog!BB10</f>
        <v>49988.152990000002</v>
      </c>
    </row>
    <row r="9" spans="1:66" ht="13.5" customHeight="1" x14ac:dyDescent="0.2">
      <c r="A9" s="633"/>
      <c r="B9" s="529" t="s">
        <v>956</v>
      </c>
      <c r="C9" s="487">
        <v>-115715</v>
      </c>
      <c r="D9" s="487">
        <v>-162197</v>
      </c>
      <c r="E9" s="487">
        <v>-196827</v>
      </c>
      <c r="F9" s="487">
        <v>-282004</v>
      </c>
      <c r="G9" s="487">
        <v>-376754</v>
      </c>
      <c r="H9" s="528">
        <v>-81333</v>
      </c>
      <c r="I9" s="528">
        <v>-91588</v>
      </c>
      <c r="J9" s="528">
        <v>-105829</v>
      </c>
      <c r="K9" s="528">
        <v>-101172</v>
      </c>
      <c r="L9" s="528">
        <v>-88558</v>
      </c>
      <c r="M9" s="528">
        <v>-104115</v>
      </c>
      <c r="N9" s="528">
        <v>-108268</v>
      </c>
      <c r="O9" s="528">
        <v>-106483</v>
      </c>
      <c r="P9" s="528">
        <v>-95225</v>
      </c>
      <c r="Q9" s="528">
        <v>-98774</v>
      </c>
      <c r="R9" s="528">
        <v>-95407</v>
      </c>
      <c r="S9" s="528">
        <v>-95805</v>
      </c>
      <c r="T9" s="487">
        <v>-67982</v>
      </c>
      <c r="U9" s="487">
        <v>-67058</v>
      </c>
      <c r="V9" s="487">
        <v>-67762.035959999994</v>
      </c>
      <c r="W9" s="487">
        <v>-66690.16750000001</v>
      </c>
      <c r="X9" s="487">
        <v>-48151.203300000008</v>
      </c>
      <c r="Y9" s="487">
        <v>-54394.151560000006</v>
      </c>
      <c r="Z9" s="487">
        <v>-54752.565559999995</v>
      </c>
      <c r="AA9" s="487">
        <v>-59039.896559999994</v>
      </c>
      <c r="AB9" s="487">
        <v>-49624.916320000004</v>
      </c>
      <c r="AC9" s="490">
        <v>-51660.569389999997</v>
      </c>
      <c r="AD9" s="487">
        <v>-69751.736579999997</v>
      </c>
      <c r="AE9" s="487">
        <v>-75177.268309999999</v>
      </c>
      <c r="AF9" s="487">
        <v>-60777.078840000002</v>
      </c>
      <c r="AG9" s="487">
        <v>-67123.213439999992</v>
      </c>
      <c r="AH9" s="490">
        <v>-84639.923620000001</v>
      </c>
      <c r="AI9" s="490">
        <v>-72400.729330000002</v>
      </c>
      <c r="AJ9" s="488">
        <v>-70601.664730000004</v>
      </c>
      <c r="AK9" s="487">
        <v>-74742.844069999992</v>
      </c>
      <c r="AL9" s="487">
        <v>-75126.040760000004</v>
      </c>
      <c r="AM9" s="487">
        <v>-85518.781180000005</v>
      </c>
      <c r="AN9" s="487">
        <v>-65706.918319999997</v>
      </c>
      <c r="AO9" s="487">
        <v>-30124.582640000004</v>
      </c>
      <c r="AP9" s="487">
        <v>-69134.587800000008</v>
      </c>
      <c r="AQ9" s="487">
        <v>-73762.623570000011</v>
      </c>
      <c r="AR9" s="487">
        <v>-56852.589730000007</v>
      </c>
      <c r="AS9" s="487">
        <v>-57645.011709999992</v>
      </c>
      <c r="AT9" s="487">
        <v>-57843.520080000009</v>
      </c>
      <c r="AU9" s="487">
        <v>-74556.185990000027</v>
      </c>
      <c r="AV9" s="487">
        <v>-57272.68054999999</v>
      </c>
      <c r="AW9" s="487">
        <v>-71296.049839999992</v>
      </c>
      <c r="AX9" s="487">
        <v>-95901.644959999947</v>
      </c>
      <c r="AY9" s="487">
        <v>-96900.989789999963</v>
      </c>
      <c r="AZ9" s="487">
        <v>-81188.375400000019</v>
      </c>
      <c r="BA9" s="490">
        <v>-90492.716629999981</v>
      </c>
      <c r="BB9" s="487">
        <v>-104121.76996999996</v>
      </c>
      <c r="BC9" s="490">
        <v>-112168.91354999994</v>
      </c>
      <c r="BD9" s="490">
        <v>-94064.972370000032</v>
      </c>
      <c r="BE9" s="487">
        <v>-112045.88618999999</v>
      </c>
      <c r="BF9" s="487">
        <v>-143004.25520999997</v>
      </c>
      <c r="BG9" s="118">
        <v>-145981.20510000002</v>
      </c>
    </row>
    <row r="10" spans="1:66" ht="13.5" customHeight="1" x14ac:dyDescent="0.2">
      <c r="A10" s="633"/>
      <c r="B10" s="524" t="s">
        <v>220</v>
      </c>
      <c r="C10" s="525">
        <f>+SUM(C9,C6)</f>
        <v>744941</v>
      </c>
      <c r="D10" s="525">
        <f>+SUM(D9,D6)</f>
        <v>978947</v>
      </c>
      <c r="E10" s="525">
        <f>+SUM(E9,E6)</f>
        <v>1134296</v>
      </c>
      <c r="F10" s="525">
        <f>+SUM(F9,F6)</f>
        <v>1167172</v>
      </c>
      <c r="G10" s="525">
        <f>+SUM(G9,G6)</f>
        <v>1509363</v>
      </c>
      <c r="H10" s="525">
        <v>342068</v>
      </c>
      <c r="I10" s="525">
        <v>386514</v>
      </c>
      <c r="J10" s="525">
        <v>451799</v>
      </c>
      <c r="K10" s="525">
        <v>453648</v>
      </c>
      <c r="L10" s="525">
        <v>378844</v>
      </c>
      <c r="M10" s="525">
        <v>461052</v>
      </c>
      <c r="N10" s="525">
        <v>467249</v>
      </c>
      <c r="O10" s="525">
        <v>465347</v>
      </c>
      <c r="P10" s="525">
        <v>378482</v>
      </c>
      <c r="Q10" s="525">
        <v>405527</v>
      </c>
      <c r="R10" s="525">
        <v>388078</v>
      </c>
      <c r="S10" s="525">
        <v>397042</v>
      </c>
      <c r="T10" s="525">
        <f>+SUM(T9,T6)</f>
        <v>284899</v>
      </c>
      <c r="U10" s="525">
        <f t="shared" ref="U10:AD10" si="4">+SUM(U9,U6)</f>
        <v>275106</v>
      </c>
      <c r="V10" s="525">
        <f t="shared" si="4"/>
        <v>275385.95603999996</v>
      </c>
      <c r="W10" s="525">
        <f t="shared" si="4"/>
        <v>287173.30657999997</v>
      </c>
      <c r="X10" s="525">
        <f t="shared" si="4"/>
        <v>202893.83014000003</v>
      </c>
      <c r="Y10" s="525">
        <f t="shared" si="4"/>
        <v>228657.60530000002</v>
      </c>
      <c r="Z10" s="525">
        <f t="shared" si="4"/>
        <v>237818.01644000001</v>
      </c>
      <c r="AA10" s="525">
        <f t="shared" si="4"/>
        <v>254521.74737000003</v>
      </c>
      <c r="AB10" s="525">
        <f t="shared" si="4"/>
        <v>213514.57686999999</v>
      </c>
      <c r="AC10" s="525">
        <f t="shared" si="4"/>
        <v>265106.40235999995</v>
      </c>
      <c r="AD10" s="525">
        <f t="shared" si="4"/>
        <v>285878.85383000004</v>
      </c>
      <c r="AE10" s="525">
        <f t="shared" ref="AE10:AM10" si="5">+SUM(AE9,AE6)</f>
        <v>319475.60617999994</v>
      </c>
      <c r="AF10" s="525">
        <f t="shared" si="5"/>
        <v>262072.36444</v>
      </c>
      <c r="AG10" s="525">
        <f t="shared" si="5"/>
        <v>293275.32349999994</v>
      </c>
      <c r="AH10" s="525">
        <f>+SUM(AH9,AH6)</f>
        <v>331205.66719999997</v>
      </c>
      <c r="AI10" s="525">
        <f t="shared" si="5"/>
        <v>367225.46893000003</v>
      </c>
      <c r="AJ10" s="756">
        <f t="shared" si="5"/>
        <v>296680.79155999998</v>
      </c>
      <c r="AK10" s="525">
        <f t="shared" si="5"/>
        <v>331588.01169000007</v>
      </c>
      <c r="AL10" s="525">
        <f t="shared" si="5"/>
        <v>340723.14690000005</v>
      </c>
      <c r="AM10" s="525">
        <f t="shared" si="5"/>
        <v>378328.51956000004</v>
      </c>
      <c r="AN10" s="525">
        <f t="shared" ref="AN10:AW10" si="6">+SUM(AN9,AN6)</f>
        <v>279746.42341999995</v>
      </c>
      <c r="AO10" s="525">
        <f t="shared" si="6"/>
        <v>130140.54243999999</v>
      </c>
      <c r="AP10" s="525">
        <f t="shared" si="6"/>
        <v>289181.48297999997</v>
      </c>
      <c r="AQ10" s="525">
        <f t="shared" si="6"/>
        <v>312966.52976999996</v>
      </c>
      <c r="AR10" s="525">
        <f t="shared" si="6"/>
        <v>233912.14429999999</v>
      </c>
      <c r="AS10" s="525">
        <f t="shared" si="6"/>
        <v>237066.25822999998</v>
      </c>
      <c r="AT10" s="525">
        <f t="shared" si="6"/>
        <v>231438.51476000002</v>
      </c>
      <c r="AU10" s="525">
        <f t="shared" si="6"/>
        <v>304926.0916199999</v>
      </c>
      <c r="AV10" s="525">
        <f t="shared" si="6"/>
        <v>241066.10910999996</v>
      </c>
      <c r="AW10" s="525">
        <f t="shared" si="6"/>
        <v>304535.17456000001</v>
      </c>
      <c r="AX10" s="525">
        <f t="shared" ref="AX10:BG10" si="7">+SUM(AX9,AX6)</f>
        <v>415508.69108000008</v>
      </c>
      <c r="AY10" s="525">
        <f t="shared" si="7"/>
        <v>409399.47148000001</v>
      </c>
      <c r="AZ10" s="525">
        <f t="shared" si="7"/>
        <v>336037.9491699998</v>
      </c>
      <c r="BA10" s="525">
        <f t="shared" si="7"/>
        <v>366650.73004000011</v>
      </c>
      <c r="BB10" s="525">
        <f t="shared" si="7"/>
        <v>426977.59149000008</v>
      </c>
      <c r="BC10" s="525">
        <f t="shared" si="7"/>
        <v>453801.27373000013</v>
      </c>
      <c r="BD10" s="525">
        <f t="shared" si="7"/>
        <v>389170.79279999988</v>
      </c>
      <c r="BE10" s="525">
        <f t="shared" si="7"/>
        <v>472842.18974000006</v>
      </c>
      <c r="BF10" s="525">
        <f t="shared" si="7"/>
        <v>603754.26091000007</v>
      </c>
      <c r="BG10" s="525">
        <f t="shared" si="7"/>
        <v>624360.17367999989</v>
      </c>
    </row>
    <row r="11" spans="1:66" ht="13.5" customHeight="1" x14ac:dyDescent="0.2">
      <c r="A11" s="633" t="s">
        <v>221</v>
      </c>
      <c r="B11" s="1009" t="str">
        <f>HYPERLINK(Menu!$AY$38,A11)</f>
        <v>Cost of services</v>
      </c>
      <c r="C11" s="487">
        <f>SUM(C12:C15)</f>
        <v>-623456</v>
      </c>
      <c r="D11" s="487">
        <f>SUM(D12:D15)</f>
        <v>-853850</v>
      </c>
      <c r="E11" s="487">
        <f>SUM(E12:E15)</f>
        <v>-973343</v>
      </c>
      <c r="F11" s="487">
        <f>SUM(F12:F15)</f>
        <v>-957287</v>
      </c>
      <c r="G11" s="487">
        <f>SUM(G12:G15)</f>
        <v>-1249718</v>
      </c>
      <c r="H11" s="528">
        <v>-284294</v>
      </c>
      <c r="I11" s="528">
        <v>-325780</v>
      </c>
      <c r="J11" s="528">
        <v>-384437</v>
      </c>
      <c r="K11" s="528">
        <v>-400493</v>
      </c>
      <c r="L11" s="528">
        <v>-343442</v>
      </c>
      <c r="M11" s="528">
        <v>-396401</v>
      </c>
      <c r="N11" s="528">
        <v>-411773</v>
      </c>
      <c r="O11" s="528">
        <v>-400422</v>
      </c>
      <c r="P11" s="528">
        <v>-339378</v>
      </c>
      <c r="Q11" s="528">
        <v>-351415</v>
      </c>
      <c r="R11" s="528">
        <v>-313019</v>
      </c>
      <c r="S11" s="528">
        <v>-321521</v>
      </c>
      <c r="T11" s="487">
        <v>-247035.00000000003</v>
      </c>
      <c r="U11" s="487">
        <v>-247029.00000000003</v>
      </c>
      <c r="V11" s="487">
        <v>-236878.60298999998</v>
      </c>
      <c r="W11" s="487">
        <f t="shared" ref="W11:AC11" si="8">+SUM(W12:W15)</f>
        <v>-243492.94226000001</v>
      </c>
      <c r="X11" s="487">
        <f t="shared" si="8"/>
        <v>-178905.39563000001</v>
      </c>
      <c r="Y11" s="487">
        <f t="shared" si="8"/>
        <v>-197418.37862</v>
      </c>
      <c r="Z11" s="487">
        <f>+SUM(Z12:Z15)</f>
        <v>-198283.67272000003</v>
      </c>
      <c r="AA11" s="490">
        <f t="shared" si="8"/>
        <v>-206688.96572000001</v>
      </c>
      <c r="AB11" s="487">
        <f t="shared" si="8"/>
        <v>-180714.9791</v>
      </c>
      <c r="AC11" s="487">
        <f t="shared" si="8"/>
        <v>-211911.74471999999</v>
      </c>
      <c r="AD11" s="487">
        <f t="shared" ref="AD11:AK11" si="9">+SUM(AD12:AD15)</f>
        <v>-232694.54853</v>
      </c>
      <c r="AE11" s="490">
        <f t="shared" si="9"/>
        <v>-224722.46987</v>
      </c>
      <c r="AF11" s="487">
        <f>+SUM(AF12:AF15)</f>
        <v>-213228.31930999999</v>
      </c>
      <c r="AG11" s="487">
        <f t="shared" si="9"/>
        <v>-238039.59187999999</v>
      </c>
      <c r="AH11" s="487">
        <f t="shared" si="9"/>
        <v>-264362.28104000003</v>
      </c>
      <c r="AI11" s="487">
        <f t="shared" si="9"/>
        <v>-280172.36882999999</v>
      </c>
      <c r="AJ11" s="488">
        <f t="shared" si="9"/>
        <v>-234140.82363</v>
      </c>
      <c r="AK11" s="487">
        <f t="shared" si="9"/>
        <v>-262264.80955000001</v>
      </c>
      <c r="AL11" s="487">
        <f t="shared" ref="AL11:AV11" si="10">+SUM(AL12:AL15)</f>
        <v>-271445.67736999993</v>
      </c>
      <c r="AM11" s="487">
        <f t="shared" si="10"/>
        <v>-292621.11552000005</v>
      </c>
      <c r="AN11" s="487">
        <f t="shared" si="10"/>
        <v>-220891.82191999999</v>
      </c>
      <c r="AO11" s="487">
        <f t="shared" si="10"/>
        <v>-118660.94420999999</v>
      </c>
      <c r="AP11" s="487">
        <f t="shared" si="10"/>
        <v>-224485.70899000001</v>
      </c>
      <c r="AQ11" s="487">
        <f t="shared" si="10"/>
        <v>-247859.12856999994</v>
      </c>
      <c r="AR11" s="487">
        <f t="shared" si="10"/>
        <v>-191340.41950000005</v>
      </c>
      <c r="AS11" s="487">
        <f t="shared" si="10"/>
        <v>-192684.99836</v>
      </c>
      <c r="AT11" s="487">
        <f t="shared" si="10"/>
        <v>-189555.95867000002</v>
      </c>
      <c r="AU11" s="487">
        <f t="shared" si="10"/>
        <v>-245817.87784999996</v>
      </c>
      <c r="AV11" s="487">
        <f t="shared" si="10"/>
        <v>-201997.4</v>
      </c>
      <c r="AW11" s="487">
        <v>-247120.71317000006</v>
      </c>
      <c r="AX11" s="487">
        <f>+SUM(AX12:AX15)</f>
        <v>-319903.41505000007</v>
      </c>
      <c r="AY11" s="487">
        <f>+SUM(AY12:AY15)</f>
        <v>-326804.36535000004</v>
      </c>
      <c r="AZ11" s="487">
        <f>+SUM(AZ12:AZ15)</f>
        <v>-276115.87622999999</v>
      </c>
      <c r="BA11" s="487">
        <f>+SUM(BA12:BA15)</f>
        <v>-297703.84976999991</v>
      </c>
      <c r="BB11" s="487">
        <v>-335588.38546999998</v>
      </c>
      <c r="BC11" s="487">
        <f>+SUM(BC12:BC15)</f>
        <v>-362293.63800999994</v>
      </c>
      <c r="BD11" s="487">
        <f>+SUM(BD12:BD15)</f>
        <v>-315601.6468300001</v>
      </c>
      <c r="BE11" s="487">
        <f>+SUM(BE12:BE15)</f>
        <v>-376757.38668</v>
      </c>
      <c r="BF11" s="487">
        <f>+SUM(BF12:BF15)</f>
        <v>-464225.44626999996</v>
      </c>
      <c r="BG11" s="487">
        <f>+SUM(BG12:BG15)</f>
        <v>-482497.53223000001</v>
      </c>
    </row>
    <row r="12" spans="1:66" ht="13.5" customHeight="1" outlineLevel="1" x14ac:dyDescent="0.2">
      <c r="A12" s="633"/>
      <c r="B12" s="529" t="s">
        <v>222</v>
      </c>
      <c r="C12" s="487">
        <v>-73586</v>
      </c>
      <c r="D12" s="487">
        <v>-113512</v>
      </c>
      <c r="E12" s="487">
        <v>-116818</v>
      </c>
      <c r="F12" s="487">
        <v>-124097</v>
      </c>
      <c r="G12" s="487">
        <v>-191999</v>
      </c>
      <c r="H12" s="487">
        <v>-50504</v>
      </c>
      <c r="I12" s="487">
        <v>-58915</v>
      </c>
      <c r="J12" s="487">
        <v>-59533</v>
      </c>
      <c r="K12" s="487">
        <v>-60733</v>
      </c>
      <c r="L12" s="487">
        <v>-54782</v>
      </c>
      <c r="M12" s="487">
        <v>-58984</v>
      </c>
      <c r="N12" s="487">
        <v>-75103</v>
      </c>
      <c r="O12" s="487">
        <v>-53013</v>
      </c>
      <c r="P12" s="487">
        <v>-44180</v>
      </c>
      <c r="Q12" s="487">
        <v>-50019</v>
      </c>
      <c r="R12" s="487">
        <v>-42291</v>
      </c>
      <c r="S12" s="487">
        <v>-34535</v>
      </c>
      <c r="T12" s="487">
        <v>-30126</v>
      </c>
      <c r="U12" s="487">
        <v>-31462</v>
      </c>
      <c r="V12" s="487">
        <v>-30415.602929999997</v>
      </c>
      <c r="W12" s="487">
        <v>-29278.403539999999</v>
      </c>
      <c r="X12" s="487">
        <v>-27045</v>
      </c>
      <c r="Y12" s="487">
        <v>-27510.90511</v>
      </c>
      <c r="Z12" s="487">
        <v>-26640.882160000001</v>
      </c>
      <c r="AA12" s="490">
        <v>-24200.35223</v>
      </c>
      <c r="AB12" s="487">
        <v>-25332.397140000001</v>
      </c>
      <c r="AC12" s="487">
        <v>-28152.51153</v>
      </c>
      <c r="AD12" s="487">
        <v>-28100.153870000002</v>
      </c>
      <c r="AE12" s="487">
        <v>-29254.050369999997</v>
      </c>
      <c r="AF12" s="647">
        <v>-26709.697579999996</v>
      </c>
      <c r="AG12" s="647">
        <v>-28750.822249999997</v>
      </c>
      <c r="AH12" s="647">
        <v>-29253.035080000001</v>
      </c>
      <c r="AI12" s="647">
        <v>-31391.000749999999</v>
      </c>
      <c r="AJ12" s="758">
        <v>-28159.214309999999</v>
      </c>
      <c r="AK12" s="647">
        <v>-32977.39589</v>
      </c>
      <c r="AL12" s="647">
        <v>-32062.927030000003</v>
      </c>
      <c r="AM12" s="647">
        <v>-34105.228929999997</v>
      </c>
      <c r="AN12" s="647">
        <v>-30172.747609999999</v>
      </c>
      <c r="AO12" s="647">
        <v>-25554.856690000001</v>
      </c>
      <c r="AP12" s="647">
        <v>-24833.953700000005</v>
      </c>
      <c r="AQ12" s="647">
        <v>-25343.942609999998</v>
      </c>
      <c r="AR12" s="647">
        <v>-23791.35844</v>
      </c>
      <c r="AS12" s="647">
        <v>-24314.450710000001</v>
      </c>
      <c r="AT12" s="647">
        <v>-22503.438300000002</v>
      </c>
      <c r="AU12" s="647">
        <v>-27151.511640000001</v>
      </c>
      <c r="AV12" s="647">
        <v>-25291.377799999998</v>
      </c>
      <c r="AW12" s="647">
        <v>-28655.762189999998</v>
      </c>
      <c r="AX12" s="647">
        <v>-29478.236100000006</v>
      </c>
      <c r="AY12" s="647">
        <v>-32609.726740000006</v>
      </c>
      <c r="AZ12" s="647">
        <v>-29583.930219999995</v>
      </c>
      <c r="BA12" s="647">
        <v>-32869.703969999995</v>
      </c>
      <c r="BB12" s="647">
        <v>-34311.26442</v>
      </c>
      <c r="BC12" s="647">
        <v>-37388.499660000001</v>
      </c>
      <c r="BD12" s="647">
        <v>-34596.562979999995</v>
      </c>
      <c r="BE12" s="647">
        <v>-37569.685750000004</v>
      </c>
      <c r="BF12" s="647">
        <v>-43360.949100000013</v>
      </c>
      <c r="BG12" s="647">
        <v>-45809.890619999998</v>
      </c>
    </row>
    <row r="13" spans="1:66" ht="13.5" customHeight="1" outlineLevel="1" x14ac:dyDescent="0.2">
      <c r="A13" s="633"/>
      <c r="B13" s="529" t="s">
        <v>223</v>
      </c>
      <c r="C13" s="487">
        <v>-425205</v>
      </c>
      <c r="D13" s="487">
        <v>-558475</v>
      </c>
      <c r="E13" s="487">
        <v>-659226</v>
      </c>
      <c r="F13" s="487">
        <v>-743020</v>
      </c>
      <c r="G13" s="487">
        <v>-944089</v>
      </c>
      <c r="H13" s="487">
        <v>-195094</v>
      </c>
      <c r="I13" s="487">
        <v>-226288</v>
      </c>
      <c r="J13" s="487">
        <v>-282286</v>
      </c>
      <c r="K13" s="487">
        <v>-286962</v>
      </c>
      <c r="L13" s="487">
        <v>-237488</v>
      </c>
      <c r="M13" s="487">
        <v>-291999</v>
      </c>
      <c r="N13" s="487">
        <v>-292155</v>
      </c>
      <c r="O13" s="487">
        <v>-297072</v>
      </c>
      <c r="P13" s="487">
        <v>-244263</v>
      </c>
      <c r="Q13" s="487">
        <v>-260823</v>
      </c>
      <c r="R13" s="487">
        <v>-251395</v>
      </c>
      <c r="S13" s="487">
        <v>-265286</v>
      </c>
      <c r="T13" s="487">
        <v>-188963</v>
      </c>
      <c r="U13" s="487">
        <v>-179035</v>
      </c>
      <c r="V13" s="487">
        <v>-176202.69563</v>
      </c>
      <c r="W13" s="487">
        <v>-181951.65448</v>
      </c>
      <c r="X13" s="487">
        <v>-123965.59921</v>
      </c>
      <c r="Y13" s="487">
        <v>-143614.484</v>
      </c>
      <c r="Z13" s="487">
        <v>-148287.40933000002</v>
      </c>
      <c r="AA13" s="487">
        <v>-158008.18849</v>
      </c>
      <c r="AB13" s="487">
        <v>-130644.52497</v>
      </c>
      <c r="AC13" s="487">
        <v>-160730.03547</v>
      </c>
      <c r="AD13" s="487">
        <v>-181937.42799999999</v>
      </c>
      <c r="AE13" s="487">
        <v>-200729.15807999999</v>
      </c>
      <c r="AF13" s="647">
        <v>-165476.19539000001</v>
      </c>
      <c r="AG13" s="647">
        <v>-188242.09412000002</v>
      </c>
      <c r="AH13" s="647">
        <v>-218673.27177000002</v>
      </c>
      <c r="AI13" s="647">
        <v>-230673.85034999999</v>
      </c>
      <c r="AJ13" s="758">
        <v>-186759.01255000001</v>
      </c>
      <c r="AK13" s="647">
        <v>-211124.44077999998</v>
      </c>
      <c r="AL13" s="647">
        <v>-213640.75033999997</v>
      </c>
      <c r="AM13" s="647">
        <v>-240466.60517000002</v>
      </c>
      <c r="AN13" s="647">
        <v>-174725.55974</v>
      </c>
      <c r="AO13" s="647">
        <v>-71319.314889999994</v>
      </c>
      <c r="AP13" s="647">
        <v>-186851.12969</v>
      </c>
      <c r="AQ13" s="647">
        <v>-207649.31079999998</v>
      </c>
      <c r="AR13" s="647">
        <v>-153174.51411000002</v>
      </c>
      <c r="AS13" s="647">
        <v>-153626.14840000001</v>
      </c>
      <c r="AT13" s="647">
        <v>-149147.37083000003</v>
      </c>
      <c r="AU13" s="647">
        <v>-201799.07110999996</v>
      </c>
      <c r="AV13" s="647">
        <v>-155796.98894000001</v>
      </c>
      <c r="AW13" s="647">
        <v>-198293.92922000005</v>
      </c>
      <c r="AX13" s="647">
        <v>-277941.54501000006</v>
      </c>
      <c r="AY13" s="647">
        <v>-275590.46846</v>
      </c>
      <c r="AZ13" s="647">
        <v>-222953.00284999999</v>
      </c>
      <c r="BA13" s="647">
        <v>-245740.91349999997</v>
      </c>
      <c r="BB13" s="647">
        <v>-286980.28524999996</v>
      </c>
      <c r="BC13" s="647">
        <v>-309845.51879999996</v>
      </c>
      <c r="BD13" s="647">
        <v>-262320.49262000009</v>
      </c>
      <c r="BE13" s="647">
        <v>-318742.87725000002</v>
      </c>
      <c r="BF13" s="647">
        <v>-398356.78345999995</v>
      </c>
      <c r="BG13" s="647">
        <v>-415149.18809000007</v>
      </c>
    </row>
    <row r="14" spans="1:66" ht="13.5" customHeight="1" outlineLevel="1" x14ac:dyDescent="0.2">
      <c r="A14" s="633"/>
      <c r="B14" s="529" t="s">
        <v>224</v>
      </c>
      <c r="C14" s="487">
        <v>-124665</v>
      </c>
      <c r="D14" s="487">
        <v>-181863</v>
      </c>
      <c r="E14" s="487">
        <v>-197299</v>
      </c>
      <c r="F14" s="487">
        <v>-90170</v>
      </c>
      <c r="G14" s="487">
        <v>-113630</v>
      </c>
      <c r="H14" s="487">
        <v>-38696</v>
      </c>
      <c r="I14" s="487">
        <v>-40577</v>
      </c>
      <c r="J14" s="487">
        <v>-42618</v>
      </c>
      <c r="K14" s="487">
        <v>-52798</v>
      </c>
      <c r="L14" s="487">
        <v>-51172</v>
      </c>
      <c r="M14" s="487">
        <v>-45418</v>
      </c>
      <c r="N14" s="487">
        <v>-44515</v>
      </c>
      <c r="O14" s="487">
        <v>-50337</v>
      </c>
      <c r="P14" s="487">
        <v>-50935</v>
      </c>
      <c r="Q14" s="487">
        <v>-40573</v>
      </c>
      <c r="R14" s="487">
        <v>-19333</v>
      </c>
      <c r="S14" s="487">
        <v>-21700</v>
      </c>
      <c r="T14" s="487">
        <v>-49081.909540000001</v>
      </c>
      <c r="U14" s="490">
        <v>-55743.666649999999</v>
      </c>
      <c r="V14" s="487">
        <v>-48790.067859999996</v>
      </c>
      <c r="W14" s="490">
        <f>-54805.33866-113</f>
        <v>-54918.338660000001</v>
      </c>
      <c r="X14" s="487">
        <v>-41593.595139999998</v>
      </c>
      <c r="Y14" s="487">
        <v>-41386.996889999995</v>
      </c>
      <c r="Z14" s="487">
        <v>-39161.032990000007</v>
      </c>
      <c r="AA14" s="487">
        <v>-39908.47552</v>
      </c>
      <c r="AB14" s="487">
        <v>-38576.118199999997</v>
      </c>
      <c r="AC14" s="487">
        <v>-39679.981599999999</v>
      </c>
      <c r="AD14" s="487">
        <v>-40980.170559999999</v>
      </c>
      <c r="AE14" s="487">
        <v>-44435.658860000003</v>
      </c>
      <c r="AF14" s="647">
        <v>-39041.823279999997</v>
      </c>
      <c r="AG14" s="647">
        <v>-41571.193379999997</v>
      </c>
      <c r="AH14" s="647">
        <v>-39675.05906</v>
      </c>
      <c r="AI14" s="647">
        <v>-42372.672919999997</v>
      </c>
      <c r="AJ14" s="758">
        <v>-39500.30816</v>
      </c>
      <c r="AK14" s="647">
        <v>-41026.242910000001</v>
      </c>
      <c r="AL14" s="490">
        <v>-46620</v>
      </c>
      <c r="AM14" s="487">
        <v>-42858.712419999996</v>
      </c>
      <c r="AN14" s="487">
        <v>-34540.348570000002</v>
      </c>
      <c r="AO14" s="487">
        <v>-29530.36463</v>
      </c>
      <c r="AP14" s="487">
        <v>-32057.278600000001</v>
      </c>
      <c r="AQ14" s="490">
        <v>-35847.613160000001</v>
      </c>
      <c r="AR14" s="647">
        <v>-30595.164949999998</v>
      </c>
      <c r="AS14" s="647">
        <v>-32427.974249999999</v>
      </c>
      <c r="AT14" s="647">
        <v>-35588.72454000001</v>
      </c>
      <c r="AU14" s="647">
        <v>-37656.524219999999</v>
      </c>
      <c r="AV14" s="647">
        <v>-37650.457930000004</v>
      </c>
      <c r="AW14" s="647">
        <v>-40550.782790000005</v>
      </c>
      <c r="AX14" s="647">
        <v>-40973.168869999994</v>
      </c>
      <c r="AY14" s="647">
        <v>-46984.660920000009</v>
      </c>
      <c r="AZ14" s="647">
        <v>-46625.644209999999</v>
      </c>
      <c r="BA14" s="647">
        <v>-43591.954849999995</v>
      </c>
      <c r="BB14" s="647">
        <v>-42308.77751</v>
      </c>
      <c r="BC14" s="647">
        <v>-46048.720580000001</v>
      </c>
      <c r="BD14" s="647">
        <v>-44584.854600000006</v>
      </c>
      <c r="BE14" s="647">
        <v>-51069.605229999994</v>
      </c>
      <c r="BF14" s="647">
        <v>-62006.626470000003</v>
      </c>
      <c r="BG14" s="647">
        <v>-60323.889880000002</v>
      </c>
    </row>
    <row r="15" spans="1:66" ht="13.5" customHeight="1" outlineLevel="1" x14ac:dyDescent="0.2">
      <c r="A15" s="633"/>
      <c r="B15" s="529" t="s">
        <v>225</v>
      </c>
      <c r="C15" s="487" t="s">
        <v>47</v>
      </c>
      <c r="D15" s="487" t="s">
        <v>47</v>
      </c>
      <c r="E15" s="487" t="s">
        <v>47</v>
      </c>
      <c r="F15" s="487" t="s">
        <v>47</v>
      </c>
      <c r="G15" s="487" t="s">
        <v>47</v>
      </c>
      <c r="H15" s="487"/>
      <c r="I15" s="487"/>
      <c r="J15" s="487"/>
      <c r="K15" s="487"/>
      <c r="L15" s="487"/>
      <c r="M15" s="487"/>
      <c r="N15" s="487"/>
      <c r="O15" s="487"/>
      <c r="P15" s="487"/>
      <c r="Q15" s="487"/>
      <c r="R15" s="487"/>
      <c r="S15" s="487"/>
      <c r="T15" s="487">
        <v>21135.909540000001</v>
      </c>
      <c r="U15" s="487">
        <v>19211.666649999999</v>
      </c>
      <c r="V15" s="487">
        <v>18529.763429999999</v>
      </c>
      <c r="W15" s="487">
        <v>22655.454419999998</v>
      </c>
      <c r="X15" s="487">
        <v>13698.798720000001</v>
      </c>
      <c r="Y15" s="487">
        <v>15094.007379999999</v>
      </c>
      <c r="Z15" s="487">
        <v>15805.651760000002</v>
      </c>
      <c r="AA15" s="487">
        <v>15428.050519999999</v>
      </c>
      <c r="AB15" s="487">
        <v>13838.06121</v>
      </c>
      <c r="AC15" s="487">
        <v>16650.783880000003</v>
      </c>
      <c r="AD15" s="487">
        <v>18323.2039</v>
      </c>
      <c r="AE15" s="490">
        <v>49696.397440000001</v>
      </c>
      <c r="AF15" s="647">
        <v>17999.396940000002</v>
      </c>
      <c r="AG15" s="647">
        <v>20524.51787</v>
      </c>
      <c r="AH15" s="647">
        <v>23239.084869999999</v>
      </c>
      <c r="AI15" s="647">
        <v>24265.155189999998</v>
      </c>
      <c r="AJ15" s="758">
        <v>20277.71139</v>
      </c>
      <c r="AK15" s="647">
        <v>22863.270030000003</v>
      </c>
      <c r="AL15" s="799">
        <v>20878</v>
      </c>
      <c r="AM15" s="647">
        <v>24809.431</v>
      </c>
      <c r="AN15" s="647">
        <v>18546.834000000003</v>
      </c>
      <c r="AO15" s="647">
        <v>7743.5920000000006</v>
      </c>
      <c r="AP15" s="647">
        <v>19256.652999999998</v>
      </c>
      <c r="AQ15" s="647">
        <v>20981.738000000001</v>
      </c>
      <c r="AR15" s="647">
        <v>16220.617999999999</v>
      </c>
      <c r="AS15" s="647">
        <v>17683.575000000001</v>
      </c>
      <c r="AT15" s="647">
        <v>17683.575000000001</v>
      </c>
      <c r="AU15" s="647">
        <v>20789.22912</v>
      </c>
      <c r="AV15" s="647">
        <v>16741.424669999997</v>
      </c>
      <c r="AW15" s="647">
        <v>20379.761029999987</v>
      </c>
      <c r="AX15" s="647">
        <v>28489.53492999998</v>
      </c>
      <c r="AY15" s="647">
        <v>28380.490769999975</v>
      </c>
      <c r="AZ15" s="647">
        <v>23046.701049999992</v>
      </c>
      <c r="BA15" s="647">
        <v>24498.722549999999</v>
      </c>
      <c r="BB15" s="647">
        <v>28011.941709999996</v>
      </c>
      <c r="BC15" s="647">
        <v>30989.101029999998</v>
      </c>
      <c r="BD15" s="647">
        <v>25900.263369999997</v>
      </c>
      <c r="BE15" s="647">
        <v>30624.781550000003</v>
      </c>
      <c r="BF15" s="647">
        <v>39498.912760000028</v>
      </c>
      <c r="BG15" s="647">
        <v>38785.436360000029</v>
      </c>
    </row>
    <row r="16" spans="1:66" ht="13.5" customHeight="1" x14ac:dyDescent="0.2">
      <c r="A16" s="633"/>
      <c r="B16" s="524" t="s">
        <v>226</v>
      </c>
      <c r="C16" s="525">
        <f>C11+C10</f>
        <v>121485</v>
      </c>
      <c r="D16" s="525">
        <f>D11+D10</f>
        <v>125097</v>
      </c>
      <c r="E16" s="525">
        <f>E11+E10</f>
        <v>160953</v>
      </c>
      <c r="F16" s="525">
        <f>F11+F10</f>
        <v>209885</v>
      </c>
      <c r="G16" s="525">
        <f>G11+G10</f>
        <v>259645</v>
      </c>
      <c r="H16" s="525">
        <v>57774</v>
      </c>
      <c r="I16" s="525">
        <v>60734</v>
      </c>
      <c r="J16" s="525">
        <v>67362</v>
      </c>
      <c r="K16" s="525">
        <v>53155</v>
      </c>
      <c r="L16" s="525">
        <v>35402</v>
      </c>
      <c r="M16" s="525">
        <v>64651</v>
      </c>
      <c r="N16" s="525">
        <v>55476</v>
      </c>
      <c r="O16" s="525">
        <v>64925</v>
      </c>
      <c r="P16" s="525">
        <v>39104</v>
      </c>
      <c r="Q16" s="525">
        <v>54112</v>
      </c>
      <c r="R16" s="525">
        <v>75059</v>
      </c>
      <c r="S16" s="525">
        <v>75521</v>
      </c>
      <c r="T16" s="525">
        <v>37863.999999999971</v>
      </c>
      <c r="U16" s="525">
        <v>28076.999999999971</v>
      </c>
      <c r="V16" s="525">
        <v>38507.353049999947</v>
      </c>
      <c r="W16" s="525">
        <f t="shared" ref="W16:AC16" si="11">+SUM(W10:W11)</f>
        <v>43680.364319999964</v>
      </c>
      <c r="X16" s="525">
        <f t="shared" si="11"/>
        <v>23988.434510000021</v>
      </c>
      <c r="Y16" s="525">
        <f t="shared" si="11"/>
        <v>31239.226680000022</v>
      </c>
      <c r="Z16" s="525">
        <f t="shared" si="11"/>
        <v>39534.343719999975</v>
      </c>
      <c r="AA16" s="525">
        <f t="shared" si="11"/>
        <v>47832.781650000019</v>
      </c>
      <c r="AB16" s="525">
        <f t="shared" si="11"/>
        <v>32799.597769999993</v>
      </c>
      <c r="AC16" s="525">
        <f t="shared" si="11"/>
        <v>53194.657639999961</v>
      </c>
      <c r="AD16" s="525">
        <f t="shared" ref="AD16:AM16" si="12">+SUM(AD10:AD11)</f>
        <v>53184.305300000036</v>
      </c>
      <c r="AE16" s="525">
        <f t="shared" si="12"/>
        <v>94753.136309999943</v>
      </c>
      <c r="AF16" s="525">
        <f t="shared" si="12"/>
        <v>48844.045130000013</v>
      </c>
      <c r="AG16" s="525">
        <f t="shared" si="12"/>
        <v>55235.731619999948</v>
      </c>
      <c r="AH16" s="525">
        <f t="shared" si="12"/>
        <v>66843.386159999936</v>
      </c>
      <c r="AI16" s="525">
        <f t="shared" si="12"/>
        <v>87053.10010000004</v>
      </c>
      <c r="AJ16" s="756">
        <f t="shared" si="12"/>
        <v>62539.967929999984</v>
      </c>
      <c r="AK16" s="525">
        <f t="shared" si="12"/>
        <v>69323.202140000067</v>
      </c>
      <c r="AL16" s="525">
        <f t="shared" si="12"/>
        <v>69277.469530000119</v>
      </c>
      <c r="AM16" s="525">
        <f t="shared" si="12"/>
        <v>85707.404039999994</v>
      </c>
      <c r="AN16" s="525">
        <f t="shared" ref="AN16:AW16" si="13">+SUM(AN10:AN11)</f>
        <v>58854.601499999961</v>
      </c>
      <c r="AO16" s="525">
        <f t="shared" si="13"/>
        <v>11479.598230000003</v>
      </c>
      <c r="AP16" s="525">
        <f t="shared" si="13"/>
        <v>64695.773989999958</v>
      </c>
      <c r="AQ16" s="525">
        <f t="shared" si="13"/>
        <v>65107.401200000022</v>
      </c>
      <c r="AR16" s="525">
        <f t="shared" si="13"/>
        <v>42571.724799999938</v>
      </c>
      <c r="AS16" s="525">
        <f t="shared" si="13"/>
        <v>44381.25986999998</v>
      </c>
      <c r="AT16" s="525">
        <f t="shared" si="13"/>
        <v>41882.556089999998</v>
      </c>
      <c r="AU16" s="525">
        <f t="shared" si="13"/>
        <v>59108.213769999944</v>
      </c>
      <c r="AV16" s="525">
        <f t="shared" si="13"/>
        <v>39068.709109999967</v>
      </c>
      <c r="AW16" s="525">
        <f t="shared" si="13"/>
        <v>57414.461389999953</v>
      </c>
      <c r="AX16" s="525">
        <f t="shared" ref="AX16:BG16" si="14">+SUM(AX10:AX11)</f>
        <v>95605.276030000008</v>
      </c>
      <c r="AY16" s="525">
        <f t="shared" si="14"/>
        <v>82595.106129999971</v>
      </c>
      <c r="AZ16" s="525">
        <f t="shared" si="14"/>
        <v>59922.072939999809</v>
      </c>
      <c r="BA16" s="525">
        <f t="shared" si="14"/>
        <v>68946.880270000198</v>
      </c>
      <c r="BB16" s="525">
        <f t="shared" si="14"/>
        <v>91389.2060200001</v>
      </c>
      <c r="BC16" s="525">
        <f t="shared" si="14"/>
        <v>91507.635720000195</v>
      </c>
      <c r="BD16" s="525">
        <f t="shared" si="14"/>
        <v>73569.145969999779</v>
      </c>
      <c r="BE16" s="525">
        <f t="shared" si="14"/>
        <v>96084.803060000064</v>
      </c>
      <c r="BF16" s="525">
        <f t="shared" si="14"/>
        <v>139528.81464000011</v>
      </c>
      <c r="BG16" s="525">
        <f t="shared" si="14"/>
        <v>141862.64144999988</v>
      </c>
    </row>
    <row r="17" spans="1:62" ht="13.5" customHeight="1" x14ac:dyDescent="0.2">
      <c r="A17" s="633" t="s">
        <v>227</v>
      </c>
      <c r="B17" s="1009" t="str">
        <f>HYPERLINK(Menu!$AY$38,A17)</f>
        <v>General and administrative expenses</v>
      </c>
      <c r="C17" s="487">
        <v>-30735</v>
      </c>
      <c r="D17" s="487">
        <v>-34706</v>
      </c>
      <c r="E17" s="487">
        <v>-34799</v>
      </c>
      <c r="F17" s="487">
        <f>-41447-F18</f>
        <v>-50150</v>
      </c>
      <c r="G17" s="487">
        <f>-81393-G18</f>
        <v>-84942</v>
      </c>
      <c r="H17" s="528">
        <v>-27216</v>
      </c>
      <c r="I17" s="528">
        <v>-24635</v>
      </c>
      <c r="J17" s="528">
        <v>-18383</v>
      </c>
      <c r="K17" s="528">
        <v>-16411</v>
      </c>
      <c r="L17" s="528">
        <v>-24570</v>
      </c>
      <c r="M17" s="528">
        <v>-34977</v>
      </c>
      <c r="N17" s="528">
        <v>-15131</v>
      </c>
      <c r="O17" s="528">
        <v>-35030</v>
      </c>
      <c r="P17" s="528">
        <v>-27771</v>
      </c>
      <c r="Q17" s="528">
        <v>-24310</v>
      </c>
      <c r="R17" s="528">
        <v>-39431</v>
      </c>
      <c r="S17" s="528">
        <v>-22477</v>
      </c>
      <c r="T17" s="487">
        <v>-22273</v>
      </c>
      <c r="U17" s="487">
        <v>-21512</v>
      </c>
      <c r="V17" s="487">
        <v>-20283.748820000001</v>
      </c>
      <c r="W17" s="487">
        <f>-19631.21106+42</f>
        <v>-19589.211060000001</v>
      </c>
      <c r="X17" s="487">
        <v>-17549</v>
      </c>
      <c r="Y17" s="487">
        <v>-20994.139640000001</v>
      </c>
      <c r="Z17" s="487">
        <v>-19150</v>
      </c>
      <c r="AA17" s="490">
        <v>-18013.740309999997</v>
      </c>
      <c r="AB17" s="487">
        <v>-16220.708200000001</v>
      </c>
      <c r="AC17" s="487">
        <v>-15820.48993</v>
      </c>
      <c r="AD17" s="487">
        <v>-17063.53327</v>
      </c>
      <c r="AE17" s="487">
        <f>-31433.74334+IncSCons!Z23</f>
        <v>-25702.743340000001</v>
      </c>
      <c r="AF17" s="487">
        <v>-20601.551750000002</v>
      </c>
      <c r="AG17" s="487">
        <v>-16196.816349999999</v>
      </c>
      <c r="AH17" s="487">
        <v>-17903.029560000003</v>
      </c>
      <c r="AI17" s="490">
        <v>-21720.076709999998</v>
      </c>
      <c r="AJ17" s="488">
        <v>-18819.274789999996</v>
      </c>
      <c r="AK17" s="487">
        <v>-20303.640930000001</v>
      </c>
      <c r="AL17" s="487">
        <v>-20509.335719999999</v>
      </c>
      <c r="AM17" s="487">
        <f>-25806.73165+2107.26448</f>
        <v>-23699.467170000004</v>
      </c>
      <c r="AN17" s="490">
        <f>-26934.10246+86</f>
        <v>-26848.102459999998</v>
      </c>
      <c r="AO17" s="487">
        <v>-18679.037840000001</v>
      </c>
      <c r="AP17" s="487">
        <v>-17291.9074</v>
      </c>
      <c r="AQ17" s="487">
        <v>-21382.454249999999</v>
      </c>
      <c r="AR17" s="487">
        <v>-18067.067870000003</v>
      </c>
      <c r="AS17" s="487">
        <v>-19037.44154</v>
      </c>
      <c r="AT17" s="487">
        <v>-18386.381400000002</v>
      </c>
      <c r="AU17" s="487">
        <v>-22263.858070000002</v>
      </c>
      <c r="AV17" s="487">
        <v>-18051.912059999999</v>
      </c>
      <c r="AW17" s="487">
        <v>-21799.205010000001</v>
      </c>
      <c r="AX17" s="487">
        <v>-20751.262449999998</v>
      </c>
      <c r="AY17" s="490">
        <v>-23680.224430000002</v>
      </c>
      <c r="AZ17" s="487">
        <v>-20521.264250000004</v>
      </c>
      <c r="BA17" s="487">
        <v>-23597.755149999997</v>
      </c>
      <c r="BB17" s="487">
        <v>-25948.967650000002</v>
      </c>
      <c r="BC17" s="487">
        <v>-29164.700199999999</v>
      </c>
      <c r="BD17" s="487">
        <v>-28514.985760000007</v>
      </c>
      <c r="BE17" s="487">
        <v>-25062.511210000001</v>
      </c>
      <c r="BF17" s="487">
        <v>-26949.604289999996</v>
      </c>
      <c r="BG17" s="487">
        <v>-29886.641280000003</v>
      </c>
      <c r="BH17" s="1207"/>
    </row>
    <row r="18" spans="1:62" ht="13.5" customHeight="1" x14ac:dyDescent="0.2">
      <c r="A18" s="633" t="s">
        <v>228</v>
      </c>
      <c r="B18" s="1009" t="str">
        <f>HYPERLINK(Menu!$AY$35,A18)</f>
        <v>Other expenses and revenues</v>
      </c>
      <c r="C18" s="487">
        <v>-20841</v>
      </c>
      <c r="D18" s="487">
        <f>-4369-3831+1543</f>
        <v>-6657</v>
      </c>
      <c r="E18" s="487">
        <f>-6183-1033+233</f>
        <v>-6983</v>
      </c>
      <c r="F18" s="487">
        <v>8703</v>
      </c>
      <c r="G18" s="487">
        <v>3549</v>
      </c>
      <c r="H18" s="528"/>
      <c r="I18" s="528"/>
      <c r="J18" s="528"/>
      <c r="K18" s="528"/>
      <c r="L18" s="528"/>
      <c r="M18" s="528"/>
      <c r="N18" s="528"/>
      <c r="O18" s="528"/>
      <c r="P18" s="528"/>
      <c r="Q18" s="528"/>
      <c r="R18" s="528"/>
      <c r="S18" s="528"/>
      <c r="T18" s="487">
        <v>2443</v>
      </c>
      <c r="U18" s="487">
        <v>72</v>
      </c>
      <c r="V18" s="487">
        <v>-2343.6182199999998</v>
      </c>
      <c r="W18" s="490">
        <f>-22449.33556+71</f>
        <v>-22378.33556</v>
      </c>
      <c r="X18" s="490">
        <v>1065</v>
      </c>
      <c r="Y18" s="487">
        <v>-2609.84591</v>
      </c>
      <c r="Z18" s="487">
        <v>-2272.9788399999998</v>
      </c>
      <c r="AA18" s="490">
        <v>-4204.1514299999999</v>
      </c>
      <c r="AB18" s="487">
        <v>-2218.3438599999999</v>
      </c>
      <c r="AC18" s="490">
        <v>-24271.061309999997</v>
      </c>
      <c r="AD18" s="490">
        <v>-8184.9259600000005</v>
      </c>
      <c r="AE18" s="490">
        <v>-14977.99042</v>
      </c>
      <c r="AF18" s="647">
        <v>-5699</v>
      </c>
      <c r="AG18" s="647">
        <v>-2800.8364899999997</v>
      </c>
      <c r="AH18" s="647">
        <v>-3254.1783700000001</v>
      </c>
      <c r="AI18" s="490">
        <v>-16756.498950000001</v>
      </c>
      <c r="AJ18" s="488">
        <v>-3095.5930700000008</v>
      </c>
      <c r="AK18" s="487">
        <v>-3216.3714100000002</v>
      </c>
      <c r="AL18" s="490">
        <v>51308</v>
      </c>
      <c r="AM18" s="487">
        <f>-6790.77104-2107.26448</f>
        <v>-8898.0355199999995</v>
      </c>
      <c r="AN18" s="487">
        <f>-5170.04344-86</f>
        <v>-5256.0434400000004</v>
      </c>
      <c r="AO18" s="487">
        <v>-1987.0434299999999</v>
      </c>
      <c r="AP18" s="487">
        <v>-5290.0947800000004</v>
      </c>
      <c r="AQ18" s="490">
        <v>-3469.8977</v>
      </c>
      <c r="AR18" s="490">
        <v>5727.5650300000007</v>
      </c>
      <c r="AS18" s="490">
        <v>2871.8959400000008</v>
      </c>
      <c r="AT18" s="490">
        <v>231.54531000000048</v>
      </c>
      <c r="AU18" s="490">
        <v>-853.97310999999991</v>
      </c>
      <c r="AV18" s="487">
        <v>584.91206000000034</v>
      </c>
      <c r="AW18" s="487">
        <v>-156.7665400000003</v>
      </c>
      <c r="AX18" s="490">
        <v>-6119.8388900000009</v>
      </c>
      <c r="AY18" s="490">
        <v>5900.2687499999965</v>
      </c>
      <c r="AZ18" s="487">
        <v>838.50439000000006</v>
      </c>
      <c r="BA18" s="487">
        <v>-727.10802000000024</v>
      </c>
      <c r="BB18" s="487">
        <v>28.826159999999959</v>
      </c>
      <c r="BC18" s="487">
        <v>-2390.11366</v>
      </c>
      <c r="BD18" s="487">
        <v>-573.41901999999993</v>
      </c>
      <c r="BE18" s="487">
        <v>217.70587999999989</v>
      </c>
      <c r="BF18" s="487">
        <v>-850.78683999999998</v>
      </c>
      <c r="BG18" s="487">
        <v>4.1399699999992663</v>
      </c>
    </row>
    <row r="19" spans="1:62" ht="13.5" customHeight="1" x14ac:dyDescent="0.2">
      <c r="A19" s="633"/>
      <c r="B19" s="524" t="s">
        <v>229</v>
      </c>
      <c r="C19" s="525">
        <f t="shared" ref="C19:AW19" si="15">+SUM(C16:C18)</f>
        <v>69909</v>
      </c>
      <c r="D19" s="525">
        <f t="shared" si="15"/>
        <v>83734</v>
      </c>
      <c r="E19" s="525">
        <f t="shared" si="15"/>
        <v>119171</v>
      </c>
      <c r="F19" s="525">
        <f t="shared" si="15"/>
        <v>168438</v>
      </c>
      <c r="G19" s="525">
        <f t="shared" si="15"/>
        <v>178252</v>
      </c>
      <c r="H19" s="525">
        <f t="shared" si="15"/>
        <v>30558</v>
      </c>
      <c r="I19" s="525">
        <f t="shared" si="15"/>
        <v>36099</v>
      </c>
      <c r="J19" s="525">
        <f t="shared" si="15"/>
        <v>48979</v>
      </c>
      <c r="K19" s="525">
        <f t="shared" si="15"/>
        <v>36744</v>
      </c>
      <c r="L19" s="525">
        <f t="shared" si="15"/>
        <v>10832</v>
      </c>
      <c r="M19" s="525">
        <f t="shared" si="15"/>
        <v>29674</v>
      </c>
      <c r="N19" s="525">
        <f t="shared" si="15"/>
        <v>40345</v>
      </c>
      <c r="O19" s="525">
        <f t="shared" si="15"/>
        <v>29895</v>
      </c>
      <c r="P19" s="525">
        <f t="shared" si="15"/>
        <v>11333</v>
      </c>
      <c r="Q19" s="525">
        <f t="shared" si="15"/>
        <v>29802</v>
      </c>
      <c r="R19" s="525">
        <f t="shared" si="15"/>
        <v>35628</v>
      </c>
      <c r="S19" s="525">
        <f t="shared" si="15"/>
        <v>53044</v>
      </c>
      <c r="T19" s="525">
        <f t="shared" si="15"/>
        <v>18033.999999999971</v>
      </c>
      <c r="U19" s="525">
        <f t="shared" si="15"/>
        <v>6636.9999999999709</v>
      </c>
      <c r="V19" s="525">
        <f t="shared" si="15"/>
        <v>15879.986009999946</v>
      </c>
      <c r="W19" s="525">
        <f t="shared" si="15"/>
        <v>1712.8176999999632</v>
      </c>
      <c r="X19" s="525">
        <f t="shared" si="15"/>
        <v>7504.434510000021</v>
      </c>
      <c r="Y19" s="525">
        <f t="shared" si="15"/>
        <v>7635.2411300000203</v>
      </c>
      <c r="Z19" s="525">
        <f t="shared" si="15"/>
        <v>18111.364879999976</v>
      </c>
      <c r="AA19" s="525">
        <f t="shared" si="15"/>
        <v>25614.88991000002</v>
      </c>
      <c r="AB19" s="525">
        <f t="shared" si="15"/>
        <v>14360.545709999991</v>
      </c>
      <c r="AC19" s="525">
        <f t="shared" si="15"/>
        <v>13103.106399999968</v>
      </c>
      <c r="AD19" s="525">
        <f t="shared" si="15"/>
        <v>27935.846070000036</v>
      </c>
      <c r="AE19" s="525">
        <f t="shared" si="15"/>
        <v>54072.402549999941</v>
      </c>
      <c r="AF19" s="525">
        <f t="shared" si="15"/>
        <v>22543.493380000011</v>
      </c>
      <c r="AG19" s="525">
        <f t="shared" si="15"/>
        <v>36238.078779999945</v>
      </c>
      <c r="AH19" s="525">
        <f t="shared" si="15"/>
        <v>45686.178229999932</v>
      </c>
      <c r="AI19" s="525">
        <f t="shared" si="15"/>
        <v>48576.524440000045</v>
      </c>
      <c r="AJ19" s="756">
        <f t="shared" si="15"/>
        <v>40625.100069999986</v>
      </c>
      <c r="AK19" s="525">
        <f t="shared" si="15"/>
        <v>45803.189800000066</v>
      </c>
      <c r="AL19" s="525">
        <f t="shared" si="15"/>
        <v>100076.13381000012</v>
      </c>
      <c r="AM19" s="525">
        <f t="shared" si="15"/>
        <v>53109.901349999993</v>
      </c>
      <c r="AN19" s="525">
        <f t="shared" si="15"/>
        <v>26750.455599999961</v>
      </c>
      <c r="AO19" s="525">
        <f t="shared" si="15"/>
        <v>-9186.4830399999973</v>
      </c>
      <c r="AP19" s="525">
        <f t="shared" si="15"/>
        <v>42113.771809999962</v>
      </c>
      <c r="AQ19" s="525">
        <f t="shared" si="15"/>
        <v>40255.049250000025</v>
      </c>
      <c r="AR19" s="525">
        <f t="shared" si="15"/>
        <v>30232.221959999937</v>
      </c>
      <c r="AS19" s="525">
        <f t="shared" si="15"/>
        <v>28215.714269999982</v>
      </c>
      <c r="AT19" s="525">
        <f t="shared" si="15"/>
        <v>23727.719999999998</v>
      </c>
      <c r="AU19" s="525">
        <f t="shared" si="15"/>
        <v>35990.382589999943</v>
      </c>
      <c r="AV19" s="525">
        <f t="shared" si="15"/>
        <v>21601.709109999967</v>
      </c>
      <c r="AW19" s="525">
        <f t="shared" si="15"/>
        <v>35458.489839999951</v>
      </c>
      <c r="AX19" s="525">
        <f t="shared" ref="AX19:BF19" si="16">+SUM(AX16:AX18)</f>
        <v>68734.174690000014</v>
      </c>
      <c r="AY19" s="525">
        <f t="shared" si="16"/>
        <v>64815.150449999965</v>
      </c>
      <c r="AZ19" s="525">
        <f t="shared" si="16"/>
        <v>40239.313079999803</v>
      </c>
      <c r="BA19" s="525">
        <f t="shared" si="16"/>
        <v>44622.017100000201</v>
      </c>
      <c r="BB19" s="525">
        <f t="shared" si="16"/>
        <v>65469.064530000091</v>
      </c>
      <c r="BC19" s="525">
        <f t="shared" si="16"/>
        <v>59952.821860000193</v>
      </c>
      <c r="BD19" s="525">
        <f t="shared" si="16"/>
        <v>44480.741189999768</v>
      </c>
      <c r="BE19" s="525">
        <f t="shared" si="16"/>
        <v>71239.997730000061</v>
      </c>
      <c r="BF19" s="525">
        <f t="shared" si="16"/>
        <v>111728.42351000012</v>
      </c>
      <c r="BG19" s="525">
        <f>+SUM(BG16:BG18)</f>
        <v>111980.14013999987</v>
      </c>
    </row>
    <row r="20" spans="1:62" ht="13.5" customHeight="1" x14ac:dyDescent="0.2">
      <c r="A20" s="633" t="s">
        <v>286</v>
      </c>
      <c r="B20" s="1009" t="str">
        <f>HYPERLINK(Menu!$AY$26,A20)</f>
        <v>Equity pickup</v>
      </c>
      <c r="C20" s="487">
        <v>0</v>
      </c>
      <c r="D20" s="487">
        <v>-4979</v>
      </c>
      <c r="E20" s="487">
        <v>0</v>
      </c>
      <c r="F20" s="487">
        <v>0</v>
      </c>
      <c r="G20" s="487">
        <v>0</v>
      </c>
      <c r="H20" s="487">
        <v>98</v>
      </c>
      <c r="I20" s="487">
        <v>732</v>
      </c>
      <c r="J20" s="487">
        <v>65</v>
      </c>
      <c r="K20" s="487">
        <v>859</v>
      </c>
      <c r="L20" s="487">
        <v>-728</v>
      </c>
      <c r="M20" s="487">
        <v>-219</v>
      </c>
      <c r="N20" s="487">
        <v>727</v>
      </c>
      <c r="O20" s="487">
        <v>319</v>
      </c>
      <c r="P20" s="487">
        <v>-200</v>
      </c>
      <c r="Q20" s="487">
        <v>68</v>
      </c>
      <c r="R20" s="487">
        <v>409</v>
      </c>
      <c r="S20" s="487">
        <v>2100</v>
      </c>
      <c r="T20" s="487">
        <v>373</v>
      </c>
      <c r="U20" s="487">
        <v>257</v>
      </c>
      <c r="V20" s="487">
        <v>784.93416000000127</v>
      </c>
      <c r="W20" s="487">
        <v>453.33573000000024</v>
      </c>
      <c r="X20" s="487">
        <v>-797.43479000000002</v>
      </c>
      <c r="Y20" s="487">
        <v>-908.26922999999999</v>
      </c>
      <c r="Z20" s="487">
        <v>-18.84490000000001</v>
      </c>
      <c r="AA20" s="487">
        <v>-465.49157000000025</v>
      </c>
      <c r="AB20" s="487">
        <v>-322.19973999999996</v>
      </c>
      <c r="AC20" s="487">
        <v>-379.92368999999991</v>
      </c>
      <c r="AD20" s="487">
        <v>-656.57451999999967</v>
      </c>
      <c r="AE20" s="487">
        <v>595.71961999999996</v>
      </c>
      <c r="AF20" s="487">
        <v>-425</v>
      </c>
      <c r="AG20" s="487">
        <v>-226.81720999999999</v>
      </c>
      <c r="AH20" s="487">
        <v>341.39789999999994</v>
      </c>
      <c r="AI20" s="487">
        <v>681.55288999999982</v>
      </c>
      <c r="AJ20" s="488">
        <v>-528.95529999999997</v>
      </c>
      <c r="AK20" s="487">
        <v>322.18200999999976</v>
      </c>
      <c r="AL20" s="487">
        <v>843.61563999999998</v>
      </c>
      <c r="AM20" s="487">
        <v>2349.8983000000007</v>
      </c>
      <c r="AN20" s="487">
        <v>1394.2409299999999</v>
      </c>
      <c r="AO20" s="487">
        <v>2411.7455300000011</v>
      </c>
      <c r="AP20" s="487">
        <v>2631.5309200000002</v>
      </c>
      <c r="AQ20" s="487">
        <f>-44.1788199999996-117</f>
        <v>-161.1788199999996</v>
      </c>
      <c r="AR20" s="487">
        <v>810.82394999999951</v>
      </c>
      <c r="AS20" s="487">
        <v>2401.2292212000002</v>
      </c>
      <c r="AT20" s="487">
        <v>1798.9342100000003</v>
      </c>
      <c r="AU20" s="487">
        <v>4231.8650900000002</v>
      </c>
      <c r="AV20" s="487">
        <v>3013</v>
      </c>
      <c r="AW20" s="487">
        <v>3005.671455575</v>
      </c>
      <c r="AX20" s="487">
        <v>2435.9022784000003</v>
      </c>
      <c r="AY20" s="487">
        <v>2116.9677172000002</v>
      </c>
      <c r="AZ20" s="487">
        <v>3837.9019078000001</v>
      </c>
      <c r="BA20" s="487">
        <v>2883.4226600000002</v>
      </c>
      <c r="BB20" s="487">
        <v>5093.8337000000001</v>
      </c>
      <c r="BC20" s="487">
        <v>4439.7830400000003</v>
      </c>
      <c r="BD20" s="487">
        <v>6603.9437900000003</v>
      </c>
      <c r="BE20" s="487">
        <v>9362.2939999999999</v>
      </c>
      <c r="BF20" s="487">
        <v>7432.3453100000006</v>
      </c>
      <c r="BG20" s="487">
        <v>5865.9073797000001</v>
      </c>
      <c r="BH20" s="516"/>
      <c r="BI20" s="516"/>
      <c r="BJ20" s="516"/>
    </row>
    <row r="21" spans="1:62" ht="13.5" customHeight="1" x14ac:dyDescent="0.2">
      <c r="A21" s="633" t="s">
        <v>230</v>
      </c>
      <c r="B21" s="1009" t="str">
        <f>HYPERLINK(Menu!$AY$39,A21)</f>
        <v>Financial result</v>
      </c>
      <c r="C21" s="487">
        <v>275</v>
      </c>
      <c r="D21" s="487">
        <f>D22+D23</f>
        <v>7919</v>
      </c>
      <c r="E21" s="487">
        <f>E22+E23</f>
        <v>-11744</v>
      </c>
      <c r="F21" s="487">
        <v>-9727</v>
      </c>
      <c r="G21" s="487">
        <v>-30988</v>
      </c>
      <c r="H21" s="487">
        <v>-8328</v>
      </c>
      <c r="I21" s="487">
        <v>-9030</v>
      </c>
      <c r="J21" s="487">
        <v>-9951</v>
      </c>
      <c r="K21" s="487">
        <v>-6009</v>
      </c>
      <c r="L21" s="487">
        <v>-7799</v>
      </c>
      <c r="M21" s="487">
        <v>107</v>
      </c>
      <c r="N21" s="487">
        <v>-18842</v>
      </c>
      <c r="O21" s="487">
        <v>-12345</v>
      </c>
      <c r="P21" s="487">
        <v>-10235</v>
      </c>
      <c r="Q21" s="487">
        <v>-9164</v>
      </c>
      <c r="R21" s="487">
        <v>-12594</v>
      </c>
      <c r="S21" s="487">
        <v>-14225</v>
      </c>
      <c r="T21" s="487">
        <f>SUM(T22:T23)</f>
        <v>-7678</v>
      </c>
      <c r="U21" s="487">
        <f>SUM(U22:U23)</f>
        <v>-5199</v>
      </c>
      <c r="V21" s="487">
        <f>SUM(V22:V23)</f>
        <v>-8493</v>
      </c>
      <c r="W21" s="490">
        <f>SUM(W22:W23)</f>
        <v>-11585</v>
      </c>
      <c r="X21" s="490">
        <f>SUM(X22:X23)</f>
        <v>-8795</v>
      </c>
      <c r="Y21" s="487">
        <f t="shared" ref="Y21:AO21" si="17">SUM(Y22:Y23)</f>
        <v>-6205.3005300000004</v>
      </c>
      <c r="Z21" s="490">
        <f t="shared" si="17"/>
        <v>-11073.155569999999</v>
      </c>
      <c r="AA21" s="490">
        <f t="shared" si="17"/>
        <v>-3803.2308699999994</v>
      </c>
      <c r="AB21" s="487">
        <f t="shared" si="17"/>
        <v>-4287.1967700000005</v>
      </c>
      <c r="AC21" s="490">
        <f t="shared" si="17"/>
        <v>3566.6795899999997</v>
      </c>
      <c r="AD21" s="487">
        <f t="shared" si="17"/>
        <v>-3113.1098000000002</v>
      </c>
      <c r="AE21" s="490">
        <f t="shared" si="17"/>
        <v>12617.618369999998</v>
      </c>
      <c r="AF21" s="487">
        <f t="shared" si="17"/>
        <v>-1889.4519500000006</v>
      </c>
      <c r="AG21" s="487">
        <f t="shared" si="17"/>
        <v>-825.25070000000005</v>
      </c>
      <c r="AH21" s="490">
        <f t="shared" si="17"/>
        <v>-4991.2516099999993</v>
      </c>
      <c r="AI21" s="490">
        <f t="shared" si="17"/>
        <v>-1413.8592499999995</v>
      </c>
      <c r="AJ21" s="488">
        <f t="shared" si="17"/>
        <v>-1898</v>
      </c>
      <c r="AK21" s="487">
        <f t="shared" si="17"/>
        <v>-2688</v>
      </c>
      <c r="AL21" s="487">
        <f t="shared" si="17"/>
        <v>30529</v>
      </c>
      <c r="AM21" s="487">
        <f t="shared" si="17"/>
        <v>-3245.5405300000002</v>
      </c>
      <c r="AN21" s="487">
        <f t="shared" si="17"/>
        <v>-2007.30314</v>
      </c>
      <c r="AO21" s="487">
        <f t="shared" si="17"/>
        <v>-2212.7467099999976</v>
      </c>
      <c r="AP21" s="487">
        <f>SUM(AP22:AP23)</f>
        <v>-2784.8866099999996</v>
      </c>
      <c r="AQ21" s="487">
        <f>SUM(AQ22:AQ23)</f>
        <v>-2152.0314800000006</v>
      </c>
      <c r="AR21" s="487">
        <f>SUM(AR22:AR23)</f>
        <v>-2893.5208399999997</v>
      </c>
      <c r="AS21" s="487">
        <v>1719.5772200000001</v>
      </c>
      <c r="AT21" s="487">
        <v>-896.09401000000025</v>
      </c>
      <c r="AU21" s="487">
        <f>SUM(AU22:AU23)</f>
        <v>-952.37159000000065</v>
      </c>
      <c r="AV21" s="487">
        <v>-540.99999999999909</v>
      </c>
      <c r="AW21" s="487">
        <v>164.84838000000036</v>
      </c>
      <c r="AX21" s="487">
        <f>SUM(AX22:AX23)</f>
        <v>-52.790259999998852</v>
      </c>
      <c r="AY21" s="487">
        <v>7143.2795999999998</v>
      </c>
      <c r="AZ21" s="487">
        <f>SUM(AZ22:AZ23)</f>
        <v>1279.2891100000006</v>
      </c>
      <c r="BA21" s="487">
        <v>2933.0279499999979</v>
      </c>
      <c r="BB21" s="487">
        <v>2517.9430699999984</v>
      </c>
      <c r="BC21" s="487">
        <f>SUM(BC22:BC23)</f>
        <v>2208.5117899999996</v>
      </c>
      <c r="BD21" s="487">
        <f>SUM(BD22:BD23)</f>
        <v>2039.7343800000008</v>
      </c>
      <c r="BE21" s="490">
        <f>SUM(BE22:BE23)</f>
        <v>4056.5603300000002</v>
      </c>
      <c r="BF21" s="487">
        <f>SUM(BF22:BF23)</f>
        <v>1218.2220500000021</v>
      </c>
      <c r="BG21" s="487">
        <f>SUM(BG22:BG23)</f>
        <v>1460.4212000000007</v>
      </c>
      <c r="BH21" s="516"/>
      <c r="BI21" s="516"/>
      <c r="BJ21" s="516"/>
    </row>
    <row r="22" spans="1:62" ht="13.5" customHeight="1" outlineLevel="1" x14ac:dyDescent="0.2">
      <c r="A22" s="633" t="s">
        <v>231</v>
      </c>
      <c r="B22" s="1010" t="s">
        <v>231</v>
      </c>
      <c r="C22" s="487">
        <v>0</v>
      </c>
      <c r="D22" s="487">
        <v>-10961</v>
      </c>
      <c r="E22" s="487">
        <v>-21093</v>
      </c>
      <c r="F22" s="487">
        <v>0</v>
      </c>
      <c r="G22" s="487">
        <v>0</v>
      </c>
      <c r="H22" s="528" t="s">
        <v>47</v>
      </c>
      <c r="I22" s="528" t="s">
        <v>47</v>
      </c>
      <c r="J22" s="528" t="s">
        <v>47</v>
      </c>
      <c r="K22" s="528" t="s">
        <v>47</v>
      </c>
      <c r="L22" s="528" t="s">
        <v>47</v>
      </c>
      <c r="M22" s="528" t="s">
        <v>47</v>
      </c>
      <c r="N22" s="528" t="s">
        <v>47</v>
      </c>
      <c r="O22" s="528" t="s">
        <v>47</v>
      </c>
      <c r="P22" s="528" t="s">
        <v>47</v>
      </c>
      <c r="Q22" s="528" t="s">
        <v>47</v>
      </c>
      <c r="R22" s="528" t="s">
        <v>47</v>
      </c>
      <c r="S22" s="528" t="s">
        <v>47</v>
      </c>
      <c r="T22" s="487">
        <v>-17705</v>
      </c>
      <c r="U22" s="487">
        <v>-16495</v>
      </c>
      <c r="V22" s="487">
        <v>-14912</v>
      </c>
      <c r="W22" s="490">
        <v>-19635</v>
      </c>
      <c r="X22" s="490">
        <v>-16296</v>
      </c>
      <c r="Y22" s="487">
        <v>-13907</v>
      </c>
      <c r="Z22" s="490">
        <v>-18994.62141</v>
      </c>
      <c r="AA22" s="490">
        <v>-13158.85471</v>
      </c>
      <c r="AB22" s="487">
        <v>-9593.7638100000004</v>
      </c>
      <c r="AC22" s="487">
        <v>-8091.4878599999993</v>
      </c>
      <c r="AD22" s="487">
        <v>-8691.5884399999995</v>
      </c>
      <c r="AE22" s="487">
        <v>-1529.8947799999999</v>
      </c>
      <c r="AF22" s="487">
        <v>-4564.3026500000005</v>
      </c>
      <c r="AG22" s="487">
        <v>-3828.47154</v>
      </c>
      <c r="AH22" s="487">
        <v>-15149.87408</v>
      </c>
      <c r="AI22" s="487">
        <v>-10293.400669999999</v>
      </c>
      <c r="AJ22" s="488">
        <v>-5694</v>
      </c>
      <c r="AK22" s="487">
        <v>-4049</v>
      </c>
      <c r="AL22" s="490">
        <v>-9818</v>
      </c>
      <c r="AM22" s="487">
        <v>-13645.773789999999</v>
      </c>
      <c r="AN22" s="487">
        <v>-19086.04146</v>
      </c>
      <c r="AO22" s="487">
        <v>-11166.114489999998</v>
      </c>
      <c r="AP22" s="487">
        <v>-8161.8321499999993</v>
      </c>
      <c r="AQ22" s="487">
        <v>-4033.9628000000002</v>
      </c>
      <c r="AR22" s="487">
        <v>-4430.6220699999994</v>
      </c>
      <c r="AS22" s="487">
        <v>-4001.6024600000001</v>
      </c>
      <c r="AT22" s="487">
        <v>-4355.9090100000003</v>
      </c>
      <c r="AU22" s="487">
        <v>-8571.3697200000006</v>
      </c>
      <c r="AV22" s="487">
        <v>-6749.6398200000003</v>
      </c>
      <c r="AW22" s="487">
        <v>-6908.3586099999984</v>
      </c>
      <c r="AX22" s="487">
        <v>-5248.6184800000001</v>
      </c>
      <c r="AY22" s="487">
        <v>-4599.2150500000007</v>
      </c>
      <c r="AZ22" s="487">
        <v>-6875.40067</v>
      </c>
      <c r="BA22" s="487">
        <v>-7593.7834900000016</v>
      </c>
      <c r="BB22" s="487">
        <v>-6072.336760000001</v>
      </c>
      <c r="BC22" s="487">
        <v>-7185.5800499999996</v>
      </c>
      <c r="BD22" s="487">
        <v>-6627.8497899999993</v>
      </c>
      <c r="BE22" s="487">
        <v>-6492.406930000001</v>
      </c>
      <c r="BF22" s="487">
        <v>-6743.5508199999995</v>
      </c>
      <c r="BG22" s="487">
        <v>-6905.99863</v>
      </c>
      <c r="BH22" s="516"/>
      <c r="BI22" s="516"/>
      <c r="BJ22" s="516"/>
    </row>
    <row r="23" spans="1:62" ht="13.5" customHeight="1" outlineLevel="1" x14ac:dyDescent="0.2">
      <c r="A23" s="633"/>
      <c r="B23" s="1010" t="s">
        <v>232</v>
      </c>
      <c r="C23" s="487">
        <v>0</v>
      </c>
      <c r="D23" s="487">
        <v>18880</v>
      </c>
      <c r="E23" s="487">
        <v>9349</v>
      </c>
      <c r="F23" s="487">
        <v>0</v>
      </c>
      <c r="G23" s="487">
        <v>0</v>
      </c>
      <c r="H23" s="528" t="s">
        <v>47</v>
      </c>
      <c r="I23" s="528" t="s">
        <v>47</v>
      </c>
      <c r="J23" s="528" t="s">
        <v>47</v>
      </c>
      <c r="K23" s="528" t="s">
        <v>47</v>
      </c>
      <c r="L23" s="528" t="s">
        <v>47</v>
      </c>
      <c r="M23" s="528" t="s">
        <v>47</v>
      </c>
      <c r="N23" s="528" t="s">
        <v>47</v>
      </c>
      <c r="O23" s="528" t="s">
        <v>47</v>
      </c>
      <c r="P23" s="528" t="s">
        <v>47</v>
      </c>
      <c r="Q23" s="528" t="s">
        <v>47</v>
      </c>
      <c r="R23" s="528" t="s">
        <v>47</v>
      </c>
      <c r="S23" s="528" t="s">
        <v>47</v>
      </c>
      <c r="T23" s="487">
        <v>10027</v>
      </c>
      <c r="U23" s="487">
        <v>11296</v>
      </c>
      <c r="V23" s="487">
        <v>6419</v>
      </c>
      <c r="W23" s="487">
        <v>8050</v>
      </c>
      <c r="X23" s="487">
        <v>7501</v>
      </c>
      <c r="Y23" s="487">
        <v>7701.6994699999996</v>
      </c>
      <c r="Z23" s="487">
        <v>7921.4658400000008</v>
      </c>
      <c r="AA23" s="487">
        <v>9355.6238400000002</v>
      </c>
      <c r="AB23" s="487">
        <v>5306.5670399999999</v>
      </c>
      <c r="AC23" s="487">
        <v>11658.167449999999</v>
      </c>
      <c r="AD23" s="487">
        <v>5578.4786399999994</v>
      </c>
      <c r="AE23" s="487">
        <v>14147.513149999999</v>
      </c>
      <c r="AF23" s="487">
        <v>2674.8507</v>
      </c>
      <c r="AG23" s="487">
        <v>3003.22084</v>
      </c>
      <c r="AH23" s="487">
        <v>10158.62247</v>
      </c>
      <c r="AI23" s="487">
        <v>8879.5414199999996</v>
      </c>
      <c r="AJ23" s="488">
        <v>3796</v>
      </c>
      <c r="AK23" s="487">
        <v>1361</v>
      </c>
      <c r="AL23" s="490">
        <v>40347</v>
      </c>
      <c r="AM23" s="487">
        <v>10400.233259999999</v>
      </c>
      <c r="AN23" s="487">
        <v>17078.73832</v>
      </c>
      <c r="AO23" s="487">
        <v>8953.3677800000005</v>
      </c>
      <c r="AP23" s="487">
        <v>5376.9455399999997</v>
      </c>
      <c r="AQ23" s="487">
        <v>1881.9313199999999</v>
      </c>
      <c r="AR23" s="487">
        <v>1537.1012299999998</v>
      </c>
      <c r="AS23" s="490">
        <v>5721.1796800000002</v>
      </c>
      <c r="AT23" s="487">
        <v>3459.8150000000001</v>
      </c>
      <c r="AU23" s="487">
        <v>7618.9981299999999</v>
      </c>
      <c r="AV23" s="487">
        <v>6208.6398200000012</v>
      </c>
      <c r="AW23" s="487">
        <v>7073.2069899999988</v>
      </c>
      <c r="AX23" s="487">
        <v>5195.8282200000012</v>
      </c>
      <c r="AY23" s="490">
        <v>11742.494650000001</v>
      </c>
      <c r="AZ23" s="487">
        <v>8154.6897800000006</v>
      </c>
      <c r="BA23" s="490">
        <v>10526.811439999999</v>
      </c>
      <c r="BB23" s="487">
        <v>8590.2798299999995</v>
      </c>
      <c r="BC23" s="487">
        <v>9394.0918399999991</v>
      </c>
      <c r="BD23" s="487">
        <v>8667.5841700000001</v>
      </c>
      <c r="BE23" s="490">
        <v>10548.967260000001</v>
      </c>
      <c r="BF23" s="490">
        <v>7961.7728700000016</v>
      </c>
      <c r="BG23" s="487">
        <v>8366.4198300000007</v>
      </c>
      <c r="BH23" s="516"/>
      <c r="BI23" s="516"/>
      <c r="BJ23" s="516"/>
    </row>
    <row r="24" spans="1:62" ht="13.5" customHeight="1" x14ac:dyDescent="0.2">
      <c r="A24" s="633"/>
      <c r="B24" s="524" t="s">
        <v>234</v>
      </c>
      <c r="C24" s="525">
        <f t="shared" ref="C24:AW24" si="18">C19+C21+C20</f>
        <v>70184</v>
      </c>
      <c r="D24" s="525">
        <f t="shared" si="18"/>
        <v>86674</v>
      </c>
      <c r="E24" s="525">
        <f t="shared" si="18"/>
        <v>107427</v>
      </c>
      <c r="F24" s="525">
        <f t="shared" si="18"/>
        <v>158711</v>
      </c>
      <c r="G24" s="525">
        <f t="shared" si="18"/>
        <v>147264</v>
      </c>
      <c r="H24" s="525">
        <f t="shared" si="18"/>
        <v>22328</v>
      </c>
      <c r="I24" s="525">
        <f t="shared" si="18"/>
        <v>27801</v>
      </c>
      <c r="J24" s="525">
        <f t="shared" si="18"/>
        <v>39093</v>
      </c>
      <c r="K24" s="525">
        <f t="shared" si="18"/>
        <v>31594</v>
      </c>
      <c r="L24" s="525">
        <f t="shared" si="18"/>
        <v>2305</v>
      </c>
      <c r="M24" s="525">
        <f t="shared" si="18"/>
        <v>29562</v>
      </c>
      <c r="N24" s="525">
        <f t="shared" si="18"/>
        <v>22230</v>
      </c>
      <c r="O24" s="525">
        <f t="shared" si="18"/>
        <v>17869</v>
      </c>
      <c r="P24" s="525">
        <f t="shared" si="18"/>
        <v>898</v>
      </c>
      <c r="Q24" s="525">
        <f t="shared" si="18"/>
        <v>20706</v>
      </c>
      <c r="R24" s="525">
        <f t="shared" si="18"/>
        <v>23443</v>
      </c>
      <c r="S24" s="525">
        <f t="shared" si="18"/>
        <v>40919</v>
      </c>
      <c r="T24" s="525">
        <f t="shared" si="18"/>
        <v>10728.999999999971</v>
      </c>
      <c r="U24" s="525">
        <f t="shared" si="18"/>
        <v>1694.9999999999709</v>
      </c>
      <c r="V24" s="525">
        <f t="shared" si="18"/>
        <v>8171.9201699999476</v>
      </c>
      <c r="W24" s="525">
        <f t="shared" si="18"/>
        <v>-9418.8465700000361</v>
      </c>
      <c r="X24" s="525">
        <f t="shared" si="18"/>
        <v>-2088.0002799999793</v>
      </c>
      <c r="Y24" s="525">
        <f t="shared" si="18"/>
        <v>521.67137000001992</v>
      </c>
      <c r="Z24" s="525">
        <f t="shared" si="18"/>
        <v>7019.3644099999765</v>
      </c>
      <c r="AA24" s="525">
        <f t="shared" si="18"/>
        <v>21346.167470000019</v>
      </c>
      <c r="AB24" s="525">
        <f t="shared" si="18"/>
        <v>9751.1491999999907</v>
      </c>
      <c r="AC24" s="525">
        <f t="shared" si="18"/>
        <v>16289.862299999968</v>
      </c>
      <c r="AD24" s="525">
        <f t="shared" si="18"/>
        <v>24166.161750000039</v>
      </c>
      <c r="AE24" s="525">
        <f t="shared" si="18"/>
        <v>67285.740539999941</v>
      </c>
      <c r="AF24" s="525">
        <f t="shared" si="18"/>
        <v>20229.041430000012</v>
      </c>
      <c r="AG24" s="525">
        <f t="shared" si="18"/>
        <v>35186.010869999947</v>
      </c>
      <c r="AH24" s="525">
        <f t="shared" si="18"/>
        <v>41036.324519999936</v>
      </c>
      <c r="AI24" s="525">
        <f t="shared" si="18"/>
        <v>47844.218080000042</v>
      </c>
      <c r="AJ24" s="756">
        <f t="shared" si="18"/>
        <v>38198.144769999984</v>
      </c>
      <c r="AK24" s="525">
        <f t="shared" si="18"/>
        <v>43437.371810000062</v>
      </c>
      <c r="AL24" s="525">
        <f t="shared" si="18"/>
        <v>131448.74945000012</v>
      </c>
      <c r="AM24" s="525">
        <f t="shared" si="18"/>
        <v>52214.259119999995</v>
      </c>
      <c r="AN24" s="525">
        <f t="shared" si="18"/>
        <v>26137.393389999961</v>
      </c>
      <c r="AO24" s="525">
        <f t="shared" si="18"/>
        <v>-8987.4842199999948</v>
      </c>
      <c r="AP24" s="525">
        <f t="shared" si="18"/>
        <v>41960.416119999958</v>
      </c>
      <c r="AQ24" s="525">
        <f t="shared" si="18"/>
        <v>37941.838950000027</v>
      </c>
      <c r="AR24" s="525">
        <f t="shared" si="18"/>
        <v>28149.525069999934</v>
      </c>
      <c r="AS24" s="525">
        <f t="shared" si="18"/>
        <v>32336.520711199981</v>
      </c>
      <c r="AT24" s="525">
        <f t="shared" si="18"/>
        <v>24630.560199999996</v>
      </c>
      <c r="AU24" s="525">
        <f t="shared" si="18"/>
        <v>39269.87608999994</v>
      </c>
      <c r="AV24" s="525">
        <f t="shared" si="18"/>
        <v>24073.709109999967</v>
      </c>
      <c r="AW24" s="525">
        <f t="shared" si="18"/>
        <v>38629.009675574955</v>
      </c>
      <c r="AX24" s="525">
        <f t="shared" ref="AX24:BF24" si="19">AX19+AX21+AX20</f>
        <v>71117.286708400017</v>
      </c>
      <c r="AY24" s="525">
        <f t="shared" si="19"/>
        <v>74075.39776719996</v>
      </c>
      <c r="AZ24" s="525">
        <f t="shared" si="19"/>
        <v>45356.5040977998</v>
      </c>
      <c r="BA24" s="525">
        <f t="shared" si="19"/>
        <v>50438.467710000201</v>
      </c>
      <c r="BB24" s="525">
        <f t="shared" si="19"/>
        <v>73080.841300000087</v>
      </c>
      <c r="BC24" s="525">
        <f t="shared" si="19"/>
        <v>66601.116690000184</v>
      </c>
      <c r="BD24" s="525">
        <f t="shared" si="19"/>
        <v>53124.419359999767</v>
      </c>
      <c r="BE24" s="525">
        <f t="shared" si="19"/>
        <v>84658.852060000063</v>
      </c>
      <c r="BF24" s="525">
        <f t="shared" si="19"/>
        <v>120378.99087000013</v>
      </c>
      <c r="BG24" s="525">
        <f>BG19+BG21+BG20</f>
        <v>119306.46871969987</v>
      </c>
      <c r="BH24" s="526"/>
      <c r="BI24" s="516"/>
      <c r="BJ24" s="516"/>
    </row>
    <row r="25" spans="1:62" ht="13.5" customHeight="1" x14ac:dyDescent="0.2">
      <c r="A25" s="633" t="s">
        <v>235</v>
      </c>
      <c r="B25" s="1009" t="str">
        <f>HYPERLINK(Menu!$AY$32,A25)</f>
        <v>Income Tax</v>
      </c>
      <c r="C25" s="487">
        <f>-21995-7846</f>
        <v>-29841</v>
      </c>
      <c r="D25" s="487">
        <v>-33691</v>
      </c>
      <c r="E25" s="487">
        <v>-30958</v>
      </c>
      <c r="F25" s="487">
        <v>-46409</v>
      </c>
      <c r="G25" s="487">
        <v>-48195</v>
      </c>
      <c r="H25" s="528">
        <v>-8014</v>
      </c>
      <c r="I25" s="528">
        <v>-8880</v>
      </c>
      <c r="J25" s="528">
        <v>-8831</v>
      </c>
      <c r="K25" s="528">
        <v>-14616</v>
      </c>
      <c r="L25" s="528">
        <v>-1306</v>
      </c>
      <c r="M25" s="528">
        <v>-14353</v>
      </c>
      <c r="N25" s="528">
        <v>-3882</v>
      </c>
      <c r="O25" s="528">
        <v>-12950</v>
      </c>
      <c r="P25" s="528">
        <v>405</v>
      </c>
      <c r="Q25" s="528">
        <v>-1432</v>
      </c>
      <c r="R25" s="528">
        <v>-24998</v>
      </c>
      <c r="S25" s="528">
        <v>-27524</v>
      </c>
      <c r="T25" s="487">
        <v>-3229</v>
      </c>
      <c r="U25" s="487">
        <v>-512</v>
      </c>
      <c r="V25" s="487">
        <v>-3070.77151</v>
      </c>
      <c r="W25" s="490">
        <v>5565.3430946000008</v>
      </c>
      <c r="X25" s="487">
        <v>185</v>
      </c>
      <c r="Y25" s="487">
        <v>-1210</v>
      </c>
      <c r="Z25" s="487">
        <v>-3177.8091100000011</v>
      </c>
      <c r="AA25" s="487">
        <v>-8770.0601499999993</v>
      </c>
      <c r="AB25" s="487">
        <v>-4298.9160000000002</v>
      </c>
      <c r="AC25" s="490">
        <v>7766.8676799999994</v>
      </c>
      <c r="AD25" s="487">
        <v>-8879.3011299999998</v>
      </c>
      <c r="AE25" s="490">
        <v>-8319.4488999999994</v>
      </c>
      <c r="AF25" s="647">
        <v>-6233</v>
      </c>
      <c r="AG25" s="647">
        <v>-7000.1369300000006</v>
      </c>
      <c r="AH25" s="647">
        <v>-9929.7333699999999</v>
      </c>
      <c r="AI25" s="490">
        <v>-12883.216170000002</v>
      </c>
      <c r="AJ25" s="488">
        <v>-11575.73976</v>
      </c>
      <c r="AK25" s="487">
        <v>-10923.94203</v>
      </c>
      <c r="AL25" s="490">
        <v>-40057.514449999995</v>
      </c>
      <c r="AM25" s="487">
        <v>-8769.3005799999992</v>
      </c>
      <c r="AN25" s="487">
        <v>-6850.96893</v>
      </c>
      <c r="AO25" s="487">
        <v>4624.6438899999994</v>
      </c>
      <c r="AP25" s="487">
        <v>-12021.130280000001</v>
      </c>
      <c r="AQ25" s="487">
        <v>-9295.3423600000006</v>
      </c>
      <c r="AR25" s="487">
        <v>-7991.2797200000005</v>
      </c>
      <c r="AS25" s="487">
        <v>-8180.5598599999994</v>
      </c>
      <c r="AT25" s="490">
        <v>9562.4</v>
      </c>
      <c r="AU25" s="487">
        <v>-9991.3930700000001</v>
      </c>
      <c r="AV25" s="487">
        <v>-5291</v>
      </c>
      <c r="AW25" s="487">
        <v>-8048.3106200000002</v>
      </c>
      <c r="AX25" s="487">
        <v>-17648.283640000001</v>
      </c>
      <c r="AY25" s="487">
        <v>-17243.035919999998</v>
      </c>
      <c r="AZ25" s="487">
        <v>-10633.6551</v>
      </c>
      <c r="BA25" s="487">
        <v>-10582.149069999999</v>
      </c>
      <c r="BB25" s="487">
        <v>-16768.140070000001</v>
      </c>
      <c r="BC25" s="487">
        <v>-15580.425179999998</v>
      </c>
      <c r="BD25" s="487">
        <v>-15609.352519999997</v>
      </c>
      <c r="BE25" s="487">
        <v>-21144.194380000001</v>
      </c>
      <c r="BF25" s="487">
        <v>-35933.303370000001</v>
      </c>
      <c r="BG25" s="487">
        <v>-34169.50647</v>
      </c>
      <c r="BH25" s="526"/>
      <c r="BI25" s="516"/>
      <c r="BJ25" s="516"/>
    </row>
    <row r="26" spans="1:62" ht="13.5" hidden="1" customHeight="1" outlineLevel="1" x14ac:dyDescent="0.2">
      <c r="A26" s="633"/>
      <c r="B26" s="524" t="s">
        <v>236</v>
      </c>
      <c r="C26" s="525">
        <f>+SUM(C24:C25)</f>
        <v>40343</v>
      </c>
      <c r="D26" s="525">
        <f>+SUM(D24:D25)</f>
        <v>52983</v>
      </c>
      <c r="E26" s="525">
        <f>+SUM(E24:E25)</f>
        <v>76469</v>
      </c>
      <c r="F26" s="525">
        <f>+SUM(F24:F25)</f>
        <v>112302</v>
      </c>
      <c r="G26" s="525">
        <f>+SUM(G24:G25)</f>
        <v>99069</v>
      </c>
      <c r="H26" s="525">
        <v>14314</v>
      </c>
      <c r="I26" s="525">
        <v>18921</v>
      </c>
      <c r="J26" s="525">
        <v>30262</v>
      </c>
      <c r="K26" s="525">
        <v>16978</v>
      </c>
      <c r="L26" s="525">
        <v>999</v>
      </c>
      <c r="M26" s="525">
        <v>15209</v>
      </c>
      <c r="N26" s="525">
        <v>18348</v>
      </c>
      <c r="O26" s="525">
        <v>4919</v>
      </c>
      <c r="P26" s="525">
        <v>1303</v>
      </c>
      <c r="Q26" s="525">
        <v>19274</v>
      </c>
      <c r="R26" s="525">
        <v>-1555</v>
      </c>
      <c r="S26" s="525">
        <v>13395</v>
      </c>
      <c r="T26" s="525">
        <f>+SUM(T24:T25)</f>
        <v>7499.9999999999709</v>
      </c>
      <c r="U26" s="525">
        <f>+SUM(U24:U25)</f>
        <v>1182.9999999999709</v>
      </c>
      <c r="V26" s="525">
        <f>+SUM(V24:V25)</f>
        <v>5101.148659999948</v>
      </c>
      <c r="W26" s="525">
        <f>+SUM(W24:W25)</f>
        <v>-3853.5034754000353</v>
      </c>
      <c r="X26" s="525">
        <f>+SUM(X24:X25)</f>
        <v>-1903.0002799999793</v>
      </c>
      <c r="Y26" s="525">
        <f t="shared" ref="Y26:AD26" si="20">+SUM(Y24:Y25)</f>
        <v>-688.32862999998008</v>
      </c>
      <c r="Z26" s="525">
        <f t="shared" si="20"/>
        <v>3841.5552999999754</v>
      </c>
      <c r="AA26" s="525">
        <f t="shared" si="20"/>
        <v>12576.107320000019</v>
      </c>
      <c r="AB26" s="525">
        <f t="shared" si="20"/>
        <v>5452.2331999999906</v>
      </c>
      <c r="AC26" s="525">
        <f t="shared" si="20"/>
        <v>24056.729979999967</v>
      </c>
      <c r="AD26" s="525">
        <f t="shared" si="20"/>
        <v>15286.860620000039</v>
      </c>
      <c r="AE26" s="525">
        <f t="shared" ref="AE26:AK26" si="21">+SUM(AE24:AE25)</f>
        <v>58966.291639999938</v>
      </c>
      <c r="AF26" s="525">
        <f t="shared" si="21"/>
        <v>13996.041430000012</v>
      </c>
      <c r="AG26" s="525">
        <f t="shared" si="21"/>
        <v>28185.873939999947</v>
      </c>
      <c r="AH26" s="525">
        <f t="shared" si="21"/>
        <v>31106.591149999935</v>
      </c>
      <c r="AI26" s="525">
        <f t="shared" si="21"/>
        <v>34961.001910000043</v>
      </c>
      <c r="AJ26" s="756">
        <f t="shared" si="21"/>
        <v>26622.405009999984</v>
      </c>
      <c r="AK26" s="525">
        <f t="shared" si="21"/>
        <v>32513.429780000064</v>
      </c>
      <c r="AL26" s="525">
        <v>91391.468380000093</v>
      </c>
      <c r="AM26" s="525">
        <v>43444.958539999992</v>
      </c>
      <c r="AN26" s="525">
        <f t="shared" ref="AN26:AV26" si="22">+SUM(AN24:AN25)</f>
        <v>19286.424459999962</v>
      </c>
      <c r="AO26" s="525">
        <f t="shared" si="22"/>
        <v>-4362.8403299999954</v>
      </c>
      <c r="AP26" s="525">
        <f t="shared" si="22"/>
        <v>29939.285839999957</v>
      </c>
      <c r="AQ26" s="525">
        <f t="shared" si="22"/>
        <v>28646.496590000024</v>
      </c>
      <c r="AR26" s="525">
        <f t="shared" si="22"/>
        <v>20158.245349999932</v>
      </c>
      <c r="AS26" s="525">
        <f t="shared" si="22"/>
        <v>24155.960851199983</v>
      </c>
      <c r="AT26" s="525">
        <f t="shared" si="22"/>
        <v>34192.960199999994</v>
      </c>
      <c r="AU26" s="525">
        <f t="shared" si="22"/>
        <v>29278.483019999941</v>
      </c>
      <c r="AV26" s="525">
        <f t="shared" si="22"/>
        <v>18782.709109999967</v>
      </c>
      <c r="AW26" s="525">
        <v>30580.699055574954</v>
      </c>
      <c r="AX26" s="525">
        <f t="shared" ref="AX26:BG26" si="23">+SUM(AX24:AX25)</f>
        <v>53469.003068400016</v>
      </c>
      <c r="AY26" s="525">
        <f t="shared" si="23"/>
        <v>56832.361847199965</v>
      </c>
      <c r="AZ26" s="525">
        <f t="shared" si="23"/>
        <v>34722.848997799796</v>
      </c>
      <c r="BA26" s="525">
        <f t="shared" si="23"/>
        <v>39856.318640000201</v>
      </c>
      <c r="BB26" s="525">
        <f t="shared" si="23"/>
        <v>56312.701230000086</v>
      </c>
      <c r="BC26" s="525">
        <f t="shared" si="23"/>
        <v>51020.691510000186</v>
      </c>
      <c r="BD26" s="525">
        <f t="shared" si="23"/>
        <v>37515.066839999767</v>
      </c>
      <c r="BE26" s="525">
        <f t="shared" si="23"/>
        <v>63514.657680000062</v>
      </c>
      <c r="BF26" s="525">
        <f t="shared" si="23"/>
        <v>84445.687500000116</v>
      </c>
      <c r="BG26" s="525">
        <f t="shared" si="23"/>
        <v>85136.962249699864</v>
      </c>
      <c r="BH26" s="516"/>
      <c r="BI26" s="516"/>
      <c r="BJ26" s="516"/>
    </row>
    <row r="27" spans="1:62" ht="13.5" hidden="1" customHeight="1" outlineLevel="1" x14ac:dyDescent="0.2">
      <c r="A27" s="633"/>
      <c r="B27" s="529" t="s">
        <v>238</v>
      </c>
      <c r="C27" s="532"/>
      <c r="D27" s="532"/>
      <c r="E27" s="532"/>
      <c r="F27" s="532"/>
      <c r="G27" s="532"/>
      <c r="H27" s="532">
        <v>0</v>
      </c>
      <c r="I27" s="532">
        <v>0</v>
      </c>
      <c r="J27" s="532">
        <v>0</v>
      </c>
      <c r="K27" s="532">
        <v>0</v>
      </c>
      <c r="L27" s="532">
        <v>0</v>
      </c>
      <c r="M27" s="532">
        <v>0</v>
      </c>
      <c r="N27" s="532">
        <v>0</v>
      </c>
      <c r="O27" s="532">
        <v>0</v>
      </c>
      <c r="P27" s="532">
        <v>0</v>
      </c>
      <c r="Q27" s="532">
        <v>-29236</v>
      </c>
      <c r="R27" s="532">
        <v>-26127</v>
      </c>
      <c r="S27" s="532">
        <v>0</v>
      </c>
      <c r="T27" s="532">
        <v>0</v>
      </c>
      <c r="U27" s="532">
        <v>0</v>
      </c>
      <c r="V27" s="532">
        <v>0</v>
      </c>
      <c r="W27" s="532">
        <v>0</v>
      </c>
      <c r="X27" s="532">
        <v>0</v>
      </c>
      <c r="Y27" s="532">
        <v>0</v>
      </c>
      <c r="Z27" s="532">
        <v>0</v>
      </c>
      <c r="AA27" s="532">
        <v>0</v>
      </c>
      <c r="AB27" s="532">
        <v>0</v>
      </c>
      <c r="AC27" s="532">
        <v>0</v>
      </c>
      <c r="AD27" s="532">
        <v>0</v>
      </c>
      <c r="AE27" s="532">
        <v>0</v>
      </c>
      <c r="AF27" s="532">
        <v>0</v>
      </c>
      <c r="AG27" s="532">
        <v>0</v>
      </c>
      <c r="AH27" s="532">
        <v>0</v>
      </c>
      <c r="AI27" s="532">
        <v>0</v>
      </c>
      <c r="AJ27" s="757">
        <v>0</v>
      </c>
      <c r="AK27" s="528">
        <v>0</v>
      </c>
      <c r="AL27" s="528">
        <v>0</v>
      </c>
      <c r="AM27" s="532">
        <v>0</v>
      </c>
      <c r="AN27" s="532">
        <v>0</v>
      </c>
      <c r="AO27" s="532">
        <v>0</v>
      </c>
      <c r="AP27" s="532">
        <v>0</v>
      </c>
      <c r="AQ27" s="532">
        <v>0</v>
      </c>
      <c r="AR27" s="532">
        <v>0</v>
      </c>
      <c r="AS27" s="532">
        <v>0</v>
      </c>
      <c r="AT27" s="532">
        <v>0</v>
      </c>
      <c r="AU27" s="532"/>
      <c r="AV27" s="532">
        <v>0</v>
      </c>
      <c r="AW27" s="532">
        <v>0</v>
      </c>
      <c r="AX27" s="532">
        <v>0</v>
      </c>
      <c r="AY27" s="532">
        <v>0</v>
      </c>
      <c r="AZ27" s="532">
        <v>0</v>
      </c>
      <c r="BA27" s="532">
        <v>0</v>
      </c>
      <c r="BB27" s="532">
        <v>0</v>
      </c>
      <c r="BC27" s="532">
        <v>0</v>
      </c>
      <c r="BD27" s="532"/>
      <c r="BE27" s="532"/>
      <c r="BF27" s="532"/>
      <c r="BG27" s="532">
        <v>0</v>
      </c>
      <c r="BH27" s="516"/>
      <c r="BI27" s="516"/>
      <c r="BJ27" s="516"/>
    </row>
    <row r="28" spans="1:62" collapsed="1" x14ac:dyDescent="0.2">
      <c r="B28" s="530" t="s">
        <v>239</v>
      </c>
      <c r="C28" s="525">
        <f>SUM(C26:C27)</f>
        <v>40343</v>
      </c>
      <c r="D28" s="525">
        <f>SUM(D26:D27)</f>
        <v>52983</v>
      </c>
      <c r="E28" s="525">
        <f>SUM(E26:E27)</f>
        <v>76469</v>
      </c>
      <c r="F28" s="525">
        <f>SUM(F26:F27)</f>
        <v>112302</v>
      </c>
      <c r="G28" s="525">
        <f>SUM(G26:G27)</f>
        <v>99069</v>
      </c>
      <c r="H28" s="525">
        <v>13897</v>
      </c>
      <c r="I28" s="525">
        <v>19138</v>
      </c>
      <c r="J28" s="525">
        <v>32920</v>
      </c>
      <c r="K28" s="525">
        <v>17412</v>
      </c>
      <c r="L28" s="525">
        <v>4222</v>
      </c>
      <c r="M28" s="525">
        <v>17912.999999999942</v>
      </c>
      <c r="N28" s="525">
        <v>21092</v>
      </c>
      <c r="O28" s="525">
        <v>6228</v>
      </c>
      <c r="P28" s="525">
        <v>1299</v>
      </c>
      <c r="Q28" s="525">
        <v>-9969</v>
      </c>
      <c r="R28" s="525">
        <v>-27686</v>
      </c>
      <c r="S28" s="525">
        <v>13393</v>
      </c>
      <c r="T28" s="525">
        <v>7499.9999999999709</v>
      </c>
      <c r="U28" s="525">
        <v>1183</v>
      </c>
      <c r="V28" s="525">
        <v>5101.3234399999501</v>
      </c>
      <c r="W28" s="525">
        <f t="shared" ref="W28:AU28" si="24">+W26</f>
        <v>-3853.5034754000353</v>
      </c>
      <c r="X28" s="525">
        <f t="shared" si="24"/>
        <v>-1903.0002799999793</v>
      </c>
      <c r="Y28" s="525">
        <f t="shared" si="24"/>
        <v>-688.32862999998008</v>
      </c>
      <c r="Z28" s="525">
        <f t="shared" si="24"/>
        <v>3841.5552999999754</v>
      </c>
      <c r="AA28" s="525">
        <f t="shared" si="24"/>
        <v>12576.107320000019</v>
      </c>
      <c r="AB28" s="525">
        <f t="shared" si="24"/>
        <v>5452.2331999999906</v>
      </c>
      <c r="AC28" s="525">
        <f t="shared" si="24"/>
        <v>24056.729979999967</v>
      </c>
      <c r="AD28" s="525">
        <f t="shared" si="24"/>
        <v>15286.860620000039</v>
      </c>
      <c r="AE28" s="525">
        <f t="shared" si="24"/>
        <v>58966.291639999938</v>
      </c>
      <c r="AF28" s="525">
        <f t="shared" si="24"/>
        <v>13996.041430000012</v>
      </c>
      <c r="AG28" s="525">
        <f t="shared" si="24"/>
        <v>28185.873939999947</v>
      </c>
      <c r="AH28" s="525">
        <f t="shared" si="24"/>
        <v>31106.591149999935</v>
      </c>
      <c r="AI28" s="525">
        <f t="shared" si="24"/>
        <v>34961.001910000043</v>
      </c>
      <c r="AJ28" s="756">
        <f t="shared" si="24"/>
        <v>26622.405009999984</v>
      </c>
      <c r="AK28" s="525">
        <f t="shared" si="24"/>
        <v>32513.429780000064</v>
      </c>
      <c r="AL28" s="525">
        <f t="shared" si="24"/>
        <v>91391.468380000093</v>
      </c>
      <c r="AM28" s="525">
        <f t="shared" si="24"/>
        <v>43444.958539999992</v>
      </c>
      <c r="AN28" s="525">
        <f t="shared" si="24"/>
        <v>19286.424459999962</v>
      </c>
      <c r="AO28" s="525">
        <f t="shared" si="24"/>
        <v>-4362.8403299999954</v>
      </c>
      <c r="AP28" s="525">
        <f t="shared" si="24"/>
        <v>29939.285839999957</v>
      </c>
      <c r="AQ28" s="525">
        <f t="shared" si="24"/>
        <v>28646.496590000024</v>
      </c>
      <c r="AR28" s="525">
        <f t="shared" si="24"/>
        <v>20158.245349999932</v>
      </c>
      <c r="AS28" s="525">
        <f t="shared" si="24"/>
        <v>24155.960851199983</v>
      </c>
      <c r="AT28" s="525">
        <f t="shared" si="24"/>
        <v>34192.960199999994</v>
      </c>
      <c r="AU28" s="525">
        <f t="shared" si="24"/>
        <v>29278.483019999941</v>
      </c>
      <c r="AV28" s="525">
        <v>18782.709109999967</v>
      </c>
      <c r="AW28" s="525">
        <v>30580.699055574954</v>
      </c>
      <c r="AX28" s="525">
        <f t="shared" ref="AX28:BG28" si="25">+AX26</f>
        <v>53469.003068400016</v>
      </c>
      <c r="AY28" s="525">
        <f t="shared" si="25"/>
        <v>56832.361847199965</v>
      </c>
      <c r="AZ28" s="525">
        <f t="shared" si="25"/>
        <v>34722.848997799796</v>
      </c>
      <c r="BA28" s="525">
        <f t="shared" si="25"/>
        <v>39856.318640000201</v>
      </c>
      <c r="BB28" s="525">
        <f t="shared" si="25"/>
        <v>56312.701230000086</v>
      </c>
      <c r="BC28" s="525">
        <f t="shared" si="25"/>
        <v>51020.691510000186</v>
      </c>
      <c r="BD28" s="525">
        <f t="shared" si="25"/>
        <v>37515.066839999767</v>
      </c>
      <c r="BE28" s="525">
        <f t="shared" si="25"/>
        <v>63514.657680000062</v>
      </c>
      <c r="BF28" s="525">
        <f t="shared" si="25"/>
        <v>84445.687500000116</v>
      </c>
      <c r="BG28" s="525">
        <f t="shared" si="25"/>
        <v>85136.962249699864</v>
      </c>
      <c r="BH28" s="516"/>
      <c r="BI28" s="516"/>
      <c r="BJ28" s="516"/>
    </row>
    <row r="29" spans="1:62" ht="13.5" customHeight="1" x14ac:dyDescent="0.2">
      <c r="A29" s="633"/>
      <c r="B29" s="529" t="s">
        <v>213</v>
      </c>
      <c r="C29" s="487">
        <v>1</v>
      </c>
      <c r="D29" s="487">
        <v>27</v>
      </c>
      <c r="E29" s="487">
        <v>11</v>
      </c>
      <c r="F29" s="487">
        <v>-9</v>
      </c>
      <c r="G29" s="487">
        <v>-1691</v>
      </c>
      <c r="H29" s="487">
        <v>417</v>
      </c>
      <c r="I29" s="487">
        <v>-217</v>
      </c>
      <c r="J29" s="487">
        <v>-2658</v>
      </c>
      <c r="K29" s="487">
        <v>-434</v>
      </c>
      <c r="L29" s="487">
        <v>-3223</v>
      </c>
      <c r="M29" s="487">
        <v>-2704</v>
      </c>
      <c r="N29" s="487">
        <v>-2744</v>
      </c>
      <c r="O29" s="487">
        <v>-1309</v>
      </c>
      <c r="P29" s="487">
        <v>4</v>
      </c>
      <c r="Q29" s="487">
        <v>7</v>
      </c>
      <c r="R29" s="487">
        <v>4</v>
      </c>
      <c r="S29" s="487">
        <v>2</v>
      </c>
      <c r="T29" s="487">
        <v>0</v>
      </c>
      <c r="U29" s="487">
        <v>0</v>
      </c>
      <c r="V29" s="487">
        <v>0</v>
      </c>
      <c r="W29" s="487">
        <v>0</v>
      </c>
      <c r="X29" s="487">
        <v>0</v>
      </c>
      <c r="Y29" s="487">
        <v>0</v>
      </c>
      <c r="Z29" s="487">
        <v>0</v>
      </c>
      <c r="AA29" s="487">
        <v>0</v>
      </c>
      <c r="AB29" s="487">
        <v>0</v>
      </c>
      <c r="AC29" s="487">
        <v>0</v>
      </c>
      <c r="AD29" s="487">
        <v>0</v>
      </c>
      <c r="AE29" s="487">
        <v>0</v>
      </c>
      <c r="AF29" s="487">
        <v>0</v>
      </c>
      <c r="AG29" s="487">
        <v>0</v>
      </c>
      <c r="AH29" s="487">
        <v>0</v>
      </c>
      <c r="AI29" s="487">
        <v>0</v>
      </c>
      <c r="AJ29" s="488">
        <v>0</v>
      </c>
      <c r="AK29" s="487">
        <v>0</v>
      </c>
      <c r="AL29" s="487">
        <v>0</v>
      </c>
      <c r="AM29" s="487">
        <v>0</v>
      </c>
      <c r="AN29" s="487">
        <v>0</v>
      </c>
      <c r="AO29" s="487">
        <v>0</v>
      </c>
      <c r="AP29" s="487">
        <v>0</v>
      </c>
      <c r="AQ29" s="487">
        <v>-117</v>
      </c>
      <c r="AR29" s="487">
        <v>-90</v>
      </c>
      <c r="AS29" s="487">
        <v>-27.967488799999987</v>
      </c>
      <c r="AT29" s="487">
        <v>-44</v>
      </c>
      <c r="AU29" s="487">
        <v>-146.40199999999999</v>
      </c>
      <c r="AV29" s="487">
        <v>73</v>
      </c>
      <c r="AW29" s="487">
        <v>111.34514557500006</v>
      </c>
      <c r="AX29" s="487">
        <v>74.033388400000135</v>
      </c>
      <c r="AY29" s="487">
        <v>109.679</v>
      </c>
      <c r="AZ29" s="487">
        <v>224.09200000000001</v>
      </c>
      <c r="BA29" s="487">
        <v>196.09647000000001</v>
      </c>
      <c r="BB29" s="487">
        <v>136.32814999999999</v>
      </c>
      <c r="BC29" s="487">
        <v>-56.032869999999996</v>
      </c>
      <c r="BD29" s="487">
        <v>232.13898999999998</v>
      </c>
      <c r="BE29" s="487">
        <v>262.44155999999998</v>
      </c>
      <c r="BF29" s="487">
        <v>224.55350000000001</v>
      </c>
      <c r="BG29" s="487">
        <v>75.921869999999998</v>
      </c>
      <c r="BH29" s="526"/>
      <c r="BI29" s="526"/>
      <c r="BJ29" s="516"/>
    </row>
    <row r="30" spans="1:62" x14ac:dyDescent="0.2">
      <c r="B30" s="533" t="s">
        <v>239</v>
      </c>
      <c r="C30" s="484">
        <f t="shared" ref="C30:AL30" si="26">C28+C29</f>
        <v>40344</v>
      </c>
      <c r="D30" s="484">
        <f t="shared" si="26"/>
        <v>53010</v>
      </c>
      <c r="E30" s="484">
        <f t="shared" si="26"/>
        <v>76480</v>
      </c>
      <c r="F30" s="484">
        <f t="shared" si="26"/>
        <v>112293</v>
      </c>
      <c r="G30" s="484">
        <f t="shared" si="26"/>
        <v>97378</v>
      </c>
      <c r="H30" s="484">
        <f t="shared" si="26"/>
        <v>14314</v>
      </c>
      <c r="I30" s="484">
        <f t="shared" si="26"/>
        <v>18921</v>
      </c>
      <c r="J30" s="484">
        <f t="shared" si="26"/>
        <v>30262</v>
      </c>
      <c r="K30" s="484">
        <f t="shared" si="26"/>
        <v>16978</v>
      </c>
      <c r="L30" s="484">
        <f t="shared" si="26"/>
        <v>999</v>
      </c>
      <c r="M30" s="484">
        <f t="shared" si="26"/>
        <v>15208.999999999942</v>
      </c>
      <c r="N30" s="484">
        <f t="shared" si="26"/>
        <v>18348</v>
      </c>
      <c r="O30" s="484">
        <f t="shared" si="26"/>
        <v>4919</v>
      </c>
      <c r="P30" s="484">
        <f t="shared" si="26"/>
        <v>1303</v>
      </c>
      <c r="Q30" s="484">
        <f t="shared" si="26"/>
        <v>-9962</v>
      </c>
      <c r="R30" s="484">
        <f t="shared" si="26"/>
        <v>-27682</v>
      </c>
      <c r="S30" s="484">
        <f t="shared" si="26"/>
        <v>13395</v>
      </c>
      <c r="T30" s="484">
        <f t="shared" si="26"/>
        <v>7499.9999999999709</v>
      </c>
      <c r="U30" s="484">
        <f t="shared" si="26"/>
        <v>1183</v>
      </c>
      <c r="V30" s="484">
        <f t="shared" si="26"/>
        <v>5101.3234399999501</v>
      </c>
      <c r="W30" s="484">
        <f t="shared" si="26"/>
        <v>-3853.5034754000353</v>
      </c>
      <c r="X30" s="484">
        <f t="shared" si="26"/>
        <v>-1903.0002799999793</v>
      </c>
      <c r="Y30" s="484">
        <f t="shared" si="26"/>
        <v>-688.32862999998008</v>
      </c>
      <c r="Z30" s="484">
        <f t="shared" si="26"/>
        <v>3841.5552999999754</v>
      </c>
      <c r="AA30" s="484">
        <f t="shared" si="26"/>
        <v>12576.107320000019</v>
      </c>
      <c r="AB30" s="484">
        <f t="shared" si="26"/>
        <v>5452.2331999999906</v>
      </c>
      <c r="AC30" s="484">
        <f t="shared" si="26"/>
        <v>24056.729979999967</v>
      </c>
      <c r="AD30" s="484">
        <f t="shared" si="26"/>
        <v>15286.860620000039</v>
      </c>
      <c r="AE30" s="484">
        <f t="shared" si="26"/>
        <v>58966.291639999938</v>
      </c>
      <c r="AF30" s="484">
        <f t="shared" si="26"/>
        <v>13996.041430000012</v>
      </c>
      <c r="AG30" s="484">
        <f t="shared" si="26"/>
        <v>28185.873939999947</v>
      </c>
      <c r="AH30" s="484">
        <f t="shared" si="26"/>
        <v>31106.591149999935</v>
      </c>
      <c r="AI30" s="484">
        <f t="shared" si="26"/>
        <v>34961.001910000043</v>
      </c>
      <c r="AJ30" s="485">
        <f t="shared" si="26"/>
        <v>26622.405009999984</v>
      </c>
      <c r="AK30" s="484">
        <f t="shared" si="26"/>
        <v>32513.429780000064</v>
      </c>
      <c r="AL30" s="484">
        <f t="shared" si="26"/>
        <v>91391.468380000093</v>
      </c>
      <c r="AM30" s="484">
        <f>AM28+AM29</f>
        <v>43444.958539999992</v>
      </c>
      <c r="AN30" s="484">
        <f>AN28+AN29</f>
        <v>19286.424459999962</v>
      </c>
      <c r="AO30" s="484">
        <f>AO28+AO29</f>
        <v>-4362.8403299999954</v>
      </c>
      <c r="AP30" s="484">
        <f>AP28+AP29</f>
        <v>29939.285839999957</v>
      </c>
      <c r="AQ30" s="484">
        <f t="shared" ref="AQ30:AV30" si="27">AQ28-AQ29</f>
        <v>28763.496590000024</v>
      </c>
      <c r="AR30" s="484">
        <f t="shared" si="27"/>
        <v>20248.245349999932</v>
      </c>
      <c r="AS30" s="484">
        <f t="shared" si="27"/>
        <v>24183.928339999984</v>
      </c>
      <c r="AT30" s="484">
        <f t="shared" si="27"/>
        <v>34236.960199999994</v>
      </c>
      <c r="AU30" s="484">
        <f t="shared" si="27"/>
        <v>29424.88501999994</v>
      </c>
      <c r="AV30" s="484">
        <f t="shared" si="27"/>
        <v>18709.709109999967</v>
      </c>
      <c r="AW30" s="484">
        <v>30469.353909999954</v>
      </c>
      <c r="AX30" s="484">
        <f t="shared" ref="AX30:BG30" si="28">AX28-AX29</f>
        <v>53394.969680000017</v>
      </c>
      <c r="AY30" s="484">
        <f t="shared" si="28"/>
        <v>56722.682847199969</v>
      </c>
      <c r="AZ30" s="484">
        <f t="shared" si="28"/>
        <v>34498.756997799799</v>
      </c>
      <c r="BA30" s="484">
        <f t="shared" si="28"/>
        <v>39660.222170000205</v>
      </c>
      <c r="BB30" s="484">
        <f t="shared" si="28"/>
        <v>56176.373080000085</v>
      </c>
      <c r="BC30" s="484">
        <f t="shared" si="28"/>
        <v>51076.724380000189</v>
      </c>
      <c r="BD30" s="484">
        <f t="shared" si="28"/>
        <v>37282.927849999767</v>
      </c>
      <c r="BE30" s="484">
        <f t="shared" si="28"/>
        <v>63252.216120000063</v>
      </c>
      <c r="BF30" s="484">
        <f t="shared" si="28"/>
        <v>84221.134000000122</v>
      </c>
      <c r="BG30" s="484">
        <f t="shared" si="28"/>
        <v>85061.040379699858</v>
      </c>
      <c r="BH30" s="516"/>
      <c r="BI30" s="526"/>
      <c r="BJ30" s="516"/>
    </row>
    <row r="31" spans="1:62" s="577" customFormat="1" ht="13.5" customHeight="1" x14ac:dyDescent="0.2">
      <c r="A31" s="642"/>
      <c r="B31" s="534" t="s">
        <v>240</v>
      </c>
      <c r="C31" s="1183"/>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183"/>
      <c r="AS31" s="1183"/>
      <c r="AT31" s="1183"/>
      <c r="AU31" s="1183"/>
      <c r="AV31" s="1183"/>
      <c r="AW31" s="1183"/>
      <c r="AX31" s="1183"/>
      <c r="AY31" s="1183"/>
      <c r="AZ31" s="1183"/>
      <c r="BA31" s="1183"/>
      <c r="BB31" s="1183"/>
      <c r="BC31" s="1183"/>
      <c r="BD31" s="1183"/>
      <c r="BE31" s="1183"/>
      <c r="BF31" s="1183"/>
      <c r="BG31" s="1183"/>
    </row>
    <row r="32" spans="1:62" x14ac:dyDescent="0.2">
      <c r="AZ32" s="1182"/>
      <c r="BG32" s="1182"/>
    </row>
    <row r="33" spans="8:59" x14ac:dyDescent="0.2">
      <c r="AQ33" s="1171"/>
      <c r="AU33" s="1171"/>
      <c r="AY33" s="1171"/>
    </row>
    <row r="37" spans="8:59" x14ac:dyDescent="0.2">
      <c r="H37" s="268"/>
      <c r="I37" s="268"/>
      <c r="J37" s="268"/>
      <c r="K37" s="268"/>
      <c r="L37" s="634"/>
      <c r="M37" s="634"/>
      <c r="N37" s="1096"/>
      <c r="O37" s="1096"/>
      <c r="P37" s="1096"/>
      <c r="Q37" s="1096"/>
      <c r="R37" s="1096"/>
      <c r="S37" s="1096"/>
      <c r="T37" s="634"/>
      <c r="U37" s="634"/>
      <c r="V37" s="634"/>
      <c r="W37" s="268"/>
      <c r="X37" s="268"/>
      <c r="Y37" s="268"/>
      <c r="Z37" s="268"/>
      <c r="AA37" s="268"/>
      <c r="AB37" s="268"/>
      <c r="AC37" s="268"/>
      <c r="AD37" s="268"/>
      <c r="AE37" s="268"/>
      <c r="AF37" s="268" t="s">
        <v>968</v>
      </c>
      <c r="AG37" s="268" t="s">
        <v>968</v>
      </c>
      <c r="AH37" s="268"/>
      <c r="AI37" s="268"/>
      <c r="AJ37" s="268" t="s">
        <v>963</v>
      </c>
      <c r="AK37" s="268" t="s">
        <v>963</v>
      </c>
      <c r="AL37" s="268"/>
      <c r="AM37" s="268"/>
      <c r="AN37" s="268" t="s">
        <v>1009</v>
      </c>
      <c r="AO37" s="268" t="s">
        <v>1009</v>
      </c>
      <c r="AP37" s="268"/>
      <c r="AQ37" s="268"/>
      <c r="AR37" s="268" t="s">
        <v>1146</v>
      </c>
      <c r="AS37" s="268" t="s">
        <v>1146</v>
      </c>
      <c r="AT37" s="268"/>
      <c r="AU37" s="268"/>
      <c r="AV37" s="268"/>
      <c r="AW37" s="268"/>
      <c r="AX37" s="268"/>
      <c r="AY37" s="268"/>
      <c r="AZ37" s="268"/>
      <c r="BA37" s="268"/>
      <c r="BB37" s="268"/>
      <c r="BC37" s="268"/>
      <c r="BD37" s="268"/>
      <c r="BE37" s="268"/>
      <c r="BF37" s="268"/>
      <c r="BG37" s="268"/>
    </row>
    <row r="38" spans="8:59" x14ac:dyDescent="0.2">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t="s">
        <v>1007</v>
      </c>
      <c r="AG38" s="268" t="s">
        <v>1007</v>
      </c>
      <c r="AH38" s="268" t="s">
        <v>1007</v>
      </c>
      <c r="AI38" s="268"/>
      <c r="AJ38" s="268" t="s">
        <v>1006</v>
      </c>
      <c r="AK38" s="268" t="s">
        <v>1006</v>
      </c>
      <c r="AL38" s="268" t="s">
        <v>1006</v>
      </c>
      <c r="AM38" s="268"/>
      <c r="AN38" s="268" t="s">
        <v>1008</v>
      </c>
      <c r="AO38" s="268" t="s">
        <v>1008</v>
      </c>
      <c r="AP38" s="268" t="s">
        <v>1008</v>
      </c>
      <c r="AQ38" s="268"/>
      <c r="AR38" s="268" t="s">
        <v>1147</v>
      </c>
      <c r="AS38" s="268" t="s">
        <v>1147</v>
      </c>
      <c r="AT38" s="268" t="s">
        <v>1147</v>
      </c>
      <c r="AU38" s="268"/>
      <c r="AV38" s="268" t="s">
        <v>1195</v>
      </c>
      <c r="AW38" s="268" t="s">
        <v>1195</v>
      </c>
      <c r="AX38" s="268" t="s">
        <v>1195</v>
      </c>
      <c r="AY38" s="268"/>
      <c r="AZ38" s="268" t="s">
        <v>1272</v>
      </c>
      <c r="BA38" s="268" t="s">
        <v>1272</v>
      </c>
      <c r="BB38" s="268" t="s">
        <v>1272</v>
      </c>
      <c r="BC38" s="268" t="s">
        <v>1272</v>
      </c>
      <c r="BD38" s="268"/>
      <c r="BE38" s="268"/>
      <c r="BF38" s="268"/>
      <c r="BG38" s="268" t="s">
        <v>1272</v>
      </c>
    </row>
    <row r="39" spans="8:59" x14ac:dyDescent="0.2">
      <c r="H39" s="856">
        <f>I39</f>
        <v>2012</v>
      </c>
      <c r="I39" s="856">
        <f>J39</f>
        <v>2012</v>
      </c>
      <c r="J39" s="856">
        <f>K39</f>
        <v>2012</v>
      </c>
      <c r="K39" s="856">
        <f>L39-1</f>
        <v>2012</v>
      </c>
      <c r="L39" s="856">
        <f>M39</f>
        <v>2013</v>
      </c>
      <c r="M39" s="856">
        <f>N39</f>
        <v>2013</v>
      </c>
      <c r="N39" s="856">
        <f>O39</f>
        <v>2013</v>
      </c>
      <c r="O39" s="856">
        <f>P39-1</f>
        <v>2013</v>
      </c>
      <c r="P39" s="856">
        <f>Q39</f>
        <v>2014</v>
      </c>
      <c r="Q39" s="856">
        <f>R39</f>
        <v>2014</v>
      </c>
      <c r="R39" s="856">
        <f>S39</f>
        <v>2014</v>
      </c>
      <c r="S39" s="856">
        <f>T39-1</f>
        <v>2014</v>
      </c>
      <c r="T39" s="856">
        <f>U39</f>
        <v>2015</v>
      </c>
      <c r="U39" s="856">
        <f>V39</f>
        <v>2015</v>
      </c>
      <c r="V39" s="856">
        <f>W39</f>
        <v>2015</v>
      </c>
      <c r="W39" s="856">
        <f>X39-1</f>
        <v>2015</v>
      </c>
      <c r="X39" s="856">
        <f>Y39</f>
        <v>2016</v>
      </c>
      <c r="Y39" s="856">
        <f>Z39</f>
        <v>2016</v>
      </c>
      <c r="Z39" s="856">
        <f>AA39</f>
        <v>2016</v>
      </c>
      <c r="AA39" s="856">
        <f>AB39-1</f>
        <v>2016</v>
      </c>
      <c r="AB39" s="856">
        <f>AC39</f>
        <v>2017</v>
      </c>
      <c r="AC39" s="856">
        <f>AD39</f>
        <v>2017</v>
      </c>
      <c r="AD39" s="856">
        <f>AE39</f>
        <v>2017</v>
      </c>
      <c r="AE39" s="856">
        <f>AF39-1</f>
        <v>2017</v>
      </c>
      <c r="AF39" s="856">
        <f>AG39</f>
        <v>2018</v>
      </c>
      <c r="AG39" s="856">
        <f>AH39</f>
        <v>2018</v>
      </c>
      <c r="AH39" s="856">
        <f>AI39</f>
        <v>2018</v>
      </c>
      <c r="AI39" s="856">
        <f>AJ39-1</f>
        <v>2018</v>
      </c>
      <c r="AJ39" s="857">
        <v>2019</v>
      </c>
      <c r="AK39" s="857">
        <v>2019</v>
      </c>
      <c r="AL39" s="857">
        <v>2019</v>
      </c>
      <c r="AM39" s="857">
        <v>2019</v>
      </c>
      <c r="AN39" s="857">
        <v>2020</v>
      </c>
      <c r="AO39" s="857">
        <v>2020</v>
      </c>
      <c r="AP39" s="857">
        <v>2020</v>
      </c>
      <c r="AQ39" s="857">
        <v>2020</v>
      </c>
      <c r="AR39" s="857">
        <v>2021</v>
      </c>
      <c r="AS39" s="857">
        <v>2021</v>
      </c>
      <c r="AT39" s="857">
        <v>2021</v>
      </c>
      <c r="AU39" s="857">
        <v>2021</v>
      </c>
      <c r="AV39" s="857">
        <v>2022</v>
      </c>
      <c r="AW39" s="857">
        <v>2022</v>
      </c>
      <c r="AX39" s="857">
        <v>2022</v>
      </c>
      <c r="AY39" s="857">
        <v>2022</v>
      </c>
      <c r="AZ39" s="857">
        <v>2023</v>
      </c>
      <c r="BA39" s="857">
        <v>2023</v>
      </c>
      <c r="BB39" s="857">
        <v>2023</v>
      </c>
      <c r="BC39" s="857">
        <v>2023</v>
      </c>
      <c r="BD39" s="857"/>
      <c r="BE39" s="857"/>
      <c r="BF39" s="857"/>
      <c r="BG39" s="85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tabColor theme="9"/>
    <pageSetUpPr autoPageBreaks="0" fitToPage="1"/>
  </sheetPr>
  <dimension ref="A1:BD112"/>
  <sheetViews>
    <sheetView showGridLines="0" zoomScaleNormal="100" workbookViewId="0">
      <pane xSplit="2" ySplit="5" topLeftCell="AN6" activePane="bottomRight" state="frozen"/>
      <selection activeCell="AV12" sqref="AV12"/>
      <selection pane="topRight" activeCell="AV12" sqref="AV12"/>
      <selection pane="bottomLeft" activeCell="AV12" sqref="AV12"/>
      <selection pane="bottomRight" activeCell="BB5" sqref="BB5"/>
    </sheetView>
  </sheetViews>
  <sheetFormatPr defaultColWidth="9.28515625" defaultRowHeight="14.25" customHeight="1" outlineLevelRow="1" x14ac:dyDescent="0.2"/>
  <cols>
    <col min="1" max="1" width="1.42578125" style="2" customWidth="1"/>
    <col min="2" max="2" width="39.7109375" style="2" customWidth="1"/>
    <col min="3" max="24" width="10.7109375" style="2" customWidth="1"/>
    <col min="25" max="28" width="10.28515625" style="2" bestFit="1" customWidth="1"/>
    <col min="29" max="31" width="10.28515625" style="2" customWidth="1"/>
    <col min="32" max="32" width="11.28515625" style="2" bestFit="1" customWidth="1"/>
    <col min="33" max="33" width="11.28515625" style="2" customWidth="1"/>
    <col min="34" max="38" width="9.28515625" style="2"/>
    <col min="39" max="39" width="10.28515625" style="2" bestFit="1" customWidth="1"/>
    <col min="40" max="42" width="9.28515625" style="2"/>
    <col min="43" max="43" width="10.28515625" style="2" bestFit="1" customWidth="1"/>
    <col min="44" max="54" width="9.28515625" style="2"/>
    <col min="55" max="55" width="10.28515625" style="2" bestFit="1" customWidth="1"/>
    <col min="56" max="16384" width="9.28515625" style="2"/>
  </cols>
  <sheetData>
    <row r="1" spans="1:56" ht="16.5" customHeight="1" x14ac:dyDescent="0.2">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row>
    <row r="2" spans="1:56" ht="12.75" customHeight="1" x14ac:dyDescent="0.2">
      <c r="A2" s="16"/>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268"/>
    </row>
    <row r="3" spans="1:56" s="268" customFormat="1" ht="12.75" customHeight="1" x14ac:dyDescent="0.2">
      <c r="A3" s="630"/>
      <c r="B3" s="635"/>
      <c r="C3" s="549"/>
      <c r="D3" s="549"/>
      <c r="E3" s="549"/>
      <c r="F3" s="549"/>
      <c r="G3" s="632"/>
      <c r="H3" s="632"/>
      <c r="I3" s="549"/>
      <c r="J3" s="549"/>
      <c r="K3" s="549"/>
      <c r="L3" s="632"/>
      <c r="M3" s="1247" t="s">
        <v>138</v>
      </c>
      <c r="N3" s="268" t="s">
        <v>137</v>
      </c>
      <c r="O3" s="271"/>
      <c r="P3" s="271"/>
      <c r="Q3" s="271"/>
      <c r="R3" s="271"/>
      <c r="S3" s="271"/>
      <c r="T3" s="271"/>
      <c r="U3" s="271"/>
      <c r="V3" s="271"/>
      <c r="W3" s="271"/>
      <c r="X3" s="271"/>
      <c r="Y3" s="271"/>
      <c r="Z3" s="271"/>
      <c r="AA3" s="271"/>
      <c r="AB3" s="271"/>
      <c r="AC3" s="820"/>
      <c r="AD3" s="820"/>
      <c r="AE3" s="820"/>
      <c r="AF3" s="271"/>
      <c r="AG3" s="271"/>
      <c r="AH3" s="271"/>
      <c r="AI3" s="271"/>
      <c r="AJ3" s="271"/>
      <c r="AK3" s="271"/>
      <c r="AL3" s="271"/>
      <c r="AM3" s="271"/>
      <c r="AN3" s="271"/>
      <c r="AO3" s="271"/>
      <c r="AP3" s="271"/>
      <c r="AQ3" s="271"/>
      <c r="AR3" s="271"/>
      <c r="AS3" s="271"/>
      <c r="AT3" s="271"/>
      <c r="AU3" s="271"/>
      <c r="AV3" s="271"/>
      <c r="AW3" s="271"/>
      <c r="AX3" s="271"/>
      <c r="AY3" s="271"/>
      <c r="AZ3" s="271"/>
      <c r="BA3" s="271"/>
      <c r="BB3" s="271"/>
    </row>
    <row r="4" spans="1:56" s="268" customFormat="1" ht="12.75" customHeight="1" x14ac:dyDescent="0.2">
      <c r="A4" s="630"/>
      <c r="B4" s="631" t="s">
        <v>214</v>
      </c>
      <c r="C4" s="549"/>
      <c r="D4" s="549"/>
      <c r="E4" s="549"/>
      <c r="F4" s="549"/>
      <c r="G4" s="632"/>
      <c r="H4" s="632"/>
      <c r="I4" s="549"/>
      <c r="J4" s="549"/>
      <c r="K4" s="549"/>
      <c r="L4" s="632"/>
      <c r="M4" s="1247"/>
      <c r="N4" s="268" t="s">
        <v>49</v>
      </c>
      <c r="O4" s="271"/>
      <c r="P4" s="271"/>
      <c r="Q4" s="271"/>
      <c r="R4" s="271"/>
      <c r="S4" s="1036"/>
      <c r="T4" s="271"/>
      <c r="U4" s="271"/>
      <c r="V4" s="271"/>
      <c r="W4" s="271"/>
      <c r="X4" s="271"/>
      <c r="Y4" s="271"/>
      <c r="Z4" s="271"/>
      <c r="AA4" s="271"/>
      <c r="AB4" s="271"/>
      <c r="AC4" s="271">
        <f>+(SUMIFS(IncSAuto!$107:$107,IncSAuto!$5:$5,#REF!)+SUMIFS(IncSAuto!$35:$35,IncSAuto!$5:$5,#REF!))</f>
        <v>0</v>
      </c>
      <c r="AD4" s="271"/>
      <c r="AE4" s="763" t="s">
        <v>863</v>
      </c>
      <c r="AF4" s="788"/>
      <c r="AG4" s="788"/>
      <c r="AH4" s="1059"/>
      <c r="AI4" s="1059"/>
      <c r="AJ4" s="1059"/>
      <c r="AK4" s="1059"/>
      <c r="AL4" s="1059"/>
      <c r="AM4" s="1060"/>
      <c r="AN4" s="1059"/>
      <c r="AO4" s="1059"/>
      <c r="AP4" s="1059"/>
      <c r="AQ4" s="1059"/>
      <c r="AR4" s="1059"/>
      <c r="AS4" s="1059"/>
      <c r="AT4" s="1059"/>
      <c r="AU4" s="1059"/>
      <c r="AV4" s="1059"/>
      <c r="AW4" s="1059"/>
      <c r="AX4" s="1059"/>
      <c r="AY4" s="1059"/>
      <c r="AZ4" s="1059"/>
      <c r="BA4" s="1059"/>
      <c r="BB4" s="1059"/>
    </row>
    <row r="5" spans="1:56" ht="12.75" customHeight="1" x14ac:dyDescent="0.2">
      <c r="A5" s="23"/>
      <c r="B5" s="113" t="s">
        <v>241</v>
      </c>
      <c r="C5" s="247" t="s">
        <v>1023</v>
      </c>
      <c r="D5" s="114" t="s">
        <v>1024</v>
      </c>
      <c r="E5" s="114" t="s">
        <v>1025</v>
      </c>
      <c r="F5" s="114" t="s">
        <v>1026</v>
      </c>
      <c r="G5" s="115" t="s">
        <v>467</v>
      </c>
      <c r="H5" s="115" t="s">
        <v>468</v>
      </c>
      <c r="I5" s="115" t="s">
        <v>469</v>
      </c>
      <c r="J5" s="115" t="s">
        <v>470</v>
      </c>
      <c r="K5" s="115" t="s">
        <v>471</v>
      </c>
      <c r="L5" s="116" t="s">
        <v>472</v>
      </c>
      <c r="M5" s="116" t="s">
        <v>473</v>
      </c>
      <c r="N5" s="115" t="s">
        <v>474</v>
      </c>
      <c r="O5" s="115" t="s">
        <v>475</v>
      </c>
      <c r="P5" s="115" t="s">
        <v>476</v>
      </c>
      <c r="Q5" s="115" t="s">
        <v>477</v>
      </c>
      <c r="R5" s="115" t="s">
        <v>478</v>
      </c>
      <c r="S5" s="115" t="s">
        <v>479</v>
      </c>
      <c r="T5" s="115" t="s">
        <v>371</v>
      </c>
      <c r="U5" s="115" t="s">
        <v>372</v>
      </c>
      <c r="V5" s="115" t="s">
        <v>373</v>
      </c>
      <c r="W5" s="115" t="s">
        <v>374</v>
      </c>
      <c r="X5" s="115" t="s">
        <v>375</v>
      </c>
      <c r="Y5" s="115" t="s">
        <v>376</v>
      </c>
      <c r="Z5" s="115" t="s">
        <v>694</v>
      </c>
      <c r="AA5" s="115" t="s">
        <v>758</v>
      </c>
      <c r="AB5" s="115" t="s">
        <v>771</v>
      </c>
      <c r="AC5" s="115" t="s">
        <v>788</v>
      </c>
      <c r="AD5" s="115" t="s">
        <v>844</v>
      </c>
      <c r="AE5" s="115" t="s">
        <v>862</v>
      </c>
      <c r="AF5" s="115" t="s">
        <v>922</v>
      </c>
      <c r="AG5" s="115" t="s">
        <v>923</v>
      </c>
      <c r="AH5" s="115" t="s">
        <v>924</v>
      </c>
      <c r="AI5" s="115" t="s">
        <v>995</v>
      </c>
      <c r="AJ5" s="115" t="s">
        <v>1027</v>
      </c>
      <c r="AK5" s="115" t="s">
        <v>1028</v>
      </c>
      <c r="AL5" s="115" t="s">
        <v>993</v>
      </c>
      <c r="AM5" s="115" t="s">
        <v>1124</v>
      </c>
      <c r="AN5" s="115" t="s">
        <v>1125</v>
      </c>
      <c r="AO5" s="115" t="s">
        <v>1126</v>
      </c>
      <c r="AP5" s="115" t="s">
        <v>1127</v>
      </c>
      <c r="AQ5" s="115" t="s">
        <v>1181</v>
      </c>
      <c r="AR5" s="115" t="s">
        <v>1189</v>
      </c>
      <c r="AS5" s="115" t="s">
        <v>1191</v>
      </c>
      <c r="AT5" s="115" t="s">
        <v>1193</v>
      </c>
      <c r="AU5" s="115" t="s">
        <v>1232</v>
      </c>
      <c r="AV5" s="115" t="s">
        <v>1245</v>
      </c>
      <c r="AW5" s="115" t="s">
        <v>1247</v>
      </c>
      <c r="AX5" s="115" t="s">
        <v>1249</v>
      </c>
      <c r="AY5" s="115" t="s">
        <v>1306</v>
      </c>
      <c r="AZ5" s="115" t="s">
        <v>1316</v>
      </c>
      <c r="BA5" s="115" t="s">
        <v>1317</v>
      </c>
      <c r="BB5" s="115" t="s">
        <v>1318</v>
      </c>
    </row>
    <row r="6" spans="1:56" ht="14.1" customHeight="1" x14ac:dyDescent="0.2">
      <c r="A6" s="24"/>
      <c r="B6" s="117" t="s">
        <v>242</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1">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row>
    <row r="7" spans="1:56" s="221" customFormat="1" ht="14.1" hidden="1" customHeight="1" outlineLevel="1" x14ac:dyDescent="0.2">
      <c r="A7" s="227"/>
      <c r="B7" s="228" t="s">
        <v>243</v>
      </c>
      <c r="C7" s="219">
        <v>48002</v>
      </c>
      <c r="D7" s="219">
        <v>50547</v>
      </c>
      <c r="E7" s="219">
        <v>56528</v>
      </c>
      <c r="F7" s="219">
        <v>54632</v>
      </c>
      <c r="G7" s="219">
        <v>53380</v>
      </c>
      <c r="H7" s="219">
        <v>64067</v>
      </c>
      <c r="I7" s="219">
        <v>56736</v>
      </c>
      <c r="J7" s="219">
        <v>47704</v>
      </c>
      <c r="K7" s="219">
        <v>43989</v>
      </c>
      <c r="L7" s="219">
        <v>36048</v>
      </c>
      <c r="M7" s="219">
        <v>34718</v>
      </c>
      <c r="N7" s="219">
        <v>25111</v>
      </c>
      <c r="O7" s="219">
        <v>21068</v>
      </c>
      <c r="P7" s="219">
        <v>15356</v>
      </c>
      <c r="Q7" s="219">
        <v>14763</v>
      </c>
      <c r="R7" s="219">
        <v>10796.505510000032</v>
      </c>
      <c r="S7" s="219">
        <v>3214.48423</v>
      </c>
      <c r="T7" s="219">
        <v>4.9608300000000014</v>
      </c>
      <c r="U7" s="219">
        <v>0</v>
      </c>
      <c r="V7" s="219">
        <v>0</v>
      </c>
      <c r="W7" s="219">
        <v>0</v>
      </c>
      <c r="X7" s="219">
        <v>0</v>
      </c>
      <c r="Y7" s="219">
        <v>0</v>
      </c>
      <c r="Z7" s="219">
        <v>0</v>
      </c>
      <c r="AA7" s="219">
        <v>0</v>
      </c>
      <c r="AB7" s="219">
        <v>0</v>
      </c>
      <c r="AC7" s="219">
        <v>0</v>
      </c>
      <c r="AD7" s="219">
        <v>0</v>
      </c>
      <c r="AE7" s="161">
        <v>0</v>
      </c>
      <c r="AF7" s="118">
        <v>0</v>
      </c>
      <c r="AG7" s="219">
        <v>0</v>
      </c>
      <c r="AH7" s="219">
        <v>0</v>
      </c>
      <c r="AI7" s="219">
        <v>0</v>
      </c>
      <c r="AJ7" s="219">
        <v>0</v>
      </c>
      <c r="AK7" s="219">
        <v>0</v>
      </c>
      <c r="AL7" s="219">
        <v>0</v>
      </c>
      <c r="AM7" s="219">
        <v>0</v>
      </c>
      <c r="AN7" s="219">
        <v>0</v>
      </c>
      <c r="AO7" s="219">
        <v>0</v>
      </c>
      <c r="AP7" s="219"/>
      <c r="AQ7" s="219">
        <v>0</v>
      </c>
      <c r="AR7" s="219">
        <v>0</v>
      </c>
      <c r="AS7" s="219">
        <v>0</v>
      </c>
      <c r="AT7" s="219">
        <v>0</v>
      </c>
      <c r="AU7" s="219">
        <v>0</v>
      </c>
      <c r="AV7" s="219">
        <v>0</v>
      </c>
      <c r="AW7" s="219">
        <v>0</v>
      </c>
      <c r="AX7" s="219">
        <v>0</v>
      </c>
      <c r="AY7" s="219"/>
      <c r="AZ7" s="219"/>
      <c r="BA7" s="219"/>
      <c r="BB7" s="219">
        <v>0</v>
      </c>
    </row>
    <row r="8" spans="1:56" s="221" customFormat="1" ht="14.1" hidden="1" customHeight="1" outlineLevel="1" x14ac:dyDescent="0.2">
      <c r="A8" s="227"/>
      <c r="B8" s="228" t="s">
        <v>244</v>
      </c>
      <c r="C8" s="219">
        <v>2328</v>
      </c>
      <c r="D8" s="219">
        <v>2200</v>
      </c>
      <c r="E8" s="219">
        <v>2057</v>
      </c>
      <c r="F8" s="219">
        <v>1784</v>
      </c>
      <c r="G8" s="219">
        <v>1702</v>
      </c>
      <c r="H8" s="219">
        <v>1567</v>
      </c>
      <c r="I8" s="219">
        <v>1727</v>
      </c>
      <c r="J8" s="219">
        <v>470</v>
      </c>
      <c r="K8" s="219">
        <v>0</v>
      </c>
      <c r="L8" s="219">
        <v>0</v>
      </c>
      <c r="M8" s="219">
        <v>0</v>
      </c>
      <c r="N8" s="219">
        <v>0</v>
      </c>
      <c r="O8" s="219">
        <v>0</v>
      </c>
      <c r="P8" s="219">
        <v>0</v>
      </c>
      <c r="Q8" s="219">
        <v>0</v>
      </c>
      <c r="R8" s="219">
        <v>0</v>
      </c>
      <c r="S8" s="219">
        <v>0</v>
      </c>
      <c r="T8" s="219">
        <v>0</v>
      </c>
      <c r="U8" s="219">
        <v>0</v>
      </c>
      <c r="V8" s="219">
        <v>0</v>
      </c>
      <c r="W8" s="219">
        <v>0</v>
      </c>
      <c r="X8" s="219">
        <v>0</v>
      </c>
      <c r="Y8" s="219">
        <v>0</v>
      </c>
      <c r="Z8" s="219">
        <v>0</v>
      </c>
      <c r="AA8" s="219">
        <v>0</v>
      </c>
      <c r="AB8" s="219">
        <v>0</v>
      </c>
      <c r="AC8" s="219">
        <v>0</v>
      </c>
      <c r="AD8" s="219">
        <v>0</v>
      </c>
      <c r="AE8" s="161">
        <v>0</v>
      </c>
      <c r="AF8" s="118">
        <v>0</v>
      </c>
      <c r="AG8" s="219">
        <v>0</v>
      </c>
      <c r="AH8" s="219">
        <v>0</v>
      </c>
      <c r="AI8" s="219">
        <v>0</v>
      </c>
      <c r="AJ8" s="219">
        <v>0</v>
      </c>
      <c r="AK8" s="219">
        <v>0</v>
      </c>
      <c r="AL8" s="219">
        <v>0</v>
      </c>
      <c r="AM8" s="219">
        <v>0</v>
      </c>
      <c r="AN8" s="219">
        <v>0</v>
      </c>
      <c r="AO8" s="219">
        <v>0</v>
      </c>
      <c r="AP8" s="219"/>
      <c r="AQ8" s="219">
        <v>0</v>
      </c>
      <c r="AR8" s="219">
        <v>0</v>
      </c>
      <c r="AS8" s="219">
        <v>0</v>
      </c>
      <c r="AT8" s="219">
        <v>0</v>
      </c>
      <c r="AU8" s="219">
        <v>0</v>
      </c>
      <c r="AV8" s="219">
        <v>0</v>
      </c>
      <c r="AW8" s="219">
        <v>0</v>
      </c>
      <c r="AX8" s="219">
        <v>0</v>
      </c>
      <c r="AY8" s="219"/>
      <c r="AZ8" s="219"/>
      <c r="BA8" s="219"/>
      <c r="BB8" s="219">
        <v>0</v>
      </c>
    </row>
    <row r="9" spans="1:56" ht="14.1" customHeight="1" collapsed="1" x14ac:dyDescent="0.2">
      <c r="A9" s="24"/>
      <c r="B9" s="119" t="s">
        <v>216</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3">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B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 t="shared" si="1"/>
        <v>720353.22578999994</v>
      </c>
    </row>
    <row r="10" spans="1:56" ht="14.1" customHeight="1" x14ac:dyDescent="0.2">
      <c r="A10" s="24"/>
      <c r="B10" s="117" t="s">
        <v>956</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2">
        <v>-65409.641249999986</v>
      </c>
      <c r="AE10" s="161">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2">
        <v>-83095.65155000001</v>
      </c>
      <c r="AW10" s="118">
        <v>-95247.513340000005</v>
      </c>
      <c r="AX10" s="262">
        <v>-103380.24767999997</v>
      </c>
      <c r="AY10" s="118">
        <v>-85040.23550000001</v>
      </c>
      <c r="AZ10" s="118">
        <v>-101889.77088999999</v>
      </c>
      <c r="BA10" s="118">
        <v>-133957.97138</v>
      </c>
      <c r="BB10" s="118">
        <v>-137016.65207999991</v>
      </c>
    </row>
    <row r="11" spans="1:56" ht="14.1" customHeight="1" x14ac:dyDescent="0.2">
      <c r="A11" s="24"/>
      <c r="B11" s="119" t="s">
        <v>220</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3">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B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row>
    <row r="12" spans="1:56" ht="14.1" customHeight="1" x14ac:dyDescent="0.2">
      <c r="A12" s="24"/>
      <c r="B12" s="117" t="s">
        <v>819</v>
      </c>
      <c r="C12" s="122">
        <v>-189436</v>
      </c>
      <c r="D12" s="122">
        <v>-216679</v>
      </c>
      <c r="E12" s="122">
        <v>-249204</v>
      </c>
      <c r="F12" s="122">
        <v>-267047</v>
      </c>
      <c r="G12" s="122">
        <v>-228868</v>
      </c>
      <c r="H12" s="122">
        <v>-286835</v>
      </c>
      <c r="I12" s="122">
        <v>-287067</v>
      </c>
      <c r="J12" s="122">
        <v>-277479</v>
      </c>
      <c r="K12" s="122">
        <v>-228204</v>
      </c>
      <c r="L12" s="122">
        <v>-249534</v>
      </c>
      <c r="M12" s="122">
        <v>-240311</v>
      </c>
      <c r="N12" s="122">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1">
        <v>-195011.17071999999</v>
      </c>
      <c r="AF12" s="118">
        <v>-222627.48254999999</v>
      </c>
      <c r="AG12" s="262">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row>
    <row r="13" spans="1:56" ht="14.1" customHeight="1" x14ac:dyDescent="0.2">
      <c r="A13" s="24"/>
      <c r="B13" s="119" t="s">
        <v>226</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3">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B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180"/>
    </row>
    <row r="14" spans="1:56" ht="14.1" customHeight="1" x14ac:dyDescent="0.2">
      <c r="A14" s="24"/>
      <c r="B14" s="117" t="s">
        <v>953</v>
      </c>
      <c r="C14" s="122">
        <v>-21074</v>
      </c>
      <c r="D14" s="122">
        <v>-16677</v>
      </c>
      <c r="E14" s="122">
        <v>-9112</v>
      </c>
      <c r="F14" s="122">
        <v>-17676</v>
      </c>
      <c r="G14" s="122">
        <v>-20244</v>
      </c>
      <c r="H14" s="122">
        <v>-23578</v>
      </c>
      <c r="I14" s="122">
        <v>-10037</v>
      </c>
      <c r="J14" s="122">
        <v>-31133</v>
      </c>
      <c r="K14" s="122">
        <v>-24798</v>
      </c>
      <c r="L14" s="122">
        <v>-19902</v>
      </c>
      <c r="M14" s="122">
        <v>-23008</v>
      </c>
      <c r="N14" s="122">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2">
        <v>-33013.308089999999</v>
      </c>
      <c r="AE14" s="161">
        <v>-21396.712169999999</v>
      </c>
      <c r="AF14" s="118">
        <v>-22826.147920000003</v>
      </c>
      <c r="AG14" s="262">
        <v>30380.544190000001</v>
      </c>
      <c r="AH14" s="118">
        <v>-30316.098229999996</v>
      </c>
      <c r="AI14" s="262">
        <v>-30860.54089</v>
      </c>
      <c r="AJ14" s="118">
        <v>-19363.556400000001</v>
      </c>
      <c r="AK14" s="118">
        <v>-20948.943660000001</v>
      </c>
      <c r="AL14" s="118">
        <v>-21931.721740000001</v>
      </c>
      <c r="AM14" s="262">
        <v>-11188.241210000004</v>
      </c>
      <c r="AN14" s="118">
        <v>-20227.155319999998</v>
      </c>
      <c r="AO14" s="262">
        <v>-17093.422470000005</v>
      </c>
      <c r="AP14" s="118">
        <v>-23864.233980000005</v>
      </c>
      <c r="AQ14" s="118">
        <v>-16134.47566</v>
      </c>
      <c r="AR14" s="118">
        <v>-19986.929600000003</v>
      </c>
      <c r="AS14" s="262">
        <v>-25756.751630000006</v>
      </c>
      <c r="AT14" s="262">
        <v>-16507.290939999999</v>
      </c>
      <c r="AU14" s="118">
        <v>-18645.184150000001</v>
      </c>
      <c r="AV14" s="118">
        <v>-23068.069059999994</v>
      </c>
      <c r="AW14" s="118">
        <v>-24624.235850000005</v>
      </c>
      <c r="AX14" s="118">
        <v>-28623.659970000001</v>
      </c>
      <c r="AY14" s="262">
        <v>-25337.884590000005</v>
      </c>
      <c r="AZ14" s="262">
        <v>-21782.948499999999</v>
      </c>
      <c r="BA14" s="262">
        <v>-23322.650829999999</v>
      </c>
      <c r="BB14" s="262">
        <v>-25002.788710000008</v>
      </c>
      <c r="BD14" s="1196"/>
    </row>
    <row r="15" spans="1:56" ht="14.1" customHeight="1" x14ac:dyDescent="0.2">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3">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B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row>
    <row r="16" spans="1:56" ht="14.1" customHeight="1" x14ac:dyDescent="0.2">
      <c r="A16" s="23"/>
      <c r="B16" s="337" t="s">
        <v>952</v>
      </c>
      <c r="C16" s="118" t="s">
        <v>47</v>
      </c>
      <c r="D16" s="118" t="s">
        <v>47</v>
      </c>
      <c r="E16" s="118" t="s">
        <v>47</v>
      </c>
      <c r="F16" s="118" t="s">
        <v>47</v>
      </c>
      <c r="G16" s="118" t="s">
        <v>47</v>
      </c>
      <c r="H16" s="118" t="s">
        <v>47</v>
      </c>
      <c r="I16" s="118" t="s">
        <v>47</v>
      </c>
      <c r="J16" s="118" t="s">
        <v>47</v>
      </c>
      <c r="K16" s="118" t="s">
        <v>47</v>
      </c>
      <c r="L16" s="118" t="s">
        <v>47</v>
      </c>
      <c r="M16" s="118" t="s">
        <v>47</v>
      </c>
      <c r="N16" s="118" t="s">
        <v>47</v>
      </c>
      <c r="O16" s="118" t="s">
        <v>47</v>
      </c>
      <c r="P16" s="118" t="s">
        <v>47</v>
      </c>
      <c r="Q16" s="118" t="s">
        <v>47</v>
      </c>
      <c r="R16" s="118" t="s">
        <v>47</v>
      </c>
      <c r="S16" s="118" t="s">
        <v>47</v>
      </c>
      <c r="T16" s="118" t="s">
        <v>47</v>
      </c>
      <c r="U16" s="118" t="s">
        <v>47</v>
      </c>
      <c r="V16" s="118" t="s">
        <v>47</v>
      </c>
      <c r="W16" s="118" t="s">
        <v>47</v>
      </c>
      <c r="X16" s="118" t="s">
        <v>47</v>
      </c>
      <c r="Y16" s="118" t="s">
        <v>47</v>
      </c>
      <c r="Z16" s="118" t="s">
        <v>47</v>
      </c>
      <c r="AA16" s="118" t="s">
        <v>47</v>
      </c>
      <c r="AB16" s="118" t="s">
        <v>47</v>
      </c>
      <c r="AC16" s="118" t="s">
        <v>47</v>
      </c>
      <c r="AD16" s="118">
        <v>-4105.6676015284993</v>
      </c>
      <c r="AE16" s="161" t="s">
        <v>47</v>
      </c>
      <c r="AF16" s="118" t="s">
        <v>47</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47</v>
      </c>
      <c r="AZ16" s="118">
        <v>0</v>
      </c>
      <c r="BA16" s="118">
        <v>0</v>
      </c>
      <c r="BB16" s="118">
        <v>0</v>
      </c>
    </row>
    <row r="17" spans="1:54" ht="14.1" customHeight="1" x14ac:dyDescent="0.2">
      <c r="A17" s="23"/>
      <c r="B17" s="337" t="s">
        <v>1180</v>
      </c>
      <c r="C17" s="118" t="s">
        <v>47</v>
      </c>
      <c r="D17" s="118" t="s">
        <v>47</v>
      </c>
      <c r="E17" s="118" t="s">
        <v>47</v>
      </c>
      <c r="F17" s="118" t="s">
        <v>47</v>
      </c>
      <c r="G17" s="118" t="s">
        <v>47</v>
      </c>
      <c r="H17" s="118" t="s">
        <v>47</v>
      </c>
      <c r="I17" s="118" t="s">
        <v>47</v>
      </c>
      <c r="J17" s="118" t="s">
        <v>47</v>
      </c>
      <c r="K17" s="118" t="s">
        <v>47</v>
      </c>
      <c r="L17" s="118" t="s">
        <v>47</v>
      </c>
      <c r="M17" s="118" t="s">
        <v>47</v>
      </c>
      <c r="N17" s="118" t="s">
        <v>47</v>
      </c>
      <c r="O17" s="118" t="s">
        <v>47</v>
      </c>
      <c r="P17" s="118" t="s">
        <v>47</v>
      </c>
      <c r="Q17" s="118" t="s">
        <v>47</v>
      </c>
      <c r="R17" s="118" t="s">
        <v>47</v>
      </c>
      <c r="S17" s="118" t="s">
        <v>47</v>
      </c>
      <c r="T17" s="118" t="s">
        <v>47</v>
      </c>
      <c r="U17" s="118" t="s">
        <v>47</v>
      </c>
      <c r="V17" s="118" t="s">
        <v>47</v>
      </c>
      <c r="W17" s="118" t="s">
        <v>47</v>
      </c>
      <c r="X17" s="118" t="s">
        <v>47</v>
      </c>
      <c r="Y17" s="118" t="s">
        <v>47</v>
      </c>
      <c r="Z17" s="118" t="s">
        <v>47</v>
      </c>
      <c r="AA17" s="118" t="s">
        <v>47</v>
      </c>
      <c r="AB17" s="118" t="s">
        <v>47</v>
      </c>
      <c r="AC17" s="118" t="s">
        <v>47</v>
      </c>
      <c r="AD17" s="118" t="s">
        <v>47</v>
      </c>
      <c r="AE17" s="161" t="s">
        <v>47</v>
      </c>
      <c r="AF17" s="118" t="s">
        <v>47</v>
      </c>
      <c r="AG17" s="118" t="s">
        <v>47</v>
      </c>
      <c r="AH17" s="118" t="s">
        <v>47</v>
      </c>
      <c r="AI17" s="118" t="s">
        <v>47</v>
      </c>
      <c r="AJ17" s="118" t="s">
        <v>47</v>
      </c>
      <c r="AK17" s="118" t="s">
        <v>47</v>
      </c>
      <c r="AL17" s="118" t="s">
        <v>47</v>
      </c>
      <c r="AM17" s="118" t="s">
        <v>47</v>
      </c>
      <c r="AN17" s="118" t="s">
        <v>47</v>
      </c>
      <c r="AO17" s="118" t="s">
        <v>47</v>
      </c>
      <c r="AP17" s="118" t="s">
        <v>47</v>
      </c>
      <c r="AQ17" s="118" t="s">
        <v>47</v>
      </c>
      <c r="AR17" s="118" t="s">
        <v>47</v>
      </c>
      <c r="AS17" s="118" t="s">
        <v>47</v>
      </c>
      <c r="AT17" s="118" t="s">
        <v>47</v>
      </c>
      <c r="AU17" s="118" t="s">
        <v>47</v>
      </c>
      <c r="AV17" s="118" t="s">
        <v>47</v>
      </c>
      <c r="AW17" s="118" t="s">
        <v>47</v>
      </c>
      <c r="AX17" s="118" t="s">
        <v>47</v>
      </c>
      <c r="AY17" s="118" t="s">
        <v>47</v>
      </c>
      <c r="AZ17" s="118" t="s">
        <v>47</v>
      </c>
      <c r="BA17" s="118" t="s">
        <v>47</v>
      </c>
      <c r="BB17" s="118" t="s">
        <v>47</v>
      </c>
    </row>
    <row r="18" spans="1:54" ht="14.1" customHeight="1" x14ac:dyDescent="0.2">
      <c r="A18" s="23"/>
      <c r="B18" s="337" t="s">
        <v>1169</v>
      </c>
      <c r="C18" s="118" t="s">
        <v>47</v>
      </c>
      <c r="D18" s="118" t="s">
        <v>47</v>
      </c>
      <c r="E18" s="118" t="s">
        <v>47</v>
      </c>
      <c r="F18" s="118" t="s">
        <v>47</v>
      </c>
      <c r="G18" s="118" t="s">
        <v>47</v>
      </c>
      <c r="H18" s="118" t="s">
        <v>47</v>
      </c>
      <c r="I18" s="118" t="s">
        <v>47</v>
      </c>
      <c r="J18" s="118" t="s">
        <v>47</v>
      </c>
      <c r="K18" s="118" t="s">
        <v>47</v>
      </c>
      <c r="L18" s="118" t="s">
        <v>47</v>
      </c>
      <c r="M18" s="118" t="s">
        <v>47</v>
      </c>
      <c r="N18" s="118" t="s">
        <v>47</v>
      </c>
      <c r="O18" s="118" t="s">
        <v>47</v>
      </c>
      <c r="P18" s="118" t="s">
        <v>47</v>
      </c>
      <c r="Q18" s="118" t="s">
        <v>47</v>
      </c>
      <c r="R18" s="118" t="s">
        <v>47</v>
      </c>
      <c r="S18" s="118" t="s">
        <v>47</v>
      </c>
      <c r="T18" s="118" t="s">
        <v>47</v>
      </c>
      <c r="U18" s="118" t="s">
        <v>47</v>
      </c>
      <c r="V18" s="118" t="s">
        <v>47</v>
      </c>
      <c r="W18" s="118" t="s">
        <v>47</v>
      </c>
      <c r="X18" s="118" t="s">
        <v>47</v>
      </c>
      <c r="Y18" s="118" t="s">
        <v>47</v>
      </c>
      <c r="Z18" s="118" t="s">
        <v>47</v>
      </c>
      <c r="AA18" s="118" t="s">
        <v>47</v>
      </c>
      <c r="AB18" s="118" t="s">
        <v>47</v>
      </c>
      <c r="AC18" s="118" t="s">
        <v>47</v>
      </c>
      <c r="AD18" s="118" t="s">
        <v>47</v>
      </c>
      <c r="AE18" s="161" t="s">
        <v>47</v>
      </c>
      <c r="AF18" s="118" t="s">
        <v>47</v>
      </c>
      <c r="AG18" s="118" t="s">
        <v>47</v>
      </c>
      <c r="AH18" s="118" t="s">
        <v>47</v>
      </c>
      <c r="AI18" s="118" t="s">
        <v>47</v>
      </c>
      <c r="AJ18" s="118" t="s">
        <v>47</v>
      </c>
      <c r="AK18" s="118" t="s">
        <v>47</v>
      </c>
      <c r="AL18" s="118" t="s">
        <v>47</v>
      </c>
      <c r="AM18" s="118" t="s">
        <v>47</v>
      </c>
      <c r="AN18" s="118" t="s">
        <v>47</v>
      </c>
      <c r="AO18" s="118">
        <v>1159</v>
      </c>
      <c r="AP18" s="118">
        <v>0</v>
      </c>
      <c r="AQ18" s="118">
        <v>0</v>
      </c>
      <c r="AR18" s="118">
        <v>0</v>
      </c>
      <c r="AS18" s="118">
        <v>0</v>
      </c>
      <c r="AT18" s="118">
        <v>0</v>
      </c>
      <c r="AU18" s="118">
        <v>0</v>
      </c>
      <c r="AV18" s="118">
        <v>0</v>
      </c>
      <c r="AW18" s="118">
        <v>0</v>
      </c>
      <c r="AX18" s="118">
        <v>0</v>
      </c>
      <c r="AY18" s="118" t="s">
        <v>47</v>
      </c>
      <c r="AZ18" s="118">
        <v>0</v>
      </c>
      <c r="BA18" s="118">
        <v>0</v>
      </c>
      <c r="BB18" s="118">
        <v>0</v>
      </c>
    </row>
    <row r="19" spans="1:54" ht="14.1" customHeight="1" x14ac:dyDescent="0.2">
      <c r="A19" s="23"/>
      <c r="B19" s="337" t="s">
        <v>975</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1">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47</v>
      </c>
      <c r="AZ19" s="118">
        <v>0</v>
      </c>
      <c r="BA19" s="118">
        <v>0</v>
      </c>
      <c r="BB19" s="118">
        <v>0</v>
      </c>
    </row>
    <row r="20" spans="1:54" ht="14.1" customHeight="1" x14ac:dyDescent="0.2">
      <c r="A20" s="23"/>
      <c r="B20" s="337" t="s">
        <v>951</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2">
        <v>0</v>
      </c>
      <c r="Y20" s="118">
        <v>0</v>
      </c>
      <c r="Z20" s="118">
        <v>-24082.774269999951</v>
      </c>
      <c r="AA20" s="118" t="s">
        <v>47</v>
      </c>
      <c r="AB20" s="118" t="s">
        <v>47</v>
      </c>
      <c r="AC20" s="118" t="s">
        <v>47</v>
      </c>
      <c r="AD20" s="118">
        <v>0</v>
      </c>
      <c r="AE20" s="161" t="s">
        <v>47</v>
      </c>
      <c r="AF20" s="118" t="s">
        <v>47</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47</v>
      </c>
      <c r="AZ20" s="118">
        <v>0</v>
      </c>
      <c r="BA20" s="118">
        <v>0</v>
      </c>
      <c r="BB20" s="118">
        <v>0</v>
      </c>
    </row>
    <row r="21" spans="1:54" ht="14.1" customHeight="1" x14ac:dyDescent="0.2">
      <c r="A21" s="23"/>
      <c r="B21" s="337" t="s">
        <v>1201</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2">
        <v>15000</v>
      </c>
      <c r="Y21" s="118">
        <v>0</v>
      </c>
      <c r="Z21" s="118">
        <v>0</v>
      </c>
      <c r="AA21" s="118" t="s">
        <v>47</v>
      </c>
      <c r="AB21" s="118" t="s">
        <v>47</v>
      </c>
      <c r="AC21" s="118" t="s">
        <v>47</v>
      </c>
      <c r="AD21" s="118">
        <v>14500</v>
      </c>
      <c r="AE21" s="161" t="s">
        <v>47</v>
      </c>
      <c r="AF21" s="118" t="s">
        <v>47</v>
      </c>
      <c r="AG21" s="118" t="s">
        <v>47</v>
      </c>
      <c r="AH21" s="118" t="s">
        <v>47</v>
      </c>
      <c r="AI21" s="118" t="s">
        <v>47</v>
      </c>
      <c r="AJ21" s="118" t="s">
        <v>47</v>
      </c>
      <c r="AK21" s="118" t="s">
        <v>47</v>
      </c>
      <c r="AL21" s="118" t="s">
        <v>47</v>
      </c>
      <c r="AM21" s="118">
        <v>0</v>
      </c>
      <c r="AN21" s="118">
        <v>0</v>
      </c>
      <c r="AO21" s="118">
        <v>0</v>
      </c>
      <c r="AP21" s="118">
        <v>0</v>
      </c>
      <c r="AQ21" s="118">
        <v>0</v>
      </c>
      <c r="AR21" s="118">
        <v>0</v>
      </c>
      <c r="AS21" s="118">
        <v>6645.02</v>
      </c>
      <c r="AT21" s="118">
        <v>0</v>
      </c>
      <c r="AU21" s="118">
        <v>0</v>
      </c>
      <c r="AV21" s="118">
        <v>0</v>
      </c>
      <c r="AW21" s="118">
        <v>0</v>
      </c>
      <c r="AX21" s="118">
        <v>0</v>
      </c>
      <c r="AY21" s="118" t="s">
        <v>47</v>
      </c>
      <c r="AZ21" s="118">
        <v>0</v>
      </c>
      <c r="BA21" s="118">
        <v>0</v>
      </c>
      <c r="BB21" s="118">
        <v>0</v>
      </c>
    </row>
    <row r="22" spans="1:54" ht="14.1" customHeight="1" x14ac:dyDescent="0.2">
      <c r="A22" s="23"/>
      <c r="B22" s="337" t="s">
        <v>1250</v>
      </c>
      <c r="C22" s="118" t="s">
        <v>47</v>
      </c>
      <c r="D22" s="118" t="s">
        <v>47</v>
      </c>
      <c r="E22" s="118" t="s">
        <v>47</v>
      </c>
      <c r="F22" s="118" t="s">
        <v>47</v>
      </c>
      <c r="G22" s="118" t="s">
        <v>47</v>
      </c>
      <c r="H22" s="118" t="s">
        <v>47</v>
      </c>
      <c r="I22" s="118" t="s">
        <v>47</v>
      </c>
      <c r="J22" s="118" t="s">
        <v>47</v>
      </c>
      <c r="K22" s="118" t="s">
        <v>47</v>
      </c>
      <c r="L22" s="118" t="s">
        <v>47</v>
      </c>
      <c r="M22" s="118" t="s">
        <v>47</v>
      </c>
      <c r="N22" s="118" t="s">
        <v>47</v>
      </c>
      <c r="O22" s="118" t="s">
        <v>47</v>
      </c>
      <c r="P22" s="118" t="s">
        <v>47</v>
      </c>
      <c r="Q22" s="118" t="s">
        <v>47</v>
      </c>
      <c r="R22" s="118" t="s">
        <v>47</v>
      </c>
      <c r="S22" s="118" t="s">
        <v>47</v>
      </c>
      <c r="T22" s="118" t="s">
        <v>47</v>
      </c>
      <c r="U22" s="118" t="s">
        <v>47</v>
      </c>
      <c r="V22" s="118" t="s">
        <v>47</v>
      </c>
      <c r="W22" s="118" t="s">
        <v>47</v>
      </c>
      <c r="X22" s="118" t="s">
        <v>47</v>
      </c>
      <c r="Y22" s="118" t="s">
        <v>47</v>
      </c>
      <c r="Z22" s="118" t="s">
        <v>47</v>
      </c>
      <c r="AA22" s="118" t="s">
        <v>47</v>
      </c>
      <c r="AB22" s="118" t="s">
        <v>47</v>
      </c>
      <c r="AC22" s="118">
        <v>0</v>
      </c>
      <c r="AD22" s="118">
        <v>0</v>
      </c>
      <c r="AE22" s="161">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47</v>
      </c>
      <c r="AZ22" s="118">
        <v>0</v>
      </c>
      <c r="BA22" s="118">
        <v>0</v>
      </c>
      <c r="BB22" s="118">
        <v>0</v>
      </c>
    </row>
    <row r="23" spans="1:54" ht="14.1" customHeight="1" x14ac:dyDescent="0.2">
      <c r="A23" s="23"/>
      <c r="B23" s="337" t="s">
        <v>835</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1" t="s">
        <v>47</v>
      </c>
      <c r="AF23" s="118" t="s">
        <v>47</v>
      </c>
      <c r="AG23" s="118" t="s">
        <v>47</v>
      </c>
      <c r="AH23" s="118" t="s">
        <v>47</v>
      </c>
      <c r="AI23" s="118" t="s">
        <v>47</v>
      </c>
      <c r="AJ23" s="118" t="s">
        <v>47</v>
      </c>
      <c r="AK23" s="118" t="s">
        <v>47</v>
      </c>
      <c r="AL23" s="118" t="s">
        <v>47</v>
      </c>
      <c r="AM23" s="118" t="s">
        <v>47</v>
      </c>
      <c r="AN23" s="118" t="s">
        <v>47</v>
      </c>
      <c r="AO23" s="118" t="s">
        <v>47</v>
      </c>
      <c r="AP23" s="118" t="s">
        <v>47</v>
      </c>
      <c r="AQ23" s="118" t="s">
        <v>47</v>
      </c>
      <c r="AR23" s="118" t="s">
        <v>47</v>
      </c>
      <c r="AS23" s="118" t="s">
        <v>47</v>
      </c>
      <c r="AT23" s="118" t="s">
        <v>47</v>
      </c>
      <c r="AU23" s="118" t="s">
        <v>47</v>
      </c>
      <c r="AV23" s="118" t="s">
        <v>47</v>
      </c>
      <c r="AW23" s="118" t="s">
        <v>47</v>
      </c>
      <c r="AX23" s="118" t="s">
        <v>47</v>
      </c>
      <c r="AY23" s="118" t="s">
        <v>47</v>
      </c>
      <c r="AZ23" s="118" t="s">
        <v>47</v>
      </c>
      <c r="BA23" s="118" t="s">
        <v>47</v>
      </c>
      <c r="BB23" s="118" t="s">
        <v>47</v>
      </c>
    </row>
    <row r="24" spans="1:54" ht="14.1" customHeight="1" x14ac:dyDescent="0.2">
      <c r="A24" s="23"/>
      <c r="B24" s="337" t="s">
        <v>1229</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47</v>
      </c>
      <c r="AZ24" s="118">
        <v>0</v>
      </c>
      <c r="BA24" s="118">
        <v>0</v>
      </c>
      <c r="BB24" s="118">
        <v>0</v>
      </c>
    </row>
    <row r="25" spans="1:54" s="626" customFormat="1" ht="13.5" hidden="1" customHeight="1" outlineLevel="1" x14ac:dyDescent="0.2">
      <c r="A25" s="790"/>
      <c r="B25" s="791" t="s">
        <v>250</v>
      </c>
      <c r="C25" s="118">
        <v>0</v>
      </c>
      <c r="D25" s="118">
        <v>0</v>
      </c>
      <c r="E25" s="118">
        <v>0</v>
      </c>
      <c r="F25" s="118">
        <v>0</v>
      </c>
      <c r="G25" s="118">
        <v>0</v>
      </c>
      <c r="H25" s="118">
        <v>0</v>
      </c>
      <c r="I25" s="118">
        <v>0</v>
      </c>
      <c r="J25" s="118">
        <v>0</v>
      </c>
      <c r="K25" s="118">
        <v>0</v>
      </c>
      <c r="L25" s="118">
        <v>0</v>
      </c>
      <c r="M25" s="118">
        <v>0</v>
      </c>
      <c r="N25" s="118">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20">
        <v>0</v>
      </c>
      <c r="AF25" s="313">
        <v>0</v>
      </c>
      <c r="AG25" s="313">
        <v>0</v>
      </c>
      <c r="AH25" s="313">
        <v>0</v>
      </c>
      <c r="AI25" s="313">
        <v>0</v>
      </c>
      <c r="AJ25" s="313">
        <v>0</v>
      </c>
      <c r="AK25" s="313">
        <v>0</v>
      </c>
      <c r="AL25" s="313">
        <v>0</v>
      </c>
      <c r="AM25" s="313">
        <v>0</v>
      </c>
      <c r="AN25" s="313">
        <v>0</v>
      </c>
      <c r="AO25" s="313">
        <v>0</v>
      </c>
      <c r="AP25" s="313"/>
      <c r="AQ25" s="313">
        <v>0</v>
      </c>
      <c r="AR25" s="313">
        <v>0</v>
      </c>
      <c r="AS25" s="313">
        <v>0</v>
      </c>
      <c r="AT25" s="313">
        <v>0</v>
      </c>
      <c r="AU25" s="313">
        <v>0</v>
      </c>
      <c r="AV25" s="313">
        <v>0</v>
      </c>
      <c r="AW25" s="313">
        <v>0</v>
      </c>
      <c r="AX25" s="313">
        <v>0</v>
      </c>
      <c r="AY25" s="313"/>
      <c r="AZ25" s="313"/>
      <c r="BA25" s="313"/>
      <c r="BB25" s="313">
        <v>0</v>
      </c>
    </row>
    <row r="26" spans="1:54" s="626" customFormat="1" ht="13.5" hidden="1" customHeight="1" outlineLevel="1" x14ac:dyDescent="0.2">
      <c r="A26" s="790"/>
      <c r="B26" s="791" t="s">
        <v>247</v>
      </c>
      <c r="C26" s="118">
        <v>0</v>
      </c>
      <c r="D26" s="118">
        <v>0</v>
      </c>
      <c r="E26" s="118">
        <v>0</v>
      </c>
      <c r="F26" s="118">
        <v>0</v>
      </c>
      <c r="G26" s="118">
        <v>0</v>
      </c>
      <c r="H26" s="118">
        <v>0</v>
      </c>
      <c r="I26" s="118">
        <v>0</v>
      </c>
      <c r="J26" s="118">
        <v>0</v>
      </c>
      <c r="K26" s="118">
        <v>0</v>
      </c>
      <c r="L26" s="118">
        <v>0</v>
      </c>
      <c r="M26" s="118">
        <v>0</v>
      </c>
      <c r="N26" s="118">
        <v>0</v>
      </c>
      <c r="O26" s="313">
        <v>0</v>
      </c>
      <c r="P26" s="313">
        <v>0</v>
      </c>
      <c r="Q26" s="313">
        <v>0</v>
      </c>
      <c r="R26" s="313">
        <v>0</v>
      </c>
      <c r="S26" s="313">
        <v>0</v>
      </c>
      <c r="T26" s="313">
        <v>0</v>
      </c>
      <c r="U26" s="313">
        <v>0</v>
      </c>
      <c r="V26" s="313">
        <v>0</v>
      </c>
      <c r="W26" s="313">
        <v>0</v>
      </c>
      <c r="X26" s="313">
        <f>+'Investments A'!AQ26</f>
        <v>1365</v>
      </c>
      <c r="Y26" s="313">
        <v>0</v>
      </c>
      <c r="Z26" s="313">
        <v>0</v>
      </c>
      <c r="AA26" s="313">
        <v>0</v>
      </c>
      <c r="AB26" s="313">
        <v>0</v>
      </c>
      <c r="AC26" s="313">
        <v>0</v>
      </c>
      <c r="AD26" s="313">
        <v>0</v>
      </c>
      <c r="AE26" s="320" t="s">
        <v>47</v>
      </c>
      <c r="AF26" s="313" t="s">
        <v>47</v>
      </c>
      <c r="AG26" s="313" t="s">
        <v>47</v>
      </c>
      <c r="AH26" s="313" t="s">
        <v>47</v>
      </c>
      <c r="AI26" s="313" t="s">
        <v>47</v>
      </c>
      <c r="AJ26" s="313" t="s">
        <v>47</v>
      </c>
      <c r="AK26" s="313" t="s">
        <v>47</v>
      </c>
      <c r="AL26" s="313" t="s">
        <v>47</v>
      </c>
      <c r="AM26" s="313" t="s">
        <v>47</v>
      </c>
      <c r="AN26" s="313" t="s">
        <v>47</v>
      </c>
      <c r="AO26" s="313" t="s">
        <v>47</v>
      </c>
      <c r="AP26" s="313"/>
      <c r="AQ26" s="313" t="s">
        <v>47</v>
      </c>
      <c r="AR26" s="313" t="s">
        <v>47</v>
      </c>
      <c r="AS26" s="313" t="s">
        <v>47</v>
      </c>
      <c r="AT26" s="313" t="s">
        <v>47</v>
      </c>
      <c r="AU26" s="313" t="s">
        <v>47</v>
      </c>
      <c r="AV26" s="313" t="s">
        <v>47</v>
      </c>
      <c r="AW26" s="313" t="s">
        <v>47</v>
      </c>
      <c r="AX26" s="313" t="s">
        <v>47</v>
      </c>
      <c r="AY26" s="313"/>
      <c r="AZ26" s="313"/>
      <c r="BA26" s="313"/>
      <c r="BB26" s="313" t="s">
        <v>47</v>
      </c>
    </row>
    <row r="27" spans="1:54" s="626" customFormat="1" ht="13.5" hidden="1" customHeight="1" outlineLevel="1" x14ac:dyDescent="0.2">
      <c r="A27" s="790"/>
      <c r="B27" s="791" t="s">
        <v>786</v>
      </c>
      <c r="C27" s="118">
        <v>0</v>
      </c>
      <c r="D27" s="118">
        <v>0</v>
      </c>
      <c r="E27" s="118">
        <v>0</v>
      </c>
      <c r="F27" s="118">
        <v>0</v>
      </c>
      <c r="G27" s="118">
        <v>0</v>
      </c>
      <c r="H27" s="118">
        <v>0</v>
      </c>
      <c r="I27" s="118">
        <v>0</v>
      </c>
      <c r="J27" s="118">
        <v>0</v>
      </c>
      <c r="K27" s="118">
        <v>0</v>
      </c>
      <c r="L27" s="118">
        <v>0</v>
      </c>
      <c r="M27" s="118">
        <v>0</v>
      </c>
      <c r="N27" s="118">
        <v>0</v>
      </c>
      <c r="O27" s="313">
        <v>0</v>
      </c>
      <c r="P27" s="313">
        <v>0</v>
      </c>
      <c r="Q27" s="313">
        <v>0</v>
      </c>
      <c r="R27" s="313">
        <v>0</v>
      </c>
      <c r="S27" s="313">
        <v>0</v>
      </c>
      <c r="T27" s="313">
        <v>0</v>
      </c>
      <c r="U27" s="313">
        <v>0</v>
      </c>
      <c r="V27" s="313">
        <v>0</v>
      </c>
      <c r="W27" s="313">
        <v>0</v>
      </c>
      <c r="X27" s="313">
        <v>0</v>
      </c>
      <c r="Y27" s="313">
        <v>0</v>
      </c>
      <c r="Z27" s="313">
        <v>4967.1447199999993</v>
      </c>
      <c r="AA27" s="313" t="s">
        <v>47</v>
      </c>
      <c r="AB27" s="313" t="s">
        <v>47</v>
      </c>
      <c r="AC27" s="313" t="s">
        <v>47</v>
      </c>
      <c r="AD27" s="313">
        <v>0</v>
      </c>
      <c r="AE27" s="320" t="s">
        <v>47</v>
      </c>
      <c r="AF27" s="313" t="s">
        <v>47</v>
      </c>
      <c r="AG27" s="313" t="s">
        <v>47</v>
      </c>
      <c r="AH27" s="313" t="s">
        <v>47</v>
      </c>
      <c r="AI27" s="313" t="s">
        <v>47</v>
      </c>
      <c r="AJ27" s="313" t="s">
        <v>47</v>
      </c>
      <c r="AK27" s="313" t="s">
        <v>47</v>
      </c>
      <c r="AL27" s="313" t="s">
        <v>47</v>
      </c>
      <c r="AM27" s="313" t="s">
        <v>47</v>
      </c>
      <c r="AN27" s="313" t="s">
        <v>47</v>
      </c>
      <c r="AO27" s="313" t="s">
        <v>47</v>
      </c>
      <c r="AP27" s="313"/>
      <c r="AQ27" s="313" t="s">
        <v>47</v>
      </c>
      <c r="AR27" s="313" t="s">
        <v>47</v>
      </c>
      <c r="AS27" s="313" t="s">
        <v>47</v>
      </c>
      <c r="AT27" s="313" t="s">
        <v>47</v>
      </c>
      <c r="AU27" s="313" t="s">
        <v>47</v>
      </c>
      <c r="AV27" s="313" t="s">
        <v>47</v>
      </c>
      <c r="AW27" s="313" t="s">
        <v>47</v>
      </c>
      <c r="AX27" s="313" t="s">
        <v>47</v>
      </c>
      <c r="AY27" s="313"/>
      <c r="AZ27" s="313"/>
      <c r="BA27" s="313"/>
      <c r="BB27" s="313" t="s">
        <v>47</v>
      </c>
    </row>
    <row r="28" spans="1:54" s="626" customFormat="1" ht="14.1" hidden="1" customHeight="1" outlineLevel="1" x14ac:dyDescent="0.2">
      <c r="A28" s="790"/>
      <c r="B28" s="791" t="s">
        <v>251</v>
      </c>
      <c r="C28" s="118">
        <v>0</v>
      </c>
      <c r="D28" s="118">
        <v>0</v>
      </c>
      <c r="E28" s="118">
        <v>0</v>
      </c>
      <c r="F28" s="118">
        <v>0</v>
      </c>
      <c r="G28" s="118">
        <v>0</v>
      </c>
      <c r="H28" s="118">
        <v>0</v>
      </c>
      <c r="I28" s="118">
        <v>0</v>
      </c>
      <c r="J28" s="118">
        <v>0</v>
      </c>
      <c r="K28" s="118">
        <v>0</v>
      </c>
      <c r="L28" s="118">
        <v>0</v>
      </c>
      <c r="M28" s="118">
        <v>0</v>
      </c>
      <c r="N28" s="118">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20">
        <v>0</v>
      </c>
      <c r="AF28" s="313">
        <v>0</v>
      </c>
      <c r="AG28" s="313">
        <v>0</v>
      </c>
      <c r="AH28" s="313">
        <v>0</v>
      </c>
      <c r="AI28" s="313">
        <v>0</v>
      </c>
      <c r="AJ28" s="313">
        <v>0</v>
      </c>
      <c r="AK28" s="313">
        <v>0</v>
      </c>
      <c r="AL28" s="313">
        <v>0</v>
      </c>
      <c r="AM28" s="313">
        <v>0</v>
      </c>
      <c r="AN28" s="313">
        <v>0</v>
      </c>
      <c r="AO28" s="313">
        <v>0</v>
      </c>
      <c r="AP28" s="313"/>
      <c r="AQ28" s="313">
        <v>0</v>
      </c>
      <c r="AR28" s="313">
        <v>0</v>
      </c>
      <c r="AS28" s="313">
        <v>0</v>
      </c>
      <c r="AT28" s="313">
        <v>0</v>
      </c>
      <c r="AU28" s="313">
        <v>0</v>
      </c>
      <c r="AV28" s="313">
        <v>0</v>
      </c>
      <c r="AW28" s="313">
        <v>0</v>
      </c>
      <c r="AX28" s="313">
        <v>0</v>
      </c>
      <c r="AY28" s="313"/>
      <c r="AZ28" s="313"/>
      <c r="BA28" s="313"/>
      <c r="BB28" s="313">
        <v>0</v>
      </c>
    </row>
    <row r="29" spans="1:54" s="626" customFormat="1" ht="14.1" hidden="1" customHeight="1" outlineLevel="1" x14ac:dyDescent="0.2">
      <c r="A29" s="790"/>
      <c r="B29" s="791" t="s">
        <v>252</v>
      </c>
      <c r="C29" s="118">
        <v>0</v>
      </c>
      <c r="D29" s="118">
        <v>0</v>
      </c>
      <c r="E29" s="118">
        <v>-7032</v>
      </c>
      <c r="F29" s="118">
        <v>0</v>
      </c>
      <c r="G29" s="118">
        <v>0</v>
      </c>
      <c r="H29" s="118">
        <v>0</v>
      </c>
      <c r="I29" s="118">
        <v>-16445</v>
      </c>
      <c r="J29" s="118">
        <v>0</v>
      </c>
      <c r="K29" s="118">
        <v>0</v>
      </c>
      <c r="L29" s="118">
        <v>0</v>
      </c>
      <c r="M29" s="118">
        <v>0</v>
      </c>
      <c r="N29" s="118">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20">
        <v>0</v>
      </c>
      <c r="AF29" s="313">
        <v>0</v>
      </c>
      <c r="AG29" s="313">
        <v>0</v>
      </c>
      <c r="AH29" s="313">
        <v>0</v>
      </c>
      <c r="AI29" s="313">
        <v>0</v>
      </c>
      <c r="AJ29" s="313">
        <v>0</v>
      </c>
      <c r="AK29" s="313">
        <v>0</v>
      </c>
      <c r="AL29" s="313">
        <v>0</v>
      </c>
      <c r="AM29" s="313">
        <v>0</v>
      </c>
      <c r="AN29" s="313">
        <v>0</v>
      </c>
      <c r="AO29" s="313">
        <v>0</v>
      </c>
      <c r="AP29" s="313"/>
      <c r="AQ29" s="313">
        <v>0</v>
      </c>
      <c r="AR29" s="313">
        <v>0</v>
      </c>
      <c r="AS29" s="313">
        <v>0</v>
      </c>
      <c r="AT29" s="313">
        <v>0</v>
      </c>
      <c r="AU29" s="313">
        <v>0</v>
      </c>
      <c r="AV29" s="313">
        <v>0</v>
      </c>
      <c r="AW29" s="313">
        <v>0</v>
      </c>
      <c r="AX29" s="313">
        <v>0</v>
      </c>
      <c r="AY29" s="313"/>
      <c r="AZ29" s="313"/>
      <c r="BA29" s="313"/>
      <c r="BB29" s="313">
        <v>0</v>
      </c>
    </row>
    <row r="30" spans="1:54" s="626" customFormat="1" ht="14.1" hidden="1" customHeight="1" outlineLevel="1" x14ac:dyDescent="0.2">
      <c r="A30" s="790"/>
      <c r="B30" s="791" t="s">
        <v>253</v>
      </c>
      <c r="C30" s="118">
        <v>1913</v>
      </c>
      <c r="D30" s="118">
        <v>856</v>
      </c>
      <c r="E30" s="118">
        <v>637</v>
      </c>
      <c r="F30" s="118">
        <v>-492</v>
      </c>
      <c r="G30" s="118">
        <v>834</v>
      </c>
      <c r="H30" s="118">
        <v>50</v>
      </c>
      <c r="I30" s="118">
        <v>-8</v>
      </c>
      <c r="J30" s="118">
        <v>1154</v>
      </c>
      <c r="K30" s="118">
        <v>0</v>
      </c>
      <c r="L30" s="118">
        <v>0</v>
      </c>
      <c r="M30" s="118">
        <v>0</v>
      </c>
      <c r="N30" s="118">
        <v>-1316</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20">
        <v>0</v>
      </c>
      <c r="AF30" s="313">
        <v>0</v>
      </c>
      <c r="AG30" s="313">
        <v>0</v>
      </c>
      <c r="AH30" s="313">
        <v>0</v>
      </c>
      <c r="AI30" s="313">
        <v>0</v>
      </c>
      <c r="AJ30" s="313">
        <v>0</v>
      </c>
      <c r="AK30" s="313">
        <v>0</v>
      </c>
      <c r="AL30" s="313">
        <v>0</v>
      </c>
      <c r="AM30" s="313">
        <v>0</v>
      </c>
      <c r="AN30" s="313">
        <v>0</v>
      </c>
      <c r="AO30" s="313">
        <v>0</v>
      </c>
      <c r="AP30" s="313"/>
      <c r="AQ30" s="313">
        <v>0</v>
      </c>
      <c r="AR30" s="313">
        <v>0</v>
      </c>
      <c r="AS30" s="313">
        <v>0</v>
      </c>
      <c r="AT30" s="313">
        <v>0</v>
      </c>
      <c r="AU30" s="313">
        <v>0</v>
      </c>
      <c r="AV30" s="313">
        <v>0</v>
      </c>
      <c r="AW30" s="313">
        <v>0</v>
      </c>
      <c r="AX30" s="313">
        <v>0</v>
      </c>
      <c r="AY30" s="313"/>
      <c r="AZ30" s="313"/>
      <c r="BA30" s="313"/>
      <c r="BB30" s="313">
        <v>0</v>
      </c>
    </row>
    <row r="31" spans="1:54" s="626" customFormat="1" ht="14.1" hidden="1" customHeight="1" outlineLevel="1" x14ac:dyDescent="0.2">
      <c r="A31" s="790"/>
      <c r="B31" s="791" t="s">
        <v>254</v>
      </c>
      <c r="C31" s="118">
        <v>0</v>
      </c>
      <c r="D31" s="118">
        <v>0</v>
      </c>
      <c r="E31" s="118">
        <v>0</v>
      </c>
      <c r="F31" s="118">
        <v>0</v>
      </c>
      <c r="G31" s="118">
        <v>0</v>
      </c>
      <c r="H31" s="118">
        <v>0</v>
      </c>
      <c r="I31" s="118">
        <v>0</v>
      </c>
      <c r="J31" s="118">
        <v>0</v>
      </c>
      <c r="K31" s="118">
        <v>1685</v>
      </c>
      <c r="L31" s="118">
        <v>0</v>
      </c>
      <c r="M31" s="118">
        <v>0</v>
      </c>
      <c r="N31" s="118">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20">
        <v>0</v>
      </c>
      <c r="AF31" s="313">
        <v>0</v>
      </c>
      <c r="AG31" s="313">
        <v>0</v>
      </c>
      <c r="AH31" s="313">
        <v>0</v>
      </c>
      <c r="AI31" s="313">
        <v>0</v>
      </c>
      <c r="AJ31" s="313">
        <v>0</v>
      </c>
      <c r="AK31" s="313">
        <v>0</v>
      </c>
      <c r="AL31" s="313">
        <v>0</v>
      </c>
      <c r="AM31" s="313">
        <v>0</v>
      </c>
      <c r="AN31" s="313">
        <v>0</v>
      </c>
      <c r="AO31" s="313">
        <v>0</v>
      </c>
      <c r="AP31" s="313"/>
      <c r="AQ31" s="313">
        <v>0</v>
      </c>
      <c r="AR31" s="313">
        <v>0</v>
      </c>
      <c r="AS31" s="313">
        <v>0</v>
      </c>
      <c r="AT31" s="313">
        <v>0</v>
      </c>
      <c r="AU31" s="313">
        <v>0</v>
      </c>
      <c r="AV31" s="313">
        <v>0</v>
      </c>
      <c r="AW31" s="313">
        <v>0</v>
      </c>
      <c r="AX31" s="313">
        <v>0</v>
      </c>
      <c r="AY31" s="313"/>
      <c r="AZ31" s="313"/>
      <c r="BA31" s="313"/>
      <c r="BB31" s="313">
        <v>0</v>
      </c>
    </row>
    <row r="32" spans="1:54" s="626" customFormat="1" ht="14.1" hidden="1" customHeight="1" outlineLevel="1" x14ac:dyDescent="0.2">
      <c r="A32" s="790"/>
      <c r="B32" s="791" t="s">
        <v>255</v>
      </c>
      <c r="C32" s="118">
        <v>0</v>
      </c>
      <c r="D32" s="118">
        <v>0</v>
      </c>
      <c r="E32" s="118">
        <v>0</v>
      </c>
      <c r="F32" s="118">
        <v>0</v>
      </c>
      <c r="G32" s="118">
        <v>0</v>
      </c>
      <c r="H32" s="118">
        <v>0</v>
      </c>
      <c r="I32" s="118">
        <v>0</v>
      </c>
      <c r="J32" s="118">
        <v>0</v>
      </c>
      <c r="K32" s="118">
        <v>2139</v>
      </c>
      <c r="L32" s="118">
        <v>0</v>
      </c>
      <c r="M32" s="118">
        <v>0</v>
      </c>
      <c r="N32" s="118">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20">
        <v>0</v>
      </c>
      <c r="AF32" s="313">
        <v>0</v>
      </c>
      <c r="AG32" s="313">
        <v>0</v>
      </c>
      <c r="AH32" s="313">
        <v>0</v>
      </c>
      <c r="AI32" s="313">
        <v>0</v>
      </c>
      <c r="AJ32" s="313">
        <v>0</v>
      </c>
      <c r="AK32" s="313">
        <v>0</v>
      </c>
      <c r="AL32" s="313">
        <v>0</v>
      </c>
      <c r="AM32" s="313">
        <v>0</v>
      </c>
      <c r="AN32" s="313">
        <v>0</v>
      </c>
      <c r="AO32" s="313">
        <v>0</v>
      </c>
      <c r="AP32" s="313"/>
      <c r="AQ32" s="313">
        <v>0</v>
      </c>
      <c r="AR32" s="313">
        <v>0</v>
      </c>
      <c r="AS32" s="313">
        <v>0</v>
      </c>
      <c r="AT32" s="313">
        <v>0</v>
      </c>
      <c r="AU32" s="313">
        <v>0</v>
      </c>
      <c r="AV32" s="313">
        <v>0</v>
      </c>
      <c r="AW32" s="313">
        <v>0</v>
      </c>
      <c r="AX32" s="313">
        <v>0</v>
      </c>
      <c r="AY32" s="313"/>
      <c r="AZ32" s="313"/>
      <c r="BA32" s="313"/>
      <c r="BB32" s="313">
        <v>0</v>
      </c>
    </row>
    <row r="33" spans="1:54" s="626" customFormat="1" ht="14.1" hidden="1" customHeight="1" outlineLevel="1" x14ac:dyDescent="0.2">
      <c r="A33" s="790"/>
      <c r="B33" s="791" t="s">
        <v>256</v>
      </c>
      <c r="C33" s="118">
        <v>2990</v>
      </c>
      <c r="D33" s="118">
        <v>1233</v>
      </c>
      <c r="E33" s="118">
        <v>105</v>
      </c>
      <c r="F33" s="118">
        <v>1432</v>
      </c>
      <c r="G33" s="118">
        <v>0</v>
      </c>
      <c r="H33" s="118">
        <v>0</v>
      </c>
      <c r="I33" s="118">
        <v>0</v>
      </c>
      <c r="J33" s="118">
        <v>0</v>
      </c>
      <c r="K33" s="118">
        <v>0</v>
      </c>
      <c r="L33" s="118">
        <v>0</v>
      </c>
      <c r="M33" s="118">
        <v>0</v>
      </c>
      <c r="N33" s="118">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20">
        <v>0</v>
      </c>
      <c r="AF33" s="313">
        <v>0</v>
      </c>
      <c r="AG33" s="313">
        <v>0</v>
      </c>
      <c r="AH33" s="313">
        <v>0</v>
      </c>
      <c r="AI33" s="313">
        <v>0</v>
      </c>
      <c r="AJ33" s="313">
        <v>0</v>
      </c>
      <c r="AK33" s="313">
        <v>0</v>
      </c>
      <c r="AL33" s="313">
        <v>0</v>
      </c>
      <c r="AM33" s="313">
        <v>0</v>
      </c>
      <c r="AN33" s="313">
        <v>0</v>
      </c>
      <c r="AO33" s="313">
        <v>0</v>
      </c>
      <c r="AP33" s="313"/>
      <c r="AQ33" s="313">
        <v>0</v>
      </c>
      <c r="AR33" s="313">
        <v>0</v>
      </c>
      <c r="AS33" s="313">
        <v>0</v>
      </c>
      <c r="AT33" s="313">
        <v>0</v>
      </c>
      <c r="AU33" s="313">
        <v>0</v>
      </c>
      <c r="AV33" s="313">
        <v>0</v>
      </c>
      <c r="AW33" s="313">
        <v>0</v>
      </c>
      <c r="AX33" s="313">
        <v>0</v>
      </c>
      <c r="AY33" s="313"/>
      <c r="AZ33" s="313"/>
      <c r="BA33" s="313"/>
      <c r="BB33" s="313">
        <v>0</v>
      </c>
    </row>
    <row r="34" spans="1:54" s="626" customFormat="1" ht="14.1" hidden="1" customHeight="1" outlineLevel="1" x14ac:dyDescent="0.2">
      <c r="A34" s="790"/>
      <c r="B34" s="791" t="s">
        <v>257</v>
      </c>
      <c r="C34" s="118">
        <v>0</v>
      </c>
      <c r="D34" s="118">
        <v>0</v>
      </c>
      <c r="E34" s="118">
        <v>0</v>
      </c>
      <c r="F34" s="118">
        <v>0</v>
      </c>
      <c r="G34" s="118">
        <v>0</v>
      </c>
      <c r="H34" s="118">
        <v>0</v>
      </c>
      <c r="I34" s="118">
        <v>0</v>
      </c>
      <c r="J34" s="118">
        <v>0</v>
      </c>
      <c r="K34" s="118">
        <v>0</v>
      </c>
      <c r="L34" s="118">
        <v>0</v>
      </c>
      <c r="M34" s="118">
        <v>0</v>
      </c>
      <c r="N34" s="118">
        <v>0</v>
      </c>
      <c r="O34" s="313">
        <v>0</v>
      </c>
      <c r="P34" s="313">
        <v>0</v>
      </c>
      <c r="Q34" s="313">
        <v>0</v>
      </c>
      <c r="R34" s="313">
        <f>('Legal risks'!M53-'Legal risks'!N53+'Legal risks'!N34-'Legal risks'!M34)*-1</f>
        <v>3757</v>
      </c>
      <c r="S34" s="313">
        <v>0</v>
      </c>
      <c r="T34" s="313">
        <v>0</v>
      </c>
      <c r="U34" s="313">
        <v>0</v>
      </c>
      <c r="V34" s="313">
        <v>0</v>
      </c>
      <c r="W34" s="313">
        <v>0</v>
      </c>
      <c r="X34" s="313">
        <v>0</v>
      </c>
      <c r="Y34" s="313">
        <v>0</v>
      </c>
      <c r="Z34" s="313">
        <v>0</v>
      </c>
      <c r="AA34" s="313">
        <v>0</v>
      </c>
      <c r="AB34" s="313">
        <v>0</v>
      </c>
      <c r="AC34" s="313">
        <v>0</v>
      </c>
      <c r="AD34" s="313">
        <v>0</v>
      </c>
      <c r="AE34" s="320">
        <v>0</v>
      </c>
      <c r="AF34" s="313">
        <v>0</v>
      </c>
      <c r="AG34" s="313">
        <v>0</v>
      </c>
      <c r="AH34" s="313">
        <v>0</v>
      </c>
      <c r="AI34" s="313">
        <v>0</v>
      </c>
      <c r="AJ34" s="313">
        <v>0</v>
      </c>
      <c r="AK34" s="313">
        <v>0</v>
      </c>
      <c r="AL34" s="313">
        <v>0</v>
      </c>
      <c r="AM34" s="313">
        <v>0</v>
      </c>
      <c r="AN34" s="313">
        <v>0</v>
      </c>
      <c r="AO34" s="313">
        <v>0</v>
      </c>
      <c r="AP34" s="313"/>
      <c r="AQ34" s="313">
        <v>0</v>
      </c>
      <c r="AR34" s="313">
        <v>0</v>
      </c>
      <c r="AS34" s="313">
        <v>0</v>
      </c>
      <c r="AT34" s="313">
        <v>0</v>
      </c>
      <c r="AU34" s="313">
        <v>0</v>
      </c>
      <c r="AV34" s="313">
        <v>0</v>
      </c>
      <c r="AW34" s="313">
        <v>0</v>
      </c>
      <c r="AX34" s="313">
        <v>0</v>
      </c>
      <c r="AY34" s="313"/>
      <c r="AZ34" s="313"/>
      <c r="BA34" s="313"/>
      <c r="BB34" s="313">
        <v>0</v>
      </c>
    </row>
    <row r="35" spans="1:54" ht="14.1" customHeight="1" collapsed="1" x14ac:dyDescent="0.2">
      <c r="A35" s="24"/>
      <c r="B35" s="119" t="s">
        <v>258</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3">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B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 si="15">+SUM(BA15:BA34)</f>
        <v>117564.8570800001</v>
      </c>
      <c r="BB35" s="120">
        <f t="shared" si="14"/>
        <v>120277.85008999995</v>
      </c>
    </row>
    <row r="36" spans="1:54" ht="14.1" customHeight="1" x14ac:dyDescent="0.2">
      <c r="A36" s="24"/>
      <c r="B36" s="123" t="s">
        <v>259</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55">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B36" si="19">ROUND(AV35/AV11,3)</f>
        <v>0.14000000000000001</v>
      </c>
      <c r="AW36" s="14">
        <f t="shared" si="19"/>
        <v>0.17299999999999999</v>
      </c>
      <c r="AX36" s="14">
        <f t="shared" si="19"/>
        <v>0.151</v>
      </c>
      <c r="AY36" s="14">
        <f t="shared" si="19"/>
        <v>0.14399999999999999</v>
      </c>
      <c r="AZ36" s="14">
        <f t="shared" si="19"/>
        <v>0.17499999999999999</v>
      </c>
      <c r="BA36" s="14">
        <f t="shared" ref="BA36" si="20">ROUND(BA35/BA11,3)</f>
        <v>0.20899999999999999</v>
      </c>
      <c r="BB36" s="14">
        <f t="shared" si="19"/>
        <v>0.20599999999999999</v>
      </c>
    </row>
    <row r="37" spans="1:54" ht="14.1" customHeight="1" x14ac:dyDescent="0.2">
      <c r="A37" s="24"/>
      <c r="B37" s="117" t="s">
        <v>281</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1">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B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si="24"/>
        <v>-9977.5194800000008</v>
      </c>
    </row>
    <row r="38" spans="1:54" ht="14.1" customHeight="1" outlineLevel="1" x14ac:dyDescent="0.2">
      <c r="A38" s="24"/>
      <c r="B38" s="620" t="s">
        <v>954</v>
      </c>
      <c r="C38" s="118" t="s">
        <v>47</v>
      </c>
      <c r="D38" s="118" t="s">
        <v>47</v>
      </c>
      <c r="E38" s="118" t="s">
        <v>47</v>
      </c>
      <c r="F38" s="118" t="s">
        <v>47</v>
      </c>
      <c r="G38" s="118" t="s">
        <v>47</v>
      </c>
      <c r="H38" s="118" t="s">
        <v>47</v>
      </c>
      <c r="I38" s="118" t="s">
        <v>47</v>
      </c>
      <c r="J38" s="118" t="s">
        <v>47</v>
      </c>
      <c r="K38" s="118" t="s">
        <v>47</v>
      </c>
      <c r="L38" s="118" t="s">
        <v>47</v>
      </c>
      <c r="M38" s="118" t="s">
        <v>47</v>
      </c>
      <c r="N38" s="118" t="s">
        <v>47</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1">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row>
    <row r="39" spans="1:54" ht="14.1" customHeight="1" outlineLevel="1" x14ac:dyDescent="0.2">
      <c r="A39" s="24"/>
      <c r="B39" s="620" t="s">
        <v>955</v>
      </c>
      <c r="C39" s="118" t="s">
        <v>47</v>
      </c>
      <c r="D39" s="118" t="s">
        <v>47</v>
      </c>
      <c r="E39" s="118" t="s">
        <v>47</v>
      </c>
      <c r="F39" s="118" t="s">
        <v>47</v>
      </c>
      <c r="G39" s="118" t="s">
        <v>47</v>
      </c>
      <c r="H39" s="118" t="s">
        <v>47</v>
      </c>
      <c r="I39" s="118" t="s">
        <v>47</v>
      </c>
      <c r="J39" s="118" t="s">
        <v>47</v>
      </c>
      <c r="K39" s="118" t="s">
        <v>47</v>
      </c>
      <c r="L39" s="118" t="s">
        <v>47</v>
      </c>
      <c r="M39" s="118" t="s">
        <v>47</v>
      </c>
      <c r="N39" s="118" t="s">
        <v>47</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1">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row>
    <row r="40" spans="1:54" ht="14.1" customHeight="1" x14ac:dyDescent="0.2">
      <c r="A40" s="24"/>
      <c r="B40" s="119" t="s">
        <v>229</v>
      </c>
      <c r="C40" s="120">
        <f t="shared" ref="C40:AT40" si="25">+C15+C37</f>
        <v>23891</v>
      </c>
      <c r="D40" s="120">
        <f t="shared" si="25"/>
        <v>32900</v>
      </c>
      <c r="E40" s="120">
        <f t="shared" si="25"/>
        <v>57331</v>
      </c>
      <c r="F40" s="120">
        <f t="shared" si="25"/>
        <v>38244</v>
      </c>
      <c r="G40" s="120">
        <f t="shared" si="25"/>
        <v>32672</v>
      </c>
      <c r="H40" s="120">
        <f t="shared" si="25"/>
        <v>53221</v>
      </c>
      <c r="I40" s="120">
        <f t="shared" si="25"/>
        <v>71826</v>
      </c>
      <c r="J40" s="120">
        <f t="shared" si="25"/>
        <v>45945</v>
      </c>
      <c r="K40" s="120">
        <f t="shared" si="25"/>
        <v>26204</v>
      </c>
      <c r="L40" s="120">
        <f t="shared" si="25"/>
        <v>38851</v>
      </c>
      <c r="M40" s="120">
        <f t="shared" si="25"/>
        <v>43386</v>
      </c>
      <c r="N40" s="120">
        <f t="shared" si="25"/>
        <v>55125</v>
      </c>
      <c r="O40" s="120">
        <f t="shared" si="25"/>
        <v>20688</v>
      </c>
      <c r="P40" s="120">
        <f t="shared" si="25"/>
        <v>17829</v>
      </c>
      <c r="Q40" s="120">
        <f t="shared" si="25"/>
        <v>19188</v>
      </c>
      <c r="R40" s="120">
        <f t="shared" si="25"/>
        <v>20595.191749999958</v>
      </c>
      <c r="S40" s="120">
        <f t="shared" si="25"/>
        <v>7201.6301199999771</v>
      </c>
      <c r="T40" s="120">
        <f t="shared" si="25"/>
        <v>10271.902959999999</v>
      </c>
      <c r="U40" s="120">
        <f t="shared" si="25"/>
        <v>19865.379019999982</v>
      </c>
      <c r="V40" s="120">
        <f t="shared" si="25"/>
        <v>26210.529200000004</v>
      </c>
      <c r="W40" s="120">
        <f t="shared" si="25"/>
        <v>12547.293040000011</v>
      </c>
      <c r="X40" s="120">
        <f t="shared" si="25"/>
        <v>6798.9239400000151</v>
      </c>
      <c r="Y40" s="120">
        <f t="shared" si="25"/>
        <v>31046.916300000026</v>
      </c>
      <c r="Z40" s="120">
        <f t="shared" si="25"/>
        <v>56126.05165000003</v>
      </c>
      <c r="AA40" s="120">
        <f t="shared" si="25"/>
        <v>18801.010540000003</v>
      </c>
      <c r="AB40" s="120">
        <f t="shared" si="25"/>
        <v>32056.667939999974</v>
      </c>
      <c r="AC40" s="120">
        <f t="shared" si="25"/>
        <v>45324.29633999995</v>
      </c>
      <c r="AD40" s="120">
        <f t="shared" si="25"/>
        <v>47633.233090000023</v>
      </c>
      <c r="AE40" s="163">
        <f t="shared" si="25"/>
        <v>34050.342430000026</v>
      </c>
      <c r="AF40" s="120">
        <f t="shared" si="25"/>
        <v>41050.409850000025</v>
      </c>
      <c r="AG40" s="120">
        <f t="shared" si="25"/>
        <v>90543.972610000055</v>
      </c>
      <c r="AH40" s="120">
        <f t="shared" si="25"/>
        <v>47185.545330000023</v>
      </c>
      <c r="AI40" s="120">
        <f t="shared" si="25"/>
        <v>18228.660220000005</v>
      </c>
      <c r="AJ40" s="120">
        <f t="shared" si="25"/>
        <v>-19447.750720000007</v>
      </c>
      <c r="AK40" s="120">
        <f t="shared" si="25"/>
        <v>31400.413580000008</v>
      </c>
      <c r="AL40" s="120">
        <f t="shared" si="25"/>
        <v>35973.570420000033</v>
      </c>
      <c r="AM40" s="120">
        <f t="shared" si="25"/>
        <v>24897.950790000003</v>
      </c>
      <c r="AN40" s="120">
        <f t="shared" si="25"/>
        <v>15068.959429999983</v>
      </c>
      <c r="AO40" s="120">
        <f t="shared" si="25"/>
        <v>16225.76069999999</v>
      </c>
      <c r="AP40" s="120">
        <f t="shared" si="25"/>
        <v>28377.622419999905</v>
      </c>
      <c r="AQ40" s="120">
        <f t="shared" si="25"/>
        <v>11903.23388999998</v>
      </c>
      <c r="AR40" s="120">
        <f t="shared" si="25"/>
        <v>28477.494269999959</v>
      </c>
      <c r="AS40" s="120">
        <f t="shared" si="25"/>
        <v>59231.320249999961</v>
      </c>
      <c r="AT40" s="120">
        <f t="shared" si="25"/>
        <v>58029.402119999933</v>
      </c>
      <c r="AU40" s="120">
        <f t="shared" ref="AU40:BB40" si="26">+AU15+AU37</f>
        <v>33334.285629999846</v>
      </c>
      <c r="AV40" s="120">
        <f t="shared" si="26"/>
        <v>37234.110040000101</v>
      </c>
      <c r="AW40" s="120">
        <f t="shared" si="26"/>
        <v>57337.571230000081</v>
      </c>
      <c r="AX40" s="120">
        <f t="shared" si="26"/>
        <v>52424.614480000273</v>
      </c>
      <c r="AY40" s="120">
        <f t="shared" si="26"/>
        <v>40428.051039999846</v>
      </c>
      <c r="AZ40" s="120">
        <f t="shared" si="26"/>
        <v>65090.761100000011</v>
      </c>
      <c r="BA40" s="120">
        <f t="shared" si="26"/>
        <v>108152.26717000011</v>
      </c>
      <c r="BB40" s="120">
        <f t="shared" si="26"/>
        <v>110300.33060999995</v>
      </c>
    </row>
    <row r="41" spans="1:54" ht="14.1" customHeight="1" x14ac:dyDescent="0.2">
      <c r="A41" s="914"/>
      <c r="B41" s="117" t="s">
        <v>230</v>
      </c>
      <c r="C41" s="118">
        <v>-5955</v>
      </c>
      <c r="D41" s="118">
        <v>-5839</v>
      </c>
      <c r="E41" s="118">
        <v>-4299</v>
      </c>
      <c r="F41" s="118">
        <v>-5364</v>
      </c>
      <c r="G41" s="118">
        <v>-3853</v>
      </c>
      <c r="H41" s="118">
        <v>1985</v>
      </c>
      <c r="I41" s="118">
        <v>-10530</v>
      </c>
      <c r="J41" s="118">
        <v>-6055</v>
      </c>
      <c r="K41" s="118">
        <v>-6243</v>
      </c>
      <c r="L41" s="118">
        <v>-8174</v>
      </c>
      <c r="M41" s="118">
        <v>-11326</v>
      </c>
      <c r="N41" s="262">
        <v>-15091</v>
      </c>
      <c r="O41" s="118">
        <v>-9644</v>
      </c>
      <c r="P41" s="118">
        <v>-8277</v>
      </c>
      <c r="Q41" s="118">
        <v>-10368</v>
      </c>
      <c r="R41" s="262">
        <v>-13612.755009999997</v>
      </c>
      <c r="S41" s="262">
        <v>-10907.655780000001</v>
      </c>
      <c r="T41" s="118">
        <v>-8636.2799799999975</v>
      </c>
      <c r="U41" s="262">
        <v>-13403.729639999998</v>
      </c>
      <c r="V41" s="262">
        <v>-6443.8291399999998</v>
      </c>
      <c r="W41" s="118">
        <v>-6485.1760699999995</v>
      </c>
      <c r="X41" s="262">
        <v>-2170.7669500000002</v>
      </c>
      <c r="Y41" s="118">
        <v>-5024.5033699999994</v>
      </c>
      <c r="Z41" s="262">
        <v>9360.2566599999991</v>
      </c>
      <c r="AA41" s="645">
        <v>-3136.2109500000006</v>
      </c>
      <c r="AB41" s="645">
        <v>-1686.8506</v>
      </c>
      <c r="AC41" s="645">
        <v>-3183.9470299999994</v>
      </c>
      <c r="AD41" s="645">
        <v>-1437.8788800000002</v>
      </c>
      <c r="AE41" s="753">
        <v>-1747.3008800000007</v>
      </c>
      <c r="AF41" s="645">
        <v>-2168.9405800000004</v>
      </c>
      <c r="AG41" s="930">
        <v>29816.317470000005</v>
      </c>
      <c r="AH41" s="645">
        <v>-2927.2555100000009</v>
      </c>
      <c r="AI41" s="645">
        <v>-1942.0861800000021</v>
      </c>
      <c r="AJ41" s="645">
        <v>-2180.3184699999983</v>
      </c>
      <c r="AK41" s="645">
        <v>-2801.6461799999997</v>
      </c>
      <c r="AL41" s="645">
        <v>-2558.7770700000001</v>
      </c>
      <c r="AM41" s="645">
        <v>-2834.4246199999998</v>
      </c>
      <c r="AN41" s="645">
        <v>-1743.9096400000001</v>
      </c>
      <c r="AO41" s="645">
        <v>-1251.9632400000005</v>
      </c>
      <c r="AP41" s="645">
        <v>-1575.0462900000011</v>
      </c>
      <c r="AQ41" s="645">
        <v>-1424.9194000000007</v>
      </c>
      <c r="AR41" s="645">
        <v>-843.53371000000152</v>
      </c>
      <c r="AS41" s="645">
        <v>-1484.9443099999994</v>
      </c>
      <c r="AT41" s="930">
        <v>5725.1994499999992</v>
      </c>
      <c r="AU41" s="645">
        <v>805.81002999999873</v>
      </c>
      <c r="AV41" s="930">
        <v>2855.3595800000012</v>
      </c>
      <c r="AW41" s="645">
        <v>2301.2078300000003</v>
      </c>
      <c r="AX41" s="645">
        <v>2177.0695999999998</v>
      </c>
      <c r="AY41" s="645">
        <v>1716.3008300000001</v>
      </c>
      <c r="AZ41" s="930">
        <v>3704.6775899999984</v>
      </c>
      <c r="BA41" s="645">
        <v>961.25272000000132</v>
      </c>
      <c r="BB41" s="118">
        <v>1019.4839799999972</v>
      </c>
    </row>
    <row r="42" spans="1:54" ht="14.1" customHeight="1" x14ac:dyDescent="0.2">
      <c r="A42" s="1005"/>
      <c r="B42" s="117" t="s">
        <v>286</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45">
        <f>-425.6678</f>
        <v>-425.6678</v>
      </c>
      <c r="AB42" s="645">
        <v>-226.81720999999999</v>
      </c>
      <c r="AC42" s="645">
        <v>373.91637999999995</v>
      </c>
      <c r="AD42" s="645">
        <v>697.24236999999982</v>
      </c>
      <c r="AE42" s="753">
        <v>-551.07669999999996</v>
      </c>
      <c r="AF42" s="645">
        <v>2068.5949299999997</v>
      </c>
      <c r="AG42" s="645">
        <v>3893.9486000000002</v>
      </c>
      <c r="AH42" s="645">
        <v>11208.473480000001</v>
      </c>
      <c r="AI42" s="645">
        <v>4910.97822</v>
      </c>
      <c r="AJ42" s="645">
        <v>8477.0138900000002</v>
      </c>
      <c r="AK42" s="645">
        <v>7540.6507799999999</v>
      </c>
      <c r="AL42" s="645">
        <v>1172.14777</v>
      </c>
      <c r="AM42" s="645">
        <v>-6.6976099999999974</v>
      </c>
      <c r="AN42" s="645">
        <v>-5.6868288000000007</v>
      </c>
      <c r="AO42" s="645">
        <v>-71.188980000000001</v>
      </c>
      <c r="AP42" s="645">
        <v>2788.1172499999998</v>
      </c>
      <c r="AQ42" s="645">
        <v>26.765927217999995</v>
      </c>
      <c r="AR42" s="645">
        <v>28.477895575000062</v>
      </c>
      <c r="AS42" s="645">
        <v>92.369688400000143</v>
      </c>
      <c r="AT42" s="645">
        <v>-359.47885279999991</v>
      </c>
      <c r="AU42" s="645">
        <v>-149.3644821999998</v>
      </c>
      <c r="AV42" s="645">
        <v>-434.80799999999999</v>
      </c>
      <c r="AW42" s="645">
        <v>1801.96064</v>
      </c>
      <c r="AX42" s="645">
        <v>4503.4490400000004</v>
      </c>
      <c r="AY42" s="645">
        <v>6640.5557900000003</v>
      </c>
      <c r="AZ42" s="645">
        <v>9598.1658399999997</v>
      </c>
      <c r="BA42" s="645">
        <v>7808.3474700000006</v>
      </c>
      <c r="BB42" s="645">
        <v>6301.7812396999998</v>
      </c>
    </row>
    <row r="43" spans="1:54" ht="14.1" customHeight="1" x14ac:dyDescent="0.2">
      <c r="A43" s="640"/>
      <c r="B43" s="119" t="s">
        <v>234</v>
      </c>
      <c r="C43" s="120">
        <f t="shared" ref="C43:AG43" si="27">+SUM(C40:C42)</f>
        <v>17494</v>
      </c>
      <c r="D43" s="120">
        <f t="shared" si="27"/>
        <v>27627</v>
      </c>
      <c r="E43" s="120">
        <f t="shared" si="27"/>
        <v>53813</v>
      </c>
      <c r="F43" s="120">
        <f t="shared" si="27"/>
        <v>34303</v>
      </c>
      <c r="G43" s="120">
        <f t="shared" si="27"/>
        <v>30467</v>
      </c>
      <c r="H43" s="120">
        <f t="shared" si="27"/>
        <v>57421</v>
      </c>
      <c r="I43" s="120">
        <f t="shared" si="27"/>
        <v>62681</v>
      </c>
      <c r="J43" s="120">
        <f t="shared" si="27"/>
        <v>42511</v>
      </c>
      <c r="K43" s="120">
        <f t="shared" si="27"/>
        <v>26251</v>
      </c>
      <c r="L43" s="120">
        <f t="shared" si="27"/>
        <v>29852</v>
      </c>
      <c r="M43" s="120">
        <f t="shared" si="27"/>
        <v>33283</v>
      </c>
      <c r="N43" s="120">
        <f t="shared" si="27"/>
        <v>42612</v>
      </c>
      <c r="O43" s="120">
        <f t="shared" si="27"/>
        <v>11417</v>
      </c>
      <c r="P43" s="120">
        <f t="shared" si="27"/>
        <v>9808</v>
      </c>
      <c r="Q43" s="120">
        <f t="shared" si="27"/>
        <v>9605</v>
      </c>
      <c r="R43" s="120">
        <f t="shared" si="27"/>
        <v>7435.7724699999617</v>
      </c>
      <c r="S43" s="120">
        <f t="shared" si="27"/>
        <v>-4265.5061600000236</v>
      </c>
      <c r="T43" s="120">
        <f t="shared" si="27"/>
        <v>718.23568000000182</v>
      </c>
      <c r="U43" s="120">
        <f t="shared" si="27"/>
        <v>6584.535519999984</v>
      </c>
      <c r="V43" s="120">
        <f t="shared" si="27"/>
        <v>18668.375210000002</v>
      </c>
      <c r="W43" s="120">
        <f t="shared" si="27"/>
        <v>5681.5607400000117</v>
      </c>
      <c r="X43" s="120">
        <f t="shared" si="27"/>
        <v>4248.2333000000153</v>
      </c>
      <c r="Y43" s="120">
        <f t="shared" si="27"/>
        <v>24218.965800000027</v>
      </c>
      <c r="Z43" s="120">
        <f t="shared" si="27"/>
        <v>66123.141500000027</v>
      </c>
      <c r="AA43" s="120">
        <f t="shared" si="27"/>
        <v>15239.131790000003</v>
      </c>
      <c r="AB43" s="120">
        <f t="shared" si="27"/>
        <v>30143.000129999971</v>
      </c>
      <c r="AC43" s="120">
        <f t="shared" si="27"/>
        <v>42514.265689999949</v>
      </c>
      <c r="AD43" s="120">
        <f t="shared" si="27"/>
        <v>46892.596580000019</v>
      </c>
      <c r="AE43" s="120">
        <f t="shared" si="27"/>
        <v>31751.964850000022</v>
      </c>
      <c r="AF43" s="120">
        <f t="shared" si="27"/>
        <v>40950.064200000023</v>
      </c>
      <c r="AG43" s="120">
        <f t="shared" si="27"/>
        <v>124254.23868000007</v>
      </c>
      <c r="AH43" s="120">
        <f>+SUM(AH40:AH42)</f>
        <v>55466.763300000021</v>
      </c>
      <c r="AI43" s="120">
        <f t="shared" ref="AI43:AR43" si="28">+SUM(AI40:AI42)</f>
        <v>21197.552260000004</v>
      </c>
      <c r="AJ43" s="120">
        <f t="shared" si="28"/>
        <v>-13151.055300000005</v>
      </c>
      <c r="AK43" s="120">
        <f t="shared" si="28"/>
        <v>36139.418180000008</v>
      </c>
      <c r="AL43" s="120">
        <f t="shared" si="28"/>
        <v>34586.94112000004</v>
      </c>
      <c r="AM43" s="120">
        <f t="shared" si="28"/>
        <v>22056.828560000005</v>
      </c>
      <c r="AN43" s="120">
        <f t="shared" si="28"/>
        <v>13319.362961199982</v>
      </c>
      <c r="AO43" s="120">
        <f t="shared" si="28"/>
        <v>14902.608479999988</v>
      </c>
      <c r="AP43" s="120">
        <f t="shared" si="28"/>
        <v>29590.693379999902</v>
      </c>
      <c r="AQ43" s="120">
        <f t="shared" si="28"/>
        <v>10505.08041721798</v>
      </c>
      <c r="AR43" s="120">
        <f t="shared" si="28"/>
        <v>27662.438455574957</v>
      </c>
      <c r="AS43" s="120">
        <f t="shared" ref="AS43:BB43" si="29">+SUM(AS40:AS42)</f>
        <v>57838.745628399964</v>
      </c>
      <c r="AT43" s="120">
        <f t="shared" si="29"/>
        <v>63395.122717199934</v>
      </c>
      <c r="AU43" s="120">
        <f t="shared" si="29"/>
        <v>33990.731177799848</v>
      </c>
      <c r="AV43" s="120">
        <f t="shared" si="29"/>
        <v>39654.661620000108</v>
      </c>
      <c r="AW43" s="120">
        <f t="shared" si="29"/>
        <v>61440.739700000078</v>
      </c>
      <c r="AX43" s="120">
        <f t="shared" si="29"/>
        <v>59105.133120000275</v>
      </c>
      <c r="AY43" s="120">
        <f t="shared" si="29"/>
        <v>48784.907659999844</v>
      </c>
      <c r="AZ43" s="120">
        <f t="shared" si="29"/>
        <v>78393.604530000011</v>
      </c>
      <c r="BA43" s="120">
        <f t="shared" si="29"/>
        <v>116921.86736000012</v>
      </c>
      <c r="BB43" s="120">
        <f t="shared" si="29"/>
        <v>117621.59582969993</v>
      </c>
    </row>
    <row r="44" spans="1:54" ht="14.1" customHeight="1" x14ac:dyDescent="0.2">
      <c r="A44" s="914"/>
      <c r="B44" s="117" t="s">
        <v>235</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2">
        <v>9941.4081800000004</v>
      </c>
      <c r="Y44" s="118">
        <v>-9378.4919499999996</v>
      </c>
      <c r="Z44" s="262">
        <v>-16319.123229999997</v>
      </c>
      <c r="AA44" s="645">
        <f>-5102.36018</f>
        <v>-5102.3601799999997</v>
      </c>
      <c r="AB44" s="645">
        <v>-5659.0454600000003</v>
      </c>
      <c r="AC44" s="645">
        <v>-11744.210439999999</v>
      </c>
      <c r="AD44" s="262">
        <v>-13478.390510000001</v>
      </c>
      <c r="AE44" s="161">
        <v>-10205.00417</v>
      </c>
      <c r="AF44" s="118">
        <v>-9660.2584000000006</v>
      </c>
      <c r="AG44" s="930">
        <v>-38073.650900000001</v>
      </c>
      <c r="AH44" s="645">
        <v>-10000.576249999998</v>
      </c>
      <c r="AI44" s="645">
        <v>-3520.2412800000006</v>
      </c>
      <c r="AJ44" s="645">
        <v>8457.5596100000002</v>
      </c>
      <c r="AK44" s="645">
        <v>-8441.7131499999996</v>
      </c>
      <c r="AL44" s="645">
        <v>-7357.6675000000005</v>
      </c>
      <c r="AM44" s="645">
        <v>-6249.9864100000004</v>
      </c>
      <c r="AN44" s="645">
        <v>-2787.7268899999999</v>
      </c>
      <c r="AO44" s="645">
        <v>11100.8</v>
      </c>
      <c r="AP44" s="645">
        <v>-6760.2199899999996</v>
      </c>
      <c r="AQ44" s="645">
        <v>-1367.35006</v>
      </c>
      <c r="AR44" s="645">
        <v>-4857.0144999999993</v>
      </c>
      <c r="AS44" s="645">
        <v>-13709.036500000002</v>
      </c>
      <c r="AT44" s="645">
        <v>-13200.501800000002</v>
      </c>
      <c r="AU44" s="645">
        <v>-8624.7267200000006</v>
      </c>
      <c r="AV44" s="645">
        <v>-8400.3372600000002</v>
      </c>
      <c r="AW44" s="645">
        <v>-14463.271100000002</v>
      </c>
      <c r="AX44" s="645">
        <v>-13796.107250000001</v>
      </c>
      <c r="AY44" s="645">
        <v>-13907.199000000001</v>
      </c>
      <c r="AZ44" s="645">
        <v>-18999.270909999999</v>
      </c>
      <c r="BA44" s="645">
        <v>-34372.840850000001</v>
      </c>
      <c r="BB44" s="645">
        <v>-33100.631090000003</v>
      </c>
    </row>
    <row r="45" spans="1:54" s="901" customFormat="1" ht="14.1" hidden="1" customHeight="1" outlineLevel="1" x14ac:dyDescent="0.2">
      <c r="A45" s="23"/>
      <c r="B45" s="1012" t="s">
        <v>236</v>
      </c>
      <c r="C45" s="120">
        <f>SUM(C43:C44)</f>
        <v>11060</v>
      </c>
      <c r="D45" s="120">
        <f t="shared" ref="D45:AQ45" si="30">SUM(D43:D44)</f>
        <v>19819</v>
      </c>
      <c r="E45" s="120">
        <f t="shared" si="30"/>
        <v>40365</v>
      </c>
      <c r="F45" s="120">
        <f t="shared" si="30"/>
        <v>20580</v>
      </c>
      <c r="G45" s="120">
        <f t="shared" si="30"/>
        <v>20665</v>
      </c>
      <c r="H45" s="120">
        <f t="shared" si="30"/>
        <v>36994</v>
      </c>
      <c r="I45" s="120">
        <f t="shared" si="30"/>
        <v>49823</v>
      </c>
      <c r="J45" s="120">
        <f t="shared" si="30"/>
        <v>23117</v>
      </c>
      <c r="K45" s="120">
        <f t="shared" si="30"/>
        <v>18969</v>
      </c>
      <c r="L45" s="120">
        <f t="shared" si="30"/>
        <v>18720</v>
      </c>
      <c r="M45" s="120">
        <f t="shared" si="30"/>
        <v>24557</v>
      </c>
      <c r="N45" s="120">
        <f t="shared" si="30"/>
        <v>15920</v>
      </c>
      <c r="O45" s="120">
        <f t="shared" si="30"/>
        <v>7235</v>
      </c>
      <c r="P45" s="120">
        <f t="shared" si="30"/>
        <v>6227</v>
      </c>
      <c r="Q45" s="120">
        <f t="shared" si="30"/>
        <v>5597</v>
      </c>
      <c r="R45" s="120">
        <f t="shared" si="30"/>
        <v>2418.5722445999618</v>
      </c>
      <c r="S45" s="120">
        <f t="shared" si="30"/>
        <v>-3953.7483700000239</v>
      </c>
      <c r="T45" s="120">
        <f t="shared" si="30"/>
        <v>-777.01637999999798</v>
      </c>
      <c r="U45" s="120">
        <f t="shared" si="30"/>
        <v>2803.8234899999834</v>
      </c>
      <c r="V45" s="120">
        <f t="shared" si="30"/>
        <v>11314.039700000001</v>
      </c>
      <c r="W45" s="120">
        <f t="shared" si="30"/>
        <v>3190.556480000012</v>
      </c>
      <c r="X45" s="120">
        <f t="shared" si="30"/>
        <v>14189.641480000017</v>
      </c>
      <c r="Y45" s="120">
        <f t="shared" si="30"/>
        <v>14840.473850000028</v>
      </c>
      <c r="Z45" s="120">
        <f t="shared" si="30"/>
        <v>49804.01827000003</v>
      </c>
      <c r="AA45" s="120">
        <f t="shared" si="30"/>
        <v>10136.771610000003</v>
      </c>
      <c r="AB45" s="120">
        <f t="shared" si="30"/>
        <v>24483.95466999997</v>
      </c>
      <c r="AC45" s="120">
        <f t="shared" si="30"/>
        <v>30770.05524999995</v>
      </c>
      <c r="AD45" s="120">
        <f t="shared" si="30"/>
        <v>33414.206070000015</v>
      </c>
      <c r="AE45" s="163">
        <f t="shared" si="30"/>
        <v>21546.960680000022</v>
      </c>
      <c r="AF45" s="120">
        <f t="shared" si="30"/>
        <v>31289.805800000024</v>
      </c>
      <c r="AG45" s="120">
        <f t="shared" si="30"/>
        <v>86180.58778000006</v>
      </c>
      <c r="AH45" s="120">
        <f t="shared" si="30"/>
        <v>45466.187050000022</v>
      </c>
      <c r="AI45" s="120">
        <f t="shared" si="30"/>
        <v>17677.310980000002</v>
      </c>
      <c r="AJ45" s="120">
        <f t="shared" si="30"/>
        <v>-4693.4956900000052</v>
      </c>
      <c r="AK45" s="120">
        <f t="shared" si="30"/>
        <v>27697.705030000008</v>
      </c>
      <c r="AL45" s="120">
        <f t="shared" si="30"/>
        <v>27229.27362000004</v>
      </c>
      <c r="AM45" s="120">
        <f t="shared" si="30"/>
        <v>15806.842150000004</v>
      </c>
      <c r="AN45" s="120">
        <f t="shared" si="30"/>
        <v>10531.636071199982</v>
      </c>
      <c r="AO45" s="120">
        <f t="shared" si="30"/>
        <v>26003.408479999987</v>
      </c>
      <c r="AP45" s="120">
        <f t="shared" si="30"/>
        <v>22830.473389999905</v>
      </c>
      <c r="AQ45" s="120">
        <f t="shared" si="30"/>
        <v>9137.730357217979</v>
      </c>
      <c r="AR45" s="120">
        <v>22805.423955574959</v>
      </c>
      <c r="AS45" s="120">
        <f t="shared" ref="AS45:BB45" si="31">SUM(AS43:AS44)</f>
        <v>44129.709128399962</v>
      </c>
      <c r="AT45" s="120">
        <f t="shared" si="31"/>
        <v>50194.620917199936</v>
      </c>
      <c r="AU45" s="120">
        <f t="shared" si="31"/>
        <v>25366.004457799849</v>
      </c>
      <c r="AV45" s="120">
        <f t="shared" si="31"/>
        <v>31254.324360000108</v>
      </c>
      <c r="AW45" s="120">
        <f t="shared" si="31"/>
        <v>46977.46860000008</v>
      </c>
      <c r="AX45" s="120">
        <f t="shared" si="31"/>
        <v>45309.025870000274</v>
      </c>
      <c r="AY45" s="120">
        <f t="shared" si="31"/>
        <v>34877.708659999844</v>
      </c>
      <c r="AZ45" s="120">
        <f t="shared" si="31"/>
        <v>59394.333620000012</v>
      </c>
      <c r="BA45" s="120">
        <f t="shared" si="31"/>
        <v>82549.026510000112</v>
      </c>
      <c r="BB45" s="120">
        <f t="shared" si="31"/>
        <v>84520.964739699935</v>
      </c>
    </row>
    <row r="46" spans="1:54" s="221" customFormat="1" ht="14.1" hidden="1" customHeight="1" outlineLevel="1" x14ac:dyDescent="0.2">
      <c r="A46" s="1006"/>
      <c r="B46" s="228" t="s">
        <v>237</v>
      </c>
      <c r="C46" s="219">
        <v>0</v>
      </c>
      <c r="D46" s="219">
        <v>0</v>
      </c>
      <c r="E46" s="219">
        <v>0</v>
      </c>
      <c r="F46" s="219">
        <v>0</v>
      </c>
      <c r="G46" s="219">
        <v>0</v>
      </c>
      <c r="H46" s="219">
        <v>0</v>
      </c>
      <c r="I46" s="219">
        <v>0</v>
      </c>
      <c r="J46" s="219">
        <v>0</v>
      </c>
      <c r="K46" s="219">
        <v>0</v>
      </c>
      <c r="L46" s="219">
        <v>-29236</v>
      </c>
      <c r="M46" s="219">
        <v>-21062</v>
      </c>
      <c r="N46" s="219">
        <v>0</v>
      </c>
      <c r="O46" s="219">
        <v>0</v>
      </c>
      <c r="P46" s="219">
        <v>0</v>
      </c>
      <c r="Q46" s="219">
        <v>0</v>
      </c>
      <c r="R46" s="219">
        <v>0</v>
      </c>
      <c r="S46" s="219">
        <v>0</v>
      </c>
      <c r="T46" s="219">
        <v>0</v>
      </c>
      <c r="U46" s="219">
        <v>0</v>
      </c>
      <c r="V46" s="219">
        <v>0</v>
      </c>
      <c r="W46" s="219">
        <v>0</v>
      </c>
      <c r="X46" s="219">
        <v>0</v>
      </c>
      <c r="Y46" s="219">
        <v>0</v>
      </c>
      <c r="Z46" s="219">
        <v>0</v>
      </c>
      <c r="AA46" s="219">
        <v>0</v>
      </c>
      <c r="AB46" s="219">
        <v>0</v>
      </c>
      <c r="AC46" s="219">
        <v>0</v>
      </c>
      <c r="AD46" s="219">
        <v>0</v>
      </c>
      <c r="AE46" s="161">
        <v>0</v>
      </c>
      <c r="AF46" s="118">
        <v>0</v>
      </c>
      <c r="AG46" s="219">
        <v>0</v>
      </c>
      <c r="AH46" s="219">
        <v>0</v>
      </c>
      <c r="AI46" s="219">
        <v>0</v>
      </c>
      <c r="AJ46" s="219">
        <v>0</v>
      </c>
      <c r="AK46" s="219">
        <v>0</v>
      </c>
      <c r="AL46" s="219">
        <v>0</v>
      </c>
      <c r="AM46" s="219">
        <v>0</v>
      </c>
      <c r="AN46" s="219">
        <v>0</v>
      </c>
      <c r="AO46" s="219">
        <v>0</v>
      </c>
      <c r="AP46" s="219"/>
      <c r="AQ46" s="219">
        <v>0</v>
      </c>
      <c r="AR46" s="219">
        <v>0</v>
      </c>
      <c r="AS46" s="219">
        <v>0</v>
      </c>
      <c r="AT46" s="219">
        <v>0</v>
      </c>
      <c r="AU46" s="219">
        <v>0</v>
      </c>
      <c r="AV46" s="219">
        <v>0</v>
      </c>
      <c r="AW46" s="219">
        <v>0</v>
      </c>
      <c r="AX46" s="219">
        <v>0</v>
      </c>
      <c r="AY46" s="219" t="s">
        <v>47</v>
      </c>
      <c r="AZ46" s="219" t="s">
        <v>47</v>
      </c>
      <c r="BA46" s="219"/>
      <c r="BB46" s="219" t="s">
        <v>47</v>
      </c>
    </row>
    <row r="47" spans="1:54" s="221" customFormat="1" ht="14.1" hidden="1" customHeight="1" outlineLevel="1" x14ac:dyDescent="0.2">
      <c r="A47" s="1006"/>
      <c r="B47" s="228" t="s">
        <v>238</v>
      </c>
      <c r="C47" s="219">
        <v>-417</v>
      </c>
      <c r="D47" s="219">
        <v>217</v>
      </c>
      <c r="E47" s="219">
        <v>2658</v>
      </c>
      <c r="F47" s="219">
        <v>434</v>
      </c>
      <c r="G47" s="219">
        <v>3223</v>
      </c>
      <c r="H47" s="219">
        <v>2704</v>
      </c>
      <c r="I47" s="219">
        <v>2744</v>
      </c>
      <c r="J47" s="219">
        <v>1309</v>
      </c>
      <c r="K47" s="219">
        <v>-4</v>
      </c>
      <c r="L47" s="219">
        <v>-7</v>
      </c>
      <c r="M47" s="219">
        <v>-4</v>
      </c>
      <c r="N47" s="219">
        <v>-2</v>
      </c>
      <c r="O47" s="219">
        <v>0</v>
      </c>
      <c r="P47" s="219">
        <v>0</v>
      </c>
      <c r="Q47" s="219">
        <v>0</v>
      </c>
      <c r="R47" s="219">
        <v>0</v>
      </c>
      <c r="S47" s="219">
        <v>0</v>
      </c>
      <c r="T47" s="219">
        <v>0</v>
      </c>
      <c r="U47" s="219">
        <v>0</v>
      </c>
      <c r="V47" s="219">
        <v>0</v>
      </c>
      <c r="W47" s="219">
        <v>0</v>
      </c>
      <c r="X47" s="219">
        <v>0</v>
      </c>
      <c r="Y47" s="219">
        <v>0</v>
      </c>
      <c r="Z47" s="219">
        <v>0</v>
      </c>
      <c r="AA47" s="219">
        <v>0</v>
      </c>
      <c r="AB47" s="219">
        <v>0</v>
      </c>
      <c r="AC47" s="219">
        <v>0</v>
      </c>
      <c r="AD47" s="219">
        <v>0</v>
      </c>
      <c r="AE47" s="161">
        <v>0</v>
      </c>
      <c r="AF47" s="118">
        <v>0</v>
      </c>
      <c r="AG47" s="219">
        <v>0</v>
      </c>
      <c r="AH47" s="219">
        <v>0</v>
      </c>
      <c r="AI47" s="219">
        <v>0</v>
      </c>
      <c r="AJ47" s="219">
        <v>0</v>
      </c>
      <c r="AK47" s="219">
        <v>0</v>
      </c>
      <c r="AL47" s="219">
        <v>0</v>
      </c>
      <c r="AM47" s="219">
        <v>0</v>
      </c>
      <c r="AN47" s="219">
        <v>0</v>
      </c>
      <c r="AO47" s="219">
        <v>0</v>
      </c>
      <c r="AP47" s="219"/>
      <c r="AQ47" s="219">
        <v>0</v>
      </c>
      <c r="AR47" s="219">
        <v>0</v>
      </c>
      <c r="AS47" s="219">
        <v>0</v>
      </c>
      <c r="AT47" s="219">
        <v>0</v>
      </c>
      <c r="AU47" s="219">
        <v>0</v>
      </c>
      <c r="AV47" s="219">
        <v>0</v>
      </c>
      <c r="AW47" s="219">
        <v>0</v>
      </c>
      <c r="AX47" s="219">
        <v>0</v>
      </c>
      <c r="AY47" s="219" t="s">
        <v>47</v>
      </c>
      <c r="AZ47" s="219" t="s">
        <v>47</v>
      </c>
      <c r="BA47" s="219"/>
      <c r="BB47" s="219" t="s">
        <v>47</v>
      </c>
    </row>
    <row r="48" spans="1:54" s="221" customFormat="1" ht="14.1" customHeight="1" collapsed="1" x14ac:dyDescent="0.2">
      <c r="A48" s="1006"/>
      <c r="B48" s="125" t="s">
        <v>264</v>
      </c>
      <c r="C48" s="126">
        <f t="shared" ref="C48:AO48" si="32">+SUM(C45:C47)</f>
        <v>10643</v>
      </c>
      <c r="D48" s="126">
        <f t="shared" si="32"/>
        <v>20036</v>
      </c>
      <c r="E48" s="126">
        <f t="shared" si="32"/>
        <v>43023</v>
      </c>
      <c r="F48" s="126">
        <f t="shared" si="32"/>
        <v>21014</v>
      </c>
      <c r="G48" s="126">
        <f t="shared" si="32"/>
        <v>23888</v>
      </c>
      <c r="H48" s="126">
        <f t="shared" si="32"/>
        <v>39698</v>
      </c>
      <c r="I48" s="126">
        <f t="shared" si="32"/>
        <v>52567</v>
      </c>
      <c r="J48" s="126">
        <f t="shared" si="32"/>
        <v>24426</v>
      </c>
      <c r="K48" s="126">
        <f t="shared" si="32"/>
        <v>18965</v>
      </c>
      <c r="L48" s="126">
        <f t="shared" si="32"/>
        <v>-10523</v>
      </c>
      <c r="M48" s="126">
        <f t="shared" si="32"/>
        <v>3491</v>
      </c>
      <c r="N48" s="126">
        <f t="shared" si="32"/>
        <v>15918</v>
      </c>
      <c r="O48" s="126">
        <f t="shared" si="32"/>
        <v>7235</v>
      </c>
      <c r="P48" s="126">
        <f t="shared" si="32"/>
        <v>6227</v>
      </c>
      <c r="Q48" s="126">
        <f t="shared" si="32"/>
        <v>5597</v>
      </c>
      <c r="R48" s="126">
        <f t="shared" si="32"/>
        <v>2418.5722445999618</v>
      </c>
      <c r="S48" s="126">
        <f t="shared" si="32"/>
        <v>-3953.7483700000239</v>
      </c>
      <c r="T48" s="126">
        <f t="shared" si="32"/>
        <v>-777.01637999999798</v>
      </c>
      <c r="U48" s="126">
        <f t="shared" si="32"/>
        <v>2803.8234899999834</v>
      </c>
      <c r="V48" s="126">
        <f t="shared" si="32"/>
        <v>11314.039700000001</v>
      </c>
      <c r="W48" s="126">
        <f t="shared" si="32"/>
        <v>3190.556480000012</v>
      </c>
      <c r="X48" s="126">
        <f t="shared" si="32"/>
        <v>14189.641480000017</v>
      </c>
      <c r="Y48" s="126">
        <f t="shared" si="32"/>
        <v>14840.473850000028</v>
      </c>
      <c r="Z48" s="126">
        <f t="shared" si="32"/>
        <v>49804.01827000003</v>
      </c>
      <c r="AA48" s="126">
        <f t="shared" si="32"/>
        <v>10136.771610000003</v>
      </c>
      <c r="AB48" s="126">
        <f t="shared" si="32"/>
        <v>24483.95466999997</v>
      </c>
      <c r="AC48" s="126">
        <f t="shared" si="32"/>
        <v>30770.05524999995</v>
      </c>
      <c r="AD48" s="126">
        <f t="shared" si="32"/>
        <v>33414.206070000015</v>
      </c>
      <c r="AE48" s="165">
        <f t="shared" si="32"/>
        <v>21546.960680000022</v>
      </c>
      <c r="AF48" s="126">
        <f t="shared" si="32"/>
        <v>31289.805800000024</v>
      </c>
      <c r="AG48" s="126">
        <f t="shared" si="32"/>
        <v>86180.58778000006</v>
      </c>
      <c r="AH48" s="126">
        <f t="shared" si="32"/>
        <v>45466.187050000022</v>
      </c>
      <c r="AI48" s="126">
        <f t="shared" si="32"/>
        <v>17677.310980000002</v>
      </c>
      <c r="AJ48" s="126">
        <f t="shared" si="32"/>
        <v>-4693.4956900000052</v>
      </c>
      <c r="AK48" s="126">
        <f t="shared" si="32"/>
        <v>27697.705030000008</v>
      </c>
      <c r="AL48" s="126">
        <f t="shared" si="32"/>
        <v>27229.27362000004</v>
      </c>
      <c r="AM48" s="126">
        <f t="shared" si="32"/>
        <v>15806.842150000004</v>
      </c>
      <c r="AN48" s="126">
        <f t="shared" si="32"/>
        <v>10531.636071199982</v>
      </c>
      <c r="AO48" s="126">
        <f t="shared" si="32"/>
        <v>26003.408479999987</v>
      </c>
      <c r="AP48" s="126">
        <f t="shared" ref="AP48:AU48" si="33">+SUM(AP45:AP47)</f>
        <v>22830.473389999905</v>
      </c>
      <c r="AQ48" s="126">
        <f t="shared" si="33"/>
        <v>9137.730357217979</v>
      </c>
      <c r="AR48" s="126">
        <f t="shared" si="33"/>
        <v>22805.423955574959</v>
      </c>
      <c r="AS48" s="126">
        <f t="shared" si="33"/>
        <v>44129.709128399962</v>
      </c>
      <c r="AT48" s="126">
        <f t="shared" si="33"/>
        <v>50194.620917199936</v>
      </c>
      <c r="AU48" s="126">
        <f t="shared" si="33"/>
        <v>25366.004457799849</v>
      </c>
      <c r="AV48" s="126">
        <f t="shared" ref="AV48:BB48" si="34">+SUM(AV45:AV47)</f>
        <v>31254.324360000108</v>
      </c>
      <c r="AW48" s="126">
        <f t="shared" si="34"/>
        <v>46977.46860000008</v>
      </c>
      <c r="AX48" s="126">
        <f t="shared" si="34"/>
        <v>45309.025870000274</v>
      </c>
      <c r="AY48" s="126">
        <f t="shared" si="34"/>
        <v>34877.708659999844</v>
      </c>
      <c r="AZ48" s="126">
        <f t="shared" si="34"/>
        <v>59394.333620000012</v>
      </c>
      <c r="BA48" s="126">
        <f t="shared" si="34"/>
        <v>82549.026510000112</v>
      </c>
      <c r="BB48" s="126">
        <f t="shared" si="34"/>
        <v>84520.964739699935</v>
      </c>
    </row>
    <row r="49" spans="1:54" ht="14.1" customHeight="1" x14ac:dyDescent="0.2">
      <c r="A49" s="21"/>
      <c r="B49" s="9" t="s">
        <v>265</v>
      </c>
      <c r="C49" s="696"/>
      <c r="D49" s="696"/>
      <c r="E49" s="696"/>
      <c r="F49" s="696"/>
      <c r="G49" s="696"/>
      <c r="H49" s="696"/>
      <c r="I49" s="696"/>
      <c r="J49" s="696"/>
      <c r="K49" s="696"/>
      <c r="L49" s="696"/>
      <c r="M49" s="696"/>
      <c r="N49" s="696"/>
      <c r="O49" s="276"/>
      <c r="P49" s="276"/>
      <c r="Q49" s="276"/>
      <c r="R49" s="276"/>
      <c r="S49" s="276"/>
      <c r="T49" s="276"/>
      <c r="U49" s="276"/>
      <c r="V49" s="276"/>
      <c r="W49" s="276"/>
      <c r="X49" s="276"/>
      <c r="Y49" s="276"/>
      <c r="Z49" s="276"/>
      <c r="AB49" s="276"/>
      <c r="AC49" s="276"/>
      <c r="AD49" s="330"/>
      <c r="AE49" s="276"/>
      <c r="AF49" s="276"/>
    </row>
    <row r="50" spans="1:54" customFormat="1" ht="12.75" customHeight="1" x14ac:dyDescent="0.2"/>
    <row r="51" spans="1:54" customFormat="1" ht="12.75" customHeight="1" x14ac:dyDescent="0.2">
      <c r="AM51" s="551" t="s">
        <v>1146</v>
      </c>
      <c r="AN51" s="551" t="s">
        <v>1146</v>
      </c>
      <c r="AO51" s="551"/>
      <c r="AP51" s="551"/>
      <c r="AQ51" s="551" t="s">
        <v>1204</v>
      </c>
      <c r="AR51" s="551" t="s">
        <v>1204</v>
      </c>
      <c r="AS51" s="551" t="s">
        <v>1204</v>
      </c>
      <c r="AT51" s="551" t="s">
        <v>1204</v>
      </c>
      <c r="AU51" s="551" t="s">
        <v>1271</v>
      </c>
      <c r="AV51" s="551" t="s">
        <v>1271</v>
      </c>
      <c r="AW51" s="551" t="s">
        <v>1271</v>
      </c>
      <c r="AX51" s="551" t="s">
        <v>1271</v>
      </c>
      <c r="AY51" s="551"/>
      <c r="AZ51" s="551"/>
      <c r="BA51" s="551"/>
      <c r="BB51" s="551" t="s">
        <v>1327</v>
      </c>
    </row>
    <row r="52" spans="1:54" customFormat="1" ht="14.1" customHeight="1" x14ac:dyDescent="0.2">
      <c r="AM52" s="551" t="s">
        <v>1147</v>
      </c>
      <c r="AN52" s="551" t="s">
        <v>1147</v>
      </c>
      <c r="AO52" s="551" t="s">
        <v>1147</v>
      </c>
      <c r="AP52" s="551"/>
      <c r="AQ52" s="551" t="s">
        <v>1195</v>
      </c>
      <c r="AR52" s="551" t="s">
        <v>1195</v>
      </c>
      <c r="AS52" s="551" t="s">
        <v>1195</v>
      </c>
      <c r="AT52" s="551"/>
      <c r="AU52" s="551" t="s">
        <v>1272</v>
      </c>
      <c r="AV52" s="551" t="s">
        <v>1272</v>
      </c>
      <c r="AW52" s="551" t="s">
        <v>1272</v>
      </c>
      <c r="AX52" s="551" t="s">
        <v>1272</v>
      </c>
      <c r="AY52" s="551"/>
      <c r="AZ52" s="551"/>
      <c r="BA52" s="551"/>
      <c r="BB52" s="551" t="s">
        <v>1328</v>
      </c>
    </row>
    <row r="53" spans="1:54" customFormat="1" ht="14.1" customHeight="1" x14ac:dyDescent="0.2">
      <c r="AM53" s="1136">
        <v>2021</v>
      </c>
      <c r="AN53" s="1136">
        <v>2021</v>
      </c>
      <c r="AO53" s="1136">
        <v>2021</v>
      </c>
      <c r="AP53" s="1136">
        <v>2021</v>
      </c>
      <c r="AQ53" s="1136">
        <v>2022</v>
      </c>
      <c r="AR53" s="1136">
        <v>2022</v>
      </c>
      <c r="AS53" s="1136">
        <v>2022</v>
      </c>
      <c r="AT53" s="1136">
        <v>2022</v>
      </c>
      <c r="AU53" s="1136">
        <v>2023</v>
      </c>
      <c r="AV53" s="1136">
        <v>2023</v>
      </c>
      <c r="AW53" s="1136">
        <v>2023</v>
      </c>
      <c r="AX53" s="1136">
        <v>2023</v>
      </c>
      <c r="AY53" s="1136"/>
      <c r="AZ53" s="1136"/>
      <c r="BA53" s="1136"/>
      <c r="BB53" s="1136"/>
    </row>
    <row r="54" spans="1:54" customFormat="1" ht="14.1" customHeight="1" x14ac:dyDescent="0.2"/>
    <row r="55" spans="1:54" customFormat="1" ht="14.1" customHeight="1" x14ac:dyDescent="0.2"/>
    <row r="56" spans="1:54" customFormat="1" ht="14.1" customHeight="1" x14ac:dyDescent="0.2"/>
    <row r="57" spans="1:54" customFormat="1" ht="14.1" customHeight="1" x14ac:dyDescent="0.2"/>
    <row r="58" spans="1:54" customFormat="1" ht="14.1" customHeight="1" x14ac:dyDescent="0.2"/>
    <row r="59" spans="1:54" customFormat="1" ht="14.1" customHeight="1" x14ac:dyDescent="0.2"/>
    <row r="60" spans="1:54" customFormat="1" ht="14.1" customHeight="1" x14ac:dyDescent="0.2"/>
    <row r="61" spans="1:54" customFormat="1" ht="14.1" customHeight="1" x14ac:dyDescent="0.2"/>
    <row r="62" spans="1:54" customFormat="1" ht="14.1" customHeight="1" x14ac:dyDescent="0.2"/>
    <row r="63" spans="1:54" customFormat="1" ht="14.1" customHeight="1" x14ac:dyDescent="0.2"/>
    <row r="64" spans="1:54" customFormat="1" ht="14.1" customHeight="1" x14ac:dyDescent="0.2"/>
    <row r="65" customFormat="1" ht="14.1" customHeight="1" outlineLevel="1" x14ac:dyDescent="0.2"/>
    <row r="66" customFormat="1" ht="14.1" customHeight="1" outlineLevel="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customFormat="1" ht="14.1" customHeight="1" x14ac:dyDescent="0.2"/>
    <row r="78" customFormat="1" ht="14.1" customHeight="1" x14ac:dyDescent="0.2"/>
    <row r="79" customFormat="1" ht="14.1" customHeight="1" x14ac:dyDescent="0.2"/>
    <row r="80" customFormat="1" ht="14.1" customHeight="1" x14ac:dyDescent="0.2"/>
    <row r="81" customFormat="1" ht="14.1" customHeight="1" x14ac:dyDescent="0.2"/>
    <row r="82" customFormat="1" ht="14.1" customHeight="1" x14ac:dyDescent="0.2"/>
    <row r="83" customFormat="1" ht="14.1" customHeight="1" x14ac:dyDescent="0.2"/>
    <row r="84" customFormat="1" ht="14.1" customHeight="1" x14ac:dyDescent="0.2"/>
    <row r="85" customFormat="1" ht="14.1" customHeight="1" x14ac:dyDescent="0.2"/>
    <row r="86" customFormat="1" ht="14.1" customHeight="1" x14ac:dyDescent="0.2"/>
    <row r="87" customFormat="1" ht="14.1" customHeight="1" x14ac:dyDescent="0.2"/>
    <row r="88" customFormat="1" ht="14.1" customHeight="1" x14ac:dyDescent="0.2"/>
    <row r="89" customFormat="1" ht="14.1" customHeight="1" x14ac:dyDescent="0.2"/>
    <row r="90" customFormat="1" ht="14.1" customHeight="1" x14ac:dyDescent="0.2"/>
    <row r="91" customFormat="1" ht="14.1" customHeight="1" x14ac:dyDescent="0.2"/>
    <row r="92" customFormat="1" ht="14.1" customHeight="1" x14ac:dyDescent="0.2"/>
    <row r="93" customFormat="1" ht="14.1" customHeight="1" x14ac:dyDescent="0.2"/>
    <row r="94" customFormat="1" ht="14.1" customHeight="1" x14ac:dyDescent="0.2"/>
    <row r="95" customFormat="1" ht="14.1" customHeight="1" x14ac:dyDescent="0.2"/>
    <row r="96" customFormat="1" ht="14.1" customHeight="1" x14ac:dyDescent="0.2"/>
    <row r="97" spans="3:54" customFormat="1" ht="14.1" customHeight="1" x14ac:dyDescent="0.2"/>
    <row r="98" spans="3:54" customFormat="1" ht="14.1" customHeight="1" x14ac:dyDescent="0.2">
      <c r="AR98" s="329"/>
      <c r="AS98" s="329"/>
      <c r="AT98" s="329"/>
      <c r="AU98" s="329"/>
      <c r="AV98" s="329"/>
      <c r="AW98" s="329"/>
      <c r="AX98" s="329"/>
      <c r="AY98" s="329"/>
      <c r="AZ98" s="329"/>
      <c r="BA98" s="329"/>
      <c r="BB98" s="329"/>
    </row>
    <row r="99" spans="3:54" customFormat="1" ht="14.1" customHeight="1" x14ac:dyDescent="0.2">
      <c r="AR99" s="329"/>
      <c r="AS99" s="329"/>
      <c r="AT99" s="329"/>
      <c r="AU99" s="329"/>
      <c r="AV99" s="329"/>
      <c r="AW99" s="329"/>
      <c r="AX99" s="329"/>
      <c r="AY99" s="329"/>
      <c r="AZ99" s="329"/>
      <c r="BA99" s="329"/>
      <c r="BB99" s="329"/>
    </row>
    <row r="100" spans="3:54" customFormat="1" ht="14.1" customHeight="1" x14ac:dyDescent="0.2">
      <c r="AR100" s="329"/>
      <c r="AS100" s="329"/>
      <c r="AT100" s="329"/>
      <c r="AU100" s="329"/>
      <c r="AV100" s="329"/>
      <c r="AW100" s="40"/>
      <c r="AX100" s="40"/>
      <c r="AY100" s="40"/>
      <c r="AZ100" s="40"/>
      <c r="BA100" s="40"/>
      <c r="BB100" s="40"/>
    </row>
    <row r="101" spans="3:54" customFormat="1" ht="12.75" x14ac:dyDescent="0.2">
      <c r="AR101" s="329"/>
      <c r="AS101" s="329"/>
      <c r="AT101" s="551"/>
      <c r="AU101" s="551"/>
      <c r="AV101" s="551"/>
      <c r="AW101" s="40"/>
      <c r="AX101" s="40"/>
      <c r="AY101" s="40"/>
      <c r="AZ101" s="40"/>
      <c r="BA101" s="40"/>
      <c r="BB101" s="40"/>
    </row>
    <row r="102" spans="3:54" customFormat="1" ht="12.75" x14ac:dyDescent="0.2">
      <c r="AR102" s="329"/>
      <c r="AS102" s="329"/>
      <c r="AT102" s="551"/>
      <c r="AU102" s="551"/>
      <c r="AV102" s="551"/>
      <c r="AW102" s="40"/>
      <c r="AX102" s="40"/>
      <c r="AY102" s="40"/>
      <c r="AZ102" s="40"/>
      <c r="BA102" s="40"/>
      <c r="BB102" s="40"/>
    </row>
    <row r="103" spans="3:54" customFormat="1" ht="14.25" customHeight="1" x14ac:dyDescent="0.2">
      <c r="AR103" s="329"/>
      <c r="AS103" s="329"/>
      <c r="AT103" s="551"/>
      <c r="AU103" s="551"/>
      <c r="AV103" s="551"/>
      <c r="AW103" s="40"/>
      <c r="AX103" s="40"/>
      <c r="AY103" s="40"/>
      <c r="AZ103" s="40"/>
      <c r="BA103" s="40"/>
      <c r="BB103" s="40"/>
    </row>
    <row r="104" spans="3:54" s="551" customFormat="1" ht="14.25" customHeight="1" x14ac:dyDescent="0.2">
      <c r="AI104" s="551" t="s">
        <v>1009</v>
      </c>
      <c r="AJ104" s="551" t="s">
        <v>1009</v>
      </c>
      <c r="AM104" s="551" t="s">
        <v>1146</v>
      </c>
      <c r="AN104" s="551" t="s">
        <v>1146</v>
      </c>
      <c r="AQ104" s="551" t="s">
        <v>1204</v>
      </c>
      <c r="AR104" s="551" t="s">
        <v>1204</v>
      </c>
      <c r="AU104" s="551" t="s">
        <v>1271</v>
      </c>
      <c r="AV104" s="551" t="s">
        <v>1271</v>
      </c>
      <c r="AY104" s="551" t="s">
        <v>1327</v>
      </c>
      <c r="AZ104" s="551" t="s">
        <v>1327</v>
      </c>
    </row>
    <row r="105" spans="3:54" s="268" customFormat="1" ht="14.25" customHeight="1" x14ac:dyDescent="0.2">
      <c r="AA105" s="268" t="s">
        <v>1007</v>
      </c>
      <c r="AB105" s="268" t="s">
        <v>1007</v>
      </c>
      <c r="AC105" s="268" t="s">
        <v>1007</v>
      </c>
      <c r="AE105" s="268" t="s">
        <v>1006</v>
      </c>
      <c r="AF105" s="268" t="s">
        <v>1006</v>
      </c>
      <c r="AG105" s="268" t="s">
        <v>1006</v>
      </c>
      <c r="AI105" s="268" t="s">
        <v>1008</v>
      </c>
      <c r="AJ105" s="268" t="s">
        <v>1008</v>
      </c>
      <c r="AK105" s="268" t="s">
        <v>1008</v>
      </c>
      <c r="AM105" s="268" t="s">
        <v>1147</v>
      </c>
      <c r="AN105" s="268" t="s">
        <v>1147</v>
      </c>
      <c r="AO105" s="268" t="s">
        <v>1147</v>
      </c>
      <c r="AQ105" s="268" t="s">
        <v>1195</v>
      </c>
      <c r="AR105" s="268" t="s">
        <v>1195</v>
      </c>
      <c r="AS105" s="268" t="s">
        <v>1195</v>
      </c>
      <c r="AU105" s="268" t="s">
        <v>1272</v>
      </c>
      <c r="AV105" s="268" t="s">
        <v>1272</v>
      </c>
      <c r="AW105" s="268" t="s">
        <v>1272</v>
      </c>
      <c r="AZ105" s="268" t="s">
        <v>1328</v>
      </c>
      <c r="BA105" s="268" t="s">
        <v>1328</v>
      </c>
    </row>
    <row r="106" spans="3:54" s="268" customFormat="1" ht="14.25" customHeight="1" x14ac:dyDescent="0.2">
      <c r="C106" s="856">
        <f>D106</f>
        <v>2012</v>
      </c>
      <c r="D106" s="856">
        <f>E106</f>
        <v>2012</v>
      </c>
      <c r="E106" s="856">
        <f>F106</f>
        <v>2012</v>
      </c>
      <c r="F106" s="856">
        <f>G106-1</f>
        <v>2012</v>
      </c>
      <c r="G106" s="856">
        <f>H106</f>
        <v>2013</v>
      </c>
      <c r="H106" s="856">
        <f>I106</f>
        <v>2013</v>
      </c>
      <c r="I106" s="856">
        <f>J106</f>
        <v>2013</v>
      </c>
      <c r="J106" s="856">
        <f>K106-1</f>
        <v>2013</v>
      </c>
      <c r="K106" s="856">
        <f>L106</f>
        <v>2014</v>
      </c>
      <c r="L106" s="856">
        <f>M106</f>
        <v>2014</v>
      </c>
      <c r="M106" s="856">
        <f>N106</f>
        <v>2014</v>
      </c>
      <c r="N106" s="856">
        <f>O106-1</f>
        <v>2014</v>
      </c>
      <c r="O106" s="856">
        <f>P106</f>
        <v>2015</v>
      </c>
      <c r="P106" s="856">
        <f>Q106</f>
        <v>2015</v>
      </c>
      <c r="Q106" s="856">
        <f>R106</f>
        <v>2015</v>
      </c>
      <c r="R106" s="856">
        <f>S106-1</f>
        <v>2015</v>
      </c>
      <c r="S106" s="856">
        <f>T106</f>
        <v>2016</v>
      </c>
      <c r="T106" s="856">
        <f>U106</f>
        <v>2016</v>
      </c>
      <c r="U106" s="856">
        <f>V106</f>
        <v>2016</v>
      </c>
      <c r="V106" s="856">
        <f>W106-1</f>
        <v>2016</v>
      </c>
      <c r="W106" s="856">
        <f>X106</f>
        <v>2017</v>
      </c>
      <c r="X106" s="856">
        <f>Y106</f>
        <v>2017</v>
      </c>
      <c r="Y106" s="856">
        <f>Z106</f>
        <v>2017</v>
      </c>
      <c r="Z106" s="856">
        <f>AA106-1</f>
        <v>2017</v>
      </c>
      <c r="AA106" s="856">
        <f>AB106</f>
        <v>2018</v>
      </c>
      <c r="AB106" s="856">
        <f>AC106</f>
        <v>2018</v>
      </c>
      <c r="AC106" s="856">
        <f>AD106</f>
        <v>2018</v>
      </c>
      <c r="AD106" s="856">
        <f>AE106-1</f>
        <v>2018</v>
      </c>
      <c r="AE106" s="857">
        <v>2019</v>
      </c>
      <c r="AF106" s="857">
        <v>2019</v>
      </c>
      <c r="AG106" s="857">
        <v>2019</v>
      </c>
      <c r="AH106" s="857">
        <v>2019</v>
      </c>
      <c r="AI106" s="857">
        <v>2020</v>
      </c>
      <c r="AJ106" s="857">
        <v>2020</v>
      </c>
      <c r="AK106" s="857">
        <v>2020</v>
      </c>
      <c r="AL106" s="857">
        <v>2020</v>
      </c>
      <c r="AM106" s="857">
        <v>2021</v>
      </c>
      <c r="AN106" s="857">
        <v>2021</v>
      </c>
      <c r="AO106" s="857">
        <v>2021</v>
      </c>
      <c r="AP106" s="857">
        <v>2021</v>
      </c>
      <c r="AQ106" s="857">
        <v>2022</v>
      </c>
      <c r="AR106" s="857">
        <v>2022</v>
      </c>
      <c r="AS106" s="857">
        <v>2022</v>
      </c>
      <c r="AT106" s="857">
        <v>2022</v>
      </c>
      <c r="AU106" s="857">
        <v>2023</v>
      </c>
      <c r="AV106" s="857">
        <v>2023</v>
      </c>
      <c r="AW106" s="857">
        <v>2023</v>
      </c>
      <c r="AX106" s="857">
        <v>2023</v>
      </c>
      <c r="AY106" s="857">
        <v>2024</v>
      </c>
      <c r="AZ106" s="857">
        <v>2024</v>
      </c>
      <c r="BA106" s="857">
        <v>2024</v>
      </c>
      <c r="BB106" s="857">
        <v>2024</v>
      </c>
    </row>
    <row r="107" spans="3:54" ht="14.25" customHeight="1" x14ac:dyDescent="0.2">
      <c r="C107" s="855"/>
      <c r="D107" s="855"/>
      <c r="E107" s="855"/>
      <c r="F107" s="855"/>
      <c r="G107" s="855"/>
      <c r="H107" s="855"/>
      <c r="I107" s="855"/>
      <c r="J107" s="855"/>
      <c r="K107" s="855"/>
      <c r="L107" s="855"/>
      <c r="M107" s="855"/>
      <c r="N107" s="855"/>
      <c r="O107" s="855"/>
      <c r="P107" s="855"/>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23"/>
      <c r="AS107" s="823"/>
      <c r="AT107" s="269"/>
      <c r="AU107" s="269"/>
      <c r="AV107" s="269"/>
      <c r="AW107" s="1217"/>
      <c r="AX107" s="1217"/>
      <c r="AY107" s="1217"/>
      <c r="AZ107" s="1217"/>
      <c r="BA107" s="1217"/>
      <c r="BB107" s="1217"/>
    </row>
    <row r="108" spans="3:54" ht="14.25" customHeight="1" x14ac:dyDescent="0.2">
      <c r="AR108" s="939"/>
      <c r="AS108" s="939"/>
      <c r="AT108" s="939"/>
      <c r="AU108" s="939"/>
      <c r="AV108" s="939"/>
      <c r="AW108" s="188"/>
      <c r="AX108" s="188"/>
      <c r="AY108" s="188"/>
      <c r="AZ108" s="188"/>
      <c r="BA108" s="188"/>
      <c r="BB108" s="188"/>
    </row>
    <row r="109" spans="3:54" ht="14.25" customHeight="1" x14ac:dyDescent="0.2">
      <c r="AR109" s="939"/>
      <c r="AS109" s="939"/>
      <c r="AT109" s="939"/>
      <c r="AU109" s="939"/>
      <c r="AV109" s="939"/>
      <c r="AW109" s="188"/>
      <c r="AX109" s="188"/>
      <c r="AY109" s="188"/>
      <c r="AZ109" s="188"/>
      <c r="BA109" s="188"/>
      <c r="BB109" s="188"/>
    </row>
    <row r="110" spans="3:54" ht="14.25" customHeight="1" x14ac:dyDescent="0.2">
      <c r="AR110" s="939"/>
      <c r="AS110" s="939"/>
      <c r="AT110" s="939"/>
      <c r="AU110" s="939"/>
      <c r="AV110" s="939"/>
      <c r="AW110" s="939"/>
      <c r="AX110" s="939"/>
      <c r="AY110" s="939"/>
      <c r="AZ110" s="939"/>
      <c r="BA110" s="939"/>
      <c r="BB110" s="939"/>
    </row>
    <row r="111" spans="3:54" ht="14.25" customHeight="1" x14ac:dyDescent="0.2">
      <c r="AR111" s="939"/>
      <c r="AS111" s="939"/>
      <c r="AT111" s="939"/>
      <c r="AU111" s="939"/>
      <c r="AV111" s="939"/>
      <c r="AW111" s="939"/>
      <c r="AX111" s="939"/>
      <c r="AY111" s="939"/>
      <c r="AZ111" s="939"/>
      <c r="BA111" s="939"/>
      <c r="BB111" s="939"/>
    </row>
    <row r="112" spans="3:54" ht="14.25" customHeight="1" x14ac:dyDescent="0.2">
      <c r="AR112" s="939"/>
      <c r="AS112" s="939"/>
      <c r="AT112" s="939"/>
      <c r="AU112" s="939"/>
      <c r="AV112" s="939"/>
      <c r="AW112" s="939"/>
      <c r="AX112" s="939"/>
      <c r="AY112" s="939"/>
      <c r="AZ112" s="939"/>
      <c r="BA112" s="939"/>
      <c r="BB112" s="93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4">
    <tabColor theme="9"/>
    <pageSetUpPr autoPageBreaks="0" fitToPage="1"/>
  </sheetPr>
  <dimension ref="A1:BE86"/>
  <sheetViews>
    <sheetView showGridLines="0" zoomScaleNormal="100" workbookViewId="0">
      <pane xSplit="2" ySplit="5" topLeftCell="AO6" activePane="bottomRight" state="frozen"/>
      <selection activeCell="F56" sqref="F56"/>
      <selection pane="topRight" activeCell="F56" sqref="F56"/>
      <selection pane="bottomLeft" activeCell="F56" sqref="F56"/>
      <selection pane="bottomRight" activeCell="BB5" sqref="BB5"/>
    </sheetView>
  </sheetViews>
  <sheetFormatPr defaultColWidth="9.28515625" defaultRowHeight="12.75" outlineLevelRow="1" x14ac:dyDescent="0.2"/>
  <cols>
    <col min="1" max="1" width="1.42578125" style="2" customWidth="1"/>
    <col min="2" max="2" width="46.42578125" style="2" customWidth="1"/>
    <col min="3" max="32" width="9.5703125" style="2" customWidth="1"/>
    <col min="33" max="33" width="9.42578125" style="2" customWidth="1"/>
    <col min="34" max="54" width="9.5703125" style="2" customWidth="1"/>
    <col min="55" max="16384" width="9.28515625" style="2"/>
  </cols>
  <sheetData>
    <row r="1" spans="1:55" ht="7.5" customHeight="1" x14ac:dyDescent="0.2">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row>
    <row r="2" spans="1:55" ht="12.75" customHeight="1" x14ac:dyDescent="0.2">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55" s="268" customFormat="1" ht="12.75" customHeight="1" x14ac:dyDescent="0.2">
      <c r="M3" s="1247" t="s">
        <v>138</v>
      </c>
      <c r="N3" s="268" t="s">
        <v>137</v>
      </c>
      <c r="O3" s="269">
        <v>-3086.91039</v>
      </c>
      <c r="P3" s="269">
        <v>-3258.3303299999998</v>
      </c>
      <c r="Q3" s="269">
        <v>-3012.4188899999999</v>
      </c>
      <c r="R3" s="269">
        <v>-4110.1755300000004</v>
      </c>
      <c r="S3" s="269">
        <v>-3114.0270599999999</v>
      </c>
      <c r="T3" s="269">
        <v>-5456.2800399999996</v>
      </c>
      <c r="U3" s="269">
        <v>-3436.9309800000001</v>
      </c>
      <c r="V3" s="269">
        <v>-3599.9867299999996</v>
      </c>
      <c r="W3" s="269">
        <v>-3188.2748700000002</v>
      </c>
      <c r="X3" s="269">
        <v>-3252.4979399999997</v>
      </c>
      <c r="Y3" s="269">
        <v>-3392.6533399999998</v>
      </c>
      <c r="Z3" s="269">
        <v>-3533.3530499999997</v>
      </c>
      <c r="AA3" s="269">
        <v>-3018.6289700000002</v>
      </c>
      <c r="AB3" s="269"/>
      <c r="AC3" s="823"/>
      <c r="AD3" s="823"/>
      <c r="AE3" s="823"/>
      <c r="AF3" s="823"/>
      <c r="AG3" s="823"/>
      <c r="AH3" s="823"/>
      <c r="AI3" s="823"/>
      <c r="AJ3" s="823"/>
      <c r="AK3" s="823"/>
      <c r="AL3" s="855"/>
      <c r="AM3" s="855"/>
      <c r="AN3" s="855"/>
      <c r="AO3" s="855"/>
      <c r="AP3" s="855"/>
      <c r="AQ3" s="855"/>
      <c r="AR3" s="855"/>
      <c r="AS3" s="855"/>
      <c r="AT3" s="855"/>
      <c r="AU3" s="855"/>
      <c r="AV3" s="855"/>
      <c r="AW3" s="855"/>
      <c r="AX3" s="855"/>
      <c r="AY3" s="855"/>
      <c r="AZ3" s="855"/>
      <c r="BA3" s="855"/>
      <c r="BB3" s="855"/>
    </row>
    <row r="4" spans="1:55" s="268" customFormat="1" ht="12.75" customHeight="1" x14ac:dyDescent="0.2">
      <c r="A4" s="633"/>
      <c r="B4" s="631" t="s">
        <v>214</v>
      </c>
      <c r="C4" s="634"/>
      <c r="D4" s="634"/>
      <c r="E4" s="634"/>
      <c r="F4" s="634"/>
      <c r="G4" s="549"/>
      <c r="H4" s="634"/>
      <c r="I4" s="634"/>
      <c r="J4" s="634"/>
      <c r="K4" s="634"/>
      <c r="L4" s="549"/>
      <c r="M4" s="1247"/>
      <c r="N4" s="268" t="s">
        <v>49</v>
      </c>
      <c r="O4" s="270">
        <v>-188.08960999999999</v>
      </c>
      <c r="P4" s="270">
        <v>-534.66967000000022</v>
      </c>
      <c r="Q4" s="270">
        <v>-371.58111000000008</v>
      </c>
      <c r="R4" s="270">
        <v>-103.08273000000001</v>
      </c>
      <c r="S4" s="270">
        <v>-104.61798999999999</v>
      </c>
      <c r="T4" s="270">
        <v>-102.92251999999999</v>
      </c>
      <c r="U4" s="270">
        <v>-100.68328</v>
      </c>
      <c r="V4" s="270">
        <v>-97.515969999999996</v>
      </c>
      <c r="W4" s="270">
        <v>-87.390539999999987</v>
      </c>
      <c r="X4" s="270">
        <v>-87.236190000000008</v>
      </c>
      <c r="Y4" s="270">
        <v>-88.739059999999995</v>
      </c>
      <c r="Z4" s="270">
        <v>-98.960570000000004</v>
      </c>
      <c r="AA4" s="270">
        <v>-79.525570000000002</v>
      </c>
      <c r="AB4" s="270"/>
      <c r="AC4" s="270"/>
      <c r="AD4" s="270"/>
      <c r="AE4" s="721" t="s">
        <v>863</v>
      </c>
      <c r="AF4" s="761"/>
      <c r="AG4" s="761"/>
      <c r="AH4" s="761"/>
      <c r="AI4" s="761"/>
      <c r="AJ4" s="761"/>
      <c r="AK4" s="761"/>
      <c r="AL4" s="761"/>
      <c r="AM4" s="761"/>
      <c r="AN4" s="761"/>
      <c r="AO4" s="761"/>
      <c r="AP4" s="761"/>
      <c r="AQ4" s="761"/>
      <c r="AR4" s="761"/>
      <c r="AS4" s="761"/>
      <c r="AT4" s="761"/>
      <c r="AU4" s="761"/>
      <c r="AV4" s="761"/>
      <c r="AW4" s="761"/>
      <c r="AX4" s="761"/>
      <c r="AY4" s="761"/>
      <c r="AZ4" s="761"/>
      <c r="BA4" s="761"/>
      <c r="BB4" s="761"/>
    </row>
    <row r="5" spans="1:55" ht="12.75" customHeight="1" x14ac:dyDescent="0.2">
      <c r="A5" s="22"/>
      <c r="B5" s="113"/>
      <c r="C5" s="247" t="s">
        <v>1023</v>
      </c>
      <c r="D5" s="114" t="s">
        <v>1024</v>
      </c>
      <c r="E5" s="114" t="s">
        <v>1025</v>
      </c>
      <c r="F5" s="114" t="s">
        <v>1026</v>
      </c>
      <c r="G5" s="115" t="s">
        <v>467</v>
      </c>
      <c r="H5" s="115" t="s">
        <v>468</v>
      </c>
      <c r="I5" s="115" t="s">
        <v>469</v>
      </c>
      <c r="J5" s="115" t="s">
        <v>470</v>
      </c>
      <c r="K5" s="115" t="s">
        <v>471</v>
      </c>
      <c r="L5" s="116" t="s">
        <v>472</v>
      </c>
      <c r="M5" s="116" t="s">
        <v>473</v>
      </c>
      <c r="N5" s="115" t="s">
        <v>474</v>
      </c>
      <c r="O5" s="115" t="s">
        <v>475</v>
      </c>
      <c r="P5" s="115" t="s">
        <v>476</v>
      </c>
      <c r="Q5" s="115" t="s">
        <v>477</v>
      </c>
      <c r="R5" s="115" t="s">
        <v>478</v>
      </c>
      <c r="S5" s="115" t="s">
        <v>479</v>
      </c>
      <c r="T5" s="115" t="s">
        <v>371</v>
      </c>
      <c r="U5" s="115" t="s">
        <v>372</v>
      </c>
      <c r="V5" s="115" t="s">
        <v>373</v>
      </c>
      <c r="W5" s="115" t="s">
        <v>374</v>
      </c>
      <c r="X5" s="115" t="s">
        <v>375</v>
      </c>
      <c r="Y5" s="115" t="s">
        <v>376</v>
      </c>
      <c r="Z5" s="115" t="s">
        <v>694</v>
      </c>
      <c r="AA5" s="115" t="s">
        <v>758</v>
      </c>
      <c r="AB5" s="115" t="s">
        <v>771</v>
      </c>
      <c r="AC5" s="115" t="s">
        <v>788</v>
      </c>
      <c r="AD5" s="115" t="s">
        <v>844</v>
      </c>
      <c r="AE5" s="223" t="s">
        <v>862</v>
      </c>
      <c r="AF5" s="115" t="s">
        <v>922</v>
      </c>
      <c r="AG5" s="115" t="s">
        <v>923</v>
      </c>
      <c r="AH5" s="115" t="s">
        <v>924</v>
      </c>
      <c r="AI5" s="115" t="s">
        <v>995</v>
      </c>
      <c r="AJ5" s="115" t="s">
        <v>1027</v>
      </c>
      <c r="AK5" s="115" t="s">
        <v>1028</v>
      </c>
      <c r="AL5" s="115" t="s">
        <v>993</v>
      </c>
      <c r="AM5" s="115" t="s">
        <v>1124</v>
      </c>
      <c r="AN5" s="115" t="s">
        <v>1125</v>
      </c>
      <c r="AO5" s="115" t="s">
        <v>1126</v>
      </c>
      <c r="AP5" s="115" t="s">
        <v>1127</v>
      </c>
      <c r="AQ5" s="115" t="s">
        <v>1181</v>
      </c>
      <c r="AR5" s="115" t="s">
        <v>1189</v>
      </c>
      <c r="AS5" s="115" t="s">
        <v>1191</v>
      </c>
      <c r="AT5" s="115" t="s">
        <v>1193</v>
      </c>
      <c r="AU5" s="115" t="s">
        <v>1232</v>
      </c>
      <c r="AV5" s="115" t="s">
        <v>1245</v>
      </c>
      <c r="AW5" s="115" t="s">
        <v>1247</v>
      </c>
      <c r="AX5" s="115" t="s">
        <v>1249</v>
      </c>
      <c r="AY5" s="115" t="s">
        <v>1306</v>
      </c>
      <c r="AZ5" s="115" t="s">
        <v>1316</v>
      </c>
      <c r="BA5" s="115" t="s">
        <v>1317</v>
      </c>
      <c r="BB5" s="115" t="s">
        <v>1318</v>
      </c>
    </row>
    <row r="6" spans="1:55" ht="14.1" customHeight="1" x14ac:dyDescent="0.2">
      <c r="A6" s="23"/>
      <c r="B6" s="117" t="s">
        <v>267</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45">
        <v>10761.402389999999</v>
      </c>
      <c r="AD6" s="645">
        <v>12177.346869999994</v>
      </c>
      <c r="AE6" s="753">
        <v>8489.4</v>
      </c>
      <c r="AF6" s="645">
        <v>8685.1920200000004</v>
      </c>
      <c r="AG6" s="645">
        <v>8764.0848000000005</v>
      </c>
      <c r="AH6" s="645">
        <v>10631.25776</v>
      </c>
      <c r="AI6" s="645">
        <v>8671.6252599999989</v>
      </c>
      <c r="AJ6" s="645">
        <v>11829.77543</v>
      </c>
      <c r="AK6" s="645">
        <v>9323.1470300000019</v>
      </c>
      <c r="AL6" s="645">
        <v>5179.5571500000005</v>
      </c>
      <c r="AM6" s="645">
        <v>1367.5780099999999</v>
      </c>
      <c r="AN6" s="645">
        <v>431.86840000000001</v>
      </c>
      <c r="AO6" s="645">
        <v>420.28199999999998</v>
      </c>
      <c r="AP6" s="645">
        <v>638.75400000000002</v>
      </c>
      <c r="AQ6" s="645">
        <v>931.00256000000002</v>
      </c>
      <c r="AR6" s="645">
        <v>946.8376200000057</v>
      </c>
      <c r="AS6" s="645">
        <v>1066.48</v>
      </c>
      <c r="AT6" s="645">
        <f>6429.3-4849.38809</f>
        <v>1579.9119099999998</v>
      </c>
      <c r="AU6" s="645">
        <v>1308</v>
      </c>
      <c r="AV6" s="645">
        <v>1469.99</v>
      </c>
      <c r="AW6" s="645">
        <f>AW10-AW7</f>
        <v>1493.4783099999986</v>
      </c>
      <c r="AX6" s="645">
        <v>1226.0999999999999</v>
      </c>
      <c r="AY6" s="645">
        <v>872.82729000000108</v>
      </c>
      <c r="AZ6" s="645">
        <v>0</v>
      </c>
      <c r="BA6" s="645"/>
      <c r="BB6" s="645">
        <v>0</v>
      </c>
      <c r="BC6" s="1184"/>
    </row>
    <row r="7" spans="1:55" ht="14.1" customHeight="1" x14ac:dyDescent="0.2">
      <c r="A7" s="23"/>
      <c r="B7" s="117" t="s">
        <v>268</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45">
        <v>39294.710639999998</v>
      </c>
      <c r="AD7" s="645">
        <v>35764.443149999999</v>
      </c>
      <c r="AE7" s="753">
        <v>37086.800000000003</v>
      </c>
      <c r="AF7" s="645">
        <v>36792.112699999998</v>
      </c>
      <c r="AG7" s="645">
        <v>40679.987550000005</v>
      </c>
      <c r="AH7" s="645">
        <v>38374.866529999999</v>
      </c>
      <c r="AI7" s="645">
        <v>38126.811840000002</v>
      </c>
      <c r="AJ7" s="645">
        <v>39810.467429999997</v>
      </c>
      <c r="AK7" s="645">
        <v>43491.398690000002</v>
      </c>
      <c r="AL7" s="645">
        <v>43978.259429999998</v>
      </c>
      <c r="AM7" s="645">
        <v>39318.226990000003</v>
      </c>
      <c r="AN7" s="645">
        <v>44334.720099999999</v>
      </c>
      <c r="AO7" s="645">
        <v>45062.793720000001</v>
      </c>
      <c r="AP7" s="645">
        <v>39797.487730000008</v>
      </c>
      <c r="AQ7" s="645">
        <v>47423.771669999995</v>
      </c>
      <c r="AR7" s="645">
        <v>45697.330499999996</v>
      </c>
      <c r="AS7" s="645">
        <v>50307.146229999998</v>
      </c>
      <c r="AT7" s="645">
        <f>44837.83589-AT6</f>
        <v>43257.92398</v>
      </c>
      <c r="AU7" s="645">
        <f>47323.97638-AU6</f>
        <v>46015.97638</v>
      </c>
      <c r="AV7" s="645">
        <f>43144.14963-AV6</f>
        <v>41674.159630000002</v>
      </c>
      <c r="AW7" s="645">
        <v>48533.991850000006</v>
      </c>
      <c r="AX7" s="645">
        <f>49218.7-AX6</f>
        <v>47992.6</v>
      </c>
      <c r="AY7" s="645">
        <v>49810.86</v>
      </c>
      <c r="AZ7" s="645">
        <v>55719.131580000001</v>
      </c>
      <c r="BA7" s="645">
        <v>50868.375529999998</v>
      </c>
      <c r="BB7" s="645">
        <v>49988.152990000002</v>
      </c>
    </row>
    <row r="8" spans="1:55" s="221" customFormat="1" ht="14.1" hidden="1" customHeight="1" outlineLevel="1" x14ac:dyDescent="0.2">
      <c r="A8" s="236"/>
      <c r="B8" s="218" t="s">
        <v>1346</v>
      </c>
      <c r="C8" s="219">
        <v>51431</v>
      </c>
      <c r="D8" s="219">
        <v>59396</v>
      </c>
      <c r="E8" s="219">
        <v>73250</v>
      </c>
      <c r="F8" s="219">
        <v>83860</v>
      </c>
      <c r="G8" s="219">
        <v>69100</v>
      </c>
      <c r="H8" s="219">
        <v>67306</v>
      </c>
      <c r="I8" s="219">
        <v>70087</v>
      </c>
      <c r="J8" s="219">
        <v>81193</v>
      </c>
      <c r="K8" s="219">
        <v>68965</v>
      </c>
      <c r="L8" s="219">
        <v>66188</v>
      </c>
      <c r="M8" s="219">
        <v>39020</v>
      </c>
      <c r="N8" s="219">
        <v>0</v>
      </c>
      <c r="O8" s="219">
        <v>0</v>
      </c>
      <c r="P8" s="219">
        <v>0</v>
      </c>
      <c r="Q8" s="219">
        <v>0</v>
      </c>
      <c r="R8" s="219">
        <v>0</v>
      </c>
      <c r="S8" s="219">
        <v>0</v>
      </c>
      <c r="T8" s="219">
        <v>0</v>
      </c>
      <c r="U8" s="219">
        <v>0</v>
      </c>
      <c r="V8" s="219">
        <v>0</v>
      </c>
      <c r="W8" s="219">
        <v>0</v>
      </c>
      <c r="X8" s="219">
        <v>0</v>
      </c>
      <c r="Y8" s="219">
        <v>0</v>
      </c>
      <c r="Z8" s="219">
        <v>0</v>
      </c>
      <c r="AA8" s="219">
        <v>0</v>
      </c>
      <c r="AB8" s="219">
        <v>0</v>
      </c>
      <c r="AC8" s="219">
        <v>0</v>
      </c>
      <c r="AD8" s="219"/>
      <c r="AE8" s="161">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row>
    <row r="9" spans="1:55" s="221" customFormat="1" ht="14.1" hidden="1" customHeight="1" outlineLevel="1" x14ac:dyDescent="0.2">
      <c r="A9" s="236"/>
      <c r="B9" s="218" t="s">
        <v>269</v>
      </c>
      <c r="C9" s="219">
        <v>33738</v>
      </c>
      <c r="D9" s="219">
        <v>35049</v>
      </c>
      <c r="E9" s="219">
        <v>38778</v>
      </c>
      <c r="F9" s="219">
        <v>24879</v>
      </c>
      <c r="G9" s="219">
        <v>2780</v>
      </c>
      <c r="H9" s="219">
        <v>792</v>
      </c>
      <c r="I9" s="219">
        <v>766</v>
      </c>
      <c r="J9" s="219">
        <v>231</v>
      </c>
      <c r="K9" s="219">
        <v>0</v>
      </c>
      <c r="L9" s="219">
        <v>0</v>
      </c>
      <c r="M9" s="219">
        <v>0</v>
      </c>
      <c r="N9" s="219">
        <v>0</v>
      </c>
      <c r="O9" s="219">
        <v>0</v>
      </c>
      <c r="P9" s="219">
        <v>0</v>
      </c>
      <c r="Q9" s="219">
        <v>0</v>
      </c>
      <c r="R9" s="219">
        <v>0</v>
      </c>
      <c r="S9" s="219">
        <v>0</v>
      </c>
      <c r="T9" s="219">
        <v>0</v>
      </c>
      <c r="U9" s="219">
        <v>0</v>
      </c>
      <c r="V9" s="219">
        <v>0</v>
      </c>
      <c r="W9" s="219">
        <v>0</v>
      </c>
      <c r="X9" s="219">
        <v>0</v>
      </c>
      <c r="Y9" s="219">
        <v>0</v>
      </c>
      <c r="Z9" s="219">
        <v>0</v>
      </c>
      <c r="AA9" s="219">
        <v>0</v>
      </c>
      <c r="AB9" s="219">
        <v>0</v>
      </c>
      <c r="AC9" s="219">
        <v>0</v>
      </c>
      <c r="AD9" s="219"/>
      <c r="AE9" s="161">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row>
    <row r="10" spans="1:55" ht="14.1" customHeight="1" collapsed="1" x14ac:dyDescent="0.2">
      <c r="A10" s="23"/>
      <c r="B10" s="119" t="s">
        <v>216</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3">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SUM(AX6:AX7)</f>
        <v>49218.7</v>
      </c>
      <c r="AY10" s="120">
        <f>SUM(AY6:AY7)</f>
        <v>50683.687290000002</v>
      </c>
      <c r="AZ10" s="120">
        <f>SUM(AZ6:AZ7)</f>
        <v>55719.131580000001</v>
      </c>
      <c r="BA10" s="120">
        <f>SUM(BA6:BA7)</f>
        <v>50868.375529999998</v>
      </c>
      <c r="BB10" s="120">
        <f>SUM(BB6:BB7)</f>
        <v>49988.152990000002</v>
      </c>
    </row>
    <row r="11" spans="1:55" ht="14.1" customHeight="1" x14ac:dyDescent="0.2">
      <c r="A11" s="24"/>
      <c r="B11" s="117" t="s">
        <v>956</v>
      </c>
      <c r="C11" s="118">
        <f>+C12-C10</f>
        <v>-23821</v>
      </c>
      <c r="D11" s="118">
        <f t="shared" ref="D11:N11" si="2">+D12-D10</f>
        <v>-27412</v>
      </c>
      <c r="E11" s="118">
        <f t="shared" si="2"/>
        <v>-29755</v>
      </c>
      <c r="F11" s="118">
        <f t="shared" si="2"/>
        <v>-29896</v>
      </c>
      <c r="G11" s="118">
        <f t="shared" si="2"/>
        <v>-21653</v>
      </c>
      <c r="H11" s="118">
        <f t="shared" si="2"/>
        <v>-21793</v>
      </c>
      <c r="I11" s="118">
        <f t="shared" si="2"/>
        <v>-23873</v>
      </c>
      <c r="J11" s="118">
        <f t="shared" si="2"/>
        <v>-26747</v>
      </c>
      <c r="K11" s="118">
        <f t="shared" si="2"/>
        <v>-25609</v>
      </c>
      <c r="L11" s="118">
        <f t="shared" si="2"/>
        <v>-23318</v>
      </c>
      <c r="M11" s="118">
        <f t="shared" si="2"/>
        <v>-20465</v>
      </c>
      <c r="N11" s="118">
        <f t="shared" si="2"/>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2">
        <v>-14931.181469999996</v>
      </c>
      <c r="AD11" s="262">
        <v>-6991.0880799999941</v>
      </c>
      <c r="AE11" s="161">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row>
    <row r="12" spans="1:55" ht="14.1" customHeight="1" x14ac:dyDescent="0.2">
      <c r="A12" s="23"/>
      <c r="B12" s="119" t="s">
        <v>220</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3">+SUM(O10:O11)</f>
        <v>46147</v>
      </c>
      <c r="P12" s="120">
        <f t="shared" si="3"/>
        <v>48601</v>
      </c>
      <c r="Q12" s="120">
        <f t="shared" si="3"/>
        <v>51994</v>
      </c>
      <c r="R12" s="120">
        <f t="shared" si="3"/>
        <v>50542.162050000014</v>
      </c>
      <c r="S12" s="120">
        <f t="shared" si="3"/>
        <v>43063.714040000006</v>
      </c>
      <c r="T12" s="120">
        <f t="shared" si="3"/>
        <v>41699.71097</v>
      </c>
      <c r="U12" s="120">
        <f t="shared" si="3"/>
        <v>39899.218280000001</v>
      </c>
      <c r="V12" s="120">
        <f t="shared" si="3"/>
        <v>40352.084060000001</v>
      </c>
      <c r="W12" s="120">
        <f t="shared" si="3"/>
        <v>40195.741480000004</v>
      </c>
      <c r="X12" s="335">
        <f t="shared" si="3"/>
        <v>49336.037499999999</v>
      </c>
      <c r="Y12" s="120">
        <f t="shared" si="3"/>
        <v>41713.414819999998</v>
      </c>
      <c r="Z12" s="120">
        <f t="shared" si="3"/>
        <v>44647.50333</v>
      </c>
      <c r="AA12" s="120">
        <f t="shared" si="3"/>
        <v>39611.781539999996</v>
      </c>
      <c r="AB12" s="120">
        <f t="shared" si="3"/>
        <v>37284.718710000001</v>
      </c>
      <c r="AC12" s="120">
        <f t="shared" si="3"/>
        <v>35124.931559999997</v>
      </c>
      <c r="AD12" s="120">
        <f t="shared" si="3"/>
        <v>40950.701939999999</v>
      </c>
      <c r="AE12" s="163">
        <f t="shared" si="3"/>
        <v>37774.145250000001</v>
      </c>
      <c r="AF12" s="120">
        <f t="shared" si="3"/>
        <v>37483.146710000001</v>
      </c>
      <c r="AG12" s="120">
        <f t="shared" si="3"/>
        <v>40931.622060000002</v>
      </c>
      <c r="AH12" s="120">
        <f t="shared" si="3"/>
        <v>40984.576209999992</v>
      </c>
      <c r="AI12" s="120">
        <f t="shared" si="3"/>
        <v>38985.920590000002</v>
      </c>
      <c r="AJ12" s="120">
        <f t="shared" si="3"/>
        <v>43262.848420000002</v>
      </c>
      <c r="AK12" s="120">
        <f t="shared" si="3"/>
        <v>43724.104230000004</v>
      </c>
      <c r="AL12" s="120">
        <f t="shared" si="3"/>
        <v>40404.322140000004</v>
      </c>
      <c r="AM12" s="120">
        <f t="shared" si="3"/>
        <v>33087.408810000001</v>
      </c>
      <c r="AN12" s="120">
        <f t="shared" si="3"/>
        <v>36639.325929999999</v>
      </c>
      <c r="AO12" s="120">
        <f t="shared" si="3"/>
        <v>37118.330650000004</v>
      </c>
      <c r="AP12" s="120">
        <f t="shared" ref="AP12:AU12" si="4">+SUM(AP10:AP11)</f>
        <v>32985.027450000009</v>
      </c>
      <c r="AQ12" s="120">
        <f t="shared" si="4"/>
        <v>39271.565389999996</v>
      </c>
      <c r="AR12" s="120">
        <f t="shared" si="4"/>
        <v>38433.140700000004</v>
      </c>
      <c r="AS12" s="120">
        <f t="shared" si="4"/>
        <v>42378.61105</v>
      </c>
      <c r="AT12" s="120">
        <f t="shared" si="4"/>
        <v>36987.536740000003</v>
      </c>
      <c r="AU12" s="120">
        <f t="shared" si="4"/>
        <v>38998.192540000004</v>
      </c>
      <c r="AV12" s="120">
        <f t="shared" ref="AV12:BB12" si="5">+SUM(AV10:AV11)</f>
        <v>35747.08455</v>
      </c>
      <c r="AW12" s="120">
        <f t="shared" si="5"/>
        <v>41153.213530000008</v>
      </c>
      <c r="AX12" s="120">
        <f t="shared" si="5"/>
        <v>40430.03413</v>
      </c>
      <c r="AY12" s="120">
        <f t="shared" si="5"/>
        <v>41658.950420000001</v>
      </c>
      <c r="AZ12" s="120">
        <f t="shared" si="5"/>
        <v>45563.016280000003</v>
      </c>
      <c r="BA12" s="120">
        <f t="shared" si="5"/>
        <v>41822.091699999997</v>
      </c>
      <c r="BB12" s="120">
        <f t="shared" si="5"/>
        <v>41023.599970000003</v>
      </c>
    </row>
    <row r="13" spans="1:55" ht="14.1" customHeight="1" x14ac:dyDescent="0.2">
      <c r="A13" s="22"/>
      <c r="B13" s="117" t="s">
        <v>819</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2">
        <v>-54148</v>
      </c>
      <c r="Q13" s="118">
        <v>-49152</v>
      </c>
      <c r="R13" s="262">
        <v>-48466.832119999999</v>
      </c>
      <c r="S13" s="118">
        <v>-39376.193370000001</v>
      </c>
      <c r="T13" s="118">
        <v>-37564.626109999997</v>
      </c>
      <c r="U13" s="118">
        <v>-36474.726699999999</v>
      </c>
      <c r="V13" s="262">
        <v>-34661.394970000001</v>
      </c>
      <c r="W13" s="118">
        <v>-33763.876869999993</v>
      </c>
      <c r="X13" s="118">
        <v>-35062.16257</v>
      </c>
      <c r="Y13" s="118">
        <v>-35168.157510000005</v>
      </c>
      <c r="Z13" s="262">
        <v>-33876.704960000003</v>
      </c>
      <c r="AA13" s="118">
        <v>-32103.398359999996</v>
      </c>
      <c r="AB13" s="118">
        <v>-29829.59719</v>
      </c>
      <c r="AC13" s="118">
        <v>-31606.118449999998</v>
      </c>
      <c r="AD13" s="118">
        <v>-32730.792299999997</v>
      </c>
      <c r="AE13" s="161">
        <v>-24847.719380000002</v>
      </c>
      <c r="AF13" s="118">
        <v>-27137.973819999999</v>
      </c>
      <c r="AG13" s="262">
        <v>-26268.591779999999</v>
      </c>
      <c r="AH13" s="118">
        <v>-27258.207099999996</v>
      </c>
      <c r="AI13" s="118">
        <v>-23949.649169999997</v>
      </c>
      <c r="AJ13" s="118">
        <v>-26755.184610000004</v>
      </c>
      <c r="AK13" s="118">
        <v>-26649.67727</v>
      </c>
      <c r="AL13" s="262">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row>
    <row r="14" spans="1:55" ht="14.1" customHeight="1" x14ac:dyDescent="0.2">
      <c r="A14" s="23"/>
      <c r="B14" s="119" t="s">
        <v>226</v>
      </c>
      <c r="C14" s="120">
        <f t="shared" ref="C14:AJ14" si="6">C12+C13</f>
        <v>14073</v>
      </c>
      <c r="D14" s="120">
        <f t="shared" si="6"/>
        <v>12871</v>
      </c>
      <c r="E14" s="120">
        <f t="shared" si="6"/>
        <v>2599</v>
      </c>
      <c r="F14" s="120">
        <f t="shared" si="6"/>
        <v>-252</v>
      </c>
      <c r="G14" s="120">
        <f t="shared" si="6"/>
        <v>-15466</v>
      </c>
      <c r="H14" s="120">
        <f t="shared" si="6"/>
        <v>-10190</v>
      </c>
      <c r="I14" s="120">
        <f t="shared" si="6"/>
        <v>-25151</v>
      </c>
      <c r="J14" s="120">
        <f t="shared" si="6"/>
        <v>-10392</v>
      </c>
      <c r="K14" s="120">
        <f t="shared" si="6"/>
        <v>-9667</v>
      </c>
      <c r="L14" s="120">
        <f t="shared" si="6"/>
        <v>-2354</v>
      </c>
      <c r="M14" s="120">
        <f t="shared" si="6"/>
        <v>11261</v>
      </c>
      <c r="N14" s="120">
        <f t="shared" si="6"/>
        <v>762</v>
      </c>
      <c r="O14" s="120">
        <f t="shared" si="6"/>
        <v>-556</v>
      </c>
      <c r="P14" s="120">
        <f t="shared" si="6"/>
        <v>-5547</v>
      </c>
      <c r="Q14" s="120">
        <f t="shared" si="6"/>
        <v>2842</v>
      </c>
      <c r="R14" s="120">
        <f t="shared" si="6"/>
        <v>2075.3299300000144</v>
      </c>
      <c r="S14" s="120">
        <f t="shared" si="6"/>
        <v>3687.5206700000053</v>
      </c>
      <c r="T14" s="120">
        <f t="shared" si="6"/>
        <v>4135.0848600000027</v>
      </c>
      <c r="U14" s="120">
        <f t="shared" si="6"/>
        <v>3424.4915800000017</v>
      </c>
      <c r="V14" s="120">
        <f t="shared" si="6"/>
        <v>5690.6890899999999</v>
      </c>
      <c r="W14" s="120">
        <f t="shared" si="6"/>
        <v>6431.8646100000115</v>
      </c>
      <c r="X14" s="120">
        <f t="shared" si="6"/>
        <v>14273.874929999998</v>
      </c>
      <c r="Y14" s="120">
        <f t="shared" si="6"/>
        <v>6545.2573099999936</v>
      </c>
      <c r="Z14" s="120">
        <f t="shared" si="6"/>
        <v>10770.798369999997</v>
      </c>
      <c r="AA14" s="120">
        <f t="shared" si="6"/>
        <v>7508.3831800000007</v>
      </c>
      <c r="AB14" s="120">
        <f t="shared" si="6"/>
        <v>7455.1215200000006</v>
      </c>
      <c r="AC14" s="120">
        <f t="shared" si="6"/>
        <v>3518.8131099999991</v>
      </c>
      <c r="AD14" s="120">
        <f t="shared" si="6"/>
        <v>8219.9096400000017</v>
      </c>
      <c r="AE14" s="163">
        <f t="shared" si="6"/>
        <v>12926.425869999999</v>
      </c>
      <c r="AF14" s="120">
        <f t="shared" si="6"/>
        <v>10345.172890000002</v>
      </c>
      <c r="AG14" s="120">
        <f t="shared" si="6"/>
        <v>14663.030280000003</v>
      </c>
      <c r="AH14" s="120">
        <f t="shared" si="6"/>
        <v>13726.369109999996</v>
      </c>
      <c r="AI14" s="120">
        <f t="shared" si="6"/>
        <v>15036.271420000005</v>
      </c>
      <c r="AJ14" s="120">
        <f t="shared" si="6"/>
        <v>16507.663809999998</v>
      </c>
      <c r="AK14" s="120">
        <f t="shared" ref="AK14:AR14" si="7">AK12+AK13</f>
        <v>17074.426960000004</v>
      </c>
      <c r="AL14" s="120">
        <f t="shared" si="7"/>
        <v>11715.849170000001</v>
      </c>
      <c r="AM14" s="120">
        <f t="shared" si="7"/>
        <v>10147.146789999999</v>
      </c>
      <c r="AN14" s="120">
        <f t="shared" si="7"/>
        <v>12453.057139999997</v>
      </c>
      <c r="AO14" s="120">
        <f t="shared" si="7"/>
        <v>11944.387340000005</v>
      </c>
      <c r="AP14" s="120">
        <f t="shared" si="7"/>
        <v>10088.517930000009</v>
      </c>
      <c r="AQ14" s="120">
        <f t="shared" si="7"/>
        <v>14227.445899999992</v>
      </c>
      <c r="AR14" s="120">
        <f t="shared" si="7"/>
        <v>12184.029510000004</v>
      </c>
      <c r="AS14" s="120">
        <f t="shared" ref="AS14:BB14" si="8">AS12+AS13</f>
        <v>13982.777739999994</v>
      </c>
      <c r="AT14" s="120">
        <f t="shared" si="8"/>
        <v>11408.35729</v>
      </c>
      <c r="AU14" s="120">
        <f t="shared" si="8"/>
        <v>11035.461330000002</v>
      </c>
      <c r="AV14" s="120">
        <f t="shared" si="8"/>
        <v>11650.017139999996</v>
      </c>
      <c r="AW14" s="120">
        <f t="shared" si="8"/>
        <v>12493.387620000009</v>
      </c>
      <c r="AX14" s="120">
        <f t="shared" si="8"/>
        <v>13435.493230000004</v>
      </c>
      <c r="AY14" s="120">
        <f t="shared" si="8"/>
        <v>10896.952349999996</v>
      </c>
      <c r="AZ14" s="120">
        <f t="shared" si="8"/>
        <v>12383.087290000003</v>
      </c>
      <c r="BA14" s="120">
        <f t="shared" si="8"/>
        <v>11260.907829999996</v>
      </c>
      <c r="BB14" s="120">
        <f t="shared" si="8"/>
        <v>9135.2499500000013</v>
      </c>
    </row>
    <row r="15" spans="1:55" ht="14.1" customHeight="1" x14ac:dyDescent="0.2">
      <c r="A15" s="22"/>
      <c r="B15" s="117" t="s">
        <v>953</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2">
        <v>-16744.44572</v>
      </c>
      <c r="S15" s="118">
        <v>-165.55530000000022</v>
      </c>
      <c r="T15" s="118">
        <v>-1212.54413</v>
      </c>
      <c r="U15" s="118">
        <v>-1639.86968</v>
      </c>
      <c r="V15" s="118">
        <v>-2588.8256799999999</v>
      </c>
      <c r="W15" s="118">
        <v>-1342.9465300000002</v>
      </c>
      <c r="X15" s="262">
        <v>-4629.9583400000001</v>
      </c>
      <c r="Y15" s="262">
        <v>-6174.9351400000014</v>
      </c>
      <c r="Z15" s="262">
        <v>-9192.1338500000002</v>
      </c>
      <c r="AA15" s="118">
        <v>-667.74580000000003</v>
      </c>
      <c r="AB15" s="118">
        <v>-554.25487999999996</v>
      </c>
      <c r="AC15" s="118">
        <v>-382.59770999999995</v>
      </c>
      <c r="AD15" s="262">
        <v>-4590.3418099999999</v>
      </c>
      <c r="AE15" s="161">
        <v>600.34452999999996</v>
      </c>
      <c r="AF15" s="118">
        <v>446.94294000000008</v>
      </c>
      <c r="AG15" s="262">
        <v>1595.35897</v>
      </c>
      <c r="AH15" s="118">
        <v>-1102.86581</v>
      </c>
      <c r="AI15" s="118">
        <v>-95.066719999999975</v>
      </c>
      <c r="AJ15" s="118">
        <v>-199.52291000000005</v>
      </c>
      <c r="AK15" s="118">
        <v>-557.19947999999999</v>
      </c>
      <c r="AL15" s="262">
        <v>-1845.8614499999999</v>
      </c>
      <c r="AM15" s="118">
        <v>-76.880210000000019</v>
      </c>
      <c r="AN15" s="262">
        <v>5151.1847200000002</v>
      </c>
      <c r="AO15" s="118">
        <v>13.98998000000006</v>
      </c>
      <c r="AP15" s="262">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2">
        <v>-2540.4430400000001</v>
      </c>
      <c r="AZ15" s="262">
        <v>-1844.8559499999999</v>
      </c>
      <c r="BA15" s="262">
        <v>-3253.43165</v>
      </c>
      <c r="BB15" s="262">
        <v>-3407.9472599999999</v>
      </c>
    </row>
    <row r="16" spans="1:55" ht="14.1" customHeight="1" x14ac:dyDescent="0.2">
      <c r="A16" s="23"/>
      <c r="B16" s="119" t="s">
        <v>8</v>
      </c>
      <c r="C16" s="120">
        <f t="shared" ref="C16:AP16" si="9">+C14+C15</f>
        <v>8793</v>
      </c>
      <c r="D16" s="120">
        <f t="shared" si="9"/>
        <v>5858</v>
      </c>
      <c r="E16" s="120">
        <f t="shared" si="9"/>
        <v>-5632</v>
      </c>
      <c r="F16" s="120">
        <f t="shared" si="9"/>
        <v>5085</v>
      </c>
      <c r="G16" s="120">
        <f t="shared" si="9"/>
        <v>-18469</v>
      </c>
      <c r="H16" s="120">
        <f t="shared" si="9"/>
        <v>-20362</v>
      </c>
      <c r="I16" s="120">
        <f t="shared" si="9"/>
        <v>-28784</v>
      </c>
      <c r="J16" s="120">
        <f t="shared" si="9"/>
        <v>-12710</v>
      </c>
      <c r="K16" s="120">
        <f t="shared" si="9"/>
        <v>-10586</v>
      </c>
      <c r="L16" s="120">
        <f t="shared" si="9"/>
        <v>-4662</v>
      </c>
      <c r="M16" s="120">
        <f t="shared" si="9"/>
        <v>-4039</v>
      </c>
      <c r="N16" s="120">
        <f t="shared" si="9"/>
        <v>3236</v>
      </c>
      <c r="O16" s="120">
        <f t="shared" si="9"/>
        <v>621</v>
      </c>
      <c r="P16" s="120">
        <f t="shared" si="9"/>
        <v>-7397</v>
      </c>
      <c r="Q16" s="120">
        <f t="shared" si="9"/>
        <v>75</v>
      </c>
      <c r="R16" s="120">
        <f t="shared" si="9"/>
        <v>-14669.115789999985</v>
      </c>
      <c r="S16" s="120">
        <f t="shared" si="9"/>
        <v>3521.9653700000054</v>
      </c>
      <c r="T16" s="120">
        <f t="shared" si="9"/>
        <v>2922.5407300000024</v>
      </c>
      <c r="U16" s="120">
        <f t="shared" si="9"/>
        <v>1784.6219000000017</v>
      </c>
      <c r="V16" s="120">
        <f t="shared" si="9"/>
        <v>3101.8634099999999</v>
      </c>
      <c r="W16" s="120">
        <f t="shared" si="9"/>
        <v>5088.9180800000113</v>
      </c>
      <c r="X16" s="120">
        <f t="shared" si="9"/>
        <v>9643.9165899999971</v>
      </c>
      <c r="Y16" s="120">
        <f t="shared" si="9"/>
        <v>370.32216999999218</v>
      </c>
      <c r="Z16" s="120">
        <f t="shared" si="9"/>
        <v>1578.6645199999966</v>
      </c>
      <c r="AA16" s="120">
        <f t="shared" si="9"/>
        <v>6840.637380000001</v>
      </c>
      <c r="AB16" s="120">
        <f t="shared" si="9"/>
        <v>6900.8666400000002</v>
      </c>
      <c r="AC16" s="120">
        <f t="shared" si="9"/>
        <v>3136.2153999999991</v>
      </c>
      <c r="AD16" s="120">
        <f t="shared" si="9"/>
        <v>3629.5678300000018</v>
      </c>
      <c r="AE16" s="163">
        <f t="shared" si="9"/>
        <v>13526.770399999999</v>
      </c>
      <c r="AF16" s="120">
        <f t="shared" si="9"/>
        <v>10792.115830000002</v>
      </c>
      <c r="AG16" s="120">
        <f t="shared" si="9"/>
        <v>16258.389250000002</v>
      </c>
      <c r="AH16" s="120">
        <f t="shared" si="9"/>
        <v>12623.503299999997</v>
      </c>
      <c r="AI16" s="120">
        <f t="shared" si="9"/>
        <v>14941.204700000004</v>
      </c>
      <c r="AJ16" s="120">
        <f t="shared" si="9"/>
        <v>16308.140899999999</v>
      </c>
      <c r="AK16" s="120">
        <f t="shared" si="9"/>
        <v>16517.227480000005</v>
      </c>
      <c r="AL16" s="120">
        <f t="shared" si="9"/>
        <v>9869.987720000001</v>
      </c>
      <c r="AM16" s="120">
        <f t="shared" si="9"/>
        <v>10070.26658</v>
      </c>
      <c r="AN16" s="120">
        <f t="shared" si="9"/>
        <v>17604.241859999998</v>
      </c>
      <c r="AO16" s="120">
        <f t="shared" si="9"/>
        <v>11958.377320000005</v>
      </c>
      <c r="AP16" s="120">
        <f t="shared" si="9"/>
        <v>11915.959160000009</v>
      </c>
      <c r="AQ16" s="120">
        <f t="shared" ref="AQ16:AV16" si="10">+AQ14+AQ15</f>
        <v>14024.906889999991</v>
      </c>
      <c r="AR16" s="120">
        <f t="shared" si="10"/>
        <v>11354.191860000004</v>
      </c>
      <c r="AS16" s="120">
        <f t="shared" si="10"/>
        <v>13971.477289999993</v>
      </c>
      <c r="AT16" s="120">
        <f t="shared" si="10"/>
        <v>11265.87644</v>
      </c>
      <c r="AU16" s="120">
        <f t="shared" si="10"/>
        <v>11127.471440000001</v>
      </c>
      <c r="AV16" s="120">
        <f t="shared" si="10"/>
        <v>11565.998679999997</v>
      </c>
      <c r="AW16" s="120">
        <f t="shared" ref="AW16:BB16" si="11">+AW14+AW15</f>
        <v>12418.770880000009</v>
      </c>
      <c r="AX16" s="120">
        <f t="shared" si="11"/>
        <v>11736.273050000003</v>
      </c>
      <c r="AY16" s="120">
        <f t="shared" si="11"/>
        <v>8356.5093099999958</v>
      </c>
      <c r="AZ16" s="120">
        <f t="shared" si="11"/>
        <v>10538.231340000004</v>
      </c>
      <c r="BA16" s="120">
        <f t="shared" si="11"/>
        <v>8007.476179999996</v>
      </c>
      <c r="BB16" s="120">
        <f t="shared" si="11"/>
        <v>5727.3026900000013</v>
      </c>
    </row>
    <row r="17" spans="1:54" ht="14.1" customHeight="1" x14ac:dyDescent="0.2">
      <c r="A17" s="23"/>
      <c r="B17" s="337" t="s">
        <v>952</v>
      </c>
      <c r="C17" s="118" t="s">
        <v>47</v>
      </c>
      <c r="D17" s="118" t="s">
        <v>47</v>
      </c>
      <c r="E17" s="118" t="s">
        <v>47</v>
      </c>
      <c r="F17" s="118" t="s">
        <v>47</v>
      </c>
      <c r="G17" s="118" t="s">
        <v>47</v>
      </c>
      <c r="H17" s="118" t="s">
        <v>47</v>
      </c>
      <c r="I17" s="118" t="s">
        <v>47</v>
      </c>
      <c r="J17" s="118" t="s">
        <v>47</v>
      </c>
      <c r="K17" s="118" t="s">
        <v>47</v>
      </c>
      <c r="L17" s="118" t="s">
        <v>47</v>
      </c>
      <c r="M17" s="118" t="s">
        <v>47</v>
      </c>
      <c r="N17" s="118" t="s">
        <v>47</v>
      </c>
      <c r="O17" s="118" t="s">
        <v>47</v>
      </c>
      <c r="P17" s="118" t="s">
        <v>47</v>
      </c>
      <c r="Q17" s="118" t="s">
        <v>47</v>
      </c>
      <c r="R17" s="118" t="s">
        <v>47</v>
      </c>
      <c r="S17" s="118" t="s">
        <v>47</v>
      </c>
      <c r="T17" s="118" t="s">
        <v>47</v>
      </c>
      <c r="U17" s="118" t="s">
        <v>47</v>
      </c>
      <c r="V17" s="118" t="s">
        <v>47</v>
      </c>
      <c r="W17" s="118" t="s">
        <v>47</v>
      </c>
      <c r="X17" s="118" t="s">
        <v>47</v>
      </c>
      <c r="Y17" s="118" t="s">
        <v>47</v>
      </c>
      <c r="Z17" s="118" t="s">
        <v>47</v>
      </c>
      <c r="AA17" s="118" t="s">
        <v>47</v>
      </c>
      <c r="AB17" s="118" t="s">
        <v>47</v>
      </c>
      <c r="AC17" s="118" t="s">
        <v>47</v>
      </c>
      <c r="AD17" s="118">
        <v>-372.3470810139998</v>
      </c>
      <c r="AE17" s="161">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47</v>
      </c>
      <c r="AZ17" s="118" t="s">
        <v>47</v>
      </c>
      <c r="BA17" s="118">
        <v>0</v>
      </c>
      <c r="BB17" s="118">
        <v>0</v>
      </c>
    </row>
    <row r="18" spans="1:54" ht="14.1" customHeight="1" x14ac:dyDescent="0.2">
      <c r="A18" s="23"/>
      <c r="B18" s="337" t="s">
        <v>1180</v>
      </c>
      <c r="C18" s="118" t="s">
        <v>47</v>
      </c>
      <c r="D18" s="118" t="s">
        <v>47</v>
      </c>
      <c r="E18" s="118" t="s">
        <v>47</v>
      </c>
      <c r="F18" s="118" t="s">
        <v>47</v>
      </c>
      <c r="G18" s="118" t="s">
        <v>47</v>
      </c>
      <c r="H18" s="118" t="s">
        <v>47</v>
      </c>
      <c r="I18" s="118" t="s">
        <v>47</v>
      </c>
      <c r="J18" s="118" t="s">
        <v>47</v>
      </c>
      <c r="K18" s="118" t="s">
        <v>47</v>
      </c>
      <c r="L18" s="118" t="s">
        <v>47</v>
      </c>
      <c r="M18" s="118" t="s">
        <v>47</v>
      </c>
      <c r="N18" s="118" t="s">
        <v>47</v>
      </c>
      <c r="O18" s="118" t="s">
        <v>47</v>
      </c>
      <c r="P18" s="118" t="s">
        <v>47</v>
      </c>
      <c r="Q18" s="118" t="s">
        <v>47</v>
      </c>
      <c r="R18" s="118" t="s">
        <v>47</v>
      </c>
      <c r="S18" s="118" t="s">
        <v>47</v>
      </c>
      <c r="T18" s="118" t="s">
        <v>47</v>
      </c>
      <c r="U18" s="118" t="s">
        <v>47</v>
      </c>
      <c r="V18" s="118" t="s">
        <v>47</v>
      </c>
      <c r="W18" s="118" t="s">
        <v>47</v>
      </c>
      <c r="X18" s="118" t="s">
        <v>47</v>
      </c>
      <c r="Y18" s="118" t="s">
        <v>47</v>
      </c>
      <c r="Z18" s="118" t="s">
        <v>47</v>
      </c>
      <c r="AA18" s="118" t="s">
        <v>47</v>
      </c>
      <c r="AB18" s="118" t="s">
        <v>47</v>
      </c>
      <c r="AC18" s="118" t="s">
        <v>47</v>
      </c>
      <c r="AD18" s="118" t="s">
        <v>47</v>
      </c>
      <c r="AE18" s="161" t="s">
        <v>47</v>
      </c>
      <c r="AF18" s="118" t="s">
        <v>47</v>
      </c>
      <c r="AG18" s="118" t="s">
        <v>47</v>
      </c>
      <c r="AH18" s="118" t="s">
        <v>47</v>
      </c>
      <c r="AI18" s="118" t="s">
        <v>47</v>
      </c>
      <c r="AJ18" s="118" t="s">
        <v>47</v>
      </c>
      <c r="AK18" s="118" t="s">
        <v>47</v>
      </c>
      <c r="AL18" s="118" t="s">
        <v>47</v>
      </c>
      <c r="AM18" s="118" t="s">
        <v>47</v>
      </c>
      <c r="AN18" s="118" t="s">
        <v>47</v>
      </c>
      <c r="AO18" s="118" t="s">
        <v>47</v>
      </c>
      <c r="AP18" s="118">
        <v>-2591</v>
      </c>
      <c r="AQ18" s="118" t="s">
        <v>47</v>
      </c>
      <c r="AR18" s="118" t="s">
        <v>47</v>
      </c>
      <c r="AS18" s="118" t="s">
        <v>47</v>
      </c>
      <c r="AT18" s="118" t="s">
        <v>47</v>
      </c>
      <c r="AU18" s="118" t="s">
        <v>47</v>
      </c>
      <c r="AV18" s="118" t="s">
        <v>47</v>
      </c>
      <c r="AW18" s="118" t="s">
        <v>47</v>
      </c>
      <c r="AX18" s="118" t="s">
        <v>47</v>
      </c>
      <c r="AY18" s="118" t="s">
        <v>47</v>
      </c>
      <c r="AZ18" s="118" t="s">
        <v>47</v>
      </c>
      <c r="BA18" s="118" t="s">
        <v>47</v>
      </c>
      <c r="BB18" s="118" t="s">
        <v>47</v>
      </c>
    </row>
    <row r="19" spans="1:54" ht="14.1" customHeight="1" x14ac:dyDescent="0.2">
      <c r="A19" s="23"/>
      <c r="B19" s="337" t="s">
        <v>1169</v>
      </c>
      <c r="C19" s="118" t="s">
        <v>47</v>
      </c>
      <c r="D19" s="118" t="s">
        <v>47</v>
      </c>
      <c r="E19" s="118" t="s">
        <v>47</v>
      </c>
      <c r="F19" s="118" t="s">
        <v>47</v>
      </c>
      <c r="G19" s="118" t="s">
        <v>47</v>
      </c>
      <c r="H19" s="118" t="s">
        <v>47</v>
      </c>
      <c r="I19" s="118" t="s">
        <v>47</v>
      </c>
      <c r="J19" s="118" t="s">
        <v>47</v>
      </c>
      <c r="K19" s="118" t="s">
        <v>47</v>
      </c>
      <c r="L19" s="118" t="s">
        <v>47</v>
      </c>
      <c r="M19" s="118" t="s">
        <v>47</v>
      </c>
      <c r="N19" s="118" t="s">
        <v>47</v>
      </c>
      <c r="O19" s="118" t="s">
        <v>47</v>
      </c>
      <c r="P19" s="118" t="s">
        <v>47</v>
      </c>
      <c r="Q19" s="118" t="s">
        <v>47</v>
      </c>
      <c r="R19" s="118" t="s">
        <v>47</v>
      </c>
      <c r="S19" s="118" t="s">
        <v>47</v>
      </c>
      <c r="T19" s="118" t="s">
        <v>47</v>
      </c>
      <c r="U19" s="118" t="s">
        <v>47</v>
      </c>
      <c r="V19" s="118" t="s">
        <v>47</v>
      </c>
      <c r="W19" s="118" t="s">
        <v>47</v>
      </c>
      <c r="X19" s="118" t="s">
        <v>47</v>
      </c>
      <c r="Y19" s="118" t="s">
        <v>47</v>
      </c>
      <c r="Z19" s="118" t="s">
        <v>47</v>
      </c>
      <c r="AA19" s="118" t="s">
        <v>47</v>
      </c>
      <c r="AB19" s="118" t="s">
        <v>47</v>
      </c>
      <c r="AC19" s="118" t="s">
        <v>47</v>
      </c>
      <c r="AD19" s="118" t="s">
        <v>47</v>
      </c>
      <c r="AE19" s="161" t="s">
        <v>47</v>
      </c>
      <c r="AF19" s="118" t="s">
        <v>47</v>
      </c>
      <c r="AG19" s="118" t="s">
        <v>47</v>
      </c>
      <c r="AH19" s="118" t="s">
        <v>47</v>
      </c>
      <c r="AI19" s="118" t="s">
        <v>47</v>
      </c>
      <c r="AJ19" s="118" t="s">
        <v>47</v>
      </c>
      <c r="AK19" s="118" t="s">
        <v>47</v>
      </c>
      <c r="AL19" s="118" t="s">
        <v>47</v>
      </c>
      <c r="AM19" s="118" t="s">
        <v>47</v>
      </c>
      <c r="AN19" s="118" t="s">
        <v>47</v>
      </c>
      <c r="AO19" s="118">
        <v>0</v>
      </c>
      <c r="AP19" s="118">
        <v>0</v>
      </c>
      <c r="AQ19" s="118">
        <v>0</v>
      </c>
      <c r="AR19" s="118">
        <v>0</v>
      </c>
      <c r="AS19" s="118">
        <v>0</v>
      </c>
      <c r="AT19" s="118">
        <v>0</v>
      </c>
      <c r="AU19" s="118">
        <v>0</v>
      </c>
      <c r="AV19" s="118">
        <v>0</v>
      </c>
      <c r="AW19" s="118">
        <v>0</v>
      </c>
      <c r="AX19" s="118">
        <v>0</v>
      </c>
      <c r="AY19" s="118" t="s">
        <v>47</v>
      </c>
      <c r="AZ19" s="118" t="s">
        <v>47</v>
      </c>
      <c r="BA19" s="118">
        <v>0</v>
      </c>
      <c r="BB19" s="118">
        <v>0</v>
      </c>
    </row>
    <row r="20" spans="1:54" ht="14.1" customHeight="1" x14ac:dyDescent="0.2">
      <c r="A20" s="23"/>
      <c r="B20" s="337" t="s">
        <v>975</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1">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47</v>
      </c>
      <c r="AZ20" s="118" t="s">
        <v>47</v>
      </c>
      <c r="BA20" s="118">
        <v>0</v>
      </c>
      <c r="BB20" s="118">
        <v>0</v>
      </c>
    </row>
    <row r="21" spans="1:54" ht="14.1" customHeight="1" x14ac:dyDescent="0.2">
      <c r="A21" s="23"/>
      <c r="B21" s="337" t="s">
        <v>951</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47</v>
      </c>
      <c r="AB21" s="118" t="s">
        <v>47</v>
      </c>
      <c r="AC21" s="118" t="s">
        <v>47</v>
      </c>
      <c r="AD21" s="118">
        <v>0</v>
      </c>
      <c r="AE21" s="161">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47</v>
      </c>
      <c r="AZ21" s="118" t="s">
        <v>47</v>
      </c>
      <c r="BA21" s="118">
        <v>0</v>
      </c>
      <c r="BB21" s="118">
        <v>0</v>
      </c>
    </row>
    <row r="22" spans="1:54" ht="14.1" customHeight="1" x14ac:dyDescent="0.2">
      <c r="A22" s="23"/>
      <c r="B22" s="337" t="s">
        <v>1201</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47</v>
      </c>
      <c r="AB22" s="118" t="s">
        <v>47</v>
      </c>
      <c r="AC22" s="118" t="s">
        <v>47</v>
      </c>
      <c r="AD22" s="118">
        <v>0</v>
      </c>
      <c r="AE22" s="161">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47</v>
      </c>
      <c r="AZ22" s="118" t="s">
        <v>47</v>
      </c>
      <c r="BA22" s="118">
        <v>0</v>
      </c>
      <c r="BB22" s="118">
        <v>0</v>
      </c>
    </row>
    <row r="23" spans="1:54" ht="14.1" customHeight="1" x14ac:dyDescent="0.2">
      <c r="A23" s="23"/>
      <c r="B23" s="337" t="s">
        <v>835</v>
      </c>
      <c r="C23" s="118" t="s">
        <v>47</v>
      </c>
      <c r="D23" s="118" t="s">
        <v>47</v>
      </c>
      <c r="E23" s="118" t="s">
        <v>47</v>
      </c>
      <c r="F23" s="118" t="s">
        <v>47</v>
      </c>
      <c r="G23" s="118" t="s">
        <v>47</v>
      </c>
      <c r="H23" s="118" t="s">
        <v>47</v>
      </c>
      <c r="I23" s="118" t="s">
        <v>47</v>
      </c>
      <c r="J23" s="118" t="s">
        <v>47</v>
      </c>
      <c r="K23" s="118" t="s">
        <v>47</v>
      </c>
      <c r="L23" s="118" t="s">
        <v>47</v>
      </c>
      <c r="M23" s="118" t="s">
        <v>47</v>
      </c>
      <c r="N23" s="118" t="s">
        <v>47</v>
      </c>
      <c r="O23" s="118" t="s">
        <v>47</v>
      </c>
      <c r="P23" s="118" t="s">
        <v>47</v>
      </c>
      <c r="Q23" s="118" t="s">
        <v>47</v>
      </c>
      <c r="R23" s="118" t="s">
        <v>47</v>
      </c>
      <c r="S23" s="118" t="s">
        <v>47</v>
      </c>
      <c r="T23" s="118" t="s">
        <v>47</v>
      </c>
      <c r="U23" s="118" t="s">
        <v>47</v>
      </c>
      <c r="V23" s="118" t="s">
        <v>47</v>
      </c>
      <c r="W23" s="118" t="s">
        <v>47</v>
      </c>
      <c r="X23" s="118" t="s">
        <v>47</v>
      </c>
      <c r="Y23" s="118" t="s">
        <v>47</v>
      </c>
      <c r="Z23" s="118" t="s">
        <v>47</v>
      </c>
      <c r="AA23" s="118" t="s">
        <v>47</v>
      </c>
      <c r="AB23" s="118" t="s">
        <v>47</v>
      </c>
      <c r="AC23" s="118">
        <f>5251.75993</f>
        <v>5251.7599300000002</v>
      </c>
      <c r="AD23" s="118">
        <v>0</v>
      </c>
      <c r="AE23" s="161">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47</v>
      </c>
      <c r="AZ23" s="118" t="s">
        <v>47</v>
      </c>
      <c r="BA23" s="118">
        <v>0</v>
      </c>
      <c r="BB23" s="118">
        <v>0</v>
      </c>
    </row>
    <row r="24" spans="1:54" ht="14.1" customHeight="1" x14ac:dyDescent="0.2">
      <c r="A24" s="23"/>
      <c r="B24" s="337" t="s">
        <v>254</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'Expenses by nature'!J30+'Expenses by nature'!J27</f>
        <v>6697.1685799999996</v>
      </c>
      <c r="S24" s="118">
        <v>0</v>
      </c>
      <c r="T24" s="118">
        <v>0</v>
      </c>
      <c r="U24" s="118">
        <v>0</v>
      </c>
      <c r="V24" s="118">
        <v>0</v>
      </c>
      <c r="W24" s="118">
        <v>0</v>
      </c>
      <c r="X24" s="118">
        <v>0</v>
      </c>
      <c r="Y24" s="118">
        <v>0</v>
      </c>
      <c r="Z24" s="118">
        <v>0</v>
      </c>
      <c r="AA24" s="118">
        <v>0</v>
      </c>
      <c r="AB24" s="118">
        <v>0</v>
      </c>
      <c r="AC24" s="118">
        <v>0</v>
      </c>
      <c r="AD24" s="118">
        <v>0</v>
      </c>
      <c r="AE24" s="161">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47</v>
      </c>
      <c r="AZ24" s="118" t="s">
        <v>47</v>
      </c>
      <c r="BA24" s="118">
        <v>0</v>
      </c>
      <c r="BB24" s="118">
        <v>0</v>
      </c>
    </row>
    <row r="25" spans="1:54" ht="14.1" customHeight="1" x14ac:dyDescent="0.2">
      <c r="A25" s="23"/>
      <c r="B25" s="337" t="s">
        <v>248</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+'Other accounts receivable'!Q41-'Other accounts receivable'!R41</f>
        <v>5733</v>
      </c>
      <c r="Z25" s="118">
        <f>+'Other accounts receivable'!R41-'Other accounts receivable'!S41</f>
        <v>5731</v>
      </c>
      <c r="AA25" s="118" t="s">
        <v>47</v>
      </c>
      <c r="AB25" s="118" t="s">
        <v>47</v>
      </c>
      <c r="AC25" s="118" t="s">
        <v>47</v>
      </c>
      <c r="AD25" s="118">
        <v>2859.0540299999998</v>
      </c>
      <c r="AE25" s="161">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47</v>
      </c>
      <c r="AZ25" s="118" t="s">
        <v>47</v>
      </c>
      <c r="BA25" s="118">
        <v>0</v>
      </c>
      <c r="BB25" s="118">
        <v>0</v>
      </c>
    </row>
    <row r="26" spans="1:54" s="221" customFormat="1" ht="14.1" hidden="1" customHeight="1" outlineLevel="1" x14ac:dyDescent="0.2">
      <c r="A26" s="229"/>
      <c r="B26" s="228" t="s">
        <v>252</v>
      </c>
      <c r="C26" s="219">
        <v>0</v>
      </c>
      <c r="D26" s="219">
        <v>0</v>
      </c>
      <c r="E26" s="219">
        <v>0</v>
      </c>
      <c r="F26" s="219">
        <v>-10000</v>
      </c>
      <c r="G26" s="219">
        <v>0</v>
      </c>
      <c r="H26" s="219">
        <v>0</v>
      </c>
      <c r="I26" s="219">
        <v>0</v>
      </c>
      <c r="J26" s="219">
        <v>0</v>
      </c>
      <c r="K26" s="219">
        <v>0</v>
      </c>
      <c r="L26" s="219">
        <v>0</v>
      </c>
      <c r="M26" s="219">
        <v>0</v>
      </c>
      <c r="N26" s="219">
        <v>0</v>
      </c>
      <c r="O26" s="219">
        <v>0</v>
      </c>
      <c r="P26" s="219">
        <v>0</v>
      </c>
      <c r="Q26" s="219">
        <v>0</v>
      </c>
      <c r="R26" s="219">
        <v>0</v>
      </c>
      <c r="S26" s="219">
        <v>0</v>
      </c>
      <c r="T26" s="219">
        <v>0</v>
      </c>
      <c r="U26" s="219">
        <v>0</v>
      </c>
      <c r="V26" s="219">
        <v>0</v>
      </c>
      <c r="W26" s="219">
        <v>0</v>
      </c>
      <c r="X26" s="219">
        <v>0</v>
      </c>
      <c r="Y26" s="219">
        <v>0</v>
      </c>
      <c r="Z26" s="219">
        <v>0</v>
      </c>
      <c r="AA26" s="219">
        <v>0</v>
      </c>
      <c r="AB26" s="219">
        <v>0</v>
      </c>
      <c r="AC26" s="219">
        <v>0</v>
      </c>
      <c r="AD26" s="219">
        <v>0</v>
      </c>
      <c r="AE26" s="161">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row>
    <row r="27" spans="1:54" s="221" customFormat="1" ht="14.1" hidden="1" customHeight="1" outlineLevel="1" x14ac:dyDescent="0.2">
      <c r="A27" s="229"/>
      <c r="B27" s="228" t="s">
        <v>247</v>
      </c>
      <c r="C27" s="219">
        <v>0</v>
      </c>
      <c r="D27" s="219">
        <v>0</v>
      </c>
      <c r="E27" s="219">
        <v>0</v>
      </c>
      <c r="F27" s="219">
        <v>0</v>
      </c>
      <c r="G27" s="219">
        <v>0</v>
      </c>
      <c r="H27" s="219">
        <v>0</v>
      </c>
      <c r="I27" s="219">
        <v>0</v>
      </c>
      <c r="J27" s="219">
        <v>0</v>
      </c>
      <c r="K27" s="219">
        <v>0</v>
      </c>
      <c r="L27" s="219">
        <v>0</v>
      </c>
      <c r="M27" s="219">
        <v>0</v>
      </c>
      <c r="N27" s="219">
        <v>0</v>
      </c>
      <c r="O27" s="219">
        <v>0</v>
      </c>
      <c r="P27" s="219">
        <v>0</v>
      </c>
      <c r="Q27" s="219">
        <v>0</v>
      </c>
      <c r="R27" s="219">
        <v>0</v>
      </c>
      <c r="S27" s="219">
        <v>0</v>
      </c>
      <c r="T27" s="219">
        <v>0</v>
      </c>
      <c r="U27" s="219">
        <v>0</v>
      </c>
      <c r="V27" s="219">
        <v>0</v>
      </c>
      <c r="W27" s="219">
        <v>0</v>
      </c>
      <c r="X27" s="219">
        <v>0</v>
      </c>
      <c r="Y27" s="219">
        <v>0</v>
      </c>
      <c r="Z27" s="219">
        <v>0</v>
      </c>
      <c r="AA27" s="219">
        <v>0</v>
      </c>
      <c r="AB27" s="219">
        <v>0</v>
      </c>
      <c r="AC27" s="219">
        <v>0</v>
      </c>
      <c r="AD27" s="219">
        <v>0</v>
      </c>
      <c r="AE27" s="161">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row>
    <row r="28" spans="1:54" s="221" customFormat="1" ht="14.1" hidden="1" customHeight="1" outlineLevel="1" x14ac:dyDescent="0.2">
      <c r="A28" s="229"/>
      <c r="B28" s="228" t="s">
        <v>786</v>
      </c>
      <c r="C28" s="219">
        <v>0</v>
      </c>
      <c r="D28" s="219">
        <v>0</v>
      </c>
      <c r="E28" s="219">
        <v>0</v>
      </c>
      <c r="F28" s="219">
        <v>0</v>
      </c>
      <c r="G28" s="219">
        <v>0</v>
      </c>
      <c r="H28" s="219">
        <v>0</v>
      </c>
      <c r="I28" s="219">
        <v>0</v>
      </c>
      <c r="J28" s="219">
        <v>0</v>
      </c>
      <c r="K28" s="219">
        <v>0</v>
      </c>
      <c r="L28" s="219">
        <v>0</v>
      </c>
      <c r="M28" s="219">
        <v>0</v>
      </c>
      <c r="N28" s="219">
        <v>0</v>
      </c>
      <c r="O28" s="219">
        <v>0</v>
      </c>
      <c r="P28" s="219">
        <v>0</v>
      </c>
      <c r="Q28" s="219">
        <v>0</v>
      </c>
      <c r="R28" s="219">
        <v>0</v>
      </c>
      <c r="S28" s="219">
        <v>0</v>
      </c>
      <c r="T28" s="219">
        <v>0</v>
      </c>
      <c r="U28" s="219">
        <v>0</v>
      </c>
      <c r="V28" s="219">
        <v>0</v>
      </c>
      <c r="W28" s="219">
        <v>0</v>
      </c>
      <c r="X28" s="219">
        <v>0</v>
      </c>
      <c r="Y28" s="219">
        <v>0</v>
      </c>
      <c r="Z28" s="219">
        <v>1677.1869000000004</v>
      </c>
      <c r="AA28" s="219" t="s">
        <v>47</v>
      </c>
      <c r="AB28" s="219" t="s">
        <v>47</v>
      </c>
      <c r="AC28" s="219" t="s">
        <v>47</v>
      </c>
      <c r="AD28" s="219">
        <v>0</v>
      </c>
      <c r="AE28" s="161">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row>
    <row r="29" spans="1:54" s="221" customFormat="1" ht="14.1" hidden="1" customHeight="1" outlineLevel="1" x14ac:dyDescent="0.2">
      <c r="A29" s="229"/>
      <c r="B29" s="228" t="s">
        <v>250</v>
      </c>
      <c r="C29" s="219">
        <v>0</v>
      </c>
      <c r="D29" s="219">
        <v>0</v>
      </c>
      <c r="E29" s="219">
        <v>0</v>
      </c>
      <c r="F29" s="219">
        <v>0</v>
      </c>
      <c r="G29" s="219">
        <v>0</v>
      </c>
      <c r="H29" s="219">
        <v>0</v>
      </c>
      <c r="I29" s="219">
        <v>0</v>
      </c>
      <c r="J29" s="219">
        <v>0</v>
      </c>
      <c r="K29" s="219">
        <v>0</v>
      </c>
      <c r="L29" s="219">
        <v>0</v>
      </c>
      <c r="M29" s="219">
        <v>0</v>
      </c>
      <c r="N29" s="219">
        <v>0</v>
      </c>
      <c r="O29" s="219">
        <v>0</v>
      </c>
      <c r="P29" s="219">
        <v>0</v>
      </c>
      <c r="Q29" s="219">
        <v>0</v>
      </c>
      <c r="R29" s="219">
        <v>0</v>
      </c>
      <c r="S29" s="219">
        <v>0</v>
      </c>
      <c r="T29" s="219">
        <v>0</v>
      </c>
      <c r="U29" s="219">
        <v>0</v>
      </c>
      <c r="V29" s="219">
        <v>0</v>
      </c>
      <c r="W29" s="219">
        <v>0</v>
      </c>
      <c r="X29" s="219">
        <f>+'Other accounts receivable'!P13-'Other accounts receivable'!Q13</f>
        <v>1767</v>
      </c>
      <c r="Y29" s="219">
        <v>0</v>
      </c>
      <c r="Z29" s="219">
        <v>0</v>
      </c>
      <c r="AA29" s="219">
        <v>0</v>
      </c>
      <c r="AB29" s="219">
        <v>0</v>
      </c>
      <c r="AC29" s="219">
        <v>0</v>
      </c>
      <c r="AD29" s="219">
        <v>0</v>
      </c>
      <c r="AE29" s="161">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row>
    <row r="30" spans="1:54" s="221" customFormat="1" ht="14.1" hidden="1" customHeight="1" outlineLevel="1" x14ac:dyDescent="0.2">
      <c r="A30" s="229"/>
      <c r="B30" s="228" t="s">
        <v>251</v>
      </c>
      <c r="C30" s="219">
        <v>0</v>
      </c>
      <c r="D30" s="219">
        <v>0</v>
      </c>
      <c r="E30" s="219">
        <v>0</v>
      </c>
      <c r="F30" s="219">
        <v>0</v>
      </c>
      <c r="G30" s="219">
        <v>0</v>
      </c>
      <c r="H30" s="219">
        <v>0</v>
      </c>
      <c r="I30" s="219">
        <v>0</v>
      </c>
      <c r="J30" s="219">
        <v>0</v>
      </c>
      <c r="K30" s="219">
        <v>0</v>
      </c>
      <c r="L30" s="219">
        <v>0</v>
      </c>
      <c r="M30" s="219">
        <v>0</v>
      </c>
      <c r="N30" s="219">
        <v>0</v>
      </c>
      <c r="O30" s="219">
        <v>0</v>
      </c>
      <c r="P30" s="219">
        <v>0</v>
      </c>
      <c r="Q30" s="219">
        <v>0</v>
      </c>
      <c r="R30" s="219">
        <v>0</v>
      </c>
      <c r="S30" s="219">
        <v>0</v>
      </c>
      <c r="T30" s="219">
        <v>0</v>
      </c>
      <c r="U30" s="219">
        <v>0</v>
      </c>
      <c r="V30" s="219">
        <v>0</v>
      </c>
      <c r="W30" s="219">
        <v>0</v>
      </c>
      <c r="X30" s="219">
        <v>-9847.0333800000008</v>
      </c>
      <c r="Y30" s="219">
        <v>0</v>
      </c>
      <c r="Z30" s="219">
        <v>0</v>
      </c>
      <c r="AA30" s="219">
        <v>0</v>
      </c>
      <c r="AB30" s="219">
        <v>0</v>
      </c>
      <c r="AC30" s="219">
        <v>0</v>
      </c>
      <c r="AD30" s="219">
        <v>0</v>
      </c>
      <c r="AE30" s="161">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row>
    <row r="31" spans="1:54" s="221" customFormat="1" ht="14.1" hidden="1" customHeight="1" outlineLevel="1" x14ac:dyDescent="0.2">
      <c r="A31" s="229"/>
      <c r="B31" s="228" t="s">
        <v>253</v>
      </c>
      <c r="C31" s="219">
        <v>0</v>
      </c>
      <c r="D31" s="219">
        <v>468</v>
      </c>
      <c r="E31" s="219">
        <v>234</v>
      </c>
      <c r="F31" s="219">
        <v>606</v>
      </c>
      <c r="G31" s="219">
        <v>1189</v>
      </c>
      <c r="H31" s="219">
        <v>5137</v>
      </c>
      <c r="I31" s="219">
        <v>434</v>
      </c>
      <c r="J31" s="219">
        <v>38</v>
      </c>
      <c r="K31" s="219">
        <v>0</v>
      </c>
      <c r="L31" s="219">
        <v>0</v>
      </c>
      <c r="M31" s="219">
        <v>0</v>
      </c>
      <c r="N31" s="219">
        <v>0</v>
      </c>
      <c r="O31" s="219">
        <v>0</v>
      </c>
      <c r="P31" s="219">
        <v>0</v>
      </c>
      <c r="Q31" s="219">
        <v>0</v>
      </c>
      <c r="R31" s="219">
        <v>0</v>
      </c>
      <c r="S31" s="219">
        <v>0</v>
      </c>
      <c r="T31" s="219">
        <v>0</v>
      </c>
      <c r="U31" s="219">
        <v>0</v>
      </c>
      <c r="V31" s="219">
        <v>0</v>
      </c>
      <c r="W31" s="219">
        <v>0</v>
      </c>
      <c r="X31" s="219">
        <v>0</v>
      </c>
      <c r="Y31" s="219">
        <v>0</v>
      </c>
      <c r="Z31" s="219">
        <v>0</v>
      </c>
      <c r="AA31" s="219">
        <v>0</v>
      </c>
      <c r="AB31" s="219">
        <v>0</v>
      </c>
      <c r="AC31" s="219">
        <v>0</v>
      </c>
      <c r="AD31" s="219">
        <v>0</v>
      </c>
      <c r="AE31" s="161">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row>
    <row r="32" spans="1:54" s="221" customFormat="1" ht="14.1" hidden="1" customHeight="1" outlineLevel="1" x14ac:dyDescent="0.2">
      <c r="A32" s="229"/>
      <c r="B32" s="228" t="s">
        <v>255</v>
      </c>
      <c r="C32" s="219">
        <v>0</v>
      </c>
      <c r="D32" s="219">
        <v>0</v>
      </c>
      <c r="E32" s="219">
        <v>0</v>
      </c>
      <c r="F32" s="219">
        <v>0</v>
      </c>
      <c r="G32" s="219">
        <v>0</v>
      </c>
      <c r="H32" s="219">
        <v>0</v>
      </c>
      <c r="I32" s="219">
        <v>0</v>
      </c>
      <c r="J32" s="219">
        <v>0</v>
      </c>
      <c r="K32" s="219">
        <v>0</v>
      </c>
      <c r="L32" s="219">
        <v>0</v>
      </c>
      <c r="M32" s="219">
        <v>0</v>
      </c>
      <c r="N32" s="219">
        <v>0</v>
      </c>
      <c r="O32" s="219">
        <v>0</v>
      </c>
      <c r="P32" s="219">
        <v>0</v>
      </c>
      <c r="Q32" s="219">
        <v>0</v>
      </c>
      <c r="R32" s="219">
        <v>0</v>
      </c>
      <c r="S32" s="219">
        <v>0</v>
      </c>
      <c r="T32" s="219">
        <v>0</v>
      </c>
      <c r="U32" s="219">
        <v>0</v>
      </c>
      <c r="V32" s="219">
        <v>0</v>
      </c>
      <c r="W32" s="219">
        <v>0</v>
      </c>
      <c r="X32" s="219">
        <v>0</v>
      </c>
      <c r="Y32" s="219">
        <v>0</v>
      </c>
      <c r="Z32" s="219">
        <v>0</v>
      </c>
      <c r="AA32" s="219">
        <v>0</v>
      </c>
      <c r="AB32" s="219">
        <v>0</v>
      </c>
      <c r="AC32" s="219">
        <v>0</v>
      </c>
      <c r="AD32" s="219">
        <v>0</v>
      </c>
      <c r="AE32" s="161">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row>
    <row r="33" spans="1:54" s="221" customFormat="1" ht="14.1" hidden="1" customHeight="1" outlineLevel="1" x14ac:dyDescent="0.2">
      <c r="A33" s="229"/>
      <c r="B33" s="228" t="s">
        <v>256</v>
      </c>
      <c r="C33" s="219">
        <v>0</v>
      </c>
      <c r="D33" s="219">
        <v>0</v>
      </c>
      <c r="E33" s="219">
        <v>1059</v>
      </c>
      <c r="F33" s="219">
        <v>0</v>
      </c>
      <c r="G33" s="219">
        <v>0</v>
      </c>
      <c r="H33" s="219">
        <v>0</v>
      </c>
      <c r="I33" s="219">
        <v>0</v>
      </c>
      <c r="J33" s="219">
        <v>0</v>
      </c>
      <c r="K33" s="219">
        <v>0</v>
      </c>
      <c r="L33" s="219">
        <v>0</v>
      </c>
      <c r="M33" s="219">
        <v>0</v>
      </c>
      <c r="N33" s="219">
        <v>0</v>
      </c>
      <c r="O33" s="219">
        <v>0</v>
      </c>
      <c r="P33" s="219">
        <f>'Expenses by nature'!H27</f>
        <v>3704.1926200000003</v>
      </c>
      <c r="Q33" s="219">
        <v>0</v>
      </c>
      <c r="R33" s="219">
        <v>0</v>
      </c>
      <c r="S33" s="219">
        <v>0</v>
      </c>
      <c r="T33" s="219">
        <v>0</v>
      </c>
      <c r="U33" s="219">
        <v>0</v>
      </c>
      <c r="V33" s="219">
        <v>0</v>
      </c>
      <c r="W33" s="219">
        <v>0</v>
      </c>
      <c r="X33" s="219">
        <v>0</v>
      </c>
      <c r="Y33" s="219">
        <v>0</v>
      </c>
      <c r="Z33" s="219">
        <v>0</v>
      </c>
      <c r="AA33" s="219">
        <v>0</v>
      </c>
      <c r="AB33" s="219">
        <v>0</v>
      </c>
      <c r="AC33" s="219">
        <v>0</v>
      </c>
      <c r="AD33" s="219">
        <v>0</v>
      </c>
      <c r="AE33" s="161">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row>
    <row r="34" spans="1:54" s="221" customFormat="1" ht="14.1" hidden="1" customHeight="1" outlineLevel="1" x14ac:dyDescent="0.2">
      <c r="A34" s="229"/>
      <c r="B34" s="228" t="s">
        <v>257</v>
      </c>
      <c r="C34" s="219">
        <v>0</v>
      </c>
      <c r="D34" s="219">
        <v>0</v>
      </c>
      <c r="E34" s="219">
        <v>0</v>
      </c>
      <c r="F34" s="219">
        <v>0</v>
      </c>
      <c r="G34" s="219">
        <v>0</v>
      </c>
      <c r="H34" s="219">
        <v>0</v>
      </c>
      <c r="I34" s="219">
        <v>17500</v>
      </c>
      <c r="J34" s="219">
        <v>3952</v>
      </c>
      <c r="K34" s="219">
        <v>0</v>
      </c>
      <c r="L34" s="219">
        <v>0</v>
      </c>
      <c r="M34" s="219">
        <v>0</v>
      </c>
      <c r="N34" s="219">
        <v>2194</v>
      </c>
      <c r="O34" s="219">
        <v>0</v>
      </c>
      <c r="P34" s="219">
        <v>0</v>
      </c>
      <c r="Q34" s="219">
        <v>0</v>
      </c>
      <c r="R34" s="219">
        <f>('Legal risks'!M59-'Legal risks'!N59+'Legal risks'!N40-'Legal risks'!M40)*-1</f>
        <v>14604</v>
      </c>
      <c r="S34" s="219">
        <v>0</v>
      </c>
      <c r="T34" s="219">
        <v>0</v>
      </c>
      <c r="U34" s="219">
        <v>0</v>
      </c>
      <c r="V34" s="219">
        <v>0</v>
      </c>
      <c r="W34" s="219">
        <v>0</v>
      </c>
      <c r="X34" s="219">
        <v>0</v>
      </c>
      <c r="Y34" s="219">
        <v>0</v>
      </c>
      <c r="Z34" s="219">
        <v>0</v>
      </c>
      <c r="AA34" s="219">
        <v>0</v>
      </c>
      <c r="AB34" s="219">
        <v>0</v>
      </c>
      <c r="AC34" s="219">
        <v>0</v>
      </c>
      <c r="AD34" s="219">
        <v>0</v>
      </c>
      <c r="AE34" s="161">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row>
    <row r="35" spans="1:54" ht="14.1" customHeight="1" collapsed="1" x14ac:dyDescent="0.2">
      <c r="A35" s="23"/>
      <c r="B35" s="119" t="s">
        <v>258</v>
      </c>
      <c r="C35" s="120">
        <f t="shared" ref="C35:AR35" si="12">SUM(C16:C34)</f>
        <v>8793</v>
      </c>
      <c r="D35" s="120">
        <f t="shared" si="12"/>
        <v>6326</v>
      </c>
      <c r="E35" s="120">
        <f t="shared" si="12"/>
        <v>-4339</v>
      </c>
      <c r="F35" s="120">
        <f t="shared" si="12"/>
        <v>-4309</v>
      </c>
      <c r="G35" s="120">
        <f t="shared" si="12"/>
        <v>-17280</v>
      </c>
      <c r="H35" s="120">
        <f t="shared" si="12"/>
        <v>-15225</v>
      </c>
      <c r="I35" s="120">
        <f t="shared" si="12"/>
        <v>-10850</v>
      </c>
      <c r="J35" s="120">
        <f t="shared" si="12"/>
        <v>-8720</v>
      </c>
      <c r="K35" s="120">
        <f t="shared" si="12"/>
        <v>-3668</v>
      </c>
      <c r="L35" s="120">
        <f t="shared" si="12"/>
        <v>-4662</v>
      </c>
      <c r="M35" s="120">
        <f t="shared" si="12"/>
        <v>-4039</v>
      </c>
      <c r="N35" s="120">
        <f t="shared" si="12"/>
        <v>5430</v>
      </c>
      <c r="O35" s="120">
        <f t="shared" si="12"/>
        <v>621</v>
      </c>
      <c r="P35" s="120">
        <f t="shared" si="12"/>
        <v>-3692.8073799999997</v>
      </c>
      <c r="Q35" s="120">
        <f t="shared" si="12"/>
        <v>75</v>
      </c>
      <c r="R35" s="120">
        <f t="shared" si="12"/>
        <v>6632.0527900000143</v>
      </c>
      <c r="S35" s="120">
        <f t="shared" si="12"/>
        <v>3521.9653700000054</v>
      </c>
      <c r="T35" s="120">
        <f t="shared" si="12"/>
        <v>2922.5407300000024</v>
      </c>
      <c r="U35" s="120">
        <f t="shared" si="12"/>
        <v>1784.6219000000017</v>
      </c>
      <c r="V35" s="120">
        <f t="shared" si="12"/>
        <v>3101.8634099999999</v>
      </c>
      <c r="W35" s="120">
        <f t="shared" si="12"/>
        <v>5088.9180800000113</v>
      </c>
      <c r="X35" s="120">
        <f t="shared" si="12"/>
        <v>1563.8832099999963</v>
      </c>
      <c r="Y35" s="120">
        <f t="shared" si="12"/>
        <v>6103.3221699999922</v>
      </c>
      <c r="Z35" s="120">
        <f t="shared" si="12"/>
        <v>3839.2210800000003</v>
      </c>
      <c r="AA35" s="120">
        <f t="shared" si="12"/>
        <v>6840.637380000001</v>
      </c>
      <c r="AB35" s="120">
        <f t="shared" si="12"/>
        <v>6900.8666400000002</v>
      </c>
      <c r="AC35" s="120">
        <f t="shared" si="12"/>
        <v>8387.9753299999993</v>
      </c>
      <c r="AD35" s="120">
        <f t="shared" si="12"/>
        <v>6116.2747789860023</v>
      </c>
      <c r="AE35" s="163">
        <f t="shared" si="12"/>
        <v>13526.770399999999</v>
      </c>
      <c r="AF35" s="120">
        <f t="shared" si="12"/>
        <v>10792.115830000002</v>
      </c>
      <c r="AG35" s="120">
        <f t="shared" si="12"/>
        <v>14657.471238841323</v>
      </c>
      <c r="AH35" s="120">
        <f t="shared" si="12"/>
        <v>12623.503299999997</v>
      </c>
      <c r="AI35" s="120">
        <f t="shared" si="12"/>
        <v>14941.204700000004</v>
      </c>
      <c r="AJ35" s="120">
        <f t="shared" si="12"/>
        <v>16308.140899999999</v>
      </c>
      <c r="AK35" s="120">
        <f t="shared" si="12"/>
        <v>16517.227480000005</v>
      </c>
      <c r="AL35" s="120">
        <f t="shared" si="12"/>
        <v>15090.259720000002</v>
      </c>
      <c r="AM35" s="120">
        <f t="shared" si="12"/>
        <v>10070.26658</v>
      </c>
      <c r="AN35" s="120">
        <f t="shared" si="12"/>
        <v>11871.528069999998</v>
      </c>
      <c r="AO35" s="120">
        <f t="shared" si="12"/>
        <v>11958.377320000005</v>
      </c>
      <c r="AP35" s="120">
        <f t="shared" si="12"/>
        <v>9324.9591600000094</v>
      </c>
      <c r="AQ35" s="120">
        <f t="shared" si="12"/>
        <v>14024.906889999991</v>
      </c>
      <c r="AR35" s="120">
        <f t="shared" si="12"/>
        <v>11354.191860000004</v>
      </c>
      <c r="AS35" s="120">
        <f t="shared" ref="AS35:BB35" si="13">SUM(AS16:AS34)</f>
        <v>13971.477289999993</v>
      </c>
      <c r="AT35" s="120">
        <f t="shared" si="13"/>
        <v>11265.87644</v>
      </c>
      <c r="AU35" s="120">
        <f t="shared" si="13"/>
        <v>11127.471440000001</v>
      </c>
      <c r="AV35" s="120">
        <f t="shared" si="13"/>
        <v>11565.998679999997</v>
      </c>
      <c r="AW35" s="120">
        <f t="shared" si="13"/>
        <v>12418.770880000009</v>
      </c>
      <c r="AX35" s="120">
        <f t="shared" si="13"/>
        <v>11736.273050000003</v>
      </c>
      <c r="AY35" s="120">
        <f t="shared" si="13"/>
        <v>8356.5093099999958</v>
      </c>
      <c r="AZ35" s="120">
        <f>SUM(AZ16:AZ34)</f>
        <v>10538.231340000004</v>
      </c>
      <c r="BA35" s="120">
        <f>SUM(BA16:BA34)</f>
        <v>8007.476179999996</v>
      </c>
      <c r="BB35" s="120">
        <f t="shared" si="13"/>
        <v>5727.3026900000013</v>
      </c>
    </row>
    <row r="36" spans="1:54" ht="14.1" customHeight="1" x14ac:dyDescent="0.2">
      <c r="A36" s="23"/>
      <c r="B36" s="123" t="s">
        <v>259</v>
      </c>
      <c r="C36" s="14">
        <f t="shared" ref="C36:W36" si="14">ROUND(C35/C12,3)</f>
        <v>8.5000000000000006E-2</v>
      </c>
      <c r="D36" s="14">
        <f t="shared" si="14"/>
        <v>5.5E-2</v>
      </c>
      <c r="E36" s="14">
        <f t="shared" si="14"/>
        <v>-3.3000000000000002E-2</v>
      </c>
      <c r="F36" s="14">
        <f t="shared" si="14"/>
        <v>-3.4000000000000002E-2</v>
      </c>
      <c r="G36" s="14">
        <f t="shared" si="14"/>
        <v>-0.185</v>
      </c>
      <c r="H36" s="14">
        <f t="shared" si="14"/>
        <v>-0.16300000000000001</v>
      </c>
      <c r="I36" s="14">
        <f t="shared" si="14"/>
        <v>-0.11600000000000001</v>
      </c>
      <c r="J36" s="14">
        <f t="shared" si="14"/>
        <v>-8.2000000000000003E-2</v>
      </c>
      <c r="K36" s="14">
        <f t="shared" si="14"/>
        <v>-3.9E-2</v>
      </c>
      <c r="L36" s="14">
        <f t="shared" si="14"/>
        <v>-0.05</v>
      </c>
      <c r="M36" s="14">
        <f t="shared" si="14"/>
        <v>-5.1999999999999998E-2</v>
      </c>
      <c r="N36" s="14">
        <f t="shared" si="14"/>
        <v>0.108</v>
      </c>
      <c r="O36" s="14">
        <f t="shared" si="14"/>
        <v>1.2999999999999999E-2</v>
      </c>
      <c r="P36" s="14">
        <f t="shared" si="14"/>
        <v>-7.5999999999999998E-2</v>
      </c>
      <c r="Q36" s="14">
        <f t="shared" si="14"/>
        <v>1E-3</v>
      </c>
      <c r="R36" s="14">
        <f t="shared" si="14"/>
        <v>0.13100000000000001</v>
      </c>
      <c r="S36" s="14">
        <f t="shared" si="14"/>
        <v>8.2000000000000003E-2</v>
      </c>
      <c r="T36" s="14">
        <f t="shared" si="14"/>
        <v>7.0000000000000007E-2</v>
      </c>
      <c r="U36" s="14">
        <f t="shared" si="14"/>
        <v>4.4999999999999998E-2</v>
      </c>
      <c r="V36" s="14">
        <f t="shared" si="14"/>
        <v>7.6999999999999999E-2</v>
      </c>
      <c r="W36" s="14">
        <f t="shared" si="14"/>
        <v>0.127</v>
      </c>
      <c r="X36" s="14">
        <v>3.2000000000000001E-2</v>
      </c>
      <c r="Y36" s="14">
        <f t="shared" ref="Y36:AG36" si="15">ROUND(Y35/Y12,3)</f>
        <v>0.14599999999999999</v>
      </c>
      <c r="Z36" s="14">
        <f t="shared" si="15"/>
        <v>8.5999999999999993E-2</v>
      </c>
      <c r="AA36" s="14">
        <f t="shared" si="15"/>
        <v>0.17299999999999999</v>
      </c>
      <c r="AB36" s="14">
        <f t="shared" si="15"/>
        <v>0.185</v>
      </c>
      <c r="AC36" s="14">
        <f t="shared" si="15"/>
        <v>0.23899999999999999</v>
      </c>
      <c r="AD36" s="14">
        <f t="shared" si="15"/>
        <v>0.14899999999999999</v>
      </c>
      <c r="AE36" s="755">
        <f t="shared" si="15"/>
        <v>0.35799999999999998</v>
      </c>
      <c r="AF36" s="14">
        <f t="shared" si="15"/>
        <v>0.28799999999999998</v>
      </c>
      <c r="AG36" s="14">
        <f t="shared" si="15"/>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6">ROUND(AP35/AP12,3)</f>
        <v>0.28299999999999997</v>
      </c>
      <c r="AQ36" s="14">
        <f t="shared" si="16"/>
        <v>0.35699999999999998</v>
      </c>
      <c r="AR36" s="14">
        <f t="shared" si="16"/>
        <v>0.29499999999999998</v>
      </c>
      <c r="AS36" s="14">
        <f t="shared" si="16"/>
        <v>0.33</v>
      </c>
      <c r="AT36" s="14">
        <f t="shared" si="16"/>
        <v>0.30499999999999999</v>
      </c>
      <c r="AU36" s="14">
        <f t="shared" si="16"/>
        <v>0.28499999999999998</v>
      </c>
      <c r="AV36" s="14">
        <f t="shared" ref="AV36:BB36" si="17">ROUND(AV35/AV12,3)</f>
        <v>0.32400000000000001</v>
      </c>
      <c r="AW36" s="14">
        <f t="shared" si="17"/>
        <v>0.30199999999999999</v>
      </c>
      <c r="AX36" s="14">
        <f t="shared" si="17"/>
        <v>0.28999999999999998</v>
      </c>
      <c r="AY36" s="14">
        <f t="shared" si="17"/>
        <v>0.20100000000000001</v>
      </c>
      <c r="AZ36" s="14">
        <f t="shared" si="17"/>
        <v>0.23100000000000001</v>
      </c>
      <c r="BA36" s="14">
        <f t="shared" si="17"/>
        <v>0.191</v>
      </c>
      <c r="BB36" s="14">
        <f t="shared" si="17"/>
        <v>0.14000000000000001</v>
      </c>
    </row>
    <row r="37" spans="1:54" ht="14.1" customHeight="1" x14ac:dyDescent="0.2">
      <c r="A37" s="23"/>
      <c r="B37" s="117" t="s">
        <v>281</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18">+SUM(O38:O39)</f>
        <v>-3275</v>
      </c>
      <c r="P37" s="118">
        <f t="shared" si="18"/>
        <v>-3793</v>
      </c>
      <c r="Q37" s="118">
        <f t="shared" si="18"/>
        <v>-3384</v>
      </c>
      <c r="R37" s="118">
        <f t="shared" si="18"/>
        <v>-4213.2582600000005</v>
      </c>
      <c r="S37" s="118">
        <f t="shared" si="18"/>
        <v>-3218.6450500000001</v>
      </c>
      <c r="T37" s="118">
        <f t="shared" si="18"/>
        <v>-5559.2025599999997</v>
      </c>
      <c r="U37" s="118">
        <f t="shared" si="18"/>
        <v>-3537.6142600000003</v>
      </c>
      <c r="V37" s="118">
        <f t="shared" si="18"/>
        <v>-3697.5026999999995</v>
      </c>
      <c r="W37" s="118">
        <f t="shared" si="18"/>
        <v>-3275.6654100000001</v>
      </c>
      <c r="X37" s="118">
        <f t="shared" si="18"/>
        <v>-3339.7341299999998</v>
      </c>
      <c r="Y37" s="118">
        <f t="shared" si="18"/>
        <v>-3481.3923999999997</v>
      </c>
      <c r="Z37" s="118">
        <f t="shared" si="18"/>
        <v>-3632.3136199999999</v>
      </c>
      <c r="AA37" s="118">
        <f t="shared" si="18"/>
        <v>-3098.15454</v>
      </c>
      <c r="AB37" s="118">
        <f t="shared" si="18"/>
        <v>-2719.4558000000002</v>
      </c>
      <c r="AC37" s="118">
        <f t="shared" si="18"/>
        <v>-2774.3335099999999</v>
      </c>
      <c r="AD37" s="118">
        <f t="shared" si="18"/>
        <v>-2686.27648</v>
      </c>
      <c r="AE37" s="161">
        <f t="shared" si="18"/>
        <v>-6952.038230000001</v>
      </c>
      <c r="AF37" s="118">
        <f t="shared" si="18"/>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19">+SUM(AP38:AP39)</f>
        <v>-4303.1989899999999</v>
      </c>
      <c r="AQ37" s="118">
        <f t="shared" si="19"/>
        <v>-4326.4316700000008</v>
      </c>
      <c r="AR37" s="118">
        <f t="shared" si="19"/>
        <v>-4373.1962900000008</v>
      </c>
      <c r="AS37" s="118">
        <f t="shared" si="19"/>
        <v>-4468.6228499999997</v>
      </c>
      <c r="AT37" s="118">
        <f t="shared" si="19"/>
        <v>-4480.1281099999997</v>
      </c>
      <c r="AU37" s="118">
        <f t="shared" si="19"/>
        <v>-4222.4439899999998</v>
      </c>
      <c r="AV37" s="118">
        <f t="shared" ref="AV37:BB37" si="20">+SUM(AV38:AV39)</f>
        <v>-4178.0916199999992</v>
      </c>
      <c r="AW37" s="118">
        <f t="shared" si="20"/>
        <v>-4287.2775799999999</v>
      </c>
      <c r="AX37" s="118">
        <f t="shared" si="20"/>
        <v>-4208.06567</v>
      </c>
      <c r="AY37" s="118">
        <f t="shared" si="20"/>
        <v>-4303.81916</v>
      </c>
      <c r="AZ37" s="118">
        <f t="shared" si="20"/>
        <v>-4388.9947100000009</v>
      </c>
      <c r="BA37" s="118">
        <f t="shared" si="20"/>
        <v>-4431.3198400000001</v>
      </c>
      <c r="BB37" s="118">
        <f t="shared" si="20"/>
        <v>-4047.4931599999995</v>
      </c>
    </row>
    <row r="38" spans="1:54" ht="14.1" customHeight="1" outlineLevel="1" x14ac:dyDescent="0.2">
      <c r="A38" s="24"/>
      <c r="B38" s="620" t="s">
        <v>954</v>
      </c>
      <c r="C38" s="118" t="s">
        <v>47</v>
      </c>
      <c r="D38" s="118" t="s">
        <v>47</v>
      </c>
      <c r="E38" s="118" t="s">
        <v>47</v>
      </c>
      <c r="F38" s="118" t="s">
        <v>47</v>
      </c>
      <c r="G38" s="118" t="s">
        <v>47</v>
      </c>
      <c r="H38" s="118" t="s">
        <v>47</v>
      </c>
      <c r="I38" s="118" t="s">
        <v>47</v>
      </c>
      <c r="J38" s="118" t="s">
        <v>47</v>
      </c>
      <c r="K38" s="118" t="s">
        <v>47</v>
      </c>
      <c r="L38" s="118" t="s">
        <v>47</v>
      </c>
      <c r="M38" s="118" t="s">
        <v>47</v>
      </c>
      <c r="N38" s="118" t="s">
        <v>47</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1">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row>
    <row r="39" spans="1:54" ht="14.1" customHeight="1" outlineLevel="1" x14ac:dyDescent="0.2">
      <c r="A39" s="24"/>
      <c r="B39" s="620" t="s">
        <v>955</v>
      </c>
      <c r="C39" s="118" t="s">
        <v>47</v>
      </c>
      <c r="D39" s="118" t="s">
        <v>47</v>
      </c>
      <c r="E39" s="118" t="s">
        <v>47</v>
      </c>
      <c r="F39" s="118" t="s">
        <v>47</v>
      </c>
      <c r="G39" s="118" t="s">
        <v>47</v>
      </c>
      <c r="H39" s="118" t="s">
        <v>47</v>
      </c>
      <c r="I39" s="118" t="s">
        <v>47</v>
      </c>
      <c r="J39" s="118" t="s">
        <v>47</v>
      </c>
      <c r="K39" s="118" t="s">
        <v>47</v>
      </c>
      <c r="L39" s="118" t="s">
        <v>47</v>
      </c>
      <c r="M39" s="118" t="s">
        <v>47</v>
      </c>
      <c r="N39" s="118" t="s">
        <v>47</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1">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row>
    <row r="40" spans="1:54" ht="14.1" customHeight="1" x14ac:dyDescent="0.2">
      <c r="A40" s="23"/>
      <c r="B40" s="119" t="s">
        <v>229</v>
      </c>
      <c r="C40" s="120">
        <f t="shared" ref="C40:AR40" si="21">C16+C37</f>
        <v>6667</v>
      </c>
      <c r="D40" s="120">
        <f t="shared" si="21"/>
        <v>3199</v>
      </c>
      <c r="E40" s="120">
        <f t="shared" si="21"/>
        <v>-8352</v>
      </c>
      <c r="F40" s="120">
        <f t="shared" si="21"/>
        <v>-1500</v>
      </c>
      <c r="G40" s="120">
        <f t="shared" si="21"/>
        <v>-21840</v>
      </c>
      <c r="H40" s="120">
        <f t="shared" si="21"/>
        <v>-23547</v>
      </c>
      <c r="I40" s="120">
        <f t="shared" si="21"/>
        <v>-31481</v>
      </c>
      <c r="J40" s="120">
        <f t="shared" si="21"/>
        <v>-16050</v>
      </c>
      <c r="K40" s="120">
        <f t="shared" si="21"/>
        <v>-14871</v>
      </c>
      <c r="L40" s="120">
        <f t="shared" si="21"/>
        <v>-9049</v>
      </c>
      <c r="M40" s="120">
        <f t="shared" si="21"/>
        <v>-7758</v>
      </c>
      <c r="N40" s="120">
        <f t="shared" si="21"/>
        <v>-2081</v>
      </c>
      <c r="O40" s="120">
        <f t="shared" si="21"/>
        <v>-2654</v>
      </c>
      <c r="P40" s="120">
        <f t="shared" si="21"/>
        <v>-11190</v>
      </c>
      <c r="Q40" s="120">
        <f t="shared" si="21"/>
        <v>-3309</v>
      </c>
      <c r="R40" s="120">
        <f t="shared" si="21"/>
        <v>-18882.374049999984</v>
      </c>
      <c r="S40" s="120">
        <f t="shared" si="21"/>
        <v>303.32032000000527</v>
      </c>
      <c r="T40" s="120">
        <f t="shared" si="21"/>
        <v>-2636.6618299999973</v>
      </c>
      <c r="U40" s="120">
        <f t="shared" si="21"/>
        <v>-1752.9923599999986</v>
      </c>
      <c r="V40" s="120">
        <f t="shared" si="21"/>
        <v>-595.63928999999962</v>
      </c>
      <c r="W40" s="120">
        <f t="shared" si="21"/>
        <v>1813.2526700000112</v>
      </c>
      <c r="X40" s="120">
        <f t="shared" si="21"/>
        <v>6304.1824599999973</v>
      </c>
      <c r="Y40" s="120">
        <f t="shared" si="21"/>
        <v>-3111.0702300000075</v>
      </c>
      <c r="Z40" s="120">
        <f t="shared" si="21"/>
        <v>-2053.6491000000033</v>
      </c>
      <c r="AA40" s="120">
        <f t="shared" si="21"/>
        <v>3742.482840000001</v>
      </c>
      <c r="AB40" s="120">
        <f t="shared" si="21"/>
        <v>4181.4108400000005</v>
      </c>
      <c r="AC40" s="120">
        <f t="shared" si="21"/>
        <v>361.8818899999992</v>
      </c>
      <c r="AD40" s="120">
        <f t="shared" si="21"/>
        <v>943.29135000000178</v>
      </c>
      <c r="AE40" s="163">
        <f t="shared" si="21"/>
        <v>6574.7321699999984</v>
      </c>
      <c r="AF40" s="120">
        <f t="shared" si="21"/>
        <v>4752.7799500000028</v>
      </c>
      <c r="AG40" s="120">
        <f t="shared" si="21"/>
        <v>9532.394580000002</v>
      </c>
      <c r="AH40" s="120">
        <f t="shared" si="21"/>
        <v>5924.3560199999965</v>
      </c>
      <c r="AI40" s="120">
        <f t="shared" si="21"/>
        <v>8521.6953800000047</v>
      </c>
      <c r="AJ40" s="120">
        <f t="shared" si="21"/>
        <v>10261.396919999999</v>
      </c>
      <c r="AK40" s="120">
        <f t="shared" si="21"/>
        <v>10712.758230000005</v>
      </c>
      <c r="AL40" s="120">
        <f t="shared" si="21"/>
        <v>4281.4788300000009</v>
      </c>
      <c r="AM40" s="120">
        <f t="shared" si="21"/>
        <v>5334.27117</v>
      </c>
      <c r="AN40" s="120">
        <f t="shared" si="21"/>
        <v>13146.754839999998</v>
      </c>
      <c r="AO40" s="120">
        <f t="shared" si="21"/>
        <v>7501.959300000005</v>
      </c>
      <c r="AP40" s="120">
        <f t="shared" si="21"/>
        <v>7612.7601700000096</v>
      </c>
      <c r="AQ40" s="120">
        <f t="shared" si="21"/>
        <v>9698.4752199999893</v>
      </c>
      <c r="AR40" s="120">
        <f t="shared" si="21"/>
        <v>6980.9955700000037</v>
      </c>
      <c r="AS40" s="120">
        <f t="shared" ref="AS40:BB40" si="22">AS16+AS37</f>
        <v>9502.8544399999937</v>
      </c>
      <c r="AT40" s="120">
        <f t="shared" si="22"/>
        <v>6785.7483300000004</v>
      </c>
      <c r="AU40" s="120">
        <f t="shared" si="22"/>
        <v>6905.0274500000014</v>
      </c>
      <c r="AV40" s="120">
        <f t="shared" si="22"/>
        <v>7387.9070599999977</v>
      </c>
      <c r="AW40" s="120">
        <f t="shared" si="22"/>
        <v>8131.4933000000092</v>
      </c>
      <c r="AX40" s="120">
        <f t="shared" si="22"/>
        <v>7528.2073800000035</v>
      </c>
      <c r="AY40" s="120">
        <f t="shared" si="22"/>
        <v>4052.6901499999958</v>
      </c>
      <c r="AZ40" s="120">
        <f t="shared" si="22"/>
        <v>6149.2366300000031</v>
      </c>
      <c r="BA40" s="120">
        <f t="shared" si="22"/>
        <v>3576.1563399999959</v>
      </c>
      <c r="BB40" s="120">
        <f t="shared" si="22"/>
        <v>1679.8095300000018</v>
      </c>
    </row>
    <row r="41" spans="1:54" ht="14.1" customHeight="1" x14ac:dyDescent="0.2">
      <c r="A41" s="759"/>
      <c r="B41" s="117" t="s">
        <v>230</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2">
        <v>2640.5982700000004</v>
      </c>
      <c r="W41" s="118">
        <v>2197.9792999999995</v>
      </c>
      <c r="X41" s="262">
        <v>5737.4465399999999</v>
      </c>
      <c r="Y41" s="118">
        <v>1911.3935699999997</v>
      </c>
      <c r="Z41" s="262">
        <v>3257.3617100000001</v>
      </c>
      <c r="AA41" s="645">
        <v>1246.7590000000002</v>
      </c>
      <c r="AB41" s="645">
        <v>861.59990000000005</v>
      </c>
      <c r="AC41" s="930">
        <v>-1807.3045799999998</v>
      </c>
      <c r="AD41" s="645">
        <v>24.01962999999995</v>
      </c>
      <c r="AE41" s="753">
        <v>-151.94352999999995</v>
      </c>
      <c r="AF41" s="645">
        <v>-518.19438000000002</v>
      </c>
      <c r="AG41" s="930">
        <v>712.68252999999982</v>
      </c>
      <c r="AH41" s="645">
        <v>-318.28501999999997</v>
      </c>
      <c r="AI41" s="645">
        <v>-65.216959999999972</v>
      </c>
      <c r="AJ41" s="645">
        <v>-32.428240000000017</v>
      </c>
      <c r="AK41" s="645">
        <v>16.759570000000025</v>
      </c>
      <c r="AL41" s="645">
        <v>406.74559000000005</v>
      </c>
      <c r="AM41" s="645">
        <v>-59.096220000000017</v>
      </c>
      <c r="AN41" s="930">
        <v>3463.48686</v>
      </c>
      <c r="AO41" s="645">
        <v>355.86923000000002</v>
      </c>
      <c r="AP41" s="645">
        <v>622.67470000000003</v>
      </c>
      <c r="AQ41" s="645">
        <v>883.23887000000036</v>
      </c>
      <c r="AR41" s="645">
        <v>1008.3820900000001</v>
      </c>
      <c r="AS41" s="645">
        <v>1432.1540499999999</v>
      </c>
      <c r="AT41" s="645">
        <v>1418.0801500000002</v>
      </c>
      <c r="AU41" s="645">
        <v>473.47907999999995</v>
      </c>
      <c r="AV41" s="645">
        <v>77.668369999999868</v>
      </c>
      <c r="AW41" s="645">
        <v>216.73523999999998</v>
      </c>
      <c r="AX41" s="645">
        <v>31.442189999999755</v>
      </c>
      <c r="AY41" s="645">
        <v>323.43354999999997</v>
      </c>
      <c r="AZ41" s="645">
        <v>351.88274000000001</v>
      </c>
      <c r="BA41" s="645">
        <v>256.96932999999967</v>
      </c>
      <c r="BB41" s="645">
        <v>440.93722000000025</v>
      </c>
    </row>
    <row r="42" spans="1:54" ht="14.1" customHeight="1" x14ac:dyDescent="0.2">
      <c r="A42" s="22"/>
      <c r="B42" s="117" t="s">
        <v>286</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45">
        <v>0</v>
      </c>
      <c r="AB42" s="645">
        <v>0</v>
      </c>
      <c r="AC42" s="645">
        <v>-32.518479999999997</v>
      </c>
      <c r="AD42" s="645">
        <v>-15.689480000000003</v>
      </c>
      <c r="AE42" s="753">
        <v>22.121400000000001</v>
      </c>
      <c r="AF42" s="645">
        <v>-1746.41292</v>
      </c>
      <c r="AG42" s="645">
        <v>-3050.3329600000002</v>
      </c>
      <c r="AH42" s="645">
        <v>-8858.5751799999998</v>
      </c>
      <c r="AI42" s="645">
        <v>-3516.73729</v>
      </c>
      <c r="AJ42" s="645">
        <v>-6065.2683599999991</v>
      </c>
      <c r="AK42" s="645">
        <v>-4909.1198599999998</v>
      </c>
      <c r="AL42" s="645">
        <v>-1333.3265899999997</v>
      </c>
      <c r="AM42" s="645">
        <v>817.52155000000005</v>
      </c>
      <c r="AN42" s="645">
        <v>2406.9160500000003</v>
      </c>
      <c r="AO42" s="645">
        <v>1870.12319</v>
      </c>
      <c r="AP42" s="645">
        <v>1443.7478399999998</v>
      </c>
      <c r="AQ42" s="645">
        <v>2986.5062800000001</v>
      </c>
      <c r="AR42" s="645">
        <v>2977.1935600000002</v>
      </c>
      <c r="AS42" s="645">
        <v>2343.5325899999998</v>
      </c>
      <c r="AT42" s="645">
        <v>2476.4465700000005</v>
      </c>
      <c r="AU42" s="645">
        <v>3987.2663900000007</v>
      </c>
      <c r="AV42" s="645">
        <v>3318.2306600000002</v>
      </c>
      <c r="AW42" s="645">
        <v>3291.8730599999999</v>
      </c>
      <c r="AX42" s="645">
        <v>-63.665999999999997</v>
      </c>
      <c r="AY42" s="645">
        <v>-36.612000000000002</v>
      </c>
      <c r="AZ42" s="645">
        <v>-235.87183999999999</v>
      </c>
      <c r="BA42" s="645">
        <v>-376.00216000000006</v>
      </c>
      <c r="BB42" s="645">
        <v>-435.87385999999736</v>
      </c>
    </row>
    <row r="43" spans="1:54" ht="14.1" customHeight="1" x14ac:dyDescent="0.2">
      <c r="A43" s="640"/>
      <c r="B43" s="119" t="s">
        <v>234</v>
      </c>
      <c r="C43" s="120">
        <f t="shared" ref="C43:AE43" si="23">+SUM(C40:C42)</f>
        <v>4834</v>
      </c>
      <c r="D43" s="120">
        <f t="shared" si="23"/>
        <v>174</v>
      </c>
      <c r="E43" s="120">
        <f t="shared" si="23"/>
        <v>-14720</v>
      </c>
      <c r="F43" s="120">
        <f t="shared" si="23"/>
        <v>-2709</v>
      </c>
      <c r="G43" s="120">
        <f t="shared" si="23"/>
        <v>-28162</v>
      </c>
      <c r="H43" s="120">
        <f t="shared" si="23"/>
        <v>-27859</v>
      </c>
      <c r="I43" s="120">
        <f t="shared" si="23"/>
        <v>-40451</v>
      </c>
      <c r="J43" s="120">
        <f t="shared" si="23"/>
        <v>-24642</v>
      </c>
      <c r="K43" s="120">
        <f t="shared" si="23"/>
        <v>-25353</v>
      </c>
      <c r="L43" s="120">
        <f t="shared" si="23"/>
        <v>-9146</v>
      </c>
      <c r="M43" s="120">
        <f t="shared" si="23"/>
        <v>-9840</v>
      </c>
      <c r="N43" s="120">
        <f t="shared" si="23"/>
        <v>-1693</v>
      </c>
      <c r="O43" s="120">
        <f t="shared" si="23"/>
        <v>-688</v>
      </c>
      <c r="P43" s="120">
        <f t="shared" si="23"/>
        <v>-8112</v>
      </c>
      <c r="Q43" s="120">
        <f t="shared" si="23"/>
        <v>-1433</v>
      </c>
      <c r="R43" s="120">
        <f t="shared" si="23"/>
        <v>-16855.198069999984</v>
      </c>
      <c r="S43" s="120">
        <f t="shared" si="23"/>
        <v>2178.6721000000048</v>
      </c>
      <c r="T43" s="120">
        <f t="shared" si="23"/>
        <v>-197.21291999999764</v>
      </c>
      <c r="U43" s="120">
        <f t="shared" si="23"/>
        <v>435.85067000000197</v>
      </c>
      <c r="V43" s="120">
        <f t="shared" si="23"/>
        <v>2677.7922600000006</v>
      </c>
      <c r="W43" s="120">
        <f t="shared" si="23"/>
        <v>4069.5884600000109</v>
      </c>
      <c r="X43" s="120">
        <f t="shared" si="23"/>
        <v>12041.628999999997</v>
      </c>
      <c r="Y43" s="120">
        <f t="shared" si="23"/>
        <v>-52.804050000007692</v>
      </c>
      <c r="Z43" s="120">
        <f t="shared" si="23"/>
        <v>1162.5990399999969</v>
      </c>
      <c r="AA43" s="120">
        <f t="shared" si="23"/>
        <v>4989.2418400000015</v>
      </c>
      <c r="AB43" s="120">
        <f t="shared" si="23"/>
        <v>5043.0107400000006</v>
      </c>
      <c r="AC43" s="120">
        <f t="shared" si="23"/>
        <v>-1477.9411700000005</v>
      </c>
      <c r="AD43" s="120">
        <f t="shared" si="23"/>
        <v>951.62150000000179</v>
      </c>
      <c r="AE43" s="163">
        <f t="shared" si="23"/>
        <v>6444.9100399999988</v>
      </c>
      <c r="AF43" s="120">
        <f>+SUM(AF40:AF42)</f>
        <v>2488.1726500000032</v>
      </c>
      <c r="AG43" s="120">
        <f t="shared" ref="AG43:AR43" si="24">+SUM(AG40:AG42)</f>
        <v>7194.7441500000023</v>
      </c>
      <c r="AH43" s="120">
        <f t="shared" si="24"/>
        <v>-3252.5041800000035</v>
      </c>
      <c r="AI43" s="120">
        <f t="shared" si="24"/>
        <v>4939.7411300000049</v>
      </c>
      <c r="AJ43" s="120">
        <f t="shared" si="24"/>
        <v>4163.7003200000008</v>
      </c>
      <c r="AK43" s="120">
        <f t="shared" si="24"/>
        <v>5820.3979400000053</v>
      </c>
      <c r="AL43" s="120">
        <f t="shared" si="24"/>
        <v>3354.8978300000017</v>
      </c>
      <c r="AM43" s="120">
        <f t="shared" si="24"/>
        <v>6092.6965</v>
      </c>
      <c r="AN43" s="120">
        <f t="shared" si="24"/>
        <v>19017.157749999998</v>
      </c>
      <c r="AO43" s="120">
        <f t="shared" si="24"/>
        <v>9727.9517200000046</v>
      </c>
      <c r="AP43" s="120">
        <f t="shared" si="24"/>
        <v>9679.18271000001</v>
      </c>
      <c r="AQ43" s="120">
        <f t="shared" si="24"/>
        <v>13568.22036999999</v>
      </c>
      <c r="AR43" s="120">
        <f t="shared" si="24"/>
        <v>10966.571220000003</v>
      </c>
      <c r="AS43" s="120">
        <f t="shared" ref="AS43:BB43" si="25">+SUM(AS40:AS42)</f>
        <v>13278.541079999992</v>
      </c>
      <c r="AT43" s="120">
        <f t="shared" si="25"/>
        <v>10680.27505</v>
      </c>
      <c r="AU43" s="120">
        <f t="shared" si="25"/>
        <v>11365.772920000003</v>
      </c>
      <c r="AV43" s="120">
        <f t="shared" si="25"/>
        <v>10783.806089999998</v>
      </c>
      <c r="AW43" s="120">
        <f t="shared" si="25"/>
        <v>11640.101600000009</v>
      </c>
      <c r="AX43" s="120">
        <f t="shared" si="25"/>
        <v>7495.9835700000031</v>
      </c>
      <c r="AY43" s="120">
        <f t="shared" si="25"/>
        <v>4339.5116999999955</v>
      </c>
      <c r="AZ43" s="120">
        <f t="shared" si="25"/>
        <v>6265.2475300000033</v>
      </c>
      <c r="BA43" s="120">
        <f t="shared" si="25"/>
        <v>3457.1235099999958</v>
      </c>
      <c r="BB43" s="120">
        <f t="shared" si="25"/>
        <v>1684.8728900000046</v>
      </c>
    </row>
    <row r="44" spans="1:54" ht="14.1" customHeight="1" x14ac:dyDescent="0.2">
      <c r="A44" s="22"/>
      <c r="B44" s="117" t="s">
        <v>235</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2">
        <v>-2174.5405000000001</v>
      </c>
      <c r="Y44" s="118">
        <v>499.1908199999998</v>
      </c>
      <c r="Z44" s="262">
        <v>7999.6743299999998</v>
      </c>
      <c r="AA44" s="645">
        <v>-1131.5722000000001</v>
      </c>
      <c r="AB44" s="645">
        <v>-1341.0914700000001</v>
      </c>
      <c r="AC44" s="645">
        <v>1814.4770699999999</v>
      </c>
      <c r="AD44" s="262">
        <v>595.17434000000003</v>
      </c>
      <c r="AE44" s="161">
        <v>-1370.73559</v>
      </c>
      <c r="AF44" s="118">
        <v>-1263.68363</v>
      </c>
      <c r="AG44" s="930">
        <v>-1983.8635499999998</v>
      </c>
      <c r="AH44" s="645">
        <v>1231.2756699999998</v>
      </c>
      <c r="AI44" s="645">
        <v>-3330.7276499999998</v>
      </c>
      <c r="AJ44" s="645">
        <v>-3832.9157199999995</v>
      </c>
      <c r="AK44" s="645">
        <v>-3579.4171299999998</v>
      </c>
      <c r="AL44" s="645">
        <v>-1937.6748600000003</v>
      </c>
      <c r="AM44" s="645">
        <v>-1741.29331</v>
      </c>
      <c r="AN44" s="645">
        <v>-5392.8329699999995</v>
      </c>
      <c r="AO44" s="645">
        <v>-1538.3751100000002</v>
      </c>
      <c r="AP44" s="645">
        <v>-3231.1730799999996</v>
      </c>
      <c r="AQ44" s="645">
        <v>-3923.3415200000004</v>
      </c>
      <c r="AR44" s="645">
        <v>-3191.29612</v>
      </c>
      <c r="AS44" s="645">
        <v>-3939.2471400000004</v>
      </c>
      <c r="AT44" s="645">
        <v>-4042.5341200000003</v>
      </c>
      <c r="AU44" s="645">
        <v>-2008.9283799999998</v>
      </c>
      <c r="AV44" s="645">
        <v>-2181.8118100000002</v>
      </c>
      <c r="AW44" s="645">
        <v>-2304.86897</v>
      </c>
      <c r="AX44" s="645">
        <v>-1784.3179299999999</v>
      </c>
      <c r="AY44" s="645">
        <v>-1702.1535200000001</v>
      </c>
      <c r="AZ44" s="645">
        <v>-2144.9234699999997</v>
      </c>
      <c r="BA44" s="645">
        <v>-1560.46252</v>
      </c>
      <c r="BB44" s="645">
        <v>-1068.87538</v>
      </c>
    </row>
    <row r="45" spans="1:54" ht="14.1" hidden="1" customHeight="1" outlineLevel="1" x14ac:dyDescent="0.2">
      <c r="A45" s="23"/>
      <c r="B45" s="119" t="s">
        <v>236</v>
      </c>
      <c r="C45" s="120">
        <f t="shared" ref="C45:AL45" si="26">SUM(C43:C44)</f>
        <v>3254</v>
      </c>
      <c r="D45" s="120">
        <f t="shared" si="26"/>
        <v>-898</v>
      </c>
      <c r="E45" s="120">
        <f t="shared" si="26"/>
        <v>-10103</v>
      </c>
      <c r="F45" s="120">
        <f t="shared" si="26"/>
        <v>-3602</v>
      </c>
      <c r="G45" s="120">
        <f t="shared" si="26"/>
        <v>-19666</v>
      </c>
      <c r="H45" s="120">
        <f t="shared" si="26"/>
        <v>-21785</v>
      </c>
      <c r="I45" s="120">
        <f t="shared" si="26"/>
        <v>-31475</v>
      </c>
      <c r="J45" s="120">
        <f t="shared" si="26"/>
        <v>-18198</v>
      </c>
      <c r="K45" s="120">
        <f t="shared" si="26"/>
        <v>-17666</v>
      </c>
      <c r="L45" s="120">
        <f t="shared" si="26"/>
        <v>554</v>
      </c>
      <c r="M45" s="120">
        <f t="shared" si="26"/>
        <v>-26112</v>
      </c>
      <c r="N45" s="120">
        <f t="shared" si="26"/>
        <v>-2525</v>
      </c>
      <c r="O45" s="120">
        <f t="shared" si="26"/>
        <v>265</v>
      </c>
      <c r="P45" s="120">
        <f t="shared" si="26"/>
        <v>-5043</v>
      </c>
      <c r="Q45" s="120">
        <f t="shared" si="26"/>
        <v>-496</v>
      </c>
      <c r="R45" s="120">
        <f t="shared" si="26"/>
        <v>-6272.6547499999833</v>
      </c>
      <c r="S45" s="120">
        <f t="shared" si="26"/>
        <v>2050.7771900000048</v>
      </c>
      <c r="T45" s="120">
        <f t="shared" si="26"/>
        <v>89.187650000002435</v>
      </c>
      <c r="U45" s="120">
        <f t="shared" si="26"/>
        <v>1038.7535900000021</v>
      </c>
      <c r="V45" s="120">
        <f t="shared" si="26"/>
        <v>1262.0676200000007</v>
      </c>
      <c r="W45" s="120">
        <f t="shared" si="26"/>
        <v>2261.6767200000108</v>
      </c>
      <c r="X45" s="120">
        <f t="shared" si="26"/>
        <v>9867.088499999998</v>
      </c>
      <c r="Y45" s="120">
        <f t="shared" si="26"/>
        <v>446.38676999999211</v>
      </c>
      <c r="Z45" s="120">
        <f t="shared" si="26"/>
        <v>9162.2733699999972</v>
      </c>
      <c r="AA45" s="120">
        <f t="shared" si="26"/>
        <v>3857.6696400000014</v>
      </c>
      <c r="AB45" s="120">
        <f t="shared" si="26"/>
        <v>3701.9192700000003</v>
      </c>
      <c r="AC45" s="120">
        <f t="shared" si="26"/>
        <v>336.5358999999994</v>
      </c>
      <c r="AD45" s="120">
        <f t="shared" si="26"/>
        <v>1546.7958400000018</v>
      </c>
      <c r="AE45" s="163">
        <f t="shared" si="26"/>
        <v>5074.1744499999986</v>
      </c>
      <c r="AF45" s="120">
        <f t="shared" si="26"/>
        <v>1224.4890200000032</v>
      </c>
      <c r="AG45" s="120">
        <f t="shared" si="26"/>
        <v>5210.8806000000022</v>
      </c>
      <c r="AH45" s="120">
        <f t="shared" si="26"/>
        <v>-2021.2285100000038</v>
      </c>
      <c r="AI45" s="120">
        <f t="shared" si="26"/>
        <v>1609.0134800000051</v>
      </c>
      <c r="AJ45" s="120">
        <f t="shared" si="26"/>
        <v>330.78460000000132</v>
      </c>
      <c r="AK45" s="120">
        <f t="shared" si="26"/>
        <v>2240.9808100000055</v>
      </c>
      <c r="AL45" s="120">
        <f t="shared" si="26"/>
        <v>1417.2229700000014</v>
      </c>
      <c r="AM45" s="120">
        <f t="shared" ref="AM45:AR45" si="27">SUM(AM43:AM44)</f>
        <v>4351.40319</v>
      </c>
      <c r="AN45" s="120">
        <f t="shared" si="27"/>
        <v>13624.324779999999</v>
      </c>
      <c r="AO45" s="120">
        <f t="shared" si="27"/>
        <v>8189.5766100000046</v>
      </c>
      <c r="AP45" s="120">
        <f t="shared" si="27"/>
        <v>6448.0096300000105</v>
      </c>
      <c r="AQ45" s="120">
        <f t="shared" si="27"/>
        <v>9644.8788499999901</v>
      </c>
      <c r="AR45" s="120">
        <f t="shared" si="27"/>
        <v>7775.2751000000035</v>
      </c>
      <c r="AS45" s="120">
        <f t="shared" ref="AS45:BB45" si="28">SUM(AS43:AS44)</f>
        <v>9339.2939399999923</v>
      </c>
      <c r="AT45" s="120">
        <f t="shared" si="28"/>
        <v>6637.7409299999999</v>
      </c>
      <c r="AU45" s="120">
        <f t="shared" si="28"/>
        <v>9356.8445400000037</v>
      </c>
      <c r="AV45" s="120">
        <f t="shared" si="28"/>
        <v>8601.994279999999</v>
      </c>
      <c r="AW45" s="120">
        <f t="shared" si="28"/>
        <v>9335.2326300000095</v>
      </c>
      <c r="AX45" s="120">
        <f t="shared" si="28"/>
        <v>5711.6656400000029</v>
      </c>
      <c r="AY45" s="120">
        <f t="shared" si="28"/>
        <v>2637.3581799999956</v>
      </c>
      <c r="AZ45" s="120">
        <f t="shared" si="28"/>
        <v>4120.3240600000036</v>
      </c>
      <c r="BA45" s="120">
        <f t="shared" si="28"/>
        <v>1896.6609899999958</v>
      </c>
      <c r="BB45" s="120">
        <f t="shared" si="28"/>
        <v>615.9975100000047</v>
      </c>
    </row>
    <row r="46" spans="1:54" s="221" customFormat="1" ht="14.1" hidden="1" customHeight="1" outlineLevel="1" x14ac:dyDescent="0.2">
      <c r="A46" s="229"/>
      <c r="B46" s="228" t="s">
        <v>237</v>
      </c>
      <c r="C46" s="226">
        <v>0</v>
      </c>
      <c r="D46" s="226">
        <v>0</v>
      </c>
      <c r="E46" s="226">
        <v>0</v>
      </c>
      <c r="F46" s="226">
        <v>0</v>
      </c>
      <c r="G46" s="226">
        <v>0</v>
      </c>
      <c r="H46" s="226">
        <v>0</v>
      </c>
      <c r="I46" s="226">
        <v>0</v>
      </c>
      <c r="J46" s="226">
        <v>0</v>
      </c>
      <c r="K46" s="226">
        <v>0</v>
      </c>
      <c r="L46" s="226">
        <v>0</v>
      </c>
      <c r="M46" s="226">
        <v>0</v>
      </c>
      <c r="N46" s="226">
        <v>0</v>
      </c>
      <c r="O46" s="226">
        <v>0</v>
      </c>
      <c r="P46" s="226">
        <v>0</v>
      </c>
      <c r="Q46" s="226">
        <v>0</v>
      </c>
      <c r="R46" s="226">
        <v>0</v>
      </c>
      <c r="S46" s="226">
        <v>0</v>
      </c>
      <c r="T46" s="226">
        <v>0</v>
      </c>
      <c r="U46" s="226">
        <v>0</v>
      </c>
      <c r="V46" s="226">
        <v>0</v>
      </c>
      <c r="W46" s="226">
        <v>0</v>
      </c>
      <c r="X46" s="226">
        <v>0</v>
      </c>
      <c r="Y46" s="226">
        <v>0</v>
      </c>
      <c r="Z46" s="226">
        <v>0</v>
      </c>
      <c r="AA46" s="226">
        <v>0</v>
      </c>
      <c r="AB46" s="226">
        <v>0</v>
      </c>
      <c r="AC46" s="226">
        <v>0</v>
      </c>
      <c r="AD46" s="226">
        <v>0</v>
      </c>
      <c r="AE46" s="754">
        <v>0</v>
      </c>
      <c r="AF46" s="122">
        <v>0</v>
      </c>
      <c r="AG46" s="122">
        <v>0</v>
      </c>
      <c r="AH46" s="122">
        <v>0</v>
      </c>
      <c r="AI46" s="122">
        <v>0</v>
      </c>
      <c r="AJ46" s="122">
        <v>0</v>
      </c>
      <c r="AK46" s="122">
        <v>0</v>
      </c>
      <c r="AL46" s="122">
        <v>0</v>
      </c>
      <c r="AM46" s="122">
        <v>0</v>
      </c>
      <c r="AN46" s="122">
        <v>0</v>
      </c>
      <c r="AO46" s="122">
        <v>0</v>
      </c>
      <c r="AP46" s="122" t="s">
        <v>47</v>
      </c>
      <c r="AQ46" s="122">
        <v>0</v>
      </c>
      <c r="AR46" s="122">
        <v>0</v>
      </c>
      <c r="AS46" s="122">
        <v>0</v>
      </c>
      <c r="AT46" s="122">
        <v>0</v>
      </c>
      <c r="AU46" s="122">
        <v>0</v>
      </c>
      <c r="AV46" s="122">
        <v>0</v>
      </c>
      <c r="AW46" s="122">
        <v>0</v>
      </c>
      <c r="AX46" s="122">
        <v>0</v>
      </c>
      <c r="AY46" s="122" t="s">
        <v>47</v>
      </c>
      <c r="AZ46" s="122" t="s">
        <v>47</v>
      </c>
      <c r="BA46" s="122"/>
      <c r="BB46" s="122">
        <v>0</v>
      </c>
    </row>
    <row r="47" spans="1:54" s="221" customFormat="1" ht="14.1" hidden="1" customHeight="1" outlineLevel="1" x14ac:dyDescent="0.2">
      <c r="A47" s="229"/>
      <c r="B47" s="1007" t="s">
        <v>238</v>
      </c>
      <c r="C47" s="226">
        <v>0</v>
      </c>
      <c r="D47" s="226">
        <v>0</v>
      </c>
      <c r="E47" s="226">
        <v>0</v>
      </c>
      <c r="F47" s="226">
        <v>0</v>
      </c>
      <c r="G47" s="226">
        <v>0</v>
      </c>
      <c r="H47" s="226">
        <v>0</v>
      </c>
      <c r="I47" s="226">
        <v>0</v>
      </c>
      <c r="J47" s="226">
        <v>0</v>
      </c>
      <c r="K47" s="226">
        <v>0</v>
      </c>
      <c r="L47" s="226">
        <v>0</v>
      </c>
      <c r="M47" s="226">
        <v>-5065</v>
      </c>
      <c r="N47" s="226">
        <v>0</v>
      </c>
      <c r="O47" s="226">
        <v>0</v>
      </c>
      <c r="P47" s="226">
        <v>0</v>
      </c>
      <c r="Q47" s="226">
        <v>0</v>
      </c>
      <c r="R47" s="226">
        <v>0</v>
      </c>
      <c r="S47" s="226">
        <v>0</v>
      </c>
      <c r="T47" s="226">
        <v>0</v>
      </c>
      <c r="U47" s="226">
        <v>0</v>
      </c>
      <c r="V47" s="226">
        <v>0</v>
      </c>
      <c r="W47" s="226">
        <v>0</v>
      </c>
      <c r="X47" s="226">
        <v>0</v>
      </c>
      <c r="Y47" s="226">
        <v>0</v>
      </c>
      <c r="Z47" s="226">
        <v>0</v>
      </c>
      <c r="AA47" s="226">
        <v>0</v>
      </c>
      <c r="AB47" s="226">
        <v>0</v>
      </c>
      <c r="AC47" s="226">
        <v>0</v>
      </c>
      <c r="AD47" s="226">
        <v>0</v>
      </c>
      <c r="AE47" s="754">
        <v>0</v>
      </c>
      <c r="AF47" s="122">
        <v>0</v>
      </c>
      <c r="AG47" s="122">
        <v>0</v>
      </c>
      <c r="AH47" s="122">
        <v>0</v>
      </c>
      <c r="AI47" s="122">
        <v>0</v>
      </c>
      <c r="AJ47" s="122">
        <v>0</v>
      </c>
      <c r="AK47" s="122">
        <v>0</v>
      </c>
      <c r="AL47" s="122">
        <v>0</v>
      </c>
      <c r="AM47" s="122">
        <v>0</v>
      </c>
      <c r="AN47" s="122">
        <v>0</v>
      </c>
      <c r="AO47" s="122">
        <v>0</v>
      </c>
      <c r="AP47" s="122" t="s">
        <v>47</v>
      </c>
      <c r="AQ47" s="122">
        <v>0</v>
      </c>
      <c r="AR47" s="122">
        <v>0</v>
      </c>
      <c r="AS47" s="122">
        <v>0</v>
      </c>
      <c r="AT47" s="122">
        <v>0</v>
      </c>
      <c r="AU47" s="122">
        <v>0</v>
      </c>
      <c r="AV47" s="122">
        <v>0</v>
      </c>
      <c r="AW47" s="122">
        <v>0</v>
      </c>
      <c r="AX47" s="122">
        <v>0</v>
      </c>
      <c r="AY47" s="122" t="s">
        <v>47</v>
      </c>
      <c r="AZ47" s="122" t="s">
        <v>47</v>
      </c>
      <c r="BA47" s="122"/>
      <c r="BB47" s="122">
        <v>0</v>
      </c>
    </row>
    <row r="48" spans="1:54" s="221" customFormat="1" ht="14.1" customHeight="1" collapsed="1" x14ac:dyDescent="0.2">
      <c r="A48" s="1006"/>
      <c r="B48" s="125" t="s">
        <v>264</v>
      </c>
      <c r="C48" s="126">
        <f t="shared" ref="C48:AP48" si="29">+SUM(C45:C47)</f>
        <v>3254</v>
      </c>
      <c r="D48" s="126">
        <f t="shared" si="29"/>
        <v>-898</v>
      </c>
      <c r="E48" s="126">
        <f t="shared" si="29"/>
        <v>-10103</v>
      </c>
      <c r="F48" s="126">
        <f t="shared" si="29"/>
        <v>-3602</v>
      </c>
      <c r="G48" s="126">
        <f t="shared" si="29"/>
        <v>-19666</v>
      </c>
      <c r="H48" s="126">
        <f t="shared" si="29"/>
        <v>-21785</v>
      </c>
      <c r="I48" s="126">
        <f t="shared" si="29"/>
        <v>-31475</v>
      </c>
      <c r="J48" s="126">
        <f t="shared" si="29"/>
        <v>-18198</v>
      </c>
      <c r="K48" s="126">
        <f t="shared" si="29"/>
        <v>-17666</v>
      </c>
      <c r="L48" s="126">
        <f t="shared" si="29"/>
        <v>554</v>
      </c>
      <c r="M48" s="126">
        <f t="shared" si="29"/>
        <v>-31177</v>
      </c>
      <c r="N48" s="126">
        <f t="shared" si="29"/>
        <v>-2525</v>
      </c>
      <c r="O48" s="126">
        <f t="shared" si="29"/>
        <v>265</v>
      </c>
      <c r="P48" s="126">
        <f t="shared" si="29"/>
        <v>-5043</v>
      </c>
      <c r="Q48" s="126">
        <f t="shared" si="29"/>
        <v>-496</v>
      </c>
      <c r="R48" s="126">
        <f t="shared" si="29"/>
        <v>-6272.6547499999833</v>
      </c>
      <c r="S48" s="126">
        <f t="shared" si="29"/>
        <v>2050.7771900000048</v>
      </c>
      <c r="T48" s="126">
        <f t="shared" si="29"/>
        <v>89.187650000002435</v>
      </c>
      <c r="U48" s="126">
        <f t="shared" si="29"/>
        <v>1038.7535900000021</v>
      </c>
      <c r="V48" s="126">
        <f t="shared" si="29"/>
        <v>1262.0676200000007</v>
      </c>
      <c r="W48" s="126">
        <f t="shared" si="29"/>
        <v>2261.6767200000108</v>
      </c>
      <c r="X48" s="126">
        <f t="shared" si="29"/>
        <v>9867.088499999998</v>
      </c>
      <c r="Y48" s="126">
        <f t="shared" si="29"/>
        <v>446.38676999999211</v>
      </c>
      <c r="Z48" s="126">
        <f t="shared" si="29"/>
        <v>9162.2733699999972</v>
      </c>
      <c r="AA48" s="126">
        <f t="shared" si="29"/>
        <v>3857.6696400000014</v>
      </c>
      <c r="AB48" s="126">
        <f t="shared" si="29"/>
        <v>3701.9192700000003</v>
      </c>
      <c r="AC48" s="126">
        <f t="shared" si="29"/>
        <v>336.5358999999994</v>
      </c>
      <c r="AD48" s="126">
        <f t="shared" si="29"/>
        <v>1546.7958400000018</v>
      </c>
      <c r="AE48" s="165">
        <f t="shared" si="29"/>
        <v>5074.1744499999986</v>
      </c>
      <c r="AF48" s="126">
        <f t="shared" si="29"/>
        <v>1224.4890200000032</v>
      </c>
      <c r="AG48" s="126">
        <f t="shared" si="29"/>
        <v>5210.8806000000022</v>
      </c>
      <c r="AH48" s="126">
        <f t="shared" si="29"/>
        <v>-2021.2285100000038</v>
      </c>
      <c r="AI48" s="126">
        <f t="shared" si="29"/>
        <v>1609.0134800000051</v>
      </c>
      <c r="AJ48" s="126">
        <f t="shared" si="29"/>
        <v>330.78460000000132</v>
      </c>
      <c r="AK48" s="126">
        <f t="shared" si="29"/>
        <v>2240.9808100000055</v>
      </c>
      <c r="AL48" s="126">
        <f t="shared" si="29"/>
        <v>1417.2229700000014</v>
      </c>
      <c r="AM48" s="126">
        <f t="shared" si="29"/>
        <v>4351.40319</v>
      </c>
      <c r="AN48" s="126">
        <f t="shared" si="29"/>
        <v>13624.324779999999</v>
      </c>
      <c r="AO48" s="126">
        <f t="shared" si="29"/>
        <v>8189.5766100000046</v>
      </c>
      <c r="AP48" s="126">
        <f t="shared" si="29"/>
        <v>6448.0096300000105</v>
      </c>
      <c r="AQ48" s="126">
        <v>9644.8788499999901</v>
      </c>
      <c r="AR48" s="126">
        <f t="shared" ref="AR48:AW48" si="30">+SUM(AR45:AR47)</f>
        <v>7775.2751000000035</v>
      </c>
      <c r="AS48" s="126">
        <f t="shared" si="30"/>
        <v>9339.2939399999923</v>
      </c>
      <c r="AT48" s="126">
        <f t="shared" si="30"/>
        <v>6637.7409299999999</v>
      </c>
      <c r="AU48" s="126">
        <f t="shared" si="30"/>
        <v>9356.8445400000037</v>
      </c>
      <c r="AV48" s="126">
        <f t="shared" si="30"/>
        <v>8601.994279999999</v>
      </c>
      <c r="AW48" s="126">
        <f t="shared" si="30"/>
        <v>9335.2326300000095</v>
      </c>
      <c r="AX48" s="126">
        <f>+SUM(AX45:AX47)</f>
        <v>5711.6656400000029</v>
      </c>
      <c r="AY48" s="126">
        <f>+SUM(AY45:AY47)</f>
        <v>2637.3581799999956</v>
      </c>
      <c r="AZ48" s="126">
        <f>+SUM(AZ45:AZ47)</f>
        <v>4120.3240600000036</v>
      </c>
      <c r="BA48" s="126">
        <f>+SUM(BA45:BA47)</f>
        <v>1896.6609899999958</v>
      </c>
      <c r="BB48" s="126">
        <f>+SUM(BB45:BB47)</f>
        <v>615.9975100000047</v>
      </c>
    </row>
    <row r="49" spans="1:57" ht="14.1" customHeight="1" x14ac:dyDescent="0.2">
      <c r="A49" s="1133"/>
      <c r="B49" s="1133" t="s">
        <v>1225</v>
      </c>
      <c r="C49" s="1133"/>
      <c r="D49" s="1133"/>
      <c r="E49" s="1133"/>
      <c r="F49" s="1133"/>
      <c r="G49" s="1133"/>
      <c r="H49" s="1133"/>
      <c r="I49" s="1133"/>
      <c r="J49" s="1133"/>
      <c r="K49" s="1133"/>
      <c r="L49" s="1133"/>
      <c r="M49" s="330"/>
      <c r="N49" s="330"/>
      <c r="O49" s="330"/>
      <c r="P49" s="330"/>
      <c r="Q49" s="330"/>
      <c r="R49" s="330"/>
      <c r="S49" s="330"/>
      <c r="T49" s="330"/>
      <c r="U49" s="330"/>
      <c r="V49" s="330"/>
      <c r="W49" s="330"/>
      <c r="X49" s="330"/>
      <c r="Y49" s="330"/>
      <c r="Z49" s="330"/>
      <c r="AA49" s="330"/>
      <c r="AB49" s="330"/>
      <c r="AC49" s="330"/>
      <c r="AD49" s="696"/>
      <c r="AR49" s="188"/>
      <c r="AS49" s="188"/>
      <c r="AT49" s="188"/>
      <c r="AU49" s="188"/>
      <c r="AV49" s="188"/>
      <c r="AW49" s="188"/>
      <c r="AX49" s="188"/>
      <c r="AY49" s="188"/>
      <c r="AZ49" s="188"/>
      <c r="BA49" s="188"/>
      <c r="BB49" s="188"/>
    </row>
    <row r="50" spans="1:57" customFormat="1" ht="14.1" customHeight="1" x14ac:dyDescent="0.2">
      <c r="A50" s="551"/>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t="s">
        <v>1209</v>
      </c>
      <c r="AJ50" s="1099" t="s">
        <v>1209</v>
      </c>
      <c r="AK50" s="1099"/>
      <c r="AL50" s="1099"/>
      <c r="AM50" s="1099" t="s">
        <v>1146</v>
      </c>
      <c r="AN50" s="1099" t="s">
        <v>1146</v>
      </c>
      <c r="AO50" s="1099"/>
      <c r="AP50" s="1099"/>
      <c r="AQ50" s="331" t="s">
        <v>1204</v>
      </c>
      <c r="AR50" s="331" t="s">
        <v>1204</v>
      </c>
      <c r="AS50" s="331"/>
      <c r="AT50" s="331"/>
      <c r="AU50" s="331" t="s">
        <v>1271</v>
      </c>
      <c r="AV50" s="331" t="s">
        <v>1271</v>
      </c>
      <c r="AW50" s="331"/>
      <c r="AX50" s="331"/>
      <c r="AY50" s="331" t="s">
        <v>1327</v>
      </c>
      <c r="AZ50" s="331" t="s">
        <v>1327</v>
      </c>
      <c r="BA50" s="331"/>
      <c r="BB50" s="331"/>
      <c r="BC50" s="331" t="s">
        <v>1327</v>
      </c>
      <c r="BD50" s="331"/>
      <c r="BE50" s="331"/>
    </row>
    <row r="51" spans="1:57" customFormat="1" ht="14.1" customHeight="1" x14ac:dyDescent="0.2">
      <c r="AI51" s="551" t="s">
        <v>1008</v>
      </c>
      <c r="AJ51" s="551" t="s">
        <v>1008</v>
      </c>
      <c r="AK51" s="551" t="s">
        <v>1008</v>
      </c>
      <c r="AM51" s="551" t="s">
        <v>1147</v>
      </c>
      <c r="AN51" s="551" t="s">
        <v>1147</v>
      </c>
      <c r="AO51" s="551" t="s">
        <v>1147</v>
      </c>
      <c r="AP51" s="551"/>
      <c r="AQ51" s="551" t="s">
        <v>1195</v>
      </c>
      <c r="AR51" s="551" t="s">
        <v>1195</v>
      </c>
      <c r="AS51" s="551" t="s">
        <v>1195</v>
      </c>
      <c r="AT51" s="551"/>
      <c r="AU51" s="551" t="s">
        <v>1272</v>
      </c>
      <c r="AV51" s="551" t="s">
        <v>1272</v>
      </c>
      <c r="AW51" s="551" t="s">
        <v>1272</v>
      </c>
      <c r="AX51" s="551"/>
      <c r="AY51" s="551" t="s">
        <v>1328</v>
      </c>
      <c r="AZ51" s="551" t="s">
        <v>1328</v>
      </c>
      <c r="BA51" s="551" t="s">
        <v>1328</v>
      </c>
      <c r="BB51" s="551"/>
      <c r="BC51" s="551" t="s">
        <v>1328</v>
      </c>
      <c r="BD51" s="551" t="s">
        <v>1328</v>
      </c>
      <c r="BE51" s="551" t="s">
        <v>1328</v>
      </c>
    </row>
    <row r="52" spans="1:57" customFormat="1" ht="14.1" customHeight="1" x14ac:dyDescent="0.2">
      <c r="AC52" s="781"/>
      <c r="AD52" s="781"/>
      <c r="AE52" s="781"/>
      <c r="AF52" s="781"/>
      <c r="AG52" s="781"/>
      <c r="AH52" s="781"/>
      <c r="AI52" s="1139">
        <v>2020</v>
      </c>
      <c r="AJ52" s="1139">
        <v>2020</v>
      </c>
      <c r="AK52" s="1139">
        <v>2020</v>
      </c>
      <c r="AL52" s="1139">
        <v>2020</v>
      </c>
      <c r="AM52" s="1139">
        <v>2021</v>
      </c>
      <c r="AN52" s="1139">
        <v>2021</v>
      </c>
      <c r="AO52" s="1139">
        <v>2021</v>
      </c>
      <c r="AP52" s="1139">
        <v>2021</v>
      </c>
      <c r="AQ52" s="1139">
        <v>2022</v>
      </c>
      <c r="AR52" s="1139">
        <v>2022</v>
      </c>
      <c r="AS52" s="1139">
        <v>2022</v>
      </c>
      <c r="AT52" s="1139">
        <v>2022</v>
      </c>
      <c r="AU52" s="1139">
        <v>2023</v>
      </c>
      <c r="AV52" s="1139">
        <v>2023</v>
      </c>
      <c r="AW52" s="1139">
        <v>2023</v>
      </c>
      <c r="AX52" s="1139">
        <v>2023</v>
      </c>
      <c r="AY52" s="1139">
        <v>2024</v>
      </c>
      <c r="AZ52" s="1139">
        <v>2024</v>
      </c>
      <c r="BA52" s="1139">
        <v>2024</v>
      </c>
      <c r="BB52" s="1139">
        <v>2024</v>
      </c>
      <c r="BC52" s="1139">
        <v>2024</v>
      </c>
      <c r="BD52" s="1139">
        <v>2024</v>
      </c>
      <c r="BE52" s="1139">
        <v>2024</v>
      </c>
    </row>
    <row r="53" spans="1:57" customFormat="1" ht="14.1" customHeight="1" x14ac:dyDescent="0.2">
      <c r="AR53" s="329"/>
      <c r="AS53" s="40"/>
      <c r="AT53" s="40"/>
      <c r="AU53" s="40"/>
      <c r="AV53" s="40"/>
      <c r="AW53" s="40"/>
      <c r="AX53" s="40"/>
      <c r="AY53" s="40"/>
      <c r="AZ53" s="40"/>
      <c r="BA53" s="40"/>
      <c r="BB53" s="40"/>
    </row>
    <row r="54" spans="1:57" customFormat="1" ht="14.1" customHeight="1" x14ac:dyDescent="0.2">
      <c r="AR54" s="329"/>
      <c r="AS54" s="40"/>
      <c r="AT54" s="40"/>
      <c r="AU54" s="40"/>
      <c r="AV54" s="40"/>
      <c r="AW54" s="40"/>
      <c r="AX54" s="40"/>
      <c r="AY54" s="40"/>
      <c r="AZ54" s="40"/>
      <c r="BA54" s="40"/>
      <c r="BB54" s="40"/>
    </row>
    <row r="55" spans="1:57" customFormat="1" ht="14.1" customHeight="1" x14ac:dyDescent="0.2">
      <c r="AR55" s="329"/>
      <c r="AS55" s="40"/>
      <c r="AT55" s="40"/>
      <c r="AU55" s="40"/>
      <c r="AV55" s="40"/>
      <c r="AW55" s="40"/>
      <c r="AX55" s="40"/>
      <c r="AY55" s="40"/>
      <c r="AZ55" s="40"/>
      <c r="BA55" s="40"/>
      <c r="BB55" s="40"/>
    </row>
    <row r="56" spans="1:57" customFormat="1" ht="14.1" customHeight="1" x14ac:dyDescent="0.2">
      <c r="AR56" s="329"/>
      <c r="AS56" s="40"/>
      <c r="AT56" s="40"/>
      <c r="AU56" s="40"/>
      <c r="AV56" s="40"/>
      <c r="AW56" s="40"/>
      <c r="AX56" s="40"/>
      <c r="AY56" s="40"/>
      <c r="AZ56" s="40"/>
      <c r="BA56" s="40"/>
      <c r="BB56" s="40"/>
    </row>
    <row r="57" spans="1:57" customFormat="1" ht="14.1" customHeight="1" x14ac:dyDescent="0.2">
      <c r="AR57" s="40"/>
      <c r="AS57" s="40"/>
      <c r="AT57" s="40"/>
      <c r="AU57" s="40"/>
      <c r="AV57" s="40"/>
      <c r="AW57" s="40"/>
      <c r="AX57" s="40"/>
      <c r="AY57" s="40"/>
      <c r="AZ57" s="40"/>
      <c r="BA57" s="40"/>
      <c r="BB57" s="40"/>
    </row>
    <row r="58" spans="1:57" customFormat="1" ht="14.1" customHeight="1" x14ac:dyDescent="0.2">
      <c r="AR58" s="40"/>
      <c r="AS58" s="40"/>
      <c r="AT58" s="40"/>
      <c r="AU58" s="40"/>
      <c r="AV58" s="40"/>
      <c r="AW58" s="40"/>
      <c r="AX58" s="40"/>
      <c r="AY58" s="40"/>
      <c r="AZ58" s="40"/>
      <c r="BA58" s="40"/>
      <c r="BB58" s="40"/>
    </row>
    <row r="59" spans="1:57" customFormat="1" ht="14.1" customHeight="1" x14ac:dyDescent="0.2">
      <c r="AR59" s="40"/>
      <c r="AS59" s="40"/>
      <c r="AT59" s="40"/>
      <c r="AU59" s="40"/>
      <c r="AV59" s="40"/>
      <c r="AW59" s="40"/>
      <c r="AX59" s="40"/>
      <c r="AY59" s="40"/>
      <c r="AZ59" s="40"/>
      <c r="BA59" s="40"/>
      <c r="BB59" s="40"/>
    </row>
    <row r="60" spans="1:57" customFormat="1" ht="14.1" customHeight="1" x14ac:dyDescent="0.2">
      <c r="AR60" s="40"/>
      <c r="AS60" s="40"/>
      <c r="AT60" s="40"/>
      <c r="AU60" s="40"/>
      <c r="AV60" s="40"/>
      <c r="AW60" s="40"/>
      <c r="AX60" s="40"/>
      <c r="AY60" s="40"/>
      <c r="AZ60" s="40"/>
      <c r="BA60" s="40"/>
      <c r="BB60" s="40"/>
    </row>
    <row r="61" spans="1:57" customFormat="1" ht="14.1" customHeight="1" x14ac:dyDescent="0.2">
      <c r="AR61" s="40"/>
      <c r="AS61" s="40"/>
      <c r="AT61" s="40"/>
      <c r="AU61" s="40"/>
      <c r="AV61" s="40"/>
      <c r="AW61" s="40"/>
      <c r="AX61" s="40"/>
      <c r="AY61" s="40"/>
      <c r="AZ61" s="40"/>
      <c r="BA61" s="40"/>
      <c r="BB61" s="40"/>
    </row>
    <row r="62" spans="1:57" customFormat="1" ht="14.1" customHeight="1" x14ac:dyDescent="0.2">
      <c r="AS62" s="40"/>
      <c r="AT62" s="40"/>
      <c r="AU62" s="40"/>
      <c r="AV62" s="40"/>
      <c r="AW62" s="40"/>
      <c r="AX62" s="40"/>
      <c r="AY62" s="40"/>
      <c r="AZ62" s="40"/>
      <c r="BA62" s="40"/>
      <c r="BB62" s="40"/>
    </row>
    <row r="63" spans="1:57" customFormat="1" ht="14.1" customHeight="1" x14ac:dyDescent="0.2"/>
    <row r="64" spans="1:57" customFormat="1" ht="14.1" customHeight="1" x14ac:dyDescent="0.2"/>
    <row r="65" customFormat="1" ht="14.1" customHeight="1" x14ac:dyDescent="0.2"/>
    <row r="66" customFormat="1" ht="14.1" customHeight="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s="329" customFormat="1" ht="14.1" customHeight="1" x14ac:dyDescent="0.2"/>
    <row r="78" s="329" customFormat="1" ht="14.1" customHeight="1" x14ac:dyDescent="0.2"/>
    <row r="79" s="329" customFormat="1" ht="14.1" customHeight="1" x14ac:dyDescent="0.2"/>
    <row r="80" s="329" customFormat="1" ht="14.1" customHeight="1" x14ac:dyDescent="0.2"/>
    <row r="81" spans="3:54" s="329" customFormat="1" ht="14.1" customHeight="1" x14ac:dyDescent="0.2"/>
    <row r="82" spans="3:54" s="329" customFormat="1" ht="14.1" customHeight="1" x14ac:dyDescent="0.2"/>
    <row r="83" spans="3:54" s="268" customFormat="1" x14ac:dyDescent="0.2">
      <c r="C83" s="856">
        <f>D83</f>
        <v>2012</v>
      </c>
      <c r="D83" s="856">
        <f>E83</f>
        <v>2012</v>
      </c>
      <c r="E83" s="856">
        <f>F83</f>
        <v>2012</v>
      </c>
      <c r="F83" s="856">
        <f>G83-1</f>
        <v>2012</v>
      </c>
      <c r="G83" s="856">
        <f>H83</f>
        <v>2013</v>
      </c>
      <c r="H83" s="856">
        <f>I83</f>
        <v>2013</v>
      </c>
      <c r="I83" s="856">
        <f>J83</f>
        <v>2013</v>
      </c>
      <c r="J83" s="856">
        <f>K83-1</f>
        <v>2013</v>
      </c>
      <c r="K83" s="856">
        <f>L83</f>
        <v>2014</v>
      </c>
      <c r="L83" s="856">
        <f>M83</f>
        <v>2014</v>
      </c>
      <c r="M83" s="856">
        <f>N83</f>
        <v>2014</v>
      </c>
      <c r="N83" s="856">
        <f>O83-1</f>
        <v>2014</v>
      </c>
      <c r="O83" s="856">
        <f>P83</f>
        <v>2015</v>
      </c>
      <c r="P83" s="856">
        <f>Q83</f>
        <v>2015</v>
      </c>
      <c r="Q83" s="856">
        <f>R83</f>
        <v>2015</v>
      </c>
      <c r="R83" s="856">
        <f>S83-1</f>
        <v>2015</v>
      </c>
      <c r="S83" s="856">
        <f>T83</f>
        <v>2016</v>
      </c>
      <c r="T83" s="856">
        <f>U83</f>
        <v>2016</v>
      </c>
      <c r="U83" s="856">
        <f>V83</f>
        <v>2016</v>
      </c>
      <c r="V83" s="856">
        <f>W83-1</f>
        <v>2016</v>
      </c>
      <c r="W83" s="856">
        <f>X83</f>
        <v>2017</v>
      </c>
      <c r="X83" s="856">
        <f>Y83</f>
        <v>2017</v>
      </c>
      <c r="Y83" s="856">
        <f>Z83</f>
        <v>2017</v>
      </c>
      <c r="Z83" s="856">
        <f>AA83-1</f>
        <v>2017</v>
      </c>
      <c r="AA83" s="856">
        <f>AB83</f>
        <v>2018</v>
      </c>
      <c r="AB83" s="856">
        <f>AC83</f>
        <v>2018</v>
      </c>
      <c r="AC83" s="856">
        <f>AD83</f>
        <v>2018</v>
      </c>
      <c r="AD83" s="856">
        <f>AE83-1</f>
        <v>2018</v>
      </c>
      <c r="AE83" s="857">
        <v>2019</v>
      </c>
      <c r="AF83" s="857">
        <v>2019</v>
      </c>
      <c r="AG83" s="857">
        <v>2019</v>
      </c>
      <c r="AH83" s="857">
        <v>2019</v>
      </c>
      <c r="AI83" s="857">
        <v>2020</v>
      </c>
      <c r="AJ83" s="857">
        <v>2020</v>
      </c>
      <c r="AK83" s="857">
        <v>2020</v>
      </c>
      <c r="AL83" s="857">
        <v>2020</v>
      </c>
      <c r="AM83" s="857">
        <v>2021</v>
      </c>
      <c r="AN83" s="857">
        <v>2021</v>
      </c>
      <c r="AO83" s="857">
        <v>2021</v>
      </c>
      <c r="AP83" s="857">
        <v>2021</v>
      </c>
      <c r="AQ83" s="857">
        <v>2022</v>
      </c>
      <c r="AR83" s="857">
        <v>2022</v>
      </c>
      <c r="AS83" s="857">
        <v>2022</v>
      </c>
      <c r="AT83" s="857">
        <v>2022</v>
      </c>
      <c r="AU83" s="857">
        <v>2023</v>
      </c>
      <c r="AV83" s="857">
        <v>2023</v>
      </c>
      <c r="AW83" s="857">
        <v>2023</v>
      </c>
      <c r="AX83" s="857">
        <v>2023</v>
      </c>
      <c r="AY83" s="857"/>
      <c r="AZ83" s="857"/>
      <c r="BA83" s="857"/>
      <c r="BB83" s="857">
        <v>2023</v>
      </c>
    </row>
    <row r="84" spans="3:54" s="939" customFormat="1" x14ac:dyDescent="0.2">
      <c r="C84" s="1170">
        <f t="shared" ref="C84:AG84" si="31">SUM(C17:C34)</f>
        <v>0</v>
      </c>
      <c r="D84" s="1170">
        <f t="shared" si="31"/>
        <v>468</v>
      </c>
      <c r="E84" s="1170">
        <f t="shared" si="31"/>
        <v>1293</v>
      </c>
      <c r="F84" s="1170">
        <f t="shared" si="31"/>
        <v>-9394</v>
      </c>
      <c r="G84" s="1170">
        <f t="shared" si="31"/>
        <v>1189</v>
      </c>
      <c r="H84" s="1170">
        <f t="shared" si="31"/>
        <v>5137</v>
      </c>
      <c r="I84" s="1170">
        <f t="shared" si="31"/>
        <v>17934</v>
      </c>
      <c r="J84" s="1170">
        <f t="shared" si="31"/>
        <v>3990</v>
      </c>
      <c r="K84" s="1170">
        <f t="shared" si="31"/>
        <v>6918</v>
      </c>
      <c r="L84" s="1170">
        <f t="shared" si="31"/>
        <v>0</v>
      </c>
      <c r="M84" s="1170">
        <f t="shared" si="31"/>
        <v>0</v>
      </c>
      <c r="N84" s="1170">
        <f t="shared" si="31"/>
        <v>2194</v>
      </c>
      <c r="O84" s="1170">
        <f t="shared" si="31"/>
        <v>0</v>
      </c>
      <c r="P84" s="1170">
        <f t="shared" si="31"/>
        <v>3704.1926200000003</v>
      </c>
      <c r="Q84" s="1170">
        <f t="shared" si="31"/>
        <v>0</v>
      </c>
      <c r="R84" s="1170">
        <f t="shared" si="31"/>
        <v>21301.168579999998</v>
      </c>
      <c r="S84" s="1170">
        <f t="shared" si="31"/>
        <v>0</v>
      </c>
      <c r="T84" s="1170">
        <f t="shared" si="31"/>
        <v>0</v>
      </c>
      <c r="U84" s="1170">
        <f t="shared" si="31"/>
        <v>0</v>
      </c>
      <c r="V84" s="1170">
        <f t="shared" si="31"/>
        <v>0</v>
      </c>
      <c r="W84" s="1170">
        <f t="shared" si="31"/>
        <v>0</v>
      </c>
      <c r="X84" s="1170">
        <f t="shared" si="31"/>
        <v>-8080.0333800000008</v>
      </c>
      <c r="Y84" s="1170">
        <f t="shared" si="31"/>
        <v>5733</v>
      </c>
      <c r="Z84" s="1170">
        <f t="shared" si="31"/>
        <v>2260.5565600000036</v>
      </c>
      <c r="AA84" s="1170">
        <f t="shared" si="31"/>
        <v>0</v>
      </c>
      <c r="AB84" s="1170">
        <f t="shared" si="31"/>
        <v>0</v>
      </c>
      <c r="AC84" s="1170">
        <f t="shared" si="31"/>
        <v>5251.7599300000002</v>
      </c>
      <c r="AD84" s="1170">
        <f t="shared" si="31"/>
        <v>2486.706948986</v>
      </c>
      <c r="AE84" s="1170">
        <f t="shared" si="31"/>
        <v>0</v>
      </c>
      <c r="AF84" s="1170">
        <f t="shared" si="31"/>
        <v>0</v>
      </c>
      <c r="AG84" s="1170">
        <f t="shared" si="31"/>
        <v>-1600.9180111586791</v>
      </c>
      <c r="AH84" s="1170">
        <f>SUM(AH17:AH34)</f>
        <v>0</v>
      </c>
    </row>
    <row r="85" spans="3:54" s="939" customFormat="1" x14ac:dyDescent="0.2"/>
    <row r="86" spans="3:54" s="939" customForma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5">
    <tabColor theme="9"/>
    <pageSetUpPr autoPageBreaks="0" fitToPage="1"/>
  </sheetPr>
  <dimension ref="A1:BB94"/>
  <sheetViews>
    <sheetView showGridLines="0" zoomScaleNormal="100" workbookViewId="0">
      <pane xSplit="2" ySplit="5" topLeftCell="AQ6" activePane="bottomRight" state="frozen"/>
      <selection activeCell="F56" sqref="F56"/>
      <selection pane="topRight" activeCell="F56" sqref="F56"/>
      <selection pane="bottomLeft" activeCell="F56" sqref="F56"/>
      <selection pane="bottomRight" activeCell="BB5" sqref="BB5"/>
    </sheetView>
  </sheetViews>
  <sheetFormatPr defaultColWidth="9.28515625" defaultRowHeight="12.75" outlineLevelRow="1" x14ac:dyDescent="0.2"/>
  <cols>
    <col min="1" max="1" width="1.42578125" style="268" customWidth="1"/>
    <col min="2" max="2" width="35.28515625" style="2" customWidth="1"/>
    <col min="3" max="33" width="10.7109375" style="2" customWidth="1"/>
    <col min="34" max="38" width="11.28515625" style="715" bestFit="1" customWidth="1"/>
    <col min="39" max="39" width="11.28515625" style="715" customWidth="1"/>
    <col min="40" max="41" width="11.28515625" style="715" bestFit="1" customWidth="1"/>
    <col min="42" max="43" width="11.28515625" style="715" customWidth="1"/>
    <col min="44" max="50" width="11.28515625" style="715" bestFit="1" customWidth="1"/>
    <col min="51" max="53" width="11.28515625" style="715" customWidth="1"/>
    <col min="54" max="54" width="11.28515625" style="715" bestFit="1" customWidth="1"/>
    <col min="55" max="16384" width="9.28515625" style="2"/>
  </cols>
  <sheetData>
    <row r="1" spans="1:54" ht="14.25" customHeight="1" x14ac:dyDescent="0.2">
      <c r="C1" s="268"/>
      <c r="D1" s="268"/>
      <c r="E1" s="268"/>
      <c r="F1" s="268"/>
      <c r="G1" s="268"/>
      <c r="H1" s="268"/>
      <c r="I1" s="268"/>
      <c r="J1" s="268"/>
      <c r="K1" s="268"/>
      <c r="L1" s="268"/>
      <c r="M1" s="268"/>
      <c r="N1" s="268"/>
      <c r="O1" s="550"/>
      <c r="P1" s="550"/>
      <c r="Q1" s="550"/>
      <c r="R1" s="550"/>
      <c r="S1" s="268"/>
      <c r="T1" s="268"/>
      <c r="U1" s="268"/>
      <c r="V1" s="268"/>
      <c r="W1" s="268"/>
      <c r="X1" s="268"/>
      <c r="Y1" s="268"/>
      <c r="Z1" s="268"/>
      <c r="AA1" s="268"/>
      <c r="AB1" s="268"/>
      <c r="AC1" s="268"/>
      <c r="AD1" s="268"/>
      <c r="AE1" s="268"/>
      <c r="AF1" s="268"/>
      <c r="AG1" s="268"/>
      <c r="AH1" s="268"/>
      <c r="AI1" s="268"/>
      <c r="AJ1" s="268"/>
      <c r="AK1" s="1061"/>
      <c r="AL1" s="1061"/>
      <c r="AM1" s="1061"/>
      <c r="AN1" s="1061"/>
      <c r="AO1" s="1061"/>
      <c r="AP1" s="268"/>
      <c r="AQ1" s="268"/>
      <c r="AR1" s="268"/>
      <c r="AS1" s="268"/>
      <c r="AT1" s="268"/>
      <c r="AU1" s="268"/>
      <c r="AV1" s="268"/>
      <c r="AW1" s="268"/>
      <c r="AX1" s="268"/>
      <c r="AY1" s="268"/>
      <c r="AZ1" s="268"/>
      <c r="BA1" s="268"/>
      <c r="BB1" s="268"/>
    </row>
    <row r="2" spans="1:54" ht="12.75" customHeight="1" x14ac:dyDescent="0.2">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54" s="268" customFormat="1" ht="12.75" customHeight="1" x14ac:dyDescent="0.2">
      <c r="M3" s="1247"/>
      <c r="O3" s="269">
        <f>+IncSIntLog!O3+IncSAuto!O3</f>
        <v>-3086.91039</v>
      </c>
      <c r="P3" s="269">
        <f>+IncSIntLog!P3+IncSAuto!P3</f>
        <v>-3258.3303299999998</v>
      </c>
      <c r="Q3" s="269">
        <f>+IncSIntLog!Q3+IncSAuto!Q3</f>
        <v>-3012.4188899999999</v>
      </c>
      <c r="R3" s="269">
        <f>+IncSIntLog!R3+IncSAuto!R3</f>
        <v>-4110.1755300000004</v>
      </c>
      <c r="S3" s="269">
        <f>+IncSIntLog!S3+IncSAuto!S3</f>
        <v>-3114.0270599999999</v>
      </c>
      <c r="T3" s="269">
        <f>+IncSIntLog!T3+IncSAuto!T3</f>
        <v>-5456.2800399999996</v>
      </c>
      <c r="U3" s="269">
        <f>+IncSIntLog!U3+IncSAuto!U3</f>
        <v>-3436.9309800000001</v>
      </c>
      <c r="V3" s="269">
        <f>+IncSIntLog!V3+IncSAuto!V3</f>
        <v>-3599.9867299999996</v>
      </c>
      <c r="W3" s="269">
        <f>+IncSIntLog!W3+IncSAuto!W3</f>
        <v>-3188.2748700000002</v>
      </c>
      <c r="X3" s="269">
        <f>+IncSIntLog!X3+IncSAuto!X3</f>
        <v>-3252.4979399999997</v>
      </c>
      <c r="Y3" s="269">
        <f>+IncSIntLog!Y3+IncSAuto!Y3</f>
        <v>-3392.6533399999998</v>
      </c>
      <c r="Z3" s="269">
        <f>+IncSIntLog!Z3+IncSAuto!Z3</f>
        <v>-3533.3530499999997</v>
      </c>
      <c r="AA3" s="269">
        <f>+IncSIntLog!AA3+IncSAuto!AA3</f>
        <v>-3018.6289700000002</v>
      </c>
      <c r="AB3" s="269">
        <f>+IncSIntLog!AB3+IncSAuto!AB3</f>
        <v>0</v>
      </c>
      <c r="AC3" s="269"/>
      <c r="AD3" s="823"/>
      <c r="AE3" s="823"/>
      <c r="AF3" s="761"/>
      <c r="AG3" s="761"/>
      <c r="AH3" s="823"/>
      <c r="AI3" s="761"/>
      <c r="AJ3" s="761"/>
      <c r="AK3" s="761"/>
      <c r="AL3" s="761"/>
      <c r="AM3" s="761"/>
      <c r="AN3" s="761"/>
      <c r="AO3" s="761"/>
      <c r="AP3" s="761"/>
      <c r="AQ3" s="761"/>
      <c r="AR3" s="761"/>
      <c r="AS3" s="761"/>
      <c r="AT3" s="761"/>
      <c r="AU3" s="761"/>
      <c r="AV3" s="761"/>
      <c r="AW3" s="761"/>
      <c r="AX3" s="761"/>
      <c r="AY3" s="761"/>
      <c r="AZ3" s="761"/>
      <c r="BA3" s="761"/>
      <c r="BB3" s="761"/>
    </row>
    <row r="4" spans="1:54" s="268" customFormat="1" ht="12.75" customHeight="1" x14ac:dyDescent="0.2">
      <c r="A4" s="630"/>
      <c r="B4" s="631"/>
      <c r="C4" s="549"/>
      <c r="D4" s="549"/>
      <c r="E4" s="549"/>
      <c r="F4" s="549"/>
      <c r="G4" s="702"/>
      <c r="H4" s="632"/>
      <c r="I4" s="549"/>
      <c r="J4" s="549"/>
      <c r="K4" s="549"/>
      <c r="L4" s="632"/>
      <c r="M4" s="1247"/>
      <c r="O4" s="269">
        <f>+IncSIntLog!O4+IncSAuto!O4</f>
        <v>-188.08960999999999</v>
      </c>
      <c r="P4" s="269">
        <f>+IncSIntLog!P4+IncSAuto!P4</f>
        <v>-534.66967000000022</v>
      </c>
      <c r="Q4" s="269">
        <f>+IncSIntLog!Q4+IncSAuto!Q4</f>
        <v>-371.58111000000008</v>
      </c>
      <c r="R4" s="269">
        <f>+IncSIntLog!R4+IncSAuto!R4</f>
        <v>-103.08273000000001</v>
      </c>
      <c r="S4" s="269">
        <f>+IncSIntLog!S4+IncSAuto!S4</f>
        <v>-104.61798999999999</v>
      </c>
      <c r="T4" s="269">
        <f>+IncSIntLog!T4+IncSAuto!T4</f>
        <v>-102.92251999999999</v>
      </c>
      <c r="U4" s="269">
        <f>+IncSIntLog!U4+IncSAuto!U4</f>
        <v>-100.68328</v>
      </c>
      <c r="V4" s="269">
        <f>+IncSIntLog!V4+IncSAuto!V4</f>
        <v>-97.515969999999996</v>
      </c>
      <c r="W4" s="269">
        <f>+IncSIntLog!W4+IncSAuto!W4</f>
        <v>-87.390539999999987</v>
      </c>
      <c r="X4" s="269">
        <f>+IncSIntLog!X4+IncSAuto!X4</f>
        <v>-87.236190000000008</v>
      </c>
      <c r="Y4" s="269">
        <f>+IncSIntLog!Y4+IncSAuto!Y4</f>
        <v>-88.739059999999995</v>
      </c>
      <c r="Z4" s="269">
        <f>+IncSIntLog!Z4+IncSAuto!Z4</f>
        <v>-98.960570000000004</v>
      </c>
      <c r="AA4" s="269">
        <f>+IncSIntLog!AA4+IncSAuto!AA4</f>
        <v>-79.525570000000002</v>
      </c>
      <c r="AB4" s="269">
        <f>+IncSIntLog!AB4+IncSAuto!AB4</f>
        <v>0</v>
      </c>
      <c r="AC4" s="269"/>
      <c r="AD4" s="269"/>
      <c r="AE4" s="721" t="s">
        <v>863</v>
      </c>
    </row>
    <row r="5" spans="1:54" ht="12.75" customHeight="1" x14ac:dyDescent="0.2">
      <c r="A5" s="630"/>
      <c r="B5" s="113" t="s">
        <v>921</v>
      </c>
      <c r="C5" s="114" t="s">
        <v>1023</v>
      </c>
      <c r="D5" s="114" t="s">
        <v>1024</v>
      </c>
      <c r="E5" s="114" t="s">
        <v>1025</v>
      </c>
      <c r="F5" s="114" t="s">
        <v>1026</v>
      </c>
      <c r="G5" s="115" t="s">
        <v>467</v>
      </c>
      <c r="H5" s="115" t="s">
        <v>468</v>
      </c>
      <c r="I5" s="115" t="s">
        <v>469</v>
      </c>
      <c r="J5" s="115" t="s">
        <v>470</v>
      </c>
      <c r="K5" s="115" t="s">
        <v>471</v>
      </c>
      <c r="L5" s="116" t="s">
        <v>472</v>
      </c>
      <c r="M5" s="116" t="s">
        <v>473</v>
      </c>
      <c r="N5" s="115" t="s">
        <v>474</v>
      </c>
      <c r="O5" s="115" t="s">
        <v>475</v>
      </c>
      <c r="P5" s="115" t="s">
        <v>476</v>
      </c>
      <c r="Q5" s="115" t="s">
        <v>477</v>
      </c>
      <c r="R5" s="115" t="s">
        <v>478</v>
      </c>
      <c r="S5" s="115" t="s">
        <v>479</v>
      </c>
      <c r="T5" s="115" t="s">
        <v>371</v>
      </c>
      <c r="U5" s="115" t="s">
        <v>372</v>
      </c>
      <c r="V5" s="115" t="s">
        <v>373</v>
      </c>
      <c r="W5" s="115" t="s">
        <v>374</v>
      </c>
      <c r="X5" s="115" t="s">
        <v>375</v>
      </c>
      <c r="Y5" s="115" t="s">
        <v>376</v>
      </c>
      <c r="Z5" s="115" t="s">
        <v>694</v>
      </c>
      <c r="AA5" s="115" t="s">
        <v>758</v>
      </c>
      <c r="AB5" s="115" t="s">
        <v>771</v>
      </c>
      <c r="AC5" s="115" t="s">
        <v>788</v>
      </c>
      <c r="AD5" s="115" t="s">
        <v>844</v>
      </c>
      <c r="AE5" s="223" t="s">
        <v>862</v>
      </c>
      <c r="AF5" s="115" t="s">
        <v>922</v>
      </c>
      <c r="AG5" s="115" t="s">
        <v>923</v>
      </c>
      <c r="AH5" s="115" t="s">
        <v>924</v>
      </c>
      <c r="AI5" s="115" t="s">
        <v>995</v>
      </c>
      <c r="AJ5" s="115" t="s">
        <v>1027</v>
      </c>
      <c r="AK5" s="115" t="s">
        <v>1028</v>
      </c>
      <c r="AL5" s="115" t="s">
        <v>993</v>
      </c>
      <c r="AM5" s="115" t="s">
        <v>1124</v>
      </c>
      <c r="AN5" s="115" t="s">
        <v>1125</v>
      </c>
      <c r="AO5" s="115" t="s">
        <v>1126</v>
      </c>
      <c r="AP5" s="115" t="s">
        <v>1127</v>
      </c>
      <c r="AQ5" s="115" t="s">
        <v>1181</v>
      </c>
      <c r="AR5" s="115" t="s">
        <v>1189</v>
      </c>
      <c r="AS5" s="115" t="s">
        <v>1191</v>
      </c>
      <c r="AT5" s="115" t="s">
        <v>1193</v>
      </c>
      <c r="AU5" s="115" t="s">
        <v>1232</v>
      </c>
      <c r="AV5" s="115" t="s">
        <v>1244</v>
      </c>
      <c r="AW5" s="115" t="s">
        <v>1247</v>
      </c>
      <c r="AX5" s="115" t="s">
        <v>1249</v>
      </c>
      <c r="AY5" s="115" t="s">
        <v>1306</v>
      </c>
      <c r="AZ5" s="115" t="s">
        <v>1316</v>
      </c>
      <c r="BA5" s="115" t="s">
        <v>1317</v>
      </c>
      <c r="BB5" s="115" t="s">
        <v>1318</v>
      </c>
    </row>
    <row r="6" spans="1:54" ht="14.1" customHeight="1" x14ac:dyDescent="0.2">
      <c r="A6" s="640"/>
      <c r="B6" s="117" t="s">
        <v>217</v>
      </c>
      <c r="C6" s="118">
        <f>+IncSAuto!C9</f>
        <v>295825</v>
      </c>
      <c r="D6" s="118">
        <f>+IncSAuto!D9</f>
        <v>334929</v>
      </c>
      <c r="E6" s="118">
        <f>+IncSAuto!E9</f>
        <v>396308</v>
      </c>
      <c r="F6" s="118">
        <f>+IncSAuto!F9</f>
        <v>398907</v>
      </c>
      <c r="G6" s="118">
        <f>+IncSAuto!G9</f>
        <v>352522</v>
      </c>
      <c r="H6" s="118">
        <f>+IncSAuto!H9</f>
        <v>449684</v>
      </c>
      <c r="I6" s="118">
        <f>+IncSAuto!I9</f>
        <v>458071</v>
      </c>
      <c r="J6" s="118">
        <f>+IncSAuto!J9</f>
        <v>438447</v>
      </c>
      <c r="K6" s="118">
        <f>+IncSAuto!K9</f>
        <v>353100</v>
      </c>
      <c r="L6" s="118">
        <f>+IncSAuto!L9</f>
        <v>387721</v>
      </c>
      <c r="M6" s="118">
        <f>+IncSAuto!M9</f>
        <v>384907</v>
      </c>
      <c r="N6" s="118">
        <f>+IncSAuto!N9</f>
        <v>431261</v>
      </c>
      <c r="O6" s="118">
        <f>+IncSAuto!O9</f>
        <v>296153</v>
      </c>
      <c r="P6" s="118">
        <f>+IncSAuto!P9</f>
        <v>282208</v>
      </c>
      <c r="Q6" s="118">
        <f>+IncSAuto!Q9</f>
        <v>279189</v>
      </c>
      <c r="R6" s="118">
        <f>+IncSAuto!R9</f>
        <v>291665.83533000003</v>
      </c>
      <c r="S6" s="118">
        <f>+IncSAuto!S9</f>
        <v>198606.12298000001</v>
      </c>
      <c r="T6" s="118">
        <f>+IncSAuto!T9</f>
        <v>232426.84667</v>
      </c>
      <c r="U6" s="118">
        <f>+IncSAuto!U9</f>
        <v>244388.95153000002</v>
      </c>
      <c r="V6" s="118">
        <f>+IncSAuto!V9</f>
        <v>264784.09666000004</v>
      </c>
      <c r="W6" s="118">
        <f>+IncSAuto!W9</f>
        <v>214422.15101999999</v>
      </c>
      <c r="X6" s="118">
        <f>+IncSAuto!X9</f>
        <v>268717.10787999997</v>
      </c>
      <c r="Y6" s="118">
        <f>+IncSAuto!Y9</f>
        <v>305185.31597000005</v>
      </c>
      <c r="Z6" s="118">
        <f>+IncSAuto!Z9</f>
        <v>340565.25495999999</v>
      </c>
      <c r="AA6" s="118">
        <f>+IncSAuto!AA9</f>
        <v>275057.54545999999</v>
      </c>
      <c r="AB6" s="118">
        <f>+IncSAuto!AB9</f>
        <v>315279.75394999998</v>
      </c>
      <c r="AC6" s="118">
        <f>+IncSAuto!AC9</f>
        <v>365789.47778999998</v>
      </c>
      <c r="AD6" s="118">
        <f>+IncSAuto!AD9</f>
        <v>391684.40824000002</v>
      </c>
      <c r="AE6" s="161">
        <f>+IncSAuto!AE9</f>
        <v>321706.25628999999</v>
      </c>
      <c r="AF6" s="118">
        <f>+IncSAuto!AF9</f>
        <v>360853.55104000005</v>
      </c>
      <c r="AG6" s="118">
        <f>+IncSAuto!AG9</f>
        <v>366405.11531000002</v>
      </c>
      <c r="AH6" s="118">
        <f>+IncSAuto!AH9</f>
        <v>414841.17645000003</v>
      </c>
      <c r="AI6" s="118">
        <f>+IncSAuto!AI9</f>
        <v>298654.90463999996</v>
      </c>
      <c r="AJ6" s="118">
        <f>+IncSAuto!AJ9</f>
        <v>108624.88222</v>
      </c>
      <c r="AK6" s="118">
        <f>+IncSAuto!AK9</f>
        <v>305501.52506000001</v>
      </c>
      <c r="AL6" s="118">
        <f>+IncSAuto!AL9</f>
        <v>337571.33675999998</v>
      </c>
      <c r="AM6" s="118">
        <f>+IncSAuto!AM9</f>
        <v>250078.92903</v>
      </c>
      <c r="AN6" s="118">
        <f>+IncSAuto!AN9</f>
        <v>249944.68143999999</v>
      </c>
      <c r="AO6" s="118">
        <f>+IncSAuto!AO9</f>
        <v>243798.95912000004</v>
      </c>
      <c r="AP6" s="118">
        <f>+IncSAuto!AP9</f>
        <v>339046.03587999992</v>
      </c>
      <c r="AQ6" s="118">
        <f>+IncSAuto!AQ9</f>
        <v>249984.01542999997</v>
      </c>
      <c r="AR6" s="118">
        <f>+IncSAuto!AR9</f>
        <v>329187.05628000002</v>
      </c>
      <c r="AS6" s="118">
        <f>+IncSAuto!AS9</f>
        <v>460036.70981000003</v>
      </c>
      <c r="AT6" s="118">
        <f>+IncSAuto!AT9</f>
        <v>461462.62537999998</v>
      </c>
      <c r="AU6" s="118">
        <f>+IncSAuto!AU9</f>
        <v>369902.34818999982</v>
      </c>
      <c r="AV6" s="118">
        <v>413999.29704000009</v>
      </c>
      <c r="AW6" s="118">
        <f>+IncSAuto!AW9</f>
        <v>481071.89130000008</v>
      </c>
      <c r="AX6" s="118">
        <f>+IncSAuto!AX9</f>
        <v>516751.48728000012</v>
      </c>
      <c r="AY6" s="118">
        <v>432552.07787999994</v>
      </c>
      <c r="AZ6" s="118">
        <v>529168.94435000001</v>
      </c>
      <c r="BA6" s="118">
        <v>695890.14059000008</v>
      </c>
      <c r="BB6" s="118">
        <f>+IncSAuto!BB9</f>
        <v>720353.22578999994</v>
      </c>
    </row>
    <row r="7" spans="1:54" ht="14.1" customHeight="1" x14ac:dyDescent="0.2">
      <c r="A7" s="640"/>
      <c r="B7" s="117" t="s">
        <v>218</v>
      </c>
      <c r="C7" s="118">
        <f>+IncSIntLog!C10</f>
        <v>127576</v>
      </c>
      <c r="D7" s="118">
        <f>+IncSIntLog!D10</f>
        <v>143173</v>
      </c>
      <c r="E7" s="118">
        <f>+IncSIntLog!E10</f>
        <v>161320</v>
      </c>
      <c r="F7" s="118">
        <f>+IncSIntLog!F10</f>
        <v>155913</v>
      </c>
      <c r="G7" s="118">
        <f>+IncSIntLog!G10</f>
        <v>114880</v>
      </c>
      <c r="H7" s="118">
        <f>+IncSIntLog!H10</f>
        <v>115483</v>
      </c>
      <c r="I7" s="118">
        <f>+IncSIntLog!I10</f>
        <v>117446</v>
      </c>
      <c r="J7" s="118">
        <f>+IncSIntLog!J10</f>
        <v>133383</v>
      </c>
      <c r="K7" s="118">
        <f>+IncSIntLog!K10</f>
        <v>120607</v>
      </c>
      <c r="L7" s="118">
        <f>+IncSIntLog!L10</f>
        <v>116580</v>
      </c>
      <c r="M7" s="118">
        <f>+IncSIntLog!M10</f>
        <v>98578</v>
      </c>
      <c r="N7" s="118">
        <f>+IncSIntLog!N10</f>
        <v>61586</v>
      </c>
      <c r="O7" s="118">
        <f>+IncSIntLog!O10</f>
        <v>56728</v>
      </c>
      <c r="P7" s="118">
        <f>+IncSIntLog!P10</f>
        <v>59956</v>
      </c>
      <c r="Q7" s="118">
        <f>+IncSIntLog!Q10</f>
        <v>63960</v>
      </c>
      <c r="R7" s="118">
        <f>+IncSIntLog!R10</f>
        <v>62197.638749999998</v>
      </c>
      <c r="S7" s="118">
        <f>+IncSIntLog!S10</f>
        <v>52438.910459999999</v>
      </c>
      <c r="T7" s="118">
        <f>+IncSIntLog!T10</f>
        <v>50624.91019000001</v>
      </c>
      <c r="U7" s="118">
        <f>+IncSIntLog!U10</f>
        <v>48181.630469999996</v>
      </c>
      <c r="V7" s="118">
        <f>+IncSIntLog!V10</f>
        <v>48777.547270000003</v>
      </c>
      <c r="W7" s="118">
        <f>+IncSIntLog!W10</f>
        <v>48717.342169999996</v>
      </c>
      <c r="X7" s="118">
        <f>+IncSIntLog!X10</f>
        <v>48049.863870000001</v>
      </c>
      <c r="Y7" s="118">
        <f>+IncSIntLog!Y10</f>
        <v>50445.274439999994</v>
      </c>
      <c r="Z7" s="118">
        <f>+IncSIntLog!Z10</f>
        <v>54087.619529999996</v>
      </c>
      <c r="AA7" s="118">
        <f>+IncSIntLog!AA10</f>
        <v>47791.897820000006</v>
      </c>
      <c r="AB7" s="118">
        <f>+IncSIntLog!AB10</f>
        <v>45118.782989999992</v>
      </c>
      <c r="AC7" s="118">
        <f>+IncSIntLog!AC10</f>
        <v>50056.113029999993</v>
      </c>
      <c r="AD7" s="118">
        <f>+IncSIntLog!AD10</f>
        <v>47941.790019999993</v>
      </c>
      <c r="AE7" s="161">
        <f>+IncSIntLog!AE10</f>
        <v>45576.200000000004</v>
      </c>
      <c r="AF7" s="118">
        <f>+IncSIntLog!AF10</f>
        <v>45477.30472</v>
      </c>
      <c r="AG7" s="118">
        <f>+IncSIntLog!AG10</f>
        <v>49444.072350000002</v>
      </c>
      <c r="AH7" s="118">
        <f>+IncSIntLog!AH10</f>
        <v>49006.12429</v>
      </c>
      <c r="AI7" s="118">
        <f>+IncSIntLog!AI10</f>
        <v>46798.437100000003</v>
      </c>
      <c r="AJ7" s="118">
        <f>+IncSIntLog!AJ10</f>
        <v>51640.242859999998</v>
      </c>
      <c r="AK7" s="118">
        <f>+IncSIntLog!AK10</f>
        <v>52814.545720000002</v>
      </c>
      <c r="AL7" s="118">
        <f>+IncSIntLog!AL10</f>
        <v>49157.816579999999</v>
      </c>
      <c r="AM7" s="118">
        <f>+IncSIntLog!AM10</f>
        <v>40685.805</v>
      </c>
      <c r="AN7" s="118">
        <f>+IncSIntLog!AN10</f>
        <v>44766.588499999998</v>
      </c>
      <c r="AO7" s="118">
        <f>+IncSIntLog!AO10</f>
        <v>45483.075720000001</v>
      </c>
      <c r="AP7" s="118">
        <f>+IncSIntLog!AP10</f>
        <v>40436.241730000009</v>
      </c>
      <c r="AQ7" s="118">
        <f>+IncSIntLog!AQ10</f>
        <v>48354.774229999995</v>
      </c>
      <c r="AR7" s="118">
        <f>+IncSIntLog!AR10</f>
        <v>46644.168120000002</v>
      </c>
      <c r="AS7" s="118">
        <f>+IncSIntLog!AS10</f>
        <v>51373.626230000002</v>
      </c>
      <c r="AT7" s="118">
        <f>+IncSIntLog!AT10</f>
        <v>44837.835890000002</v>
      </c>
      <c r="AU7" s="118">
        <f>+IncSIntLog!AU10</f>
        <v>47323.97638</v>
      </c>
      <c r="AV7" s="118">
        <v>43144.14963</v>
      </c>
      <c r="AW7" s="118">
        <f>+IncSIntLog!AW10</f>
        <v>50027.470160000004</v>
      </c>
      <c r="AX7" s="118">
        <f>+IncSIntLog!AX10</f>
        <v>49218.7</v>
      </c>
      <c r="AY7" s="118">
        <v>50683.687290000002</v>
      </c>
      <c r="AZ7" s="118">
        <v>55719.131580000001</v>
      </c>
      <c r="BA7" s="118">
        <v>50868.375529999998</v>
      </c>
      <c r="BB7" s="118">
        <f>+IncSIntLog!BB10</f>
        <v>49988.152990000002</v>
      </c>
    </row>
    <row r="8" spans="1:54" ht="14.1" customHeight="1" x14ac:dyDescent="0.2">
      <c r="A8" s="640"/>
      <c r="B8" s="119" t="s">
        <v>216</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3">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B8" si="4">SUM(AW6:AW7)</f>
        <v>531099.36146000004</v>
      </c>
      <c r="AX8" s="120">
        <f t="shared" si="4"/>
        <v>565970.18728000007</v>
      </c>
      <c r="AY8" s="120">
        <f t="shared" si="4"/>
        <v>483235.76516999991</v>
      </c>
      <c r="AZ8" s="120">
        <f t="shared" si="4"/>
        <v>584888.07593000005</v>
      </c>
      <c r="BA8" s="120">
        <f t="shared" si="4"/>
        <v>746758.51612000004</v>
      </c>
      <c r="BB8" s="120">
        <f t="shared" si="4"/>
        <v>770341.37877999991</v>
      </c>
    </row>
    <row r="9" spans="1:54" ht="14.1" customHeight="1" x14ac:dyDescent="0.2">
      <c r="A9" s="640"/>
      <c r="B9" s="117" t="s">
        <v>956</v>
      </c>
      <c r="C9" s="118">
        <f>+IncSAuto!C10+IncSIntLog!C11</f>
        <v>-81333</v>
      </c>
      <c r="D9" s="118">
        <f>+IncSAuto!D10+IncSIntLog!D11</f>
        <v>-91588</v>
      </c>
      <c r="E9" s="118">
        <f>+IncSAuto!E10+IncSIntLog!E11</f>
        <v>-105829</v>
      </c>
      <c r="F9" s="118">
        <f>+IncSAuto!F10+IncSIntLog!F11</f>
        <v>-101172</v>
      </c>
      <c r="G9" s="118">
        <f>+IncSAuto!G10+IncSIntLog!G11</f>
        <v>-88558</v>
      </c>
      <c r="H9" s="118">
        <f>+IncSAuto!H10+IncSIntLog!H11</f>
        <v>-104115</v>
      </c>
      <c r="I9" s="118">
        <f>+IncSAuto!I10+IncSIntLog!I11</f>
        <v>-108268</v>
      </c>
      <c r="J9" s="118">
        <f>+IncSAuto!J10+IncSIntLog!J11</f>
        <v>-106483</v>
      </c>
      <c r="K9" s="118">
        <f>+IncSAuto!K10+IncSIntLog!K11</f>
        <v>-95225</v>
      </c>
      <c r="L9" s="118">
        <f>+IncSAuto!L10+IncSIntLog!L11</f>
        <v>-98774</v>
      </c>
      <c r="M9" s="118">
        <f>+IncSAuto!M10+IncSIntLog!M11</f>
        <v>-95407</v>
      </c>
      <c r="N9" s="118">
        <f>+IncSAuto!N10+IncSIntLog!N11</f>
        <v>-95805</v>
      </c>
      <c r="O9" s="118">
        <f>+IncSAuto!O10+IncSIntLog!O11</f>
        <v>-67982</v>
      </c>
      <c r="P9" s="118">
        <f>+IncSAuto!P10+IncSIntLog!P11</f>
        <v>-67058</v>
      </c>
      <c r="Q9" s="118">
        <f>+IncSAuto!Q10+IncSIntLog!Q11</f>
        <v>-67764</v>
      </c>
      <c r="R9" s="118">
        <f>+IncSAuto!R10+IncSIntLog!R11</f>
        <v>-66690.167500000054</v>
      </c>
      <c r="S9" s="118">
        <f>+IncSAuto!S10+IncSIntLog!S11</f>
        <v>-48151.203300000023</v>
      </c>
      <c r="T9" s="118">
        <f>+IncSAuto!T10+IncSIntLog!T11</f>
        <v>-54394.151560000028</v>
      </c>
      <c r="U9" s="118">
        <f>+IncSAuto!U10+IncSIntLog!U11</f>
        <v>-54752.56556000001</v>
      </c>
      <c r="V9" s="118">
        <f>+IncSAuto!V10+IncSIntLog!V11</f>
        <v>-59039.896560000037</v>
      </c>
      <c r="W9" s="118">
        <f>+IncSAuto!W10+IncSIntLog!W11</f>
        <v>-49624.916319999989</v>
      </c>
      <c r="X9" s="262">
        <f>+IncSAuto!X10+IncSIntLog!X11</f>
        <v>-51660.569389999968</v>
      </c>
      <c r="Y9" s="118">
        <f>+IncSAuto!Y10+IncSIntLog!Y11</f>
        <v>-69751.736580000055</v>
      </c>
      <c r="Z9" s="118">
        <f>+IncSAuto!Z10+IncSIntLog!Z11</f>
        <v>-75177.268309999956</v>
      </c>
      <c r="AA9" s="118">
        <f>+IncSAuto!AA10+IncSIntLog!AA11</f>
        <v>-60777.078839999995</v>
      </c>
      <c r="AB9" s="118">
        <f>+IncSAuto!AB10+IncSIntLog!AB11</f>
        <v>-67123.213439999963</v>
      </c>
      <c r="AC9" s="262">
        <f>+IncSAuto!AC10+IncSIntLog!AC11</f>
        <v>-84639.923620000001</v>
      </c>
      <c r="AD9" s="262">
        <f>+IncSAuto!AD10+IncSIntLog!AD11</f>
        <v>-72400.729329999973</v>
      </c>
      <c r="AE9" s="161">
        <f>+IncSAuto!AE10+IncSIntLog!AE11</f>
        <v>-70601.690199999983</v>
      </c>
      <c r="AF9" s="118">
        <f>+IncSAuto!AF10+IncSIntLog!AF11</f>
        <v>-74742.844070000036</v>
      </c>
      <c r="AG9" s="118">
        <f>+IncSAuto!AG10+IncSIntLog!AG11</f>
        <v>-75126.040760000004</v>
      </c>
      <c r="AH9" s="118">
        <f>+IncSAuto!AH10+IncSIntLog!AH11</f>
        <v>-85518.78118000002</v>
      </c>
      <c r="AI9" s="118">
        <f>+IncSAuto!AI10+IncSIntLog!AI11</f>
        <v>-65706.918319999953</v>
      </c>
      <c r="AJ9" s="118">
        <f>+IncSAuto!AJ10+IncSIntLog!AJ11</f>
        <v>-30124.582640000001</v>
      </c>
      <c r="AK9" s="118">
        <f>+IncSAuto!AK10+IncSIntLog!AK11</f>
        <v>-69134.587800000008</v>
      </c>
      <c r="AL9" s="118">
        <f>+IncSAuto!AL10+IncSIntLog!AL11</f>
        <v>-73762.623569999952</v>
      </c>
      <c r="AM9" s="118">
        <f>+IncSAuto!AM10+IncSIntLog!AM11</f>
        <v>-56852.589729999978</v>
      </c>
      <c r="AN9" s="118">
        <f>+IncSAuto!AN10+IncSIntLog!AN11</f>
        <v>-57645.011709999999</v>
      </c>
      <c r="AO9" s="118">
        <f>+IncSAuto!AO10+IncSIntLog!AO11</f>
        <v>-57843.520080000002</v>
      </c>
      <c r="AP9" s="118">
        <f>+IncSAuto!AP10+IncSIntLog!AP11</f>
        <v>-74556.185990000013</v>
      </c>
      <c r="AQ9" s="118">
        <v>-57272.680549999983</v>
      </c>
      <c r="AR9" s="118">
        <f>+IncSAuto!AR10+IncSIntLog!AR11</f>
        <v>-71296.049840000051</v>
      </c>
      <c r="AS9" s="118">
        <f>+IncSAuto!AS10+IncSIntLog!AS11</f>
        <v>-95901.64496000002</v>
      </c>
      <c r="AT9" s="118">
        <f>+IncSAuto!AT10+IncSIntLog!AT11</f>
        <v>-96900.989790000051</v>
      </c>
      <c r="AU9" s="118">
        <f>+IncSAuto!AU10+IncSIntLog!AU11</f>
        <v>-81188.375400000019</v>
      </c>
      <c r="AV9" s="262">
        <v>-90492.71663000001</v>
      </c>
      <c r="AW9" s="118">
        <f>+IncSAuto!AW10+IncSIntLog!AW11</f>
        <v>-104121.76996999999</v>
      </c>
      <c r="AX9" s="262">
        <f>+IncSAuto!AX10+IncSIntLog!AX11</f>
        <v>-112168.91354999997</v>
      </c>
      <c r="AY9" s="118">
        <v>-94064.972370000003</v>
      </c>
      <c r="AZ9" s="118">
        <v>-112045.88618999999</v>
      </c>
      <c r="BA9" s="118">
        <v>-143004.25521</v>
      </c>
      <c r="BB9" s="118">
        <f>+IncSAuto!BB10+IncSIntLog!BB11</f>
        <v>-145981.2050999999</v>
      </c>
    </row>
    <row r="10" spans="1:54" ht="14.1" customHeight="1" x14ac:dyDescent="0.2">
      <c r="A10" s="640"/>
      <c r="B10" s="119" t="s">
        <v>220</v>
      </c>
      <c r="C10" s="120">
        <f>IncSAuto!C11+IncSIntLog!C12</f>
        <v>342068</v>
      </c>
      <c r="D10" s="120">
        <f>IncSAuto!D11+IncSIntLog!D12</f>
        <v>386514</v>
      </c>
      <c r="E10" s="120">
        <f>IncSAuto!E11+IncSIntLog!E12</f>
        <v>451799</v>
      </c>
      <c r="F10" s="120">
        <f>IncSAuto!F11+IncSIntLog!F12</f>
        <v>453648</v>
      </c>
      <c r="G10" s="120">
        <f>IncSAuto!G11+IncSIntLog!G12</f>
        <v>378844</v>
      </c>
      <c r="H10" s="120">
        <f>IncSAuto!H11+IncSIntLog!H12</f>
        <v>461052</v>
      </c>
      <c r="I10" s="120">
        <f>IncSAuto!I11+IncSIntLog!I12</f>
        <v>467249</v>
      </c>
      <c r="J10" s="120">
        <f>IncSAuto!J11+IncSIntLog!J12</f>
        <v>465347</v>
      </c>
      <c r="K10" s="120">
        <f>IncSAuto!K11+IncSIntLog!K12</f>
        <v>378482</v>
      </c>
      <c r="L10" s="120">
        <f>IncSAuto!L11+IncSIntLog!L12</f>
        <v>405527</v>
      </c>
      <c r="M10" s="120">
        <f>IncSAuto!M11+IncSIntLog!M12</f>
        <v>388078</v>
      </c>
      <c r="N10" s="120">
        <f>IncSAuto!N11+IncSIntLog!N12</f>
        <v>397042</v>
      </c>
      <c r="O10" s="120">
        <f>+IncSAuto!O11+IncSIntLog!O12</f>
        <v>284899</v>
      </c>
      <c r="P10" s="120">
        <f>+IncSAuto!P11+IncSIntLog!P12</f>
        <v>275106</v>
      </c>
      <c r="Q10" s="120">
        <f>+IncSAuto!Q11+IncSIntLog!Q12</f>
        <v>275385</v>
      </c>
      <c r="R10" s="120">
        <f>+IncSAuto!R11+IncSIntLog!R12</f>
        <v>287173.30657999997</v>
      </c>
      <c r="S10" s="120">
        <f>+IncSAuto!S11+IncSIntLog!S12</f>
        <v>202893.83013999998</v>
      </c>
      <c r="T10" s="120">
        <f>+IncSAuto!T11+IncSIntLog!T12</f>
        <v>228657.6053</v>
      </c>
      <c r="U10" s="120">
        <f>+IncSAuto!U11+IncSIntLog!U12</f>
        <v>237818.01644000001</v>
      </c>
      <c r="V10" s="120">
        <f>+IncSAuto!V11+IncSIntLog!V12</f>
        <v>254521.74737</v>
      </c>
      <c r="W10" s="120">
        <f>+IncSAuto!W11+IncSIntLog!W12</f>
        <v>213514.57686999999</v>
      </c>
      <c r="X10" s="120">
        <f>+IncSAuto!X11+IncSIntLog!X12</f>
        <v>265106.40236000001</v>
      </c>
      <c r="Y10" s="120">
        <f>+IncSAuto!Y11+IncSIntLog!Y12</f>
        <v>285878.85382999998</v>
      </c>
      <c r="Z10" s="120">
        <f>+IncSAuto!Z11+IncSIntLog!Z12</f>
        <v>319475.60618</v>
      </c>
      <c r="AA10" s="120">
        <f>+IncSAuto!AA11+IncSIntLog!AA12</f>
        <v>262072.36444</v>
      </c>
      <c r="AB10" s="120">
        <f>+IncSAuto!AB11+IncSIntLog!AB12</f>
        <v>293275.3235</v>
      </c>
      <c r="AC10" s="120">
        <f>+IncSAuto!AC11+IncSIntLog!AC12</f>
        <v>331205.66719999997</v>
      </c>
      <c r="AD10" s="120">
        <f>+IncSAuto!AD11+IncSIntLog!AD12</f>
        <v>367225.46893000003</v>
      </c>
      <c r="AE10" s="163">
        <f>+IncSAuto!AE11+IncSIntLog!AE12</f>
        <v>296680.76609000005</v>
      </c>
      <c r="AF10" s="120">
        <f>+IncSAuto!AF11+IncSIntLog!AF12</f>
        <v>331588.01169000001</v>
      </c>
      <c r="AG10" s="120">
        <f>+IncSAuto!AG11+IncSIntLog!AG12</f>
        <v>340723.14690000005</v>
      </c>
      <c r="AH10" s="120">
        <f>+IncSAuto!AH11+IncSIntLog!AH12</f>
        <v>378328.51955999999</v>
      </c>
      <c r="AI10" s="120">
        <f>+IncSAuto!AI11+IncSIntLog!AI12</f>
        <v>279746.42342000001</v>
      </c>
      <c r="AJ10" s="120">
        <f>+IncSAuto!AJ11+IncSIntLog!AJ12</f>
        <v>130140.54243999999</v>
      </c>
      <c r="AK10" s="120">
        <f>+IncSAuto!AK11+IncSIntLog!AK12</f>
        <v>289181.48298000003</v>
      </c>
      <c r="AL10" s="120">
        <f>+IncSAuto!AL11+IncSIntLog!AL12</f>
        <v>312966.52977000002</v>
      </c>
      <c r="AM10" s="120">
        <f>+IncSAuto!AM11+IncSIntLog!AM12</f>
        <v>233912.14430000001</v>
      </c>
      <c r="AN10" s="120">
        <f>+IncSAuto!AN11+IncSIntLog!AN12</f>
        <v>237066.25822999998</v>
      </c>
      <c r="AO10" s="120">
        <f>+IncSAuto!AO11+IncSIntLog!AO12</f>
        <v>231438.51476000005</v>
      </c>
      <c r="AP10" s="120">
        <f>+IncSAuto!AP11+IncSIntLog!AP12</f>
        <v>304926.0916199999</v>
      </c>
      <c r="AQ10" s="120">
        <f>+IncSAuto!AQ11+IncSIntLog!AQ12</f>
        <v>241066.10910999999</v>
      </c>
      <c r="AR10" s="120">
        <f>+IncSAuto!AR11+IncSIntLog!AR12</f>
        <v>304535.17455999996</v>
      </c>
      <c r="AS10" s="120">
        <f>+IncSAuto!AS11+IncSIntLog!AS12</f>
        <v>415508.69108000002</v>
      </c>
      <c r="AT10" s="120">
        <f>+IncSAuto!AT11+IncSIntLog!AT12</f>
        <v>409399.47147999995</v>
      </c>
      <c r="AU10" s="120">
        <f>+IncSAuto!AU11+IncSIntLog!AU12</f>
        <v>336037.9491699998</v>
      </c>
      <c r="AV10" s="120">
        <v>366650.73004000005</v>
      </c>
      <c r="AW10" s="120">
        <f>+IncSAuto!AW11+IncSIntLog!AW12</f>
        <v>426977.59149000008</v>
      </c>
      <c r="AX10" s="120">
        <f>+IncSAuto!AX11+IncSIntLog!AX12</f>
        <v>453801.27373000013</v>
      </c>
      <c r="AY10" s="120">
        <f>+IncSAuto!AY11+IncSIntLog!AY12</f>
        <v>389170.79279999994</v>
      </c>
      <c r="AZ10" s="120">
        <f>+IncSAuto!AZ11+IncSIntLog!AZ12</f>
        <v>472842.18974</v>
      </c>
      <c r="BA10" s="120">
        <f>+IncSAuto!BA11+IncSIntLog!BA12</f>
        <v>603754.26091000007</v>
      </c>
      <c r="BB10" s="120">
        <f>+IncSAuto!BB11+IncSIntLog!BB12</f>
        <v>624360.17368000001</v>
      </c>
    </row>
    <row r="11" spans="1:54" ht="14.1" customHeight="1" x14ac:dyDescent="0.2">
      <c r="A11" s="1011" t="s">
        <v>819</v>
      </c>
      <c r="B11" s="1009" t="str">
        <f>HYPERLINK(Menu!$AY$38,A11)</f>
        <v>Cost of services*</v>
      </c>
      <c r="C11" s="118">
        <f>IncSAuto!C12+IncSIntLog!C13</f>
        <v>-279118</v>
      </c>
      <c r="D11" s="118">
        <f>IncSAuto!D12+IncSIntLog!D13</f>
        <v>-319569</v>
      </c>
      <c r="E11" s="118">
        <f>IncSAuto!E12+IncSIntLog!E13</f>
        <v>-378170</v>
      </c>
      <c r="F11" s="118">
        <f>IncSAuto!F12+IncSIntLog!F13</f>
        <v>-393316</v>
      </c>
      <c r="G11" s="118">
        <f>IncSAuto!G12+IncSIntLog!G13</f>
        <v>-337561</v>
      </c>
      <c r="H11" s="118">
        <f>IncSAuto!H12+IncSIntLog!H13</f>
        <v>-390715</v>
      </c>
      <c r="I11" s="118">
        <f>IncSAuto!I12+IncSIntLog!I13</f>
        <v>-405791</v>
      </c>
      <c r="J11" s="118">
        <f>IncSAuto!J12+IncSIntLog!J13</f>
        <v>-394507</v>
      </c>
      <c r="K11" s="118">
        <f>IncSAuto!K12+IncSIntLog!K13</f>
        <v>-332869</v>
      </c>
      <c r="L11" s="118">
        <f>IncSAuto!L12+IncSIntLog!L13</f>
        <v>-345150</v>
      </c>
      <c r="M11" s="118">
        <f>IncSAuto!M12+IncSIntLog!M13</f>
        <v>-307163</v>
      </c>
      <c r="N11" s="118">
        <f>IncSAuto!N12+IncSIntLog!N13</f>
        <v>-319694</v>
      </c>
      <c r="O11" s="118">
        <f>+IncSIntLog!O13+IncSAuto!O12</f>
        <v>-241521</v>
      </c>
      <c r="P11" s="262">
        <f>+IncSIntLog!P13+IncSAuto!P12</f>
        <v>-240954</v>
      </c>
      <c r="Q11" s="118">
        <f>+IncSIntLog!Q13+IncSAuto!Q12</f>
        <v>-231310</v>
      </c>
      <c r="R11" s="262">
        <f>+IncSIntLog!R13+IncSAuto!R12</f>
        <v>-236968.78570000001</v>
      </c>
      <c r="S11" s="118">
        <f>+IncSIntLog!S13+IncSAuto!S12</f>
        <v>-172826.5282</v>
      </c>
      <c r="T11" s="118">
        <f>+IncSIntLog!T13+IncSAuto!T12</f>
        <v>-189157.67001999996</v>
      </c>
      <c r="U11" s="118">
        <f>+IncSIntLog!U13+IncSAuto!U12</f>
        <v>-192554.20656000002</v>
      </c>
      <c r="V11" s="262">
        <f>+IncSIntLog!V13+IncSAuto!V12</f>
        <v>-200870.45804</v>
      </c>
      <c r="W11" s="118">
        <f>+IncSIntLog!W13+IncSAuto!W12</f>
        <v>-174885.20908999996</v>
      </c>
      <c r="X11" s="118">
        <f>+IncSIntLog!X13+IncSAuto!X12</f>
        <v>-205921.02704999998</v>
      </c>
      <c r="Y11" s="118">
        <f>+IncSIntLog!Y13+IncSAuto!Y12</f>
        <v>-226186.00294999999</v>
      </c>
      <c r="Z11" s="262">
        <f>+IncSIntLog!Z13+IncSAuto!Z12</f>
        <v>-218112.04913</v>
      </c>
      <c r="AA11" s="118">
        <f>+IncSIntLog!AA13+IncSAuto!AA12</f>
        <v>-207146.03266</v>
      </c>
      <c r="AB11" s="118">
        <f>+IncSIntLog!AB13+IncSAuto!AB12</f>
        <v>-229983.15228000004</v>
      </c>
      <c r="AC11" s="118">
        <f>+IncSIntLog!AC13+IncSAuto!AC12</f>
        <v>-258371.40411000003</v>
      </c>
      <c r="AD11" s="118">
        <f>+IncSIntLog!AD13+IncSAuto!AD12</f>
        <v>-274428.48563000001</v>
      </c>
      <c r="AE11" s="161">
        <f>+IncSIntLog!AE13+IncSAuto!AE12</f>
        <v>-219858.89009999999</v>
      </c>
      <c r="AF11" s="118">
        <f>+IncSIntLog!AF13+IncSAuto!AF12</f>
        <v>-249765.45636999997</v>
      </c>
      <c r="AG11" s="262">
        <f>+IncSIntLog!AG13+IncSAuto!AG12</f>
        <v>-257789.76608999996</v>
      </c>
      <c r="AH11" s="118">
        <f>+IncSIntLog!AH13+IncSAuto!AH12</f>
        <v>-279067.12413999997</v>
      </c>
      <c r="AI11" s="118">
        <f>+IncSIntLog!AI13+IncSAuto!AI12</f>
        <v>-207887.47123</v>
      </c>
      <c r="AJ11" s="118">
        <f>+IncSIntLog!AJ13+IncSAuto!AJ12</f>
        <v>-105924.01414000001</v>
      </c>
      <c r="AK11" s="118">
        <f>+IncSIntLog!AK13+IncSAuto!AK12</f>
        <v>-212365.89350000001</v>
      </c>
      <c r="AL11" s="262">
        <f>+IncSIntLog!AL13+IncSAuto!AL12</f>
        <v>-236073.58012999999</v>
      </c>
      <c r="AM11" s="118">
        <f>+IncSIntLog!AM13+IncSAuto!AM12</f>
        <v>-179455.29472000001</v>
      </c>
      <c r="AN11" s="118">
        <f>+IncSIntLog!AN13+IncSAuto!AN12</f>
        <v>-180934.97625000001</v>
      </c>
      <c r="AO11" s="118">
        <f>+IncSIntLog!AO13+IncSAuto!AO12</f>
        <v>-178037.60190000004</v>
      </c>
      <c r="AP11" s="118">
        <f>+IncSIntLog!AP13+IncSAuto!AP12</f>
        <v>-234425.64186999999</v>
      </c>
      <c r="AQ11" s="118">
        <v>-189639.96300000002</v>
      </c>
      <c r="AR11" s="118">
        <f>+IncSIntLog!AR13+IncSAuto!AR12</f>
        <v>-234569.45392</v>
      </c>
      <c r="AS11" s="118">
        <f>+IncSIntLog!AS13+IncSAuto!AS12</f>
        <v>-308460.46995000006</v>
      </c>
      <c r="AT11" s="118">
        <f>+IncSIntLog!AT13+IncSAuto!AT12</f>
        <v>-314562.2389</v>
      </c>
      <c r="AU11" s="118">
        <f>+IncSIntLog!AU13+IncSAuto!AU12</f>
        <v>-263831.30074999994</v>
      </c>
      <c r="AV11" s="118">
        <v>-285486.00792</v>
      </c>
      <c r="AW11" s="118">
        <f>+IncSIntLog!AW13+IncSAuto!AW12</f>
        <v>-323024.90090000001</v>
      </c>
      <c r="AX11" s="118">
        <f>+IncSIntLog!AX13+IncSAuto!AX12</f>
        <v>-349351.46576999989</v>
      </c>
      <c r="AY11" s="118">
        <v>-302974.08583000011</v>
      </c>
      <c r="AZ11" s="118">
        <v>-364045.45872</v>
      </c>
      <c r="BA11" s="118">
        <v>-451605.84516999999</v>
      </c>
      <c r="BB11" s="118">
        <f>+IncSIntLog!BB13+IncSAuto!BB12</f>
        <v>-469944.28493000008</v>
      </c>
    </row>
    <row r="12" spans="1:54" ht="14.1" customHeight="1" x14ac:dyDescent="0.2">
      <c r="A12" s="640"/>
      <c r="B12" s="119" t="s">
        <v>270</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3">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B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row>
    <row r="13" spans="1:54" ht="14.1" customHeight="1" x14ac:dyDescent="0.2">
      <c r="A13" s="1011" t="s">
        <v>957</v>
      </c>
      <c r="B13" s="1009" t="str">
        <f>HYPERLINK(Menu!$AY$38,A13)</f>
        <v>Expenses*</v>
      </c>
      <c r="C13" s="118">
        <f>IncSAuto!C14+IncSIntLog!C15</f>
        <v>-26354</v>
      </c>
      <c r="D13" s="118">
        <f>IncSAuto!D14+IncSIntLog!D15</f>
        <v>-23690</v>
      </c>
      <c r="E13" s="118">
        <f>IncSAuto!E14+IncSIntLog!E15</f>
        <v>-17343</v>
      </c>
      <c r="F13" s="118">
        <f>IncSAuto!F14+IncSIntLog!F15</f>
        <v>-12339</v>
      </c>
      <c r="G13" s="118">
        <f>IncSAuto!G14+IncSIntLog!G15</f>
        <v>-23247</v>
      </c>
      <c r="H13" s="118">
        <f>IncSAuto!H14+IncSIntLog!H15</f>
        <v>-33750</v>
      </c>
      <c r="I13" s="118">
        <f>IncSAuto!I14+IncSIntLog!I15</f>
        <v>-13670</v>
      </c>
      <c r="J13" s="118">
        <f>IncSAuto!J14+IncSIntLog!J15</f>
        <v>-33451</v>
      </c>
      <c r="K13" s="118">
        <f>IncSAuto!K14+IncSIntLog!K15</f>
        <v>-25717</v>
      </c>
      <c r="L13" s="118">
        <f>IncSAuto!L14+IncSIntLog!L15</f>
        <v>-22210</v>
      </c>
      <c r="M13" s="118">
        <f>IncSAuto!M14+IncSIntLog!M15</f>
        <v>-38308</v>
      </c>
      <c r="N13" s="118">
        <f>IncSAuto!N14+IncSIntLog!N15</f>
        <v>-21081</v>
      </c>
      <c r="O13" s="118">
        <f>+IncSAuto!O14+IncSIntLog!O15</f>
        <v>-18932</v>
      </c>
      <c r="P13" s="118">
        <f>+IncSAuto!P14+IncSIntLog!P15</f>
        <v>-20401</v>
      </c>
      <c r="Q13" s="118">
        <f>+IncSAuto!Q14+IncSIntLog!Q15</f>
        <v>-21522</v>
      </c>
      <c r="R13" s="262">
        <f>+IncSAuto!R14+IncSIntLog!R15</f>
        <v>-40773.277589999998</v>
      </c>
      <c r="S13" s="262">
        <f>+IncSAuto!S14+IncSIntLog!S15</f>
        <v>-15357.446760000001</v>
      </c>
      <c r="T13" s="118">
        <f>+IncSAuto!T14+IncSIntLog!T15</f>
        <v>-22565.713230000001</v>
      </c>
      <c r="U13" s="118">
        <f>+IncSAuto!U14+IncSIntLog!U15</f>
        <v>-20413.879510000002</v>
      </c>
      <c r="V13" s="262">
        <f>+IncSAuto!V14+IncSIntLog!V15</f>
        <v>-21178.156579999995</v>
      </c>
      <c r="W13" s="118">
        <f>+IncSIntLog!W15+IncSAuto!W14</f>
        <v>-17695.995060000001</v>
      </c>
      <c r="X13" s="262">
        <f>+IncSIntLog!X15+IncSAuto!X14</f>
        <v>-39252.330109999995</v>
      </c>
      <c r="Y13" s="262">
        <f>+IncSIntLog!Y15+IncSAuto!Y14</f>
        <v>-24452.20796</v>
      </c>
      <c r="Z13" s="262">
        <f>+IncSIntLog!Z15+IncSAuto!Z14</f>
        <v>-39854.040829999998</v>
      </c>
      <c r="AA13" s="118">
        <f>+IncSIntLog!AA15+IncSAuto!AA14</f>
        <v>-25473.017780000002</v>
      </c>
      <c r="AB13" s="118">
        <f>+IncSIntLog!AB15+IncSAuto!AB14</f>
        <v>-18143.764510000001</v>
      </c>
      <c r="AC13" s="118">
        <f>+IncSIntLog!AC15+IncSAuto!AC14</f>
        <v>-20294.234779999999</v>
      </c>
      <c r="AD13" s="262">
        <f>+IncSIntLog!AD15+IncSAuto!AD14</f>
        <v>-37603.649899999997</v>
      </c>
      <c r="AE13" s="161">
        <f>+IncSIntLog!AE15+IncSAuto!AE14</f>
        <v>-20796.36764</v>
      </c>
      <c r="AF13" s="118">
        <f>+IncSIntLog!AF15+IncSAuto!AF14</f>
        <v>-22379.204980000002</v>
      </c>
      <c r="AG13" s="262">
        <f>+IncSIntLog!AG15+IncSAuto!AG14</f>
        <v>31975.903160000002</v>
      </c>
      <c r="AH13" s="118">
        <f>+IncSIntLog!AH15+IncSAuto!AH14</f>
        <v>-31418.964039999995</v>
      </c>
      <c r="AI13" s="262">
        <f>+IncSIntLog!AI15+IncSAuto!AI14</f>
        <v>-30955.607609999999</v>
      </c>
      <c r="AJ13" s="118">
        <f>+IncSIntLog!AJ15+IncSAuto!AJ14</f>
        <v>-19563.079310000001</v>
      </c>
      <c r="AK13" s="118">
        <f>+IncSIntLog!AK15+IncSAuto!AK14</f>
        <v>-21506.14314</v>
      </c>
      <c r="AL13" s="262">
        <f>+IncSIntLog!AL15+IncSAuto!AL14</f>
        <v>-23777.583190000001</v>
      </c>
      <c r="AM13" s="262">
        <f>+IncSIntLog!AM15+IncSAuto!AM14</f>
        <v>-11265.121420000003</v>
      </c>
      <c r="AN13" s="262">
        <f>+IncSIntLog!AN15+IncSAuto!AN14</f>
        <v>-15075.970599999997</v>
      </c>
      <c r="AO13" s="262">
        <f>+IncSIntLog!AO15+IncSAuto!AO14</f>
        <v>-17079.432490000007</v>
      </c>
      <c r="AP13" s="262">
        <f>+IncSIntLog!AP15+IncSAuto!AP14</f>
        <v>-22036.792750000004</v>
      </c>
      <c r="AQ13" s="118">
        <v>-16337.01467</v>
      </c>
      <c r="AR13" s="118">
        <f>+IncSIntLog!AR15+IncSAuto!AR14</f>
        <v>-20816.767250000004</v>
      </c>
      <c r="AS13" s="262">
        <f>+IncSIntLog!AS15+IncSAuto!AS14</f>
        <v>-25768.052080000005</v>
      </c>
      <c r="AT13" s="262">
        <f>+IncSIntLog!AT15+IncSAuto!AT14</f>
        <v>-16649.771789999999</v>
      </c>
      <c r="AU13" s="118">
        <f>+IncSIntLog!AU15+IncSAuto!AU14</f>
        <v>-18553.174040000002</v>
      </c>
      <c r="AV13" s="118">
        <v>-23152.087519999994</v>
      </c>
      <c r="AW13" s="118">
        <f>+IncSIntLog!AW15+IncSAuto!AW14</f>
        <v>-24698.852590000006</v>
      </c>
      <c r="AX13" s="118">
        <f>+IncSIntLog!AX15+IncSAuto!AX14</f>
        <v>-30322.880150000001</v>
      </c>
      <c r="AY13" s="118">
        <v>-27878.327630000007</v>
      </c>
      <c r="AZ13" s="118">
        <v>-23627.80445</v>
      </c>
      <c r="BA13" s="118">
        <v>-26576.082479999997</v>
      </c>
      <c r="BB13" s="118">
        <f>+IncSIntLog!BB15+IncSAuto!BB14</f>
        <v>-28410.735970000009</v>
      </c>
    </row>
    <row r="14" spans="1:54" ht="14.1" customHeight="1" x14ac:dyDescent="0.2">
      <c r="A14" s="640"/>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3">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B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row>
    <row r="15" spans="1:54" ht="14.1" customHeight="1" x14ac:dyDescent="0.2">
      <c r="A15" s="23"/>
      <c r="B15" s="337" t="s">
        <v>952</v>
      </c>
      <c r="C15" s="118" t="s">
        <v>47</v>
      </c>
      <c r="D15" s="118" t="s">
        <v>47</v>
      </c>
      <c r="E15" s="118" t="s">
        <v>47</v>
      </c>
      <c r="F15" s="118" t="s">
        <v>47</v>
      </c>
      <c r="G15" s="118" t="s">
        <v>47</v>
      </c>
      <c r="H15" s="118" t="s">
        <v>47</v>
      </c>
      <c r="I15" s="118" t="s">
        <v>47</v>
      </c>
      <c r="J15" s="118" t="s">
        <v>47</v>
      </c>
      <c r="K15" s="118" t="s">
        <v>47</v>
      </c>
      <c r="L15" s="118" t="s">
        <v>47</v>
      </c>
      <c r="M15" s="118" t="s">
        <v>47</v>
      </c>
      <c r="N15" s="118" t="s">
        <v>47</v>
      </c>
      <c r="O15" s="118" t="s">
        <v>47</v>
      </c>
      <c r="P15" s="118" t="s">
        <v>47</v>
      </c>
      <c r="Q15" s="118" t="s">
        <v>47</v>
      </c>
      <c r="R15" s="118" t="s">
        <v>47</v>
      </c>
      <c r="S15" s="118" t="s">
        <v>47</v>
      </c>
      <c r="T15" s="118" t="s">
        <v>47</v>
      </c>
      <c r="U15" s="118" t="s">
        <v>47</v>
      </c>
      <c r="V15" s="118" t="s">
        <v>47</v>
      </c>
      <c r="W15" s="118">
        <v>0</v>
      </c>
      <c r="X15" s="118" t="s">
        <v>47</v>
      </c>
      <c r="Y15" s="118" t="s">
        <v>47</v>
      </c>
      <c r="Z15" s="118" t="s">
        <v>47</v>
      </c>
      <c r="AA15" s="118" t="s">
        <v>47</v>
      </c>
      <c r="AB15" s="118" t="s">
        <v>47</v>
      </c>
      <c r="AC15" s="118" t="s">
        <v>47</v>
      </c>
      <c r="AD15" s="118">
        <f>+IncSIntLog!AD17+IncSAuto!AD16</f>
        <v>-4478.014682542499</v>
      </c>
      <c r="AE15" s="161">
        <v>0</v>
      </c>
      <c r="AF15" s="118">
        <v>0</v>
      </c>
      <c r="AG15" s="118">
        <v>-50391.444189999995</v>
      </c>
      <c r="AH15" s="118">
        <v>0</v>
      </c>
      <c r="AI15" s="118">
        <v>0</v>
      </c>
      <c r="AJ15" s="118">
        <v>0</v>
      </c>
      <c r="AK15" s="118">
        <f>+IncSAuto!AK16+IncSIntLog!AK17</f>
        <v>0</v>
      </c>
      <c r="AL15" s="118">
        <f>+IncSAuto!AL16+IncSIntLog!AL17</f>
        <v>0</v>
      </c>
      <c r="AM15" s="118">
        <v>0</v>
      </c>
      <c r="AN15" s="118">
        <f>+IncSIntLog!AN17</f>
        <v>-5732.7137899999998</v>
      </c>
      <c r="AO15" s="118">
        <f>+IncSAuto!AO16+IncSIntLog!AO17</f>
        <v>0</v>
      </c>
      <c r="AP15" s="118">
        <f>+IncSAuto!AP16+IncSIntLog!AP17</f>
        <v>0</v>
      </c>
      <c r="AQ15" s="118">
        <v>0</v>
      </c>
      <c r="AR15" s="118">
        <f>+IncSAuto!AR16+IncSIntLog!AR17</f>
        <v>0</v>
      </c>
      <c r="AS15" s="118">
        <f>+IncSAuto!AS16+IncSIntLog!AS17</f>
        <v>0</v>
      </c>
      <c r="AT15" s="118">
        <f>+IncSAuto!AT16+IncSIntLog!AT17</f>
        <v>0</v>
      </c>
      <c r="AU15" s="118">
        <f>+IncSAuto!AU16+IncSIntLog!AU17</f>
        <v>0</v>
      </c>
      <c r="AV15" s="118">
        <v>0</v>
      </c>
      <c r="AW15" s="118">
        <f>+IncSAuto!AW16+IncSIntLog!AW17</f>
        <v>0</v>
      </c>
      <c r="AX15" s="118">
        <f>+IncSAuto!AX16+IncSIntLog!AX17</f>
        <v>0</v>
      </c>
      <c r="AY15" s="118" t="s">
        <v>47</v>
      </c>
      <c r="AZ15" s="118" t="s">
        <v>47</v>
      </c>
      <c r="BA15" s="118" t="s">
        <v>47</v>
      </c>
      <c r="BB15" s="118">
        <f>+IncSAuto!BB16+IncSIntLog!BB17</f>
        <v>0</v>
      </c>
    </row>
    <row r="16" spans="1:54" ht="14.1" customHeight="1" x14ac:dyDescent="0.2">
      <c r="A16" s="23"/>
      <c r="B16" s="337" t="s">
        <v>1180</v>
      </c>
      <c r="C16" s="118" t="s">
        <v>47</v>
      </c>
      <c r="D16" s="118" t="s">
        <v>47</v>
      </c>
      <c r="E16" s="118" t="s">
        <v>47</v>
      </c>
      <c r="F16" s="118" t="s">
        <v>47</v>
      </c>
      <c r="G16" s="118" t="s">
        <v>47</v>
      </c>
      <c r="H16" s="118" t="s">
        <v>47</v>
      </c>
      <c r="I16" s="118" t="s">
        <v>47</v>
      </c>
      <c r="J16" s="118" t="s">
        <v>47</v>
      </c>
      <c r="K16" s="118" t="s">
        <v>47</v>
      </c>
      <c r="L16" s="118" t="s">
        <v>47</v>
      </c>
      <c r="M16" s="118" t="s">
        <v>47</v>
      </c>
      <c r="N16" s="118" t="s">
        <v>47</v>
      </c>
      <c r="O16" s="118" t="s">
        <v>47</v>
      </c>
      <c r="P16" s="118" t="s">
        <v>47</v>
      </c>
      <c r="Q16" s="118" t="s">
        <v>47</v>
      </c>
      <c r="R16" s="118" t="s">
        <v>47</v>
      </c>
      <c r="S16" s="118" t="s">
        <v>47</v>
      </c>
      <c r="T16" s="118" t="s">
        <v>47</v>
      </c>
      <c r="U16" s="118" t="s">
        <v>47</v>
      </c>
      <c r="V16" s="118" t="s">
        <v>47</v>
      </c>
      <c r="W16" s="118" t="s">
        <v>47</v>
      </c>
      <c r="X16" s="118" t="s">
        <v>47</v>
      </c>
      <c r="Y16" s="118" t="s">
        <v>47</v>
      </c>
      <c r="Z16" s="118" t="s">
        <v>47</v>
      </c>
      <c r="AA16" s="118" t="s">
        <v>47</v>
      </c>
      <c r="AB16" s="118" t="s">
        <v>47</v>
      </c>
      <c r="AC16" s="118" t="s">
        <v>47</v>
      </c>
      <c r="AD16" s="118" t="s">
        <v>47</v>
      </c>
      <c r="AE16" s="161" t="s">
        <v>47</v>
      </c>
      <c r="AF16" s="118" t="s">
        <v>47</v>
      </c>
      <c r="AG16" s="118" t="s">
        <v>47</v>
      </c>
      <c r="AH16" s="118" t="s">
        <v>47</v>
      </c>
      <c r="AI16" s="118" t="s">
        <v>47</v>
      </c>
      <c r="AJ16" s="118" t="s">
        <v>47</v>
      </c>
      <c r="AK16" s="118" t="s">
        <v>47</v>
      </c>
      <c r="AL16" s="118" t="s">
        <v>47</v>
      </c>
      <c r="AM16" s="118" t="s">
        <v>47</v>
      </c>
      <c r="AN16" s="118" t="s">
        <v>47</v>
      </c>
      <c r="AO16" s="118" t="s">
        <v>47</v>
      </c>
      <c r="AP16" s="118">
        <f>IncSIntLog!AP18</f>
        <v>-2591</v>
      </c>
      <c r="AQ16" s="118" t="s">
        <v>47</v>
      </c>
      <c r="AR16" s="118" t="str">
        <f>IncSIntLog!AR18</f>
        <v>-</v>
      </c>
      <c r="AS16" s="118" t="str">
        <f>IncSIntLog!AS18</f>
        <v>-</v>
      </c>
      <c r="AT16" s="118" t="str">
        <f>IncSIntLog!AT18</f>
        <v>-</v>
      </c>
      <c r="AU16" s="118" t="str">
        <f>IncSIntLog!AU18</f>
        <v>-</v>
      </c>
      <c r="AV16" s="118" t="s">
        <v>47</v>
      </c>
      <c r="AW16" s="118" t="str">
        <f>IncSIntLog!AW18</f>
        <v>-</v>
      </c>
      <c r="AX16" s="118" t="str">
        <f>IncSIntLog!AX18</f>
        <v>-</v>
      </c>
      <c r="AY16" s="118" t="s">
        <v>47</v>
      </c>
      <c r="AZ16" s="118" t="s">
        <v>47</v>
      </c>
      <c r="BA16" s="118" t="s">
        <v>47</v>
      </c>
      <c r="BB16" s="118" t="str">
        <f>IncSIntLog!BB18</f>
        <v>-</v>
      </c>
    </row>
    <row r="17" spans="1:54" ht="14.1" customHeight="1" x14ac:dyDescent="0.2">
      <c r="A17" s="23"/>
      <c r="B17" s="337" t="s">
        <v>1194</v>
      </c>
      <c r="C17" s="118" t="s">
        <v>47</v>
      </c>
      <c r="D17" s="118" t="s">
        <v>47</v>
      </c>
      <c r="E17" s="118" t="s">
        <v>47</v>
      </c>
      <c r="F17" s="118" t="s">
        <v>47</v>
      </c>
      <c r="G17" s="118" t="s">
        <v>47</v>
      </c>
      <c r="H17" s="118" t="s">
        <v>47</v>
      </c>
      <c r="I17" s="118" t="s">
        <v>47</v>
      </c>
      <c r="J17" s="118" t="s">
        <v>47</v>
      </c>
      <c r="K17" s="118" t="s">
        <v>47</v>
      </c>
      <c r="L17" s="118" t="s">
        <v>47</v>
      </c>
      <c r="M17" s="118" t="s">
        <v>47</v>
      </c>
      <c r="N17" s="118" t="s">
        <v>47</v>
      </c>
      <c r="O17" s="118" t="s">
        <v>47</v>
      </c>
      <c r="P17" s="118" t="s">
        <v>47</v>
      </c>
      <c r="Q17" s="118" t="s">
        <v>47</v>
      </c>
      <c r="R17" s="118" t="s">
        <v>47</v>
      </c>
      <c r="S17" s="118" t="s">
        <v>47</v>
      </c>
      <c r="T17" s="118" t="s">
        <v>47</v>
      </c>
      <c r="U17" s="118" t="s">
        <v>47</v>
      </c>
      <c r="V17" s="118" t="s">
        <v>47</v>
      </c>
      <c r="W17" s="118" t="s">
        <v>47</v>
      </c>
      <c r="X17" s="118" t="s">
        <v>47</v>
      </c>
      <c r="Y17" s="118" t="s">
        <v>47</v>
      </c>
      <c r="Z17" s="118" t="s">
        <v>47</v>
      </c>
      <c r="AA17" s="118" t="s">
        <v>47</v>
      </c>
      <c r="AB17" s="118" t="s">
        <v>47</v>
      </c>
      <c r="AC17" s="118" t="s">
        <v>47</v>
      </c>
      <c r="AD17" s="118" t="s">
        <v>47</v>
      </c>
      <c r="AE17" s="161" t="s">
        <v>47</v>
      </c>
      <c r="AF17" s="118" t="s">
        <v>47</v>
      </c>
      <c r="AG17" s="118" t="s">
        <v>47</v>
      </c>
      <c r="AH17" s="118" t="s">
        <v>47</v>
      </c>
      <c r="AI17" s="118" t="s">
        <v>47</v>
      </c>
      <c r="AJ17" s="118" t="s">
        <v>47</v>
      </c>
      <c r="AK17" s="118" t="s">
        <v>47</v>
      </c>
      <c r="AL17" s="118" t="s">
        <v>47</v>
      </c>
      <c r="AM17" s="118" t="s">
        <v>47</v>
      </c>
      <c r="AN17" s="118" t="s">
        <v>47</v>
      </c>
      <c r="AO17" s="118">
        <f>+IncSAuto!AO18</f>
        <v>1159</v>
      </c>
      <c r="AP17" s="118">
        <f>+IncSAuto!AP18</f>
        <v>0</v>
      </c>
      <c r="AQ17" s="118">
        <v>0</v>
      </c>
      <c r="AR17" s="118">
        <f>+IncSAuto!AR18</f>
        <v>0</v>
      </c>
      <c r="AS17" s="118">
        <f>+IncSAuto!AS18</f>
        <v>0</v>
      </c>
      <c r="AT17" s="118">
        <f>+IncSAuto!AT18</f>
        <v>0</v>
      </c>
      <c r="AU17" s="118">
        <f>+IncSAuto!AU18</f>
        <v>0</v>
      </c>
      <c r="AV17" s="118">
        <v>0</v>
      </c>
      <c r="AW17" s="118">
        <f>+IncSAuto!AW18</f>
        <v>0</v>
      </c>
      <c r="AX17" s="118">
        <f>+IncSAuto!AX18</f>
        <v>0</v>
      </c>
      <c r="AY17" s="118" t="s">
        <v>47</v>
      </c>
      <c r="AZ17" s="118" t="s">
        <v>47</v>
      </c>
      <c r="BA17" s="118" t="s">
        <v>47</v>
      </c>
      <c r="BB17" s="118">
        <f>+IncSAuto!BB18</f>
        <v>0</v>
      </c>
    </row>
    <row r="18" spans="1:54" ht="14.1" customHeight="1" x14ac:dyDescent="0.2">
      <c r="A18" s="23"/>
      <c r="B18" s="337" t="s">
        <v>975</v>
      </c>
      <c r="C18" s="118" t="s">
        <v>47</v>
      </c>
      <c r="D18" s="118" t="s">
        <v>47</v>
      </c>
      <c r="E18" s="118" t="s">
        <v>47</v>
      </c>
      <c r="F18" s="118" t="s">
        <v>47</v>
      </c>
      <c r="G18" s="118" t="s">
        <v>47</v>
      </c>
      <c r="H18" s="118" t="s">
        <v>47</v>
      </c>
      <c r="I18" s="118" t="s">
        <v>47</v>
      </c>
      <c r="J18" s="118" t="s">
        <v>47</v>
      </c>
      <c r="K18" s="118" t="s">
        <v>47</v>
      </c>
      <c r="L18" s="118" t="s">
        <v>47</v>
      </c>
      <c r="M18" s="118" t="s">
        <v>47</v>
      </c>
      <c r="N18" s="118" t="s">
        <v>47</v>
      </c>
      <c r="O18" s="118" t="s">
        <v>47</v>
      </c>
      <c r="P18" s="118" t="s">
        <v>47</v>
      </c>
      <c r="Q18" s="118" t="s">
        <v>47</v>
      </c>
      <c r="R18" s="118" t="s">
        <v>47</v>
      </c>
      <c r="S18" s="118" t="s">
        <v>47</v>
      </c>
      <c r="T18" s="118" t="s">
        <v>47</v>
      </c>
      <c r="U18" s="118" t="s">
        <v>47</v>
      </c>
      <c r="V18" s="118" t="s">
        <v>47</v>
      </c>
      <c r="W18" s="118" t="s">
        <v>47</v>
      </c>
      <c r="X18" s="118" t="s">
        <v>47</v>
      </c>
      <c r="Y18" s="118" t="s">
        <v>47</v>
      </c>
      <c r="Z18" s="118" t="s">
        <v>47</v>
      </c>
      <c r="AA18" s="118" t="s">
        <v>47</v>
      </c>
      <c r="AB18" s="118" t="s">
        <v>47</v>
      </c>
      <c r="AC18" s="118" t="s">
        <v>47</v>
      </c>
      <c r="AD18" s="118" t="s">
        <v>47</v>
      </c>
      <c r="AE18" s="161" t="s">
        <v>47</v>
      </c>
      <c r="AF18" s="118" t="s">
        <v>47</v>
      </c>
      <c r="AG18" s="118" t="s">
        <v>47</v>
      </c>
      <c r="AH18" s="118">
        <v>2254</v>
      </c>
      <c r="AI18" s="118">
        <v>3317</v>
      </c>
      <c r="AJ18" s="118">
        <v>0</v>
      </c>
      <c r="AK18" s="118">
        <f>+IncSAuto!AK19</f>
        <v>0</v>
      </c>
      <c r="AL18" s="118">
        <f>+IncSAuto!AL19</f>
        <v>0</v>
      </c>
      <c r="AM18" s="118">
        <v>0</v>
      </c>
      <c r="AN18" s="118">
        <v>0</v>
      </c>
      <c r="AO18" s="118">
        <f>+IncSAuto!AO19</f>
        <v>0</v>
      </c>
      <c r="AP18" s="118">
        <f>+IncSAuto!AP19</f>
        <v>0</v>
      </c>
      <c r="AQ18" s="118">
        <v>0</v>
      </c>
      <c r="AR18" s="118">
        <f>+IncSAuto!AR19</f>
        <v>0</v>
      </c>
      <c r="AS18" s="118">
        <f>+IncSAuto!AS19</f>
        <v>0</v>
      </c>
      <c r="AT18" s="118">
        <f>+IncSAuto!AT19</f>
        <v>0</v>
      </c>
      <c r="AU18" s="118">
        <f>+IncSAuto!AU19</f>
        <v>0</v>
      </c>
      <c r="AV18" s="118">
        <v>0</v>
      </c>
      <c r="AW18" s="118">
        <f>+IncSAuto!AW19</f>
        <v>0</v>
      </c>
      <c r="AX18" s="118">
        <f>+IncSAuto!AX19</f>
        <v>0</v>
      </c>
      <c r="AY18" s="118" t="s">
        <v>47</v>
      </c>
      <c r="AZ18" s="118" t="s">
        <v>47</v>
      </c>
      <c r="BA18" s="118" t="s">
        <v>47</v>
      </c>
      <c r="BB18" s="118">
        <f>+IncSAuto!BB19</f>
        <v>0</v>
      </c>
    </row>
    <row r="19" spans="1:54" ht="14.1" customHeight="1" x14ac:dyDescent="0.2">
      <c r="A19" s="23"/>
      <c r="B19" s="337" t="s">
        <v>951</v>
      </c>
      <c r="C19" s="118">
        <f>+IncSAuto!C20+IncSIntLog!C21</f>
        <v>0</v>
      </c>
      <c r="D19" s="118">
        <f>+IncSAuto!D20+IncSIntLog!D21</f>
        <v>0</v>
      </c>
      <c r="E19" s="118">
        <f>+IncSAuto!E20+IncSIntLog!E21</f>
        <v>0</v>
      </c>
      <c r="F19" s="118">
        <f>+IncSAuto!F20+IncSIntLog!F21</f>
        <v>0</v>
      </c>
      <c r="G19" s="118">
        <f>+IncSAuto!G20+IncSIntLog!G21</f>
        <v>0</v>
      </c>
      <c r="H19" s="118">
        <f>+IncSAuto!H20+IncSIntLog!H21</f>
        <v>0</v>
      </c>
      <c r="I19" s="118">
        <f>+IncSAuto!I20+IncSIntLog!I21</f>
        <v>0</v>
      </c>
      <c r="J19" s="118">
        <f>+IncSAuto!J20+IncSIntLog!J21</f>
        <v>0</v>
      </c>
      <c r="K19" s="118">
        <f>+IncSAuto!K20+IncSIntLog!K21</f>
        <v>0</v>
      </c>
      <c r="L19" s="118">
        <f>+IncSAuto!L20+IncSIntLog!L21</f>
        <v>0</v>
      </c>
      <c r="M19" s="118">
        <f>+IncSAuto!M20+IncSIntLog!M21</f>
        <v>0</v>
      </c>
      <c r="N19" s="118">
        <f>+IncSAuto!N20+IncSIntLog!N21</f>
        <v>0</v>
      </c>
      <c r="O19" s="118">
        <f>+IncSAuto!O20+IncSIntLog!O21</f>
        <v>0</v>
      </c>
      <c r="P19" s="118">
        <f>+IncSAuto!P20+IncSIntLog!P21</f>
        <v>0</v>
      </c>
      <c r="Q19" s="118">
        <f>+IncSAuto!Q20+IncSIntLog!Q21</f>
        <v>0</v>
      </c>
      <c r="R19" s="118">
        <f>+IncSAuto!R20+IncSIntLog!R21</f>
        <v>0</v>
      </c>
      <c r="S19" s="118">
        <f>+IncSAuto!S20+IncSIntLog!S21</f>
        <v>0</v>
      </c>
      <c r="T19" s="118">
        <f>+IncSAuto!T20+IncSIntLog!T21</f>
        <v>0</v>
      </c>
      <c r="U19" s="118">
        <f>+IncSAuto!U20+IncSIntLog!U21</f>
        <v>0</v>
      </c>
      <c r="V19" s="118">
        <f>+IncSAuto!V20+IncSIntLog!V21</f>
        <v>0</v>
      </c>
      <c r="W19" s="118">
        <f>+IncSAuto!W20+IncSIntLog!W21</f>
        <v>0</v>
      </c>
      <c r="X19" s="118">
        <f>+IncSAuto!X20+IncSIntLog!X21</f>
        <v>0</v>
      </c>
      <c r="Y19" s="118">
        <f>+IncSAuto!Y20+IncSIntLog!Y21</f>
        <v>0</v>
      </c>
      <c r="Z19" s="118">
        <f>+IncSAuto!Z20+IncSIntLog!Z21</f>
        <v>-29230.404609999947</v>
      </c>
      <c r="AA19" s="118" t="s">
        <v>47</v>
      </c>
      <c r="AB19" s="118" t="s">
        <v>47</v>
      </c>
      <c r="AC19" s="118" t="s">
        <v>47</v>
      </c>
      <c r="AD19" s="118">
        <v>0</v>
      </c>
      <c r="AE19" s="161">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47</v>
      </c>
      <c r="AZ19" s="118" t="s">
        <v>47</v>
      </c>
      <c r="BA19" s="118" t="s">
        <v>47</v>
      </c>
      <c r="BB19" s="118">
        <v>0</v>
      </c>
    </row>
    <row r="20" spans="1:54" ht="14.1" customHeight="1" x14ac:dyDescent="0.2">
      <c r="A20" s="640"/>
      <c r="B20" s="337" t="s">
        <v>1201</v>
      </c>
      <c r="C20" s="118">
        <f>+IncSAuto!C21+IncSIntLog!C22</f>
        <v>0</v>
      </c>
      <c r="D20" s="118">
        <f>+IncSAuto!D21+IncSIntLog!D22</f>
        <v>0</v>
      </c>
      <c r="E20" s="118">
        <f>+IncSAuto!E21+IncSIntLog!E22</f>
        <v>0</v>
      </c>
      <c r="F20" s="118">
        <f>+IncSAuto!F21+IncSIntLog!F22</f>
        <v>0</v>
      </c>
      <c r="G20" s="118">
        <f>+IncSAuto!G21+IncSIntLog!G22</f>
        <v>0</v>
      </c>
      <c r="H20" s="118">
        <f>+IncSAuto!H21+IncSIntLog!H22</f>
        <v>0</v>
      </c>
      <c r="I20" s="118">
        <f>+IncSAuto!I21+IncSIntLog!I22</f>
        <v>0</v>
      </c>
      <c r="J20" s="118">
        <f>+IncSAuto!J21+IncSIntLog!J22</f>
        <v>0</v>
      </c>
      <c r="K20" s="118">
        <f>+IncSAuto!K21+IncSIntLog!K22</f>
        <v>0</v>
      </c>
      <c r="L20" s="118">
        <f>+IncSAuto!L21+IncSIntLog!L22</f>
        <v>0</v>
      </c>
      <c r="M20" s="118">
        <f>+IncSAuto!M21+IncSIntLog!M22</f>
        <v>0</v>
      </c>
      <c r="N20" s="118">
        <f>+IncSAuto!N21+IncSIntLog!N22</f>
        <v>0</v>
      </c>
      <c r="O20" s="118">
        <f>+IncSAuto!O21+IncSIntLog!O22</f>
        <v>0</v>
      </c>
      <c r="P20" s="118">
        <f>+IncSAuto!P21+IncSIntLog!P22</f>
        <v>0</v>
      </c>
      <c r="Q20" s="118">
        <f>+IncSAuto!Q21+IncSIntLog!Q22</f>
        <v>0</v>
      </c>
      <c r="R20" s="118">
        <f>+IncSAuto!R21+IncSIntLog!R22</f>
        <v>0</v>
      </c>
      <c r="S20" s="118">
        <f>+IncSAuto!S21+IncSIntLog!S22</f>
        <v>0</v>
      </c>
      <c r="T20" s="118">
        <f>+IncSAuto!T21+IncSIntLog!T22</f>
        <v>0</v>
      </c>
      <c r="U20" s="118">
        <f>+IncSAuto!U21+IncSIntLog!U22</f>
        <v>0</v>
      </c>
      <c r="V20" s="118">
        <f>+IncSAuto!V21+IncSIntLog!V22</f>
        <v>0</v>
      </c>
      <c r="W20" s="118">
        <f>+IncSAuto!W21+IncSIntLog!W22</f>
        <v>0</v>
      </c>
      <c r="X20" s="262">
        <f>+IncSAuto!X21+IncSIntLog!X22</f>
        <v>15000</v>
      </c>
      <c r="Y20" s="118">
        <f>+IncSAuto!Y21+IncSIntLog!Y22</f>
        <v>0</v>
      </c>
      <c r="Z20" s="118">
        <f>+IncSAuto!Z21+IncSIntLog!Z22</f>
        <v>0</v>
      </c>
      <c r="AA20" s="118" t="s">
        <v>47</v>
      </c>
      <c r="AB20" s="118" t="s">
        <v>47</v>
      </c>
      <c r="AC20" s="118" t="s">
        <v>47</v>
      </c>
      <c r="AD20" s="118">
        <f>+IncSIntLog!AD22+IncSAuto!AD21</f>
        <v>14500</v>
      </c>
      <c r="AE20" s="161">
        <v>0</v>
      </c>
      <c r="AF20" s="118">
        <v>0</v>
      </c>
      <c r="AG20" s="118">
        <v>0</v>
      </c>
      <c r="AH20" s="118">
        <v>0</v>
      </c>
      <c r="AI20" s="118">
        <v>0</v>
      </c>
      <c r="AJ20" s="118">
        <v>0</v>
      </c>
      <c r="AK20" s="118">
        <v>0</v>
      </c>
      <c r="AL20" s="118">
        <v>0</v>
      </c>
      <c r="AM20" s="118">
        <v>0</v>
      </c>
      <c r="AN20" s="118">
        <v>0</v>
      </c>
      <c r="AO20" s="118">
        <v>0</v>
      </c>
      <c r="AP20" s="118">
        <v>0</v>
      </c>
      <c r="AQ20" s="118">
        <v>0</v>
      </c>
      <c r="AR20" s="118">
        <f>+IncSAuto!AR21</f>
        <v>0</v>
      </c>
      <c r="AS20" s="118">
        <f>+IncSAuto!AS21</f>
        <v>6645.02</v>
      </c>
      <c r="AT20" s="118">
        <f>+IncSAuto!AT21</f>
        <v>0</v>
      </c>
      <c r="AU20" s="118">
        <f>+IncSAuto!AU21</f>
        <v>0</v>
      </c>
      <c r="AV20" s="118">
        <v>0</v>
      </c>
      <c r="AW20" s="118">
        <f>+IncSAuto!AW21</f>
        <v>0</v>
      </c>
      <c r="AX20" s="118">
        <f>+IncSAuto!AX21</f>
        <v>0</v>
      </c>
      <c r="AY20" s="118" t="s">
        <v>47</v>
      </c>
      <c r="AZ20" s="118" t="s">
        <v>47</v>
      </c>
      <c r="BA20" s="118" t="s">
        <v>47</v>
      </c>
      <c r="BB20" s="118">
        <f>+IncSAuto!BB21</f>
        <v>0</v>
      </c>
    </row>
    <row r="21" spans="1:54" ht="14.1" customHeight="1" x14ac:dyDescent="0.2">
      <c r="A21" s="640"/>
      <c r="B21" s="337" t="s">
        <v>835</v>
      </c>
      <c r="C21" s="118" t="s">
        <v>47</v>
      </c>
      <c r="D21" s="118" t="s">
        <v>47</v>
      </c>
      <c r="E21" s="118" t="s">
        <v>47</v>
      </c>
      <c r="F21" s="118" t="s">
        <v>47</v>
      </c>
      <c r="G21" s="118" t="s">
        <v>47</v>
      </c>
      <c r="H21" s="118" t="s">
        <v>47</v>
      </c>
      <c r="I21" s="118" t="s">
        <v>47</v>
      </c>
      <c r="J21" s="118" t="s">
        <v>47</v>
      </c>
      <c r="K21" s="118" t="s">
        <v>47</v>
      </c>
      <c r="L21" s="118" t="s">
        <v>47</v>
      </c>
      <c r="M21" s="118" t="s">
        <v>47</v>
      </c>
      <c r="N21" s="118" t="s">
        <v>47</v>
      </c>
      <c r="O21" s="118" t="s">
        <v>47</v>
      </c>
      <c r="P21" s="118" t="s">
        <v>47</v>
      </c>
      <c r="Q21" s="118" t="s">
        <v>47</v>
      </c>
      <c r="R21" s="118" t="s">
        <v>47</v>
      </c>
      <c r="S21" s="118" t="s">
        <v>47</v>
      </c>
      <c r="T21" s="118" t="s">
        <v>47</v>
      </c>
      <c r="U21" s="118" t="s">
        <v>47</v>
      </c>
      <c r="V21" s="118" t="s">
        <v>47</v>
      </c>
      <c r="W21" s="118" t="s">
        <v>47</v>
      </c>
      <c r="X21" s="118" t="s">
        <v>47</v>
      </c>
      <c r="Y21" s="118" t="s">
        <v>47</v>
      </c>
      <c r="Z21" s="118" t="s">
        <v>47</v>
      </c>
      <c r="AA21" s="118" t="s">
        <v>47</v>
      </c>
      <c r="AB21" s="118" t="s">
        <v>47</v>
      </c>
      <c r="AC21" s="118">
        <f>+IncSAuto!AC22+IncSIntLog!AC23</f>
        <v>5251.7599300000002</v>
      </c>
      <c r="AD21" s="118">
        <v>0</v>
      </c>
      <c r="AE21" s="161">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47</v>
      </c>
      <c r="AZ21" s="118" t="s">
        <v>47</v>
      </c>
      <c r="BA21" s="118" t="s">
        <v>47</v>
      </c>
      <c r="BB21" s="118">
        <v>0</v>
      </c>
    </row>
    <row r="22" spans="1:54" ht="14.1" customHeight="1" x14ac:dyDescent="0.2">
      <c r="A22" s="640"/>
      <c r="B22" s="337" t="s">
        <v>254</v>
      </c>
      <c r="C22" s="118">
        <f>+IncSAuto!C31+IncSIntLog!C24</f>
        <v>0</v>
      </c>
      <c r="D22" s="118">
        <f>+IncSAuto!D31+IncSIntLog!D24</f>
        <v>0</v>
      </c>
      <c r="E22" s="118">
        <f>+IncSAuto!E31+IncSIntLog!E24</f>
        <v>0</v>
      </c>
      <c r="F22" s="118">
        <f>+IncSAuto!F31+IncSIntLog!F24</f>
        <v>0</v>
      </c>
      <c r="G22" s="118">
        <f>+IncSAuto!G31+IncSIntLog!G24</f>
        <v>0</v>
      </c>
      <c r="H22" s="118">
        <f>+IncSAuto!H31+IncSIntLog!H24</f>
        <v>0</v>
      </c>
      <c r="I22" s="118">
        <f>+IncSAuto!I31+IncSIntLog!I24</f>
        <v>0</v>
      </c>
      <c r="J22" s="118">
        <f>+IncSAuto!J31+IncSIntLog!J24</f>
        <v>0</v>
      </c>
      <c r="K22" s="118">
        <f>+IncSAuto!K31+IncSIntLog!K24</f>
        <v>8603</v>
      </c>
      <c r="L22" s="118">
        <f>+IncSAuto!L31+IncSIntLog!L24</f>
        <v>0</v>
      </c>
      <c r="M22" s="118">
        <f>+IncSAuto!M31+IncSIntLog!M24</f>
        <v>0</v>
      </c>
      <c r="N22" s="118">
        <f>+IncSAuto!N31+IncSIntLog!N24</f>
        <v>0</v>
      </c>
      <c r="O22" s="118">
        <f>+IncSAuto!O31+IncSIntLog!O24</f>
        <v>0</v>
      </c>
      <c r="P22" s="118">
        <f>+IncSAuto!P31+IncSIntLog!P24</f>
        <v>0</v>
      </c>
      <c r="Q22" s="118">
        <f>+IncSAuto!Q31+IncSIntLog!Q24</f>
        <v>0</v>
      </c>
      <c r="R22" s="118">
        <f>+IncSAuto!R31+IncSIntLog!R24</f>
        <v>6697.1685799999996</v>
      </c>
      <c r="S22" s="118">
        <f>+IncSAuto!S31+IncSIntLog!S24</f>
        <v>0</v>
      </c>
      <c r="T22" s="118">
        <f>+IncSAuto!T31+IncSIntLog!T24</f>
        <v>0</v>
      </c>
      <c r="U22" s="118">
        <f>+IncSAuto!U31+IncSIntLog!U24</f>
        <v>0</v>
      </c>
      <c r="V22" s="118">
        <f>+IncSAuto!V31+IncSIntLog!V24</f>
        <v>0</v>
      </c>
      <c r="W22" s="118">
        <f>+IncSAuto!W31+IncSIntLog!W24</f>
        <v>0</v>
      </c>
      <c r="X22" s="118">
        <f>+IncSAuto!X31+IncSIntLog!X24</f>
        <v>0</v>
      </c>
      <c r="Y22" s="118">
        <f>+IncSAuto!Y31+IncSIntLog!Y24</f>
        <v>0</v>
      </c>
      <c r="Z22" s="118">
        <f>+IncSAuto!Z31+IncSIntLog!Z24</f>
        <v>0</v>
      </c>
      <c r="AA22" s="118">
        <f>+IncSAuto!AA31+IncSIntLog!AA24</f>
        <v>0</v>
      </c>
      <c r="AB22" s="118">
        <f>+IncSAuto!AB31+IncSIntLog!AB24</f>
        <v>0</v>
      </c>
      <c r="AC22" s="118">
        <v>0</v>
      </c>
      <c r="AD22" s="118">
        <v>0</v>
      </c>
      <c r="AE22" s="161">
        <v>0</v>
      </c>
      <c r="AF22" s="118">
        <v>0</v>
      </c>
      <c r="AG22" s="118">
        <v>0</v>
      </c>
      <c r="AH22" s="118">
        <v>0</v>
      </c>
      <c r="AI22" s="118">
        <v>0</v>
      </c>
      <c r="AJ22" s="118">
        <v>0</v>
      </c>
      <c r="AK22" s="118">
        <v>0</v>
      </c>
      <c r="AL22" s="118">
        <f>+IncSIntLog!AL24</f>
        <v>5220.2719999999999</v>
      </c>
      <c r="AM22" s="118">
        <v>0</v>
      </c>
      <c r="AN22" s="118">
        <v>0</v>
      </c>
      <c r="AO22" s="118">
        <f>IncSIntLog!AO24</f>
        <v>0</v>
      </c>
      <c r="AP22" s="118">
        <f>IncSIntLog!AP24</f>
        <v>0</v>
      </c>
      <c r="AQ22" s="118">
        <v>0</v>
      </c>
      <c r="AR22" s="118">
        <f>IncSIntLog!AR24</f>
        <v>0</v>
      </c>
      <c r="AS22" s="118">
        <f>IncSIntLog!AS24</f>
        <v>0</v>
      </c>
      <c r="AT22" s="118">
        <f>IncSIntLog!AT24</f>
        <v>0</v>
      </c>
      <c r="AU22" s="118">
        <f>IncSIntLog!AU24</f>
        <v>0</v>
      </c>
      <c r="AV22" s="118">
        <v>0</v>
      </c>
      <c r="AW22" s="118">
        <f>IncSIntLog!AW24</f>
        <v>0</v>
      </c>
      <c r="AX22" s="118">
        <f>IncSIntLog!AX24</f>
        <v>0</v>
      </c>
      <c r="AY22" s="118" t="s">
        <v>47</v>
      </c>
      <c r="AZ22" s="118" t="s">
        <v>47</v>
      </c>
      <c r="BA22" s="118" t="s">
        <v>47</v>
      </c>
      <c r="BB22" s="118">
        <f>IncSIntLog!BB24</f>
        <v>0</v>
      </c>
    </row>
    <row r="23" spans="1:54" ht="14.1" customHeight="1" x14ac:dyDescent="0.2">
      <c r="A23" s="640"/>
      <c r="B23" s="337" t="s">
        <v>248</v>
      </c>
      <c r="C23" s="118">
        <f>+IncSAuto!C23+IncSIntLog!C25</f>
        <v>0</v>
      </c>
      <c r="D23" s="118">
        <f>+IncSAuto!D23+IncSIntLog!D25</f>
        <v>0</v>
      </c>
      <c r="E23" s="118">
        <f>+IncSAuto!E23+IncSIntLog!E25</f>
        <v>0</v>
      </c>
      <c r="F23" s="118">
        <f>+IncSAuto!F23+IncSIntLog!F25</f>
        <v>0</v>
      </c>
      <c r="G23" s="118">
        <f>+IncSAuto!G23+IncSIntLog!G25</f>
        <v>0</v>
      </c>
      <c r="H23" s="118">
        <f>+IncSAuto!H23+IncSIntLog!H25</f>
        <v>0</v>
      </c>
      <c r="I23" s="118">
        <f>+IncSAuto!I23+IncSIntLog!I25</f>
        <v>0</v>
      </c>
      <c r="J23" s="118">
        <f>+IncSAuto!J23+IncSIntLog!J25</f>
        <v>0</v>
      </c>
      <c r="K23" s="118">
        <f>+IncSAuto!K23+IncSIntLog!K25</f>
        <v>0</v>
      </c>
      <c r="L23" s="118">
        <f>+IncSAuto!L23+IncSIntLog!L25</f>
        <v>0</v>
      </c>
      <c r="M23" s="118">
        <f>+IncSAuto!M23+IncSIntLog!M25</f>
        <v>0</v>
      </c>
      <c r="N23" s="118">
        <f>+IncSAuto!N23+IncSIntLog!N25</f>
        <v>0</v>
      </c>
      <c r="O23" s="118">
        <f>+IncSAuto!O23+IncSIntLog!O25</f>
        <v>0</v>
      </c>
      <c r="P23" s="118">
        <f>+IncSAuto!P23+IncSIntLog!P25</f>
        <v>0</v>
      </c>
      <c r="Q23" s="118">
        <f>+IncSAuto!Q23+IncSIntLog!Q25</f>
        <v>0</v>
      </c>
      <c r="R23" s="118">
        <f>+IncSAuto!R23+IncSIntLog!R25</f>
        <v>0</v>
      </c>
      <c r="S23" s="118">
        <f>+IncSAuto!S23+IncSIntLog!S25</f>
        <v>0</v>
      </c>
      <c r="T23" s="118">
        <f>+IncSAuto!T23+IncSIntLog!T25</f>
        <v>0</v>
      </c>
      <c r="U23" s="118">
        <f>+IncSAuto!U23+IncSIntLog!U25</f>
        <v>0</v>
      </c>
      <c r="V23" s="118">
        <f>+IncSAuto!V23+IncSIntLog!V25</f>
        <v>0</v>
      </c>
      <c r="W23" s="118">
        <f>+IncSAuto!W23+IncSIntLog!W25</f>
        <v>0</v>
      </c>
      <c r="X23" s="118">
        <f>+IncSAuto!X23+IncSIntLog!X25</f>
        <v>0</v>
      </c>
      <c r="Y23" s="118">
        <f>+IncSAuto!Y23+IncSIntLog!Y25</f>
        <v>5733</v>
      </c>
      <c r="Z23" s="118">
        <f>IncSAuto!Z23+IncSIntLog!Z25</f>
        <v>5731</v>
      </c>
      <c r="AA23" s="118" t="s">
        <v>47</v>
      </c>
      <c r="AB23" s="118" t="s">
        <v>47</v>
      </c>
      <c r="AC23" s="118" t="s">
        <v>47</v>
      </c>
      <c r="AD23" s="118">
        <f>+IncSIntLog!AD25+IncSAuto!AD23</f>
        <v>2859.0540299999998</v>
      </c>
      <c r="AE23" s="161">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47</v>
      </c>
      <c r="AZ23" s="118" t="s">
        <v>47</v>
      </c>
      <c r="BA23" s="118" t="s">
        <v>47</v>
      </c>
      <c r="BB23" s="118">
        <v>0</v>
      </c>
    </row>
    <row r="24" spans="1:54" ht="14.1" customHeight="1" x14ac:dyDescent="0.2">
      <c r="A24" s="640"/>
      <c r="B24" s="337" t="s">
        <v>1229</v>
      </c>
      <c r="C24" s="118">
        <f>+IncSAuto!C25+IncSIntLog!C26</f>
        <v>0</v>
      </c>
      <c r="D24" s="118">
        <f>+IncSAuto!D25+IncSIntLog!D26</f>
        <v>0</v>
      </c>
      <c r="E24" s="118">
        <f>+IncSAuto!E25+IncSIntLog!E26</f>
        <v>0</v>
      </c>
      <c r="F24" s="118">
        <v>0</v>
      </c>
      <c r="G24" s="118">
        <f>+IncSAuto!G25+IncSIntLog!G26</f>
        <v>0</v>
      </c>
      <c r="H24" s="118">
        <f>+IncSAuto!H25+IncSIntLog!H26</f>
        <v>0</v>
      </c>
      <c r="I24" s="118">
        <f>+IncSAuto!I25+IncSIntLog!I26</f>
        <v>0</v>
      </c>
      <c r="J24" s="118">
        <f>+IncSAuto!J25+IncSIntLog!J26</f>
        <v>0</v>
      </c>
      <c r="K24" s="118">
        <f>+IncSAuto!K25+IncSIntLog!K26</f>
        <v>0</v>
      </c>
      <c r="L24" s="118">
        <f>+IncSAuto!L25+IncSIntLog!L26</f>
        <v>0</v>
      </c>
      <c r="M24" s="118">
        <f>+IncSAuto!M25+IncSIntLog!M26</f>
        <v>0</v>
      </c>
      <c r="N24" s="118">
        <f>+IncSAuto!N25+IncSIntLog!N26</f>
        <v>0</v>
      </c>
      <c r="O24" s="118">
        <f>+IncSAuto!O25+IncSIntLog!O26</f>
        <v>0</v>
      </c>
      <c r="P24" s="118">
        <f>+IncSAuto!P25+IncSIntLog!P26</f>
        <v>0</v>
      </c>
      <c r="Q24" s="118">
        <f>+IncSAuto!Q25+IncSIntLog!Q26</f>
        <v>0</v>
      </c>
      <c r="R24" s="118">
        <f>+IncSAuto!R25+IncSIntLog!R26</f>
        <v>0</v>
      </c>
      <c r="S24" s="118">
        <f>+IncSAuto!S25+IncSIntLog!S26</f>
        <v>0</v>
      </c>
      <c r="T24" s="118">
        <f>+IncSAuto!T25+IncSIntLog!T26</f>
        <v>0</v>
      </c>
      <c r="U24" s="118">
        <f>+IncSAuto!U25+IncSIntLog!U26</f>
        <v>0</v>
      </c>
      <c r="V24" s="118">
        <f>+IncSAuto!V25+IncSIntLog!V26</f>
        <v>0</v>
      </c>
      <c r="W24" s="118">
        <f>+IncSAuto!W25+IncSIntLog!W26</f>
        <v>0</v>
      </c>
      <c r="X24" s="118">
        <f>+IncSAuto!X25+IncSIntLog!X26</f>
        <v>0</v>
      </c>
      <c r="Y24" s="118">
        <f>+IncSAuto!Y25+IncSIntLog!Y26</f>
        <v>0</v>
      </c>
      <c r="Z24" s="118">
        <f>IncSAuto!Z25+IncSIntLog!Z26</f>
        <v>0</v>
      </c>
      <c r="AA24" s="118" t="s">
        <v>47</v>
      </c>
      <c r="AB24" s="118" t="s">
        <v>47</v>
      </c>
      <c r="AC24" s="118" t="s">
        <v>47</v>
      </c>
      <c r="AD24" s="118">
        <f>+IncSIntLog!AD26+IncSAuto!AD25</f>
        <v>0</v>
      </c>
      <c r="AE24" s="161">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+IncSAuto!AT24</f>
        <v>-5458.7727579526618</v>
      </c>
      <c r="AU24" s="118">
        <f>+IncSAuto!AU24</f>
        <v>0</v>
      </c>
      <c r="AV24" s="118">
        <v>0</v>
      </c>
      <c r="AW24" s="118">
        <f>+IncSAuto!AW24</f>
        <v>0</v>
      </c>
      <c r="AX24" s="118">
        <f>+IncSAuto!AX24</f>
        <v>0</v>
      </c>
      <c r="AY24" s="118" t="s">
        <v>47</v>
      </c>
      <c r="AZ24" s="118" t="s">
        <v>47</v>
      </c>
      <c r="BA24" s="118" t="s">
        <v>47</v>
      </c>
      <c r="BB24" s="118">
        <f>+IncSAuto!BB24</f>
        <v>0</v>
      </c>
    </row>
    <row r="25" spans="1:54" s="221" customFormat="1" ht="14.1" hidden="1" customHeight="1" outlineLevel="1" x14ac:dyDescent="0.2">
      <c r="A25" s="640"/>
      <c r="B25" s="228" t="s">
        <v>252</v>
      </c>
      <c r="C25" s="219">
        <f>+IncSAuto!C29+IncSIntLog!C26</f>
        <v>0</v>
      </c>
      <c r="D25" s="219">
        <f>+IncSAuto!D29+IncSIntLog!D26</f>
        <v>0</v>
      </c>
      <c r="E25" s="219">
        <f>+IncSAuto!E29+IncSIntLog!E26</f>
        <v>-7032</v>
      </c>
      <c r="F25" s="219">
        <f>+IncSAuto!F29+IncSIntLog!F26</f>
        <v>-10000</v>
      </c>
      <c r="G25" s="219">
        <f>+IncSAuto!G29+IncSIntLog!G26</f>
        <v>0</v>
      </c>
      <c r="H25" s="219">
        <f>+IncSAuto!H29+IncSIntLog!H26</f>
        <v>0</v>
      </c>
      <c r="I25" s="219">
        <f>+IncSAuto!I29+IncSIntLog!I26</f>
        <v>-16445</v>
      </c>
      <c r="J25" s="219">
        <f>+IncSAuto!J29+IncSIntLog!J26</f>
        <v>0</v>
      </c>
      <c r="K25" s="219">
        <f>+IncSAuto!K29+IncSIntLog!K26</f>
        <v>0</v>
      </c>
      <c r="L25" s="219">
        <f>+IncSAuto!L29+IncSIntLog!L26</f>
        <v>0</v>
      </c>
      <c r="M25" s="219">
        <f>+IncSAuto!M29+IncSIntLog!M26</f>
        <v>0</v>
      </c>
      <c r="N25" s="219">
        <f>+IncSAuto!N29+IncSIntLog!N26</f>
        <v>0</v>
      </c>
      <c r="O25" s="219">
        <f>+IncSAuto!O29+IncSIntLog!O26</f>
        <v>0</v>
      </c>
      <c r="P25" s="219">
        <f>+IncSAuto!P29+IncSIntLog!P26</f>
        <v>0</v>
      </c>
      <c r="Q25" s="219">
        <f>+IncSAuto!Q29+IncSIntLog!Q26</f>
        <v>0</v>
      </c>
      <c r="R25" s="219">
        <f>+IncSAuto!R29+IncSIntLog!R26</f>
        <v>0</v>
      </c>
      <c r="S25" s="219">
        <f>+IncSAuto!S29+IncSIntLog!S26</f>
        <v>0</v>
      </c>
      <c r="T25" s="219">
        <f>+IncSAuto!T29+IncSIntLog!T26</f>
        <v>0</v>
      </c>
      <c r="U25" s="219">
        <f>+IncSAuto!U29+IncSIntLog!U26</f>
        <v>0</v>
      </c>
      <c r="V25" s="219">
        <f>+IncSAuto!V29+IncSIntLog!V26</f>
        <v>0</v>
      </c>
      <c r="W25" s="219">
        <f>+IncSAuto!W29+IncSIntLog!W26</f>
        <v>0</v>
      </c>
      <c r="X25" s="219">
        <f>+IncSAuto!X29+IncSIntLog!X26</f>
        <v>0</v>
      </c>
      <c r="Y25" s="219">
        <f>+IncSAuto!Y29+IncSIntLog!Y26</f>
        <v>0</v>
      </c>
      <c r="Z25" s="219">
        <f>+IncSAuto!Z29+IncSIntLog!Z26</f>
        <v>0</v>
      </c>
      <c r="AA25" s="219">
        <f>+IncSAuto!AA29+IncSIntLog!AA26</f>
        <v>0</v>
      </c>
      <c r="AB25" s="219">
        <f>+IncSAuto!AB29+IncSIntLog!AB26</f>
        <v>0</v>
      </c>
      <c r="AC25" s="219">
        <v>0</v>
      </c>
      <c r="AD25" s="219">
        <v>0</v>
      </c>
      <c r="AE25" s="220">
        <v>0</v>
      </c>
      <c r="AF25" s="219">
        <v>0</v>
      </c>
      <c r="AG25" s="219">
        <v>0</v>
      </c>
      <c r="AH25" s="219">
        <v>0</v>
      </c>
      <c r="AI25" s="219">
        <v>0</v>
      </c>
      <c r="AJ25" s="219">
        <v>0</v>
      </c>
      <c r="AK25" s="219">
        <v>0</v>
      </c>
      <c r="AL25" s="219">
        <v>0</v>
      </c>
      <c r="AM25" s="219">
        <v>0</v>
      </c>
      <c r="AN25" s="219">
        <v>0</v>
      </c>
      <c r="AO25" s="219">
        <v>0</v>
      </c>
      <c r="AP25" s="219">
        <v>0</v>
      </c>
      <c r="AQ25" s="219">
        <v>0</v>
      </c>
      <c r="AR25" s="219">
        <v>0</v>
      </c>
      <c r="AS25" s="219">
        <v>0</v>
      </c>
      <c r="AT25" s="219">
        <v>0</v>
      </c>
      <c r="AU25" s="219">
        <v>0</v>
      </c>
      <c r="AV25" s="219">
        <v>0</v>
      </c>
      <c r="AW25" s="219">
        <v>0</v>
      </c>
      <c r="AX25" s="219">
        <v>0</v>
      </c>
      <c r="AY25" s="219"/>
      <c r="AZ25" s="219"/>
      <c r="BA25" s="219"/>
      <c r="BB25" s="219">
        <v>0</v>
      </c>
    </row>
    <row r="26" spans="1:54" s="221" customFormat="1" ht="14.1" hidden="1" customHeight="1" outlineLevel="1" x14ac:dyDescent="0.2">
      <c r="A26" s="640"/>
      <c r="B26" s="228" t="s">
        <v>786</v>
      </c>
      <c r="C26" s="219">
        <f>+IncSAuto!C27+IncSIntLog!C28</f>
        <v>0</v>
      </c>
      <c r="D26" s="219">
        <f>+IncSAuto!D27+IncSIntLog!D28</f>
        <v>0</v>
      </c>
      <c r="E26" s="219">
        <f>+IncSAuto!E27+IncSIntLog!E28</f>
        <v>0</v>
      </c>
      <c r="F26" s="219">
        <f>+IncSAuto!F27+IncSIntLog!F28</f>
        <v>0</v>
      </c>
      <c r="G26" s="219">
        <f>+IncSAuto!G27+IncSIntLog!G28</f>
        <v>0</v>
      </c>
      <c r="H26" s="219">
        <f>+IncSAuto!H27+IncSIntLog!H28</f>
        <v>0</v>
      </c>
      <c r="I26" s="219">
        <f>+IncSAuto!I27+IncSIntLog!I28</f>
        <v>0</v>
      </c>
      <c r="J26" s="219">
        <f>+IncSAuto!J27+IncSIntLog!J28</f>
        <v>0</v>
      </c>
      <c r="K26" s="219">
        <f>+IncSAuto!K27+IncSIntLog!K28</f>
        <v>0</v>
      </c>
      <c r="L26" s="219">
        <f>+IncSAuto!L27+IncSIntLog!L28</f>
        <v>0</v>
      </c>
      <c r="M26" s="219">
        <f>+IncSAuto!M27+IncSIntLog!M28</f>
        <v>0</v>
      </c>
      <c r="N26" s="219">
        <f>+IncSAuto!N27+IncSIntLog!N28</f>
        <v>0</v>
      </c>
      <c r="O26" s="219">
        <f>+IncSAuto!O27+IncSIntLog!O28</f>
        <v>0</v>
      </c>
      <c r="P26" s="219">
        <f>+IncSAuto!P27+IncSIntLog!P28</f>
        <v>0</v>
      </c>
      <c r="Q26" s="219">
        <f>+IncSAuto!Q27+IncSIntLog!Q28</f>
        <v>0</v>
      </c>
      <c r="R26" s="219">
        <f>+IncSAuto!R27+IncSIntLog!R28</f>
        <v>0</v>
      </c>
      <c r="S26" s="219">
        <f>+IncSAuto!S27+IncSIntLog!S28</f>
        <v>0</v>
      </c>
      <c r="T26" s="219">
        <f>+IncSAuto!T27+IncSIntLog!T28</f>
        <v>0</v>
      </c>
      <c r="U26" s="219">
        <f>+IncSAuto!U27+IncSIntLog!U28</f>
        <v>0</v>
      </c>
      <c r="V26" s="219">
        <f>+IncSAuto!V27+IncSIntLog!V28</f>
        <v>0</v>
      </c>
      <c r="W26" s="219">
        <f>+IncSAuto!W27+IncSIntLog!W28</f>
        <v>0</v>
      </c>
      <c r="X26" s="219">
        <f>+IncSAuto!X27+IncSIntLog!X28</f>
        <v>0</v>
      </c>
      <c r="Y26" s="219">
        <f>+IncSAuto!Y27+IncSIntLog!Y28</f>
        <v>0</v>
      </c>
      <c r="Z26" s="219">
        <f>+IncSAuto!Z27+IncSIntLog!Z28</f>
        <v>6644.3316199999999</v>
      </c>
      <c r="AA26" s="219" t="s">
        <v>47</v>
      </c>
      <c r="AB26" s="219" t="s">
        <v>47</v>
      </c>
      <c r="AC26" s="219" t="s">
        <v>47</v>
      </c>
      <c r="AD26" s="219">
        <v>0</v>
      </c>
      <c r="AE26" s="220">
        <v>0</v>
      </c>
      <c r="AF26" s="219">
        <v>0</v>
      </c>
      <c r="AG26" s="219">
        <v>0</v>
      </c>
      <c r="AH26" s="219">
        <v>0</v>
      </c>
      <c r="AI26" s="219">
        <v>0</v>
      </c>
      <c r="AJ26" s="219">
        <v>0</v>
      </c>
      <c r="AK26" s="219">
        <v>0</v>
      </c>
      <c r="AL26" s="219">
        <v>0</v>
      </c>
      <c r="AM26" s="219">
        <v>0</v>
      </c>
      <c r="AN26" s="219">
        <v>0</v>
      </c>
      <c r="AO26" s="219">
        <v>0</v>
      </c>
      <c r="AP26" s="219">
        <v>0</v>
      </c>
      <c r="AQ26" s="219">
        <v>0</v>
      </c>
      <c r="AR26" s="219">
        <v>0</v>
      </c>
      <c r="AS26" s="219">
        <v>0</v>
      </c>
      <c r="AT26" s="219">
        <v>0</v>
      </c>
      <c r="AU26" s="219">
        <v>0</v>
      </c>
      <c r="AV26" s="219">
        <v>0</v>
      </c>
      <c r="AW26" s="219">
        <v>0</v>
      </c>
      <c r="AX26" s="219">
        <v>0</v>
      </c>
      <c r="AY26" s="219"/>
      <c r="AZ26" s="219"/>
      <c r="BA26" s="219"/>
      <c r="BB26" s="219">
        <v>0</v>
      </c>
    </row>
    <row r="27" spans="1:54" s="221" customFormat="1" ht="14.1" hidden="1" customHeight="1" outlineLevel="1" x14ac:dyDescent="0.2">
      <c r="A27" s="640"/>
      <c r="B27" s="228" t="s">
        <v>247</v>
      </c>
      <c r="C27" s="219">
        <f>+IncSAuto!C26+IncSIntLog!C27</f>
        <v>0</v>
      </c>
      <c r="D27" s="219">
        <f>+IncSAuto!D26+IncSIntLog!D27</f>
        <v>0</v>
      </c>
      <c r="E27" s="219">
        <f>+IncSAuto!E26+IncSIntLog!E27</f>
        <v>0</v>
      </c>
      <c r="F27" s="219">
        <f>+IncSAuto!F26+IncSIntLog!F27</f>
        <v>0</v>
      </c>
      <c r="G27" s="219">
        <f>+IncSAuto!G26+IncSIntLog!G27</f>
        <v>0</v>
      </c>
      <c r="H27" s="219">
        <f>+IncSAuto!H26+IncSIntLog!H27</f>
        <v>0</v>
      </c>
      <c r="I27" s="219">
        <f>+IncSAuto!I26+IncSIntLog!I27</f>
        <v>0</v>
      </c>
      <c r="J27" s="219">
        <f>+IncSAuto!J26+IncSIntLog!J27</f>
        <v>0</v>
      </c>
      <c r="K27" s="219">
        <f>+IncSAuto!K26+IncSIntLog!K27</f>
        <v>0</v>
      </c>
      <c r="L27" s="219">
        <f>+IncSAuto!L26+IncSIntLog!L27</f>
        <v>0</v>
      </c>
      <c r="M27" s="219">
        <f>+IncSAuto!M26+IncSIntLog!M27</f>
        <v>0</v>
      </c>
      <c r="N27" s="219">
        <f>+IncSAuto!N26+IncSIntLog!N27</f>
        <v>0</v>
      </c>
      <c r="O27" s="219">
        <f>+IncSAuto!O26+IncSIntLog!O27</f>
        <v>0</v>
      </c>
      <c r="P27" s="219">
        <f>+IncSAuto!P26+IncSIntLog!P27</f>
        <v>0</v>
      </c>
      <c r="Q27" s="219">
        <f>+IncSAuto!Q26+IncSIntLog!Q27</f>
        <v>0</v>
      </c>
      <c r="R27" s="219">
        <f>+IncSAuto!R26+IncSIntLog!R27</f>
        <v>0</v>
      </c>
      <c r="S27" s="219">
        <f>+IncSAuto!S26+IncSIntLog!S27</f>
        <v>0</v>
      </c>
      <c r="T27" s="219">
        <f>+IncSAuto!T26+IncSIntLog!T27</f>
        <v>0</v>
      </c>
      <c r="U27" s="219">
        <f>+IncSAuto!U26+IncSIntLog!U27</f>
        <v>0</v>
      </c>
      <c r="V27" s="219">
        <f>+IncSAuto!V26+IncSIntLog!V27</f>
        <v>0</v>
      </c>
      <c r="W27" s="219">
        <f>+IncSAuto!W26+IncSIntLog!W27</f>
        <v>0</v>
      </c>
      <c r="X27" s="219">
        <f>+IncSAuto!X26+IncSIntLog!X27</f>
        <v>1365</v>
      </c>
      <c r="Y27" s="219">
        <f>+IncSAuto!Y26+IncSIntLog!Y27</f>
        <v>0</v>
      </c>
      <c r="Z27" s="219">
        <f>+IncSAuto!Z26+IncSIntLog!Z27</f>
        <v>0</v>
      </c>
      <c r="AA27" s="219">
        <f>+IncSAuto!AA26+IncSIntLog!AA27</f>
        <v>0</v>
      </c>
      <c r="AB27" s="219">
        <f>+IncSAuto!AB26+IncSIntLog!AB27</f>
        <v>0</v>
      </c>
      <c r="AC27" s="219">
        <v>0</v>
      </c>
      <c r="AD27" s="219">
        <v>0</v>
      </c>
      <c r="AE27" s="220">
        <v>0</v>
      </c>
      <c r="AF27" s="219">
        <v>0</v>
      </c>
      <c r="AG27" s="219">
        <v>0</v>
      </c>
      <c r="AH27" s="219">
        <v>0</v>
      </c>
      <c r="AI27" s="219">
        <v>0</v>
      </c>
      <c r="AJ27" s="219">
        <v>0</v>
      </c>
      <c r="AK27" s="219">
        <v>0</v>
      </c>
      <c r="AL27" s="219">
        <v>0</v>
      </c>
      <c r="AM27" s="219">
        <v>0</v>
      </c>
      <c r="AN27" s="219">
        <v>0</v>
      </c>
      <c r="AO27" s="219">
        <v>0</v>
      </c>
      <c r="AP27" s="219">
        <v>0</v>
      </c>
      <c r="AQ27" s="219">
        <v>0</v>
      </c>
      <c r="AR27" s="219">
        <v>0</v>
      </c>
      <c r="AS27" s="219">
        <v>0</v>
      </c>
      <c r="AT27" s="219">
        <v>0</v>
      </c>
      <c r="AU27" s="219">
        <v>0</v>
      </c>
      <c r="AV27" s="219">
        <v>0</v>
      </c>
      <c r="AW27" s="219">
        <v>0</v>
      </c>
      <c r="AX27" s="219">
        <v>0</v>
      </c>
      <c r="AY27" s="219"/>
      <c r="AZ27" s="219"/>
      <c r="BA27" s="219"/>
      <c r="BB27" s="219">
        <v>0</v>
      </c>
    </row>
    <row r="28" spans="1:54" s="221" customFormat="1" ht="14.1" hidden="1" customHeight="1" outlineLevel="1" x14ac:dyDescent="0.2">
      <c r="A28" s="640"/>
      <c r="B28" s="228" t="s">
        <v>250</v>
      </c>
      <c r="C28" s="219">
        <f>+IncSAuto!C25+IncSIntLog!C29</f>
        <v>0</v>
      </c>
      <c r="D28" s="219">
        <f>+IncSAuto!D25+IncSIntLog!D29</f>
        <v>0</v>
      </c>
      <c r="E28" s="219">
        <f>+IncSAuto!E25+IncSIntLog!E29</f>
        <v>0</v>
      </c>
      <c r="F28" s="219">
        <f>+IncSAuto!F25+IncSIntLog!F29</f>
        <v>0</v>
      </c>
      <c r="G28" s="219">
        <f>+IncSAuto!G25+IncSIntLog!G29</f>
        <v>0</v>
      </c>
      <c r="H28" s="219">
        <f>+IncSAuto!H25+IncSIntLog!H29</f>
        <v>0</v>
      </c>
      <c r="I28" s="219">
        <f>+IncSAuto!I25+IncSIntLog!I29</f>
        <v>0</v>
      </c>
      <c r="J28" s="219">
        <f>+IncSAuto!J25+IncSIntLog!J29</f>
        <v>0</v>
      </c>
      <c r="K28" s="219">
        <f>+IncSAuto!K25+IncSIntLog!K29</f>
        <v>0</v>
      </c>
      <c r="L28" s="219">
        <f>+IncSAuto!L25+IncSIntLog!L29</f>
        <v>0</v>
      </c>
      <c r="M28" s="219">
        <f>+IncSAuto!M25+IncSIntLog!M29</f>
        <v>0</v>
      </c>
      <c r="N28" s="219">
        <f>+IncSAuto!N25+IncSIntLog!N29</f>
        <v>0</v>
      </c>
      <c r="O28" s="219">
        <f>+IncSAuto!O25+IncSIntLog!O29</f>
        <v>0</v>
      </c>
      <c r="P28" s="219">
        <f>+IncSAuto!P25+IncSIntLog!P29</f>
        <v>0</v>
      </c>
      <c r="Q28" s="219">
        <f>+IncSAuto!Q25+IncSIntLog!Q29</f>
        <v>0</v>
      </c>
      <c r="R28" s="219">
        <f>+IncSAuto!R25+IncSIntLog!R29</f>
        <v>0</v>
      </c>
      <c r="S28" s="219">
        <f>+IncSAuto!S25+IncSIntLog!S29</f>
        <v>0</v>
      </c>
      <c r="T28" s="219">
        <f>+IncSAuto!T25+IncSIntLog!T29</f>
        <v>0</v>
      </c>
      <c r="U28" s="219">
        <f>+IncSAuto!U25+IncSIntLog!U29</f>
        <v>0</v>
      </c>
      <c r="V28" s="219">
        <f>+IncSAuto!V25+IncSIntLog!V29</f>
        <v>0</v>
      </c>
      <c r="W28" s="219">
        <f>+IncSAuto!W25+IncSIntLog!W29</f>
        <v>0</v>
      </c>
      <c r="X28" s="219">
        <f>+IncSAuto!X25+IncSIntLog!X29</f>
        <v>1767</v>
      </c>
      <c r="Y28" s="219">
        <f>+IncSAuto!Y25+IncSIntLog!Y29</f>
        <v>0</v>
      </c>
      <c r="Z28" s="219">
        <f>+IncSAuto!Z25+IncSIntLog!Z29</f>
        <v>0</v>
      </c>
      <c r="AA28" s="219" t="s">
        <v>47</v>
      </c>
      <c r="AB28" s="219" t="s">
        <v>47</v>
      </c>
      <c r="AC28" s="219" t="s">
        <v>47</v>
      </c>
      <c r="AD28" s="219">
        <v>0</v>
      </c>
      <c r="AE28" s="220">
        <v>0</v>
      </c>
      <c r="AF28" s="219">
        <v>0</v>
      </c>
      <c r="AG28" s="219">
        <v>0</v>
      </c>
      <c r="AH28" s="219">
        <v>0</v>
      </c>
      <c r="AI28" s="219">
        <v>0</v>
      </c>
      <c r="AJ28" s="219">
        <v>0</v>
      </c>
      <c r="AK28" s="219">
        <v>0</v>
      </c>
      <c r="AL28" s="219">
        <v>0</v>
      </c>
      <c r="AM28" s="219">
        <v>0</v>
      </c>
      <c r="AN28" s="219">
        <v>0</v>
      </c>
      <c r="AO28" s="219">
        <v>0</v>
      </c>
      <c r="AP28" s="219">
        <v>0</v>
      </c>
      <c r="AQ28" s="219">
        <v>0</v>
      </c>
      <c r="AR28" s="219">
        <v>0</v>
      </c>
      <c r="AS28" s="219">
        <v>0</v>
      </c>
      <c r="AT28" s="219">
        <v>0</v>
      </c>
      <c r="AU28" s="219">
        <v>0</v>
      </c>
      <c r="AV28" s="219">
        <v>0</v>
      </c>
      <c r="AW28" s="219">
        <v>0</v>
      </c>
      <c r="AX28" s="219">
        <v>0</v>
      </c>
      <c r="AY28" s="219"/>
      <c r="AZ28" s="219"/>
      <c r="BA28" s="219"/>
      <c r="BB28" s="219">
        <v>0</v>
      </c>
    </row>
    <row r="29" spans="1:54" s="221" customFormat="1" ht="14.1" hidden="1" customHeight="1" outlineLevel="1" x14ac:dyDescent="0.2">
      <c r="A29" s="640"/>
      <c r="B29" s="228" t="s">
        <v>251</v>
      </c>
      <c r="C29" s="219">
        <f>+IncSAuto!C28+IncSIntLog!C30</f>
        <v>0</v>
      </c>
      <c r="D29" s="219">
        <f>+IncSAuto!D28+IncSIntLog!D30</f>
        <v>0</v>
      </c>
      <c r="E29" s="219">
        <f>+IncSAuto!E28+IncSIntLog!E30</f>
        <v>0</v>
      </c>
      <c r="F29" s="219">
        <f>+IncSAuto!F28+IncSIntLog!F30</f>
        <v>0</v>
      </c>
      <c r="G29" s="219">
        <f>+IncSAuto!G28+IncSIntLog!G30</f>
        <v>0</v>
      </c>
      <c r="H29" s="219">
        <f>+IncSAuto!H28+IncSIntLog!H30</f>
        <v>0</v>
      </c>
      <c r="I29" s="219">
        <f>+IncSAuto!I28+IncSIntLog!I30</f>
        <v>0</v>
      </c>
      <c r="J29" s="219">
        <f>+IncSAuto!J28+IncSIntLog!J30</f>
        <v>0</v>
      </c>
      <c r="K29" s="219">
        <f>+IncSAuto!K28+IncSIntLog!K30</f>
        <v>0</v>
      </c>
      <c r="L29" s="219">
        <f>+IncSAuto!L28+IncSIntLog!L30</f>
        <v>0</v>
      </c>
      <c r="M29" s="219">
        <f>+IncSAuto!M28+IncSIntLog!M30</f>
        <v>0</v>
      </c>
      <c r="N29" s="219">
        <f>+IncSAuto!N28+IncSIntLog!N30</f>
        <v>0</v>
      </c>
      <c r="O29" s="219">
        <f>+IncSAuto!O28+IncSIntLog!O30</f>
        <v>0</v>
      </c>
      <c r="P29" s="219">
        <f>+IncSAuto!P28+IncSIntLog!P30</f>
        <v>0</v>
      </c>
      <c r="Q29" s="219">
        <f>+IncSAuto!Q28+IncSIntLog!Q30</f>
        <v>0</v>
      </c>
      <c r="R29" s="219">
        <f>+IncSAuto!R28+IncSIntLog!R30</f>
        <v>0</v>
      </c>
      <c r="S29" s="219">
        <f>+IncSAuto!S28+IncSIntLog!S30</f>
        <v>0</v>
      </c>
      <c r="T29" s="219">
        <f>+IncSAuto!T28+IncSIntLog!T30</f>
        <v>0</v>
      </c>
      <c r="U29" s="219">
        <f>+IncSAuto!U28+IncSIntLog!U30</f>
        <v>0</v>
      </c>
      <c r="V29" s="219">
        <f>+IncSAuto!V28+IncSIntLog!V30</f>
        <v>0</v>
      </c>
      <c r="W29" s="219">
        <f>+IncSAuto!W28+IncSIntLog!W30</f>
        <v>0</v>
      </c>
      <c r="X29" s="219">
        <f>+IncSAuto!X28+IncSIntLog!X30</f>
        <v>-9847.0333800000008</v>
      </c>
      <c r="Y29" s="219">
        <f>+IncSAuto!Y28+IncSIntLog!Y30</f>
        <v>0</v>
      </c>
      <c r="Z29" s="219">
        <f>+IncSAuto!Z28+IncSIntLog!Z30</f>
        <v>0</v>
      </c>
      <c r="AA29" s="219">
        <f>+IncSAuto!AA28+IncSIntLog!AA30</f>
        <v>0</v>
      </c>
      <c r="AB29" s="219">
        <f>+IncSAuto!AB28+IncSIntLog!AB30</f>
        <v>0</v>
      </c>
      <c r="AC29" s="219">
        <v>0</v>
      </c>
      <c r="AD29" s="219">
        <v>0</v>
      </c>
      <c r="AE29" s="220">
        <v>0</v>
      </c>
      <c r="AF29" s="219">
        <v>0</v>
      </c>
      <c r="AG29" s="219">
        <v>0</v>
      </c>
      <c r="AH29" s="219">
        <v>0</v>
      </c>
      <c r="AI29" s="219">
        <v>0</v>
      </c>
      <c r="AJ29" s="219">
        <v>0</v>
      </c>
      <c r="AK29" s="219">
        <v>0</v>
      </c>
      <c r="AL29" s="219">
        <v>0</v>
      </c>
      <c r="AM29" s="219">
        <v>0</v>
      </c>
      <c r="AN29" s="219">
        <v>0</v>
      </c>
      <c r="AO29" s="219">
        <v>0</v>
      </c>
      <c r="AP29" s="219">
        <v>0</v>
      </c>
      <c r="AQ29" s="219">
        <v>0</v>
      </c>
      <c r="AR29" s="219">
        <v>0</v>
      </c>
      <c r="AS29" s="219">
        <v>0</v>
      </c>
      <c r="AT29" s="219">
        <v>0</v>
      </c>
      <c r="AU29" s="219">
        <v>0</v>
      </c>
      <c r="AV29" s="219">
        <v>0</v>
      </c>
      <c r="AW29" s="219">
        <v>0</v>
      </c>
      <c r="AX29" s="219">
        <v>0</v>
      </c>
      <c r="AY29" s="219"/>
      <c r="AZ29" s="219"/>
      <c r="BA29" s="219"/>
      <c r="BB29" s="219">
        <v>0</v>
      </c>
    </row>
    <row r="30" spans="1:54" s="221" customFormat="1" ht="14.1" hidden="1" customHeight="1" outlineLevel="1" x14ac:dyDescent="0.2">
      <c r="A30" s="640"/>
      <c r="B30" s="228" t="s">
        <v>253</v>
      </c>
      <c r="C30" s="219">
        <f>+IncSAuto!C30+IncSIntLog!C31</f>
        <v>1913</v>
      </c>
      <c r="D30" s="219">
        <f>+IncSAuto!D30+IncSIntLog!D31</f>
        <v>1324</v>
      </c>
      <c r="E30" s="219">
        <f>+IncSAuto!E30+IncSIntLog!E31</f>
        <v>871</v>
      </c>
      <c r="F30" s="219">
        <f>+IncSAuto!F30+IncSIntLog!F31</f>
        <v>114</v>
      </c>
      <c r="G30" s="219">
        <f>+IncSAuto!G30+IncSIntLog!G31</f>
        <v>2023</v>
      </c>
      <c r="H30" s="219">
        <f>+IncSAuto!H30+IncSIntLog!H31</f>
        <v>5187</v>
      </c>
      <c r="I30" s="219">
        <f>+IncSAuto!I30+IncSIntLog!I31</f>
        <v>426</v>
      </c>
      <c r="J30" s="219">
        <f>+IncSAuto!J30+IncSIntLog!J31</f>
        <v>1192</v>
      </c>
      <c r="K30" s="219">
        <f>+IncSAuto!K30+IncSIntLog!K31</f>
        <v>0</v>
      </c>
      <c r="L30" s="219">
        <f>+IncSAuto!L30+IncSIntLog!L31</f>
        <v>0</v>
      </c>
      <c r="M30" s="219">
        <f>+IncSAuto!M30+IncSIntLog!M31</f>
        <v>0</v>
      </c>
      <c r="N30" s="219">
        <f>+IncSAuto!N30+IncSIntLog!N31</f>
        <v>-1316</v>
      </c>
      <c r="O30" s="219">
        <f>+IncSAuto!O30+IncSIntLog!O31</f>
        <v>0</v>
      </c>
      <c r="P30" s="219">
        <f>+IncSAuto!P30+IncSIntLog!P31</f>
        <v>0</v>
      </c>
      <c r="Q30" s="219">
        <f>+IncSAuto!Q30+IncSIntLog!Q31</f>
        <v>0</v>
      </c>
      <c r="R30" s="219">
        <f>+IncSAuto!R30+IncSIntLog!R31</f>
        <v>0</v>
      </c>
      <c r="S30" s="219">
        <f>+IncSAuto!S30+IncSIntLog!S31</f>
        <v>0</v>
      </c>
      <c r="T30" s="219">
        <f>+IncSAuto!T30+IncSIntLog!T31</f>
        <v>0</v>
      </c>
      <c r="U30" s="219">
        <f>+IncSAuto!U30+IncSIntLog!U31</f>
        <v>0</v>
      </c>
      <c r="V30" s="219">
        <f>+IncSAuto!V30+IncSIntLog!V31</f>
        <v>0</v>
      </c>
      <c r="W30" s="219">
        <f>+IncSAuto!W30+IncSIntLog!W31</f>
        <v>0</v>
      </c>
      <c r="X30" s="219">
        <f>+IncSAuto!X30+IncSIntLog!X31</f>
        <v>0</v>
      </c>
      <c r="Y30" s="219">
        <f>+IncSAuto!Y30+IncSIntLog!Y31</f>
        <v>0</v>
      </c>
      <c r="Z30" s="219">
        <f>+IncSAuto!Z30+IncSIntLog!Z31</f>
        <v>0</v>
      </c>
      <c r="AA30" s="219">
        <f>+IncSAuto!AA30+IncSIntLog!AA31</f>
        <v>0</v>
      </c>
      <c r="AB30" s="219">
        <f>+IncSAuto!AB30+IncSIntLog!AB31</f>
        <v>0</v>
      </c>
      <c r="AC30" s="219">
        <v>0</v>
      </c>
      <c r="AD30" s="219">
        <v>0</v>
      </c>
      <c r="AE30" s="220">
        <v>0</v>
      </c>
      <c r="AF30" s="219">
        <v>0</v>
      </c>
      <c r="AG30" s="219">
        <v>0</v>
      </c>
      <c r="AH30" s="219">
        <v>0</v>
      </c>
      <c r="AI30" s="219">
        <v>0</v>
      </c>
      <c r="AJ30" s="219">
        <v>0</v>
      </c>
      <c r="AK30" s="219">
        <v>0</v>
      </c>
      <c r="AL30" s="219">
        <v>0</v>
      </c>
      <c r="AM30" s="219">
        <v>0</v>
      </c>
      <c r="AN30" s="219">
        <v>0</v>
      </c>
      <c r="AO30" s="219">
        <v>0</v>
      </c>
      <c r="AP30" s="219">
        <v>0</v>
      </c>
      <c r="AQ30" s="219">
        <v>0</v>
      </c>
      <c r="AR30" s="219">
        <v>0</v>
      </c>
      <c r="AS30" s="219">
        <v>0</v>
      </c>
      <c r="AT30" s="219">
        <v>0</v>
      </c>
      <c r="AU30" s="219">
        <v>0</v>
      </c>
      <c r="AV30" s="219">
        <v>0</v>
      </c>
      <c r="AW30" s="219">
        <v>0</v>
      </c>
      <c r="AX30" s="219">
        <v>0</v>
      </c>
      <c r="AY30" s="219"/>
      <c r="AZ30" s="219"/>
      <c r="BA30" s="219"/>
      <c r="BB30" s="219">
        <v>0</v>
      </c>
    </row>
    <row r="31" spans="1:54" s="221" customFormat="1" ht="14.1" hidden="1" customHeight="1" outlineLevel="1" x14ac:dyDescent="0.2">
      <c r="A31" s="640"/>
      <c r="B31" s="228" t="s">
        <v>255</v>
      </c>
      <c r="C31" s="219">
        <f>+IncSAuto!C32+IncSIntLog!C32</f>
        <v>0</v>
      </c>
      <c r="D31" s="219">
        <f>+IncSAuto!D32+IncSIntLog!D32</f>
        <v>0</v>
      </c>
      <c r="E31" s="219">
        <f>+IncSAuto!E32+IncSIntLog!E32</f>
        <v>0</v>
      </c>
      <c r="F31" s="219">
        <f>+IncSAuto!F32+IncSIntLog!F32</f>
        <v>0</v>
      </c>
      <c r="G31" s="219">
        <f>+IncSAuto!G32+IncSIntLog!G32</f>
        <v>0</v>
      </c>
      <c r="H31" s="219">
        <f>+IncSAuto!H32+IncSIntLog!H32</f>
        <v>0</v>
      </c>
      <c r="I31" s="219">
        <f>+IncSAuto!I32+IncSIntLog!I32</f>
        <v>0</v>
      </c>
      <c r="J31" s="219">
        <f>+IncSAuto!J32+IncSIntLog!J32</f>
        <v>0</v>
      </c>
      <c r="K31" s="219">
        <f>+IncSAuto!K32+IncSIntLog!K32</f>
        <v>2139</v>
      </c>
      <c r="L31" s="219">
        <f>+IncSAuto!L32+IncSIntLog!L32</f>
        <v>0</v>
      </c>
      <c r="M31" s="219">
        <f>+IncSAuto!M32+IncSIntLog!M32</f>
        <v>0</v>
      </c>
      <c r="N31" s="219">
        <f>+IncSAuto!N32+IncSIntLog!N32</f>
        <v>0</v>
      </c>
      <c r="O31" s="219">
        <f>+IncSAuto!O32+IncSIntLog!O32</f>
        <v>0</v>
      </c>
      <c r="P31" s="219">
        <f>+IncSAuto!P32+IncSIntLog!P32</f>
        <v>0</v>
      </c>
      <c r="Q31" s="219">
        <f>+IncSAuto!Q32+IncSIntLog!Q32</f>
        <v>0</v>
      </c>
      <c r="R31" s="219">
        <f>+IncSAuto!R32+IncSIntLog!R32</f>
        <v>0</v>
      </c>
      <c r="S31" s="219">
        <f>+IncSAuto!S32+IncSIntLog!S32</f>
        <v>0</v>
      </c>
      <c r="T31" s="219">
        <f>+IncSAuto!T32+IncSIntLog!T32</f>
        <v>0</v>
      </c>
      <c r="U31" s="219">
        <f>+IncSAuto!U32+IncSIntLog!U32</f>
        <v>0</v>
      </c>
      <c r="V31" s="219">
        <f>+IncSAuto!V32+IncSIntLog!V32</f>
        <v>0</v>
      </c>
      <c r="W31" s="219">
        <f>+IncSAuto!W32+IncSIntLog!W32</f>
        <v>0</v>
      </c>
      <c r="X31" s="219">
        <f>+IncSAuto!X32+IncSIntLog!X32</f>
        <v>0</v>
      </c>
      <c r="Y31" s="219">
        <f>+IncSAuto!Y32+IncSIntLog!Y32</f>
        <v>0</v>
      </c>
      <c r="Z31" s="219">
        <f>+IncSAuto!Z32+IncSIntLog!Z32</f>
        <v>0</v>
      </c>
      <c r="AA31" s="219">
        <f>+IncSAuto!AA32+IncSIntLog!AA32</f>
        <v>0</v>
      </c>
      <c r="AB31" s="219">
        <f>+IncSAuto!AB32+IncSIntLog!AB32</f>
        <v>0</v>
      </c>
      <c r="AC31" s="219">
        <v>0</v>
      </c>
      <c r="AD31" s="219">
        <v>0</v>
      </c>
      <c r="AE31" s="220">
        <v>0</v>
      </c>
      <c r="AF31" s="219">
        <v>0</v>
      </c>
      <c r="AG31" s="219">
        <v>0</v>
      </c>
      <c r="AH31" s="219">
        <v>0</v>
      </c>
      <c r="AI31" s="219">
        <v>0</v>
      </c>
      <c r="AJ31" s="219">
        <v>0</v>
      </c>
      <c r="AK31" s="219">
        <v>0</v>
      </c>
      <c r="AL31" s="219">
        <v>0</v>
      </c>
      <c r="AM31" s="219">
        <v>0</v>
      </c>
      <c r="AN31" s="219">
        <v>0</v>
      </c>
      <c r="AO31" s="219">
        <v>0</v>
      </c>
      <c r="AP31" s="219">
        <v>0</v>
      </c>
      <c r="AQ31" s="219">
        <v>0</v>
      </c>
      <c r="AR31" s="219">
        <v>0</v>
      </c>
      <c r="AS31" s="219">
        <v>0</v>
      </c>
      <c r="AT31" s="219">
        <v>0</v>
      </c>
      <c r="AU31" s="219">
        <v>0</v>
      </c>
      <c r="AV31" s="219">
        <v>0</v>
      </c>
      <c r="AW31" s="219">
        <v>0</v>
      </c>
      <c r="AX31" s="219">
        <v>0</v>
      </c>
      <c r="AY31" s="219"/>
      <c r="AZ31" s="219"/>
      <c r="BA31" s="219"/>
      <c r="BB31" s="219">
        <v>0</v>
      </c>
    </row>
    <row r="32" spans="1:54" s="221" customFormat="1" ht="14.1" hidden="1" customHeight="1" outlineLevel="1" x14ac:dyDescent="0.2">
      <c r="A32" s="640"/>
      <c r="B32" s="228" t="s">
        <v>256</v>
      </c>
      <c r="C32" s="219">
        <f>+IncSAuto!C33+IncSIntLog!C33</f>
        <v>2990</v>
      </c>
      <c r="D32" s="219">
        <f>+IncSAuto!D33+IncSIntLog!D33</f>
        <v>1233</v>
      </c>
      <c r="E32" s="219">
        <f>+IncSAuto!E33+IncSIntLog!E33</f>
        <v>1164</v>
      </c>
      <c r="F32" s="219">
        <f>+IncSAuto!F33+IncSIntLog!F33</f>
        <v>1432</v>
      </c>
      <c r="G32" s="219">
        <f>+IncSAuto!G33+IncSIntLog!G33</f>
        <v>0</v>
      </c>
      <c r="H32" s="219">
        <f>+IncSAuto!H33+IncSIntLog!H33</f>
        <v>0</v>
      </c>
      <c r="I32" s="219">
        <f>+IncSAuto!I33+IncSIntLog!I33</f>
        <v>0</v>
      </c>
      <c r="J32" s="219">
        <f>+IncSAuto!J33+IncSIntLog!J33</f>
        <v>0</v>
      </c>
      <c r="K32" s="219">
        <f>+IncSAuto!K33+IncSIntLog!K33</f>
        <v>0</v>
      </c>
      <c r="L32" s="219">
        <f>+IncSAuto!L33+IncSIntLog!L33</f>
        <v>0</v>
      </c>
      <c r="M32" s="219">
        <f>+IncSAuto!M33+IncSIntLog!M33</f>
        <v>0</v>
      </c>
      <c r="N32" s="219">
        <f>+IncSAuto!N33+IncSIntLog!N33</f>
        <v>0</v>
      </c>
      <c r="O32" s="219">
        <f>+IncSAuto!O33+IncSIntLog!O33</f>
        <v>0</v>
      </c>
      <c r="P32" s="219">
        <f>+IncSAuto!P33+IncSIntLog!P33</f>
        <v>3704.1926200000003</v>
      </c>
      <c r="Q32" s="219">
        <f>+IncSAuto!Q33+IncSIntLog!Q33</f>
        <v>0</v>
      </c>
      <c r="R32" s="219">
        <f>+IncSAuto!R33+IncSIntLog!R33</f>
        <v>0</v>
      </c>
      <c r="S32" s="219">
        <f>+IncSAuto!S33+IncSIntLog!S33</f>
        <v>0</v>
      </c>
      <c r="T32" s="219">
        <f>+IncSAuto!T33+IncSIntLog!T33</f>
        <v>0</v>
      </c>
      <c r="U32" s="219">
        <f>+IncSAuto!U33+IncSIntLog!U33</f>
        <v>0</v>
      </c>
      <c r="V32" s="219">
        <f>+IncSAuto!V33+IncSIntLog!V33</f>
        <v>0</v>
      </c>
      <c r="W32" s="219">
        <f>+IncSAuto!W33+IncSIntLog!W33</f>
        <v>0</v>
      </c>
      <c r="X32" s="219">
        <f>+IncSAuto!X33+IncSIntLog!X33</f>
        <v>0</v>
      </c>
      <c r="Y32" s="219">
        <f>+IncSAuto!Y33+IncSIntLog!Y33</f>
        <v>0</v>
      </c>
      <c r="Z32" s="219">
        <f>+IncSAuto!Z33+IncSIntLog!Z33</f>
        <v>0</v>
      </c>
      <c r="AA32" s="219">
        <f>+IncSAuto!AA33+IncSIntLog!AA33</f>
        <v>0</v>
      </c>
      <c r="AB32" s="219">
        <f>+IncSAuto!AB33+IncSIntLog!AB33</f>
        <v>0</v>
      </c>
      <c r="AC32" s="219">
        <v>0</v>
      </c>
      <c r="AD32" s="219">
        <v>0</v>
      </c>
      <c r="AE32" s="220">
        <v>0</v>
      </c>
      <c r="AF32" s="219">
        <v>0</v>
      </c>
      <c r="AG32" s="219">
        <v>0</v>
      </c>
      <c r="AH32" s="219">
        <v>0</v>
      </c>
      <c r="AI32" s="219">
        <v>0</v>
      </c>
      <c r="AJ32" s="219">
        <v>0</v>
      </c>
      <c r="AK32" s="219">
        <v>0</v>
      </c>
      <c r="AL32" s="219">
        <v>0</v>
      </c>
      <c r="AM32" s="219">
        <v>0</v>
      </c>
      <c r="AN32" s="219">
        <v>0</v>
      </c>
      <c r="AO32" s="219">
        <v>0</v>
      </c>
      <c r="AP32" s="219">
        <v>0</v>
      </c>
      <c r="AQ32" s="219">
        <v>0</v>
      </c>
      <c r="AR32" s="219">
        <v>0</v>
      </c>
      <c r="AS32" s="219">
        <v>0</v>
      </c>
      <c r="AT32" s="219">
        <v>0</v>
      </c>
      <c r="AU32" s="219">
        <v>0</v>
      </c>
      <c r="AV32" s="219">
        <v>0</v>
      </c>
      <c r="AW32" s="219">
        <v>0</v>
      </c>
      <c r="AX32" s="219">
        <v>0</v>
      </c>
      <c r="AY32" s="219"/>
      <c r="AZ32" s="219"/>
      <c r="BA32" s="219"/>
      <c r="BB32" s="219">
        <v>0</v>
      </c>
    </row>
    <row r="33" spans="1:54" s="221" customFormat="1" ht="14.1" hidden="1" customHeight="1" outlineLevel="1" x14ac:dyDescent="0.2">
      <c r="A33" s="640"/>
      <c r="B33" s="228" t="s">
        <v>257</v>
      </c>
      <c r="C33" s="219">
        <f>+IncSAuto!C34+IncSIntLog!C34</f>
        <v>0</v>
      </c>
      <c r="D33" s="219">
        <f>+IncSAuto!D34+IncSIntLog!D34</f>
        <v>0</v>
      </c>
      <c r="E33" s="219">
        <f>+IncSAuto!E34+IncSIntLog!E34</f>
        <v>0</v>
      </c>
      <c r="F33" s="219">
        <f>+IncSAuto!F34+IncSIntLog!F34</f>
        <v>0</v>
      </c>
      <c r="G33" s="219">
        <f>+IncSAuto!G34+IncSIntLog!G34</f>
        <v>0</v>
      </c>
      <c r="H33" s="219">
        <f>+IncSAuto!H34+IncSIntLog!H34</f>
        <v>0</v>
      </c>
      <c r="I33" s="219">
        <f>+IncSAuto!I34+IncSIntLog!I34</f>
        <v>17500</v>
      </c>
      <c r="J33" s="219">
        <f>+IncSAuto!J34+IncSIntLog!J34</f>
        <v>3952</v>
      </c>
      <c r="K33" s="219">
        <f>+IncSAuto!K34+IncSIntLog!K34</f>
        <v>0</v>
      </c>
      <c r="L33" s="219">
        <f>+IncSAuto!L34+IncSIntLog!L34</f>
        <v>0</v>
      </c>
      <c r="M33" s="219">
        <f>+IncSAuto!M34+IncSIntLog!M34</f>
        <v>0</v>
      </c>
      <c r="N33" s="219">
        <f>+IncSAuto!N34+IncSIntLog!N34</f>
        <v>2194</v>
      </c>
      <c r="O33" s="219">
        <f>+IncSAuto!O34+IncSIntLog!O34</f>
        <v>0</v>
      </c>
      <c r="P33" s="219">
        <f>+IncSAuto!P34+IncSIntLog!P34</f>
        <v>0</v>
      </c>
      <c r="Q33" s="219">
        <f>+IncSAuto!Q34+IncSIntLog!Q34</f>
        <v>0</v>
      </c>
      <c r="R33" s="219">
        <f>+IncSAuto!R34+IncSIntLog!R34</f>
        <v>18361</v>
      </c>
      <c r="S33" s="219">
        <f>+IncSAuto!S34+IncSIntLog!S34</f>
        <v>0</v>
      </c>
      <c r="T33" s="219">
        <f>+IncSAuto!T34+IncSIntLog!T34</f>
        <v>0</v>
      </c>
      <c r="U33" s="219">
        <f>+IncSAuto!U34+IncSIntLog!U34</f>
        <v>0</v>
      </c>
      <c r="V33" s="219">
        <f>+IncSAuto!V34+IncSIntLog!V34</f>
        <v>0</v>
      </c>
      <c r="W33" s="219">
        <f>+IncSAuto!W34+IncSIntLog!W34</f>
        <v>0</v>
      </c>
      <c r="X33" s="219">
        <f>+IncSAuto!X34+IncSIntLog!X34</f>
        <v>0</v>
      </c>
      <c r="Y33" s="219">
        <f>+IncSAuto!Y34+IncSIntLog!Y34</f>
        <v>0</v>
      </c>
      <c r="Z33" s="219">
        <f>+IncSAuto!Z34+IncSIntLog!Z34</f>
        <v>0</v>
      </c>
      <c r="AA33" s="219">
        <f>+IncSAuto!AA34+IncSIntLog!AA34</f>
        <v>0</v>
      </c>
      <c r="AB33" s="219">
        <f>+IncSAuto!AB34+IncSIntLog!AB34</f>
        <v>0</v>
      </c>
      <c r="AC33" s="219">
        <v>0</v>
      </c>
      <c r="AD33" s="219">
        <v>0</v>
      </c>
      <c r="AE33" s="220">
        <v>0</v>
      </c>
      <c r="AF33" s="219">
        <v>0</v>
      </c>
      <c r="AG33" s="219">
        <v>0</v>
      </c>
      <c r="AH33" s="219">
        <v>0</v>
      </c>
      <c r="AI33" s="219">
        <v>0</v>
      </c>
      <c r="AJ33" s="219">
        <v>0</v>
      </c>
      <c r="AK33" s="219">
        <v>0</v>
      </c>
      <c r="AL33" s="219">
        <v>0</v>
      </c>
      <c r="AM33" s="219">
        <v>0</v>
      </c>
      <c r="AN33" s="219">
        <v>0</v>
      </c>
      <c r="AO33" s="219">
        <v>0</v>
      </c>
      <c r="AP33" s="219">
        <v>0</v>
      </c>
      <c r="AQ33" s="219">
        <v>0</v>
      </c>
      <c r="AR33" s="219">
        <v>0</v>
      </c>
      <c r="AS33" s="219">
        <v>0</v>
      </c>
      <c r="AT33" s="219">
        <v>0</v>
      </c>
      <c r="AU33" s="219">
        <v>0</v>
      </c>
      <c r="AV33" s="219">
        <v>0</v>
      </c>
      <c r="AW33" s="219">
        <v>0</v>
      </c>
      <c r="AX33" s="219">
        <v>0</v>
      </c>
      <c r="AY33" s="219"/>
      <c r="AZ33" s="219"/>
      <c r="BA33" s="219"/>
      <c r="BB33" s="219">
        <v>0</v>
      </c>
    </row>
    <row r="34" spans="1:54" ht="14.1" customHeight="1" collapsed="1" x14ac:dyDescent="0.2">
      <c r="A34" s="640"/>
      <c r="B34" s="119" t="s">
        <v>258</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3">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B34" si="12">SUM(AW14:AW33)</f>
        <v>79253.838000000062</v>
      </c>
      <c r="AX34" s="120">
        <f t="shared" si="12"/>
        <v>74126.927810000241</v>
      </c>
      <c r="AY34" s="120">
        <f t="shared" si="12"/>
        <v>58318.379339999818</v>
      </c>
      <c r="AZ34" s="120">
        <f t="shared" si="12"/>
        <v>85168.926570000011</v>
      </c>
      <c r="BA34" s="120">
        <f t="shared" si="12"/>
        <v>125572.33326000009</v>
      </c>
      <c r="BB34" s="120">
        <f t="shared" si="12"/>
        <v>126005.15277999992</v>
      </c>
    </row>
    <row r="35" spans="1:54" ht="14.1" customHeight="1" x14ac:dyDescent="0.2">
      <c r="A35" s="640"/>
      <c r="B35" s="123" t="s">
        <v>259</v>
      </c>
      <c r="C35" s="14">
        <f t="shared" ref="C35:W35" si="13">ROUND(C34/C10,3)</f>
        <v>0.121</v>
      </c>
      <c r="D35" s="14">
        <f t="shared" si="13"/>
        <v>0.11899999999999999</v>
      </c>
      <c r="E35" s="14">
        <f t="shared" si="13"/>
        <v>0.114</v>
      </c>
      <c r="F35" s="14">
        <f t="shared" si="13"/>
        <v>8.6999999999999994E-2</v>
      </c>
      <c r="G35" s="14">
        <f t="shared" si="13"/>
        <v>5.2999999999999999E-2</v>
      </c>
      <c r="H35" s="14">
        <f t="shared" si="13"/>
        <v>9.0999999999999998E-2</v>
      </c>
      <c r="I35" s="14">
        <f t="shared" si="13"/>
        <v>0.105</v>
      </c>
      <c r="J35" s="14">
        <f t="shared" si="13"/>
        <v>9.0999999999999998E-2</v>
      </c>
      <c r="K35" s="14">
        <f t="shared" si="13"/>
        <v>8.1000000000000003E-2</v>
      </c>
      <c r="L35" s="14">
        <f t="shared" si="13"/>
        <v>9.4E-2</v>
      </c>
      <c r="M35" s="14">
        <f t="shared" si="13"/>
        <v>0.11</v>
      </c>
      <c r="N35" s="14">
        <f t="shared" si="13"/>
        <v>0.14399999999999999</v>
      </c>
      <c r="O35" s="14">
        <f t="shared" si="13"/>
        <v>8.5999999999999993E-2</v>
      </c>
      <c r="P35" s="14">
        <f t="shared" si="13"/>
        <v>6.3E-2</v>
      </c>
      <c r="Q35" s="14">
        <f t="shared" si="13"/>
        <v>8.2000000000000003E-2</v>
      </c>
      <c r="R35" s="14">
        <f t="shared" si="13"/>
        <v>0.12</v>
      </c>
      <c r="S35" s="14">
        <f t="shared" si="13"/>
        <v>7.2999999999999995E-2</v>
      </c>
      <c r="T35" s="14">
        <f t="shared" si="13"/>
        <v>7.3999999999999996E-2</v>
      </c>
      <c r="U35" s="14">
        <f t="shared" si="13"/>
        <v>0.104</v>
      </c>
      <c r="V35" s="14">
        <f t="shared" si="13"/>
        <v>0.128</v>
      </c>
      <c r="W35" s="14">
        <f t="shared" si="13"/>
        <v>9.8000000000000004E-2</v>
      </c>
      <c r="X35" s="14">
        <v>0.106</v>
      </c>
      <c r="Y35" s="14">
        <f t="shared" ref="Y35:AT35" si="14">ROUND(Y34/Y10,3)</f>
        <v>0.14299999999999999</v>
      </c>
      <c r="Z35" s="14">
        <f t="shared" si="14"/>
        <v>0.14000000000000001</v>
      </c>
      <c r="AA35" s="14">
        <f t="shared" si="14"/>
        <v>0.112</v>
      </c>
      <c r="AB35" s="14">
        <f t="shared" si="14"/>
        <v>0.154</v>
      </c>
      <c r="AC35" s="14">
        <f t="shared" si="14"/>
        <v>0.17399999999999999</v>
      </c>
      <c r="AD35" s="14">
        <f t="shared" si="14"/>
        <v>0.185</v>
      </c>
      <c r="AE35" s="755">
        <f t="shared" si="14"/>
        <v>0.189</v>
      </c>
      <c r="AF35" s="14">
        <f t="shared" si="14"/>
        <v>0.17899999999999999</v>
      </c>
      <c r="AG35" s="14">
        <f t="shared" si="14"/>
        <v>0.189</v>
      </c>
      <c r="AH35" s="14">
        <f t="shared" si="14"/>
        <v>0.185</v>
      </c>
      <c r="AI35" s="14">
        <f t="shared" si="14"/>
        <v>0.158</v>
      </c>
      <c r="AJ35" s="14">
        <f t="shared" si="14"/>
        <v>3.5999999999999997E-2</v>
      </c>
      <c r="AK35" s="14">
        <f t="shared" si="14"/>
        <v>0.191</v>
      </c>
      <c r="AL35" s="14">
        <f t="shared" si="14"/>
        <v>0.186</v>
      </c>
      <c r="AM35" s="14">
        <f t="shared" si="14"/>
        <v>0.185</v>
      </c>
      <c r="AN35" s="14">
        <f t="shared" si="14"/>
        <v>0.14899999999999999</v>
      </c>
      <c r="AO35" s="14">
        <f t="shared" si="14"/>
        <v>0.16200000000000001</v>
      </c>
      <c r="AP35" s="14">
        <f t="shared" si="14"/>
        <v>0.15</v>
      </c>
      <c r="AQ35" s="14">
        <f t="shared" si="14"/>
        <v>0.14599999999999999</v>
      </c>
      <c r="AR35" s="14">
        <f t="shared" si="14"/>
        <v>0.161</v>
      </c>
      <c r="AS35" s="14">
        <f t="shared" si="14"/>
        <v>0.21199999999999999</v>
      </c>
      <c r="AT35" s="14">
        <f t="shared" si="14"/>
        <v>0.17799999999999999</v>
      </c>
      <c r="AU35" s="14">
        <f>ROUND(AU34/AU10,3)</f>
        <v>0.16</v>
      </c>
      <c r="AV35" s="14">
        <v>0.158</v>
      </c>
      <c r="AW35" s="14">
        <f t="shared" ref="AW35:BB35" si="15">ROUND(AW34/AW10,3)</f>
        <v>0.186</v>
      </c>
      <c r="AX35" s="14">
        <f t="shared" si="15"/>
        <v>0.16300000000000001</v>
      </c>
      <c r="AY35" s="14">
        <f t="shared" si="15"/>
        <v>0.15</v>
      </c>
      <c r="AZ35" s="14">
        <f t="shared" si="15"/>
        <v>0.18</v>
      </c>
      <c r="BA35" s="14">
        <f t="shared" si="15"/>
        <v>0.20799999999999999</v>
      </c>
      <c r="BB35" s="14">
        <f t="shared" si="15"/>
        <v>0.20200000000000001</v>
      </c>
    </row>
    <row r="36" spans="1:54" ht="14.1" customHeight="1" x14ac:dyDescent="0.2">
      <c r="A36" s="640"/>
      <c r="B36" s="117" t="s">
        <v>281</v>
      </c>
      <c r="C36" s="118">
        <f>+IncSAuto!C37+IncSIntLog!C37</f>
        <v>-6038</v>
      </c>
      <c r="D36" s="118">
        <f>+IncSAuto!D37+IncSIntLog!D37</f>
        <v>-7156</v>
      </c>
      <c r="E36" s="118">
        <f>+IncSAuto!E37+IncSIntLog!E37</f>
        <v>-7307</v>
      </c>
      <c r="F36" s="118">
        <f>+IncSAuto!F37+IncSIntLog!F37</f>
        <v>-11249</v>
      </c>
      <c r="G36" s="118">
        <f>+IncSAuto!G37+IncSIntLog!G37</f>
        <v>-7204</v>
      </c>
      <c r="H36" s="118">
        <f>+IncSAuto!H37+IncSIntLog!H37</f>
        <v>-6913</v>
      </c>
      <c r="I36" s="118">
        <f>+IncSAuto!I37+IncSIntLog!I37</f>
        <v>-7443</v>
      </c>
      <c r="J36" s="118">
        <f>+IncSAuto!J37+IncSIntLog!J37</f>
        <v>-7494</v>
      </c>
      <c r="K36" s="118">
        <f>+IncSAuto!K37+IncSIntLog!K37</f>
        <v>-8563</v>
      </c>
      <c r="L36" s="118">
        <f>+IncSAuto!L37+IncSIntLog!L37</f>
        <v>-8365</v>
      </c>
      <c r="M36" s="118">
        <f>+IncSAuto!M37+IncSIntLog!M37</f>
        <v>-6979</v>
      </c>
      <c r="N36" s="118">
        <f>+IncSAuto!N37+IncSIntLog!N37</f>
        <v>-3223</v>
      </c>
      <c r="O36" s="118">
        <f t="shared" ref="O36:AA36" si="16">+SUM(O37:O38)</f>
        <v>-6412</v>
      </c>
      <c r="P36" s="118">
        <f t="shared" si="16"/>
        <v>-7112</v>
      </c>
      <c r="Q36" s="118">
        <f t="shared" si="16"/>
        <v>-6674</v>
      </c>
      <c r="R36" s="118">
        <f t="shared" si="16"/>
        <v>-7718.4255900000007</v>
      </c>
      <c r="S36" s="118">
        <f t="shared" si="16"/>
        <v>-7204.9047399999999</v>
      </c>
      <c r="T36" s="118">
        <f t="shared" si="16"/>
        <v>-9298.98092</v>
      </c>
      <c r="U36" s="118">
        <f t="shared" si="16"/>
        <v>-6737.5437099999999</v>
      </c>
      <c r="V36" s="118">
        <f t="shared" si="16"/>
        <v>-6858.242839999999</v>
      </c>
      <c r="W36" s="118">
        <f t="shared" si="16"/>
        <v>-6572.82701</v>
      </c>
      <c r="X36" s="118">
        <f t="shared" si="16"/>
        <v>-6829.9387999999999</v>
      </c>
      <c r="Y36" s="118">
        <f>+SUM(Y37:Y38)</f>
        <v>-7304.7968499999997</v>
      </c>
      <c r="Z36" s="118">
        <f t="shared" si="16"/>
        <v>-7437.1136699999997</v>
      </c>
      <c r="AA36" s="118">
        <f t="shared" si="16"/>
        <v>-6909.8206200000004</v>
      </c>
      <c r="AB36" s="118">
        <f t="shared" ref="AB36:AH36" si="17">+SUM(AB37:AB38)</f>
        <v>-8910.3279299999995</v>
      </c>
      <c r="AC36" s="118">
        <f t="shared" si="17"/>
        <v>-6853.8500800000002</v>
      </c>
      <c r="AD36" s="118">
        <f t="shared" si="17"/>
        <v>-6616.8089600000003</v>
      </c>
      <c r="AE36" s="161">
        <f t="shared" si="17"/>
        <v>-15400.43375</v>
      </c>
      <c r="AF36" s="118">
        <f t="shared" si="17"/>
        <v>-13640.160540000001</v>
      </c>
      <c r="AG36" s="118">
        <f t="shared" si="17"/>
        <v>-14832.91678</v>
      </c>
      <c r="AH36" s="118">
        <f t="shared" si="17"/>
        <v>-14732.53003</v>
      </c>
      <c r="AI36" s="118">
        <f t="shared" ref="AI36:AR36" si="18">+SUM(AI37:AI38)</f>
        <v>-14152.98898</v>
      </c>
      <c r="AJ36" s="118">
        <f t="shared" si="18"/>
        <v>-13839.80279</v>
      </c>
      <c r="AK36" s="118">
        <f t="shared" si="18"/>
        <v>-13196.274530000001</v>
      </c>
      <c r="AL36" s="118">
        <f t="shared" si="18"/>
        <v>-12860.317200000001</v>
      </c>
      <c r="AM36" s="118">
        <f t="shared" si="18"/>
        <v>-12959.5062</v>
      </c>
      <c r="AN36" s="118">
        <f t="shared" si="18"/>
        <v>-12839.597110000001</v>
      </c>
      <c r="AO36" s="118">
        <f t="shared" si="18"/>
        <v>-12593.76037</v>
      </c>
      <c r="AP36" s="118">
        <f>+SUM(AP37:AP38)</f>
        <v>-12473.274410000002</v>
      </c>
      <c r="AQ36" s="118">
        <f>+SUM(AQ37:AQ38)</f>
        <v>-13487.422330000001</v>
      </c>
      <c r="AR36" s="118">
        <f t="shared" si="18"/>
        <v>-13690.463550000004</v>
      </c>
      <c r="AS36" s="118">
        <f>+SUM(AS37:AS38)</f>
        <v>-12545.994360000001</v>
      </c>
      <c r="AT36" s="118">
        <f>+SUM(AT37:AT38)</f>
        <v>-13372.31034</v>
      </c>
      <c r="AU36" s="118">
        <f>+SUM(AU37:AU38)</f>
        <v>-13414.1613</v>
      </c>
      <c r="AV36" s="118">
        <v>-13390.617499999998</v>
      </c>
      <c r="AW36" s="118">
        <f t="shared" ref="AW36:BB36" si="19">+SUM(AW37:AW38)</f>
        <v>-13784.77347</v>
      </c>
      <c r="AX36" s="118">
        <f t="shared" si="19"/>
        <v>-14174.105950000001</v>
      </c>
      <c r="AY36" s="118">
        <f t="shared" si="19"/>
        <v>-13837.638149999999</v>
      </c>
      <c r="AZ36" s="118">
        <f t="shared" si="19"/>
        <v>-13928.92884</v>
      </c>
      <c r="BA36" s="118">
        <f t="shared" si="19"/>
        <v>-13843.909750000001</v>
      </c>
      <c r="BB36" s="118">
        <f t="shared" si="19"/>
        <v>-14025.012639999999</v>
      </c>
    </row>
    <row r="37" spans="1:54" ht="14.1" customHeight="1" outlineLevel="1" x14ac:dyDescent="0.2">
      <c r="A37" s="24"/>
      <c r="B37" s="620" t="s">
        <v>954</v>
      </c>
      <c r="C37" s="118" t="s">
        <v>47</v>
      </c>
      <c r="D37" s="118" t="s">
        <v>47</v>
      </c>
      <c r="E37" s="118" t="s">
        <v>47</v>
      </c>
      <c r="F37" s="118" t="s">
        <v>47</v>
      </c>
      <c r="G37" s="118" t="s">
        <v>47</v>
      </c>
      <c r="H37" s="118" t="s">
        <v>47</v>
      </c>
      <c r="I37" s="118" t="s">
        <v>47</v>
      </c>
      <c r="J37" s="118" t="s">
        <v>47</v>
      </c>
      <c r="K37" s="118" t="s">
        <v>47</v>
      </c>
      <c r="L37" s="118" t="s">
        <v>47</v>
      </c>
      <c r="M37" s="118" t="s">
        <v>47</v>
      </c>
      <c r="N37" s="118" t="s">
        <v>47</v>
      </c>
      <c r="O37" s="118">
        <f>+IncSAuto!O38+IncSIntLog!O38</f>
        <v>-5514.0217871000004</v>
      </c>
      <c r="P37" s="118">
        <f>+IncSAuto!P38+IncSIntLog!P38</f>
        <v>-6073.2019700000001</v>
      </c>
      <c r="Q37" s="118">
        <f>+IncSAuto!Q38+IncSIntLog!Q38</f>
        <v>-5569.4027299999998</v>
      </c>
      <c r="R37" s="118">
        <f>+IncSAuto!R38+IncSIntLog!R38</f>
        <v>-6524.3695800000005</v>
      </c>
      <c r="S37" s="118">
        <f>+IncSAuto!S38+IncSIntLog!S38</f>
        <v>-6060.3533399999997</v>
      </c>
      <c r="T37" s="118">
        <f>+IncSAuto!T38+IncSIntLog!T38</f>
        <v>-8227.8698000000004</v>
      </c>
      <c r="U37" s="118">
        <f>+IncSAuto!U38+IncSIntLog!U38</f>
        <v>-5691.81574</v>
      </c>
      <c r="V37" s="118">
        <f>+IncSAuto!V38+IncSIntLog!V38</f>
        <v>-5818.0447599999989</v>
      </c>
      <c r="W37" s="118">
        <f>+IncSAuto!W38+IncSIntLog!W38</f>
        <v>-5829.7700100000002</v>
      </c>
      <c r="X37" s="118">
        <f>+IncSAuto!X38+IncSIntLog!X38</f>
        <v>-5990.71767</v>
      </c>
      <c r="Y37" s="118">
        <f>+IncSAuto!Y38+IncSIntLog!Y38</f>
        <v>-6508.54558</v>
      </c>
      <c r="Z37" s="118">
        <f>+IncSAuto!Z38+IncSIntLog!Z38</f>
        <v>-6610.4207399999996</v>
      </c>
      <c r="AA37" s="118">
        <f>+IncSAuto!AA38+IncSIntLog!AA38</f>
        <v>-6082.28665</v>
      </c>
      <c r="AB37" s="118">
        <f>+IncSAuto!AB38+IncSIntLog!AB38</f>
        <v>-8056.4395999999997</v>
      </c>
      <c r="AC37" s="118">
        <f>+IncSAuto!AC38+IncSIntLog!AC38</f>
        <v>-5990.8769300000004</v>
      </c>
      <c r="AD37" s="118">
        <f>+IncSAuto!AD38+IncSIntLog!AD38</f>
        <v>-5743.8832000000002</v>
      </c>
      <c r="AE37" s="161">
        <f>+IncSAuto!AE38+IncSIntLog!AE38</f>
        <v>-14281.93353</v>
      </c>
      <c r="AF37" s="118">
        <f>+IncSAuto!AF38+IncSIntLog!AF38</f>
        <v>-12499.35318</v>
      </c>
      <c r="AG37" s="118">
        <f>+IncSAuto!AG38+IncSIntLog!AG38</f>
        <v>-13655.86772</v>
      </c>
      <c r="AH37" s="118">
        <f>+IncSAuto!AH38+IncSIntLog!AH38</f>
        <v>-13553.991379999999</v>
      </c>
      <c r="AI37" s="118">
        <f>+IncSAuto!AI38+IncSIntLog!AI38</f>
        <v>-13004.850689999999</v>
      </c>
      <c r="AJ37" s="118">
        <f>+IncSAuto!AJ38+IncSIntLog!AJ38</f>
        <v>-12737.530070000001</v>
      </c>
      <c r="AK37" s="118">
        <f>+IncSAuto!AK38+IncSIntLog!AK38</f>
        <v>-12120.315490000001</v>
      </c>
      <c r="AL37" s="118">
        <f>+IncSAuto!AL38+IncSIntLog!AL38</f>
        <v>-11785.54844</v>
      </c>
      <c r="AM37" s="118">
        <f>+IncSAuto!AM38+IncSIntLog!AM38</f>
        <v>-11885.12478</v>
      </c>
      <c r="AN37" s="118">
        <f>+IncSAuto!AN38+IncSIntLog!AN38</f>
        <v>-11750.02211</v>
      </c>
      <c r="AO37" s="118">
        <f>+IncSAuto!AO38+IncSIntLog!AO38</f>
        <v>-11518.35677</v>
      </c>
      <c r="AP37" s="118">
        <f>+IncSAuto!AP38+IncSIntLog!AP38</f>
        <v>-11392.235980000001</v>
      </c>
      <c r="AQ37" s="118">
        <v>-12357.437000000002</v>
      </c>
      <c r="AR37" s="118">
        <f>+IncSAuto!AR38+IncSIntLog!AR38</f>
        <v>-12551.259250000003</v>
      </c>
      <c r="AS37" s="118">
        <f>+IncSAuto!AS38+IncSIntLog!AS38</f>
        <v>-11442.945100000001</v>
      </c>
      <c r="AT37" s="118">
        <f>+IncSAuto!AT38+IncSIntLog!AT38</f>
        <v>-12242.12645</v>
      </c>
      <c r="AU37" s="118">
        <f>+IncSAuto!AU38+IncSIntLog!AU38</f>
        <v>-12284.57548</v>
      </c>
      <c r="AV37" s="118">
        <v>-12217.841849999999</v>
      </c>
      <c r="AW37" s="118">
        <f>+IncSAuto!AW38+IncSIntLog!AW38</f>
        <v>-12563.484570000001</v>
      </c>
      <c r="AX37" s="118">
        <f>+IncSAuto!AX38+IncSIntLog!AX38</f>
        <v>-12942.17224</v>
      </c>
      <c r="AY37" s="118">
        <v>-12627.560999999998</v>
      </c>
      <c r="AZ37" s="118">
        <v>-12711.927960000001</v>
      </c>
      <c r="BA37" s="118">
        <v>-12619.6011</v>
      </c>
      <c r="BB37" s="118">
        <f>+IncSAuto!BB38+IncSIntLog!BB38</f>
        <v>-12553.247299999999</v>
      </c>
    </row>
    <row r="38" spans="1:54" ht="14.1" customHeight="1" outlineLevel="1" x14ac:dyDescent="0.2">
      <c r="A38" s="24"/>
      <c r="B38" s="620" t="s">
        <v>955</v>
      </c>
      <c r="C38" s="118" t="s">
        <v>47</v>
      </c>
      <c r="D38" s="118" t="s">
        <v>47</v>
      </c>
      <c r="E38" s="118" t="s">
        <v>47</v>
      </c>
      <c r="F38" s="118" t="s">
        <v>47</v>
      </c>
      <c r="G38" s="118" t="s">
        <v>47</v>
      </c>
      <c r="H38" s="118" t="s">
        <v>47</v>
      </c>
      <c r="I38" s="118" t="s">
        <v>47</v>
      </c>
      <c r="J38" s="118" t="s">
        <v>47</v>
      </c>
      <c r="K38" s="118" t="s">
        <v>47</v>
      </c>
      <c r="L38" s="118" t="s">
        <v>47</v>
      </c>
      <c r="M38" s="118" t="s">
        <v>47</v>
      </c>
      <c r="N38" s="118" t="s">
        <v>47</v>
      </c>
      <c r="O38" s="118">
        <f>+IncSAuto!O39+IncSIntLog!O39</f>
        <v>-897.97821290000002</v>
      </c>
      <c r="P38" s="118">
        <f>+IncSAuto!P39+IncSIntLog!P39</f>
        <v>-1038.7980300000004</v>
      </c>
      <c r="Q38" s="118">
        <f>+IncSAuto!Q39+IncSIntLog!Q39</f>
        <v>-1104.5972700000002</v>
      </c>
      <c r="R38" s="118">
        <f>+IncSAuto!R39+IncSIntLog!R39</f>
        <v>-1194.0560100000002</v>
      </c>
      <c r="S38" s="118">
        <f>+IncSAuto!S39+IncSIntLog!S39</f>
        <v>-1144.5513999999998</v>
      </c>
      <c r="T38" s="118">
        <f>+IncSAuto!T39+IncSIntLog!T39</f>
        <v>-1071.11112</v>
      </c>
      <c r="U38" s="118">
        <f>+IncSAuto!U39+IncSIntLog!U39</f>
        <v>-1045.7279699999999</v>
      </c>
      <c r="V38" s="118">
        <f>+IncSAuto!V39+IncSIntLog!V39</f>
        <v>-1040.1980799999999</v>
      </c>
      <c r="W38" s="118">
        <f>+IncSAuto!W39+IncSIntLog!W39</f>
        <v>-743.0569999999999</v>
      </c>
      <c r="X38" s="118">
        <f>+IncSAuto!X39+IncSIntLog!X39</f>
        <v>-839.2211299999999</v>
      </c>
      <c r="Y38" s="118">
        <f>+IncSAuto!Y39+IncSIntLog!Y39</f>
        <v>-796.25126999999998</v>
      </c>
      <c r="Z38" s="118">
        <f>+IncSAuto!Z39+IncSIntLog!Z39</f>
        <v>-826.69292999999993</v>
      </c>
      <c r="AA38" s="118">
        <f>+IncSAuto!AA39+IncSIntLog!AA39</f>
        <v>-827.53397000000007</v>
      </c>
      <c r="AB38" s="118">
        <f>+IncSAuto!AB39+IncSIntLog!AB39</f>
        <v>-853.88833</v>
      </c>
      <c r="AC38" s="118">
        <f>+IncSAuto!AC39+IncSIntLog!AC39</f>
        <v>-862.97315000000003</v>
      </c>
      <c r="AD38" s="118">
        <f>+IncSAuto!AD39+IncSIntLog!AD39</f>
        <v>-872.92575999999997</v>
      </c>
      <c r="AE38" s="161">
        <f>+IncSAuto!AE39+IncSIntLog!AE39</f>
        <v>-1118.5002199999999</v>
      </c>
      <c r="AF38" s="118">
        <f>+IncSAuto!AF39+IncSIntLog!AF39</f>
        <v>-1140.80736</v>
      </c>
      <c r="AG38" s="118">
        <f>+IncSAuto!AG39+IncSIntLog!AG39</f>
        <v>-1177.0490600000001</v>
      </c>
      <c r="AH38" s="118">
        <f>+IncSAuto!AH39+IncSIntLog!AH39</f>
        <v>-1178.53865</v>
      </c>
      <c r="AI38" s="118">
        <f>+IncSAuto!AI39+IncSIntLog!AI39</f>
        <v>-1148.1382900000001</v>
      </c>
      <c r="AJ38" s="118">
        <f>+IncSAuto!AJ39+IncSIntLog!AJ39</f>
        <v>-1102.2727199999997</v>
      </c>
      <c r="AK38" s="118">
        <f>+IncSAuto!AK39+IncSIntLog!AK39</f>
        <v>-1075.95904</v>
      </c>
      <c r="AL38" s="118">
        <f>+IncSAuto!AL39+IncSIntLog!AL39</f>
        <v>-1074.7687599999999</v>
      </c>
      <c r="AM38" s="118">
        <f>+IncSAuto!AM39+IncSIntLog!AM39</f>
        <v>-1074.3814199999999</v>
      </c>
      <c r="AN38" s="118">
        <f>+IncSAuto!AN39+IncSIntLog!AN39</f>
        <v>-1089.575</v>
      </c>
      <c r="AO38" s="118">
        <f>+IncSAuto!AO39+IncSIntLog!AO39</f>
        <v>-1075.4036000000006</v>
      </c>
      <c r="AP38" s="118">
        <f>+IncSAuto!AP39+IncSIntLog!AP39</f>
        <v>-1081.0384300000001</v>
      </c>
      <c r="AQ38" s="118">
        <v>-1129.9853300000002</v>
      </c>
      <c r="AR38" s="118">
        <f>+IncSAuto!AR39+IncSIntLog!AR39</f>
        <v>-1139.2043000000003</v>
      </c>
      <c r="AS38" s="118">
        <f>+IncSAuto!AS39+IncSIntLog!AS39</f>
        <v>-1103.0492600000002</v>
      </c>
      <c r="AT38" s="118">
        <f>+IncSAuto!AT39+IncSIntLog!AT39</f>
        <v>-1130.1838900000002</v>
      </c>
      <c r="AU38" s="118">
        <f>+IncSAuto!AU39+IncSIntLog!AU39</f>
        <v>-1129.5858200000002</v>
      </c>
      <c r="AV38" s="118">
        <v>-1172.7756499999998</v>
      </c>
      <c r="AW38" s="118">
        <f>+IncSAuto!AW39+IncSIntLog!AW39</f>
        <v>-1221.2889</v>
      </c>
      <c r="AX38" s="118">
        <f>+IncSAuto!AX39+IncSIntLog!AX39</f>
        <v>-1231.9337100000002</v>
      </c>
      <c r="AY38" s="118">
        <v>-1210.0771500000001</v>
      </c>
      <c r="AZ38" s="118">
        <v>-1217.0008800000003</v>
      </c>
      <c r="BA38" s="118">
        <v>-1224.3086500000002</v>
      </c>
      <c r="BB38" s="118">
        <f>+IncSAuto!BB39+IncSIntLog!BB39</f>
        <v>-1471.7653399999999</v>
      </c>
    </row>
    <row r="39" spans="1:54" ht="14.1" customHeight="1" x14ac:dyDescent="0.2">
      <c r="A39" s="640"/>
      <c r="B39" s="119" t="s">
        <v>229</v>
      </c>
      <c r="C39" s="120">
        <f t="shared" ref="C39:AT39" si="20">C14+C36</f>
        <v>30558</v>
      </c>
      <c r="D39" s="120">
        <f t="shared" si="20"/>
        <v>36099</v>
      </c>
      <c r="E39" s="120">
        <f t="shared" si="20"/>
        <v>48979</v>
      </c>
      <c r="F39" s="120">
        <f t="shared" si="20"/>
        <v>36744</v>
      </c>
      <c r="G39" s="120">
        <f t="shared" si="20"/>
        <v>10832</v>
      </c>
      <c r="H39" s="120">
        <f t="shared" si="20"/>
        <v>29674</v>
      </c>
      <c r="I39" s="120">
        <f t="shared" si="20"/>
        <v>40345</v>
      </c>
      <c r="J39" s="120">
        <f t="shared" si="20"/>
        <v>29895</v>
      </c>
      <c r="K39" s="120">
        <f t="shared" si="20"/>
        <v>11333</v>
      </c>
      <c r="L39" s="120">
        <f t="shared" si="20"/>
        <v>29802</v>
      </c>
      <c r="M39" s="120">
        <f t="shared" si="20"/>
        <v>35628</v>
      </c>
      <c r="N39" s="120">
        <f t="shared" si="20"/>
        <v>53044</v>
      </c>
      <c r="O39" s="120">
        <f t="shared" si="20"/>
        <v>18034</v>
      </c>
      <c r="P39" s="120">
        <f t="shared" si="20"/>
        <v>6639</v>
      </c>
      <c r="Q39" s="120">
        <f t="shared" si="20"/>
        <v>15879</v>
      </c>
      <c r="R39" s="120">
        <f t="shared" si="20"/>
        <v>1712.8176999999687</v>
      </c>
      <c r="S39" s="120">
        <f t="shared" si="20"/>
        <v>7504.9504399999751</v>
      </c>
      <c r="T39" s="120">
        <f t="shared" si="20"/>
        <v>7635.2411300000331</v>
      </c>
      <c r="U39" s="120">
        <f t="shared" si="20"/>
        <v>18112.386659999982</v>
      </c>
      <c r="V39" s="120">
        <f t="shared" si="20"/>
        <v>25614.889910000005</v>
      </c>
      <c r="W39" s="120">
        <f t="shared" si="20"/>
        <v>14360.545710000028</v>
      </c>
      <c r="X39" s="120">
        <f t="shared" si="20"/>
        <v>13103.106400000037</v>
      </c>
      <c r="Y39" s="120">
        <f t="shared" si="20"/>
        <v>27935.846069999985</v>
      </c>
      <c r="Z39" s="120">
        <f t="shared" si="20"/>
        <v>54072.402550000006</v>
      </c>
      <c r="AA39" s="120">
        <f t="shared" si="20"/>
        <v>22543.493380000007</v>
      </c>
      <c r="AB39" s="120">
        <f t="shared" si="20"/>
        <v>36238.07877999996</v>
      </c>
      <c r="AC39" s="120">
        <f t="shared" si="20"/>
        <v>45686.178229999932</v>
      </c>
      <c r="AD39" s="120">
        <f t="shared" si="20"/>
        <v>48576.524440000023</v>
      </c>
      <c r="AE39" s="163">
        <f t="shared" si="20"/>
        <v>40625.074600000065</v>
      </c>
      <c r="AF39" s="120">
        <f t="shared" si="20"/>
        <v>45803.189800000036</v>
      </c>
      <c r="AG39" s="120">
        <f t="shared" si="20"/>
        <v>100076.36719000009</v>
      </c>
      <c r="AH39" s="120">
        <f t="shared" si="20"/>
        <v>53109.901350000022</v>
      </c>
      <c r="AI39" s="120">
        <f t="shared" si="20"/>
        <v>26750.35560000001</v>
      </c>
      <c r="AJ39" s="120">
        <f t="shared" si="20"/>
        <v>-9186.3538000000244</v>
      </c>
      <c r="AK39" s="120">
        <f t="shared" si="20"/>
        <v>42113.171810000022</v>
      </c>
      <c r="AL39" s="120">
        <f t="shared" si="20"/>
        <v>40255.049250000025</v>
      </c>
      <c r="AM39" s="120">
        <f t="shared" si="20"/>
        <v>30232.221960000006</v>
      </c>
      <c r="AN39" s="120">
        <f t="shared" si="20"/>
        <v>28215.714269999968</v>
      </c>
      <c r="AO39" s="120">
        <f t="shared" si="20"/>
        <v>23727.720000000005</v>
      </c>
      <c r="AP39" s="120">
        <f t="shared" si="20"/>
        <v>35990.382589999906</v>
      </c>
      <c r="AQ39" s="120">
        <f t="shared" si="20"/>
        <v>21601.709109999967</v>
      </c>
      <c r="AR39" s="120">
        <f t="shared" si="20"/>
        <v>35458.489839999951</v>
      </c>
      <c r="AS39" s="120">
        <f t="shared" si="20"/>
        <v>68734.174689999956</v>
      </c>
      <c r="AT39" s="120">
        <f t="shared" si="20"/>
        <v>64815.150449999957</v>
      </c>
      <c r="AU39" s="120">
        <f>AU14+AU36</f>
        <v>40239.313079999869</v>
      </c>
      <c r="AV39" s="120">
        <v>44622.017100000056</v>
      </c>
      <c r="AW39" s="120">
        <f t="shared" ref="AW39:BB39" si="21">AW14+AW36</f>
        <v>65469.064530000061</v>
      </c>
      <c r="AX39" s="120">
        <f t="shared" si="21"/>
        <v>59952.821860000244</v>
      </c>
      <c r="AY39" s="120">
        <f t="shared" si="21"/>
        <v>44480.741189999819</v>
      </c>
      <c r="AZ39" s="120">
        <f t="shared" si="21"/>
        <v>71239.997730000003</v>
      </c>
      <c r="BA39" s="120">
        <f t="shared" si="21"/>
        <v>111728.42351000008</v>
      </c>
      <c r="BB39" s="120">
        <f t="shared" si="21"/>
        <v>111980.14013999992</v>
      </c>
    </row>
    <row r="40" spans="1:54" ht="14.1" customHeight="1" x14ac:dyDescent="0.2">
      <c r="A40" s="1011" t="s">
        <v>230</v>
      </c>
      <c r="B40" s="1009" t="str">
        <f>HYPERLINK(Menu!$AY$39,A40)</f>
        <v>Financial result</v>
      </c>
      <c r="C40" s="118">
        <f>+IncSAuto!C41+IncSIntLog!C41</f>
        <v>-8328</v>
      </c>
      <c r="D40" s="118">
        <f>+IncSAuto!D41+IncSIntLog!D41</f>
        <v>-9030</v>
      </c>
      <c r="E40" s="118">
        <f>+IncSAuto!E41+IncSIntLog!E41</f>
        <v>-9951</v>
      </c>
      <c r="F40" s="118">
        <f>+IncSAuto!F41+IncSIntLog!F41</f>
        <v>-6009</v>
      </c>
      <c r="G40" s="118">
        <f>+IncSAuto!G41+IncSIntLog!G41</f>
        <v>-7799</v>
      </c>
      <c r="H40" s="118">
        <f>+IncSAuto!H41+IncSIntLog!H41</f>
        <v>107</v>
      </c>
      <c r="I40" s="118">
        <f>+IncSAuto!I41+IncSIntLog!I41</f>
        <v>-18842</v>
      </c>
      <c r="J40" s="118">
        <f>+IncSAuto!J41+IncSIntLog!J41</f>
        <v>-12345</v>
      </c>
      <c r="K40" s="118">
        <f>+IncSAuto!K41+IncSIntLog!K41</f>
        <v>-10235</v>
      </c>
      <c r="L40" s="118">
        <f>+IncSAuto!L41+IncSIntLog!L41</f>
        <v>-9164</v>
      </c>
      <c r="M40" s="118">
        <f>+IncSAuto!M41+IncSIntLog!M41</f>
        <v>-12594</v>
      </c>
      <c r="N40" s="262">
        <f>+IncSAuto!N41+IncSIntLog!N41</f>
        <v>-14225</v>
      </c>
      <c r="O40" s="118">
        <f>+IncSAuto!O41+IncSIntLog!O41</f>
        <v>-7678</v>
      </c>
      <c r="P40" s="118">
        <f>+IncSAuto!P41+IncSIntLog!P41</f>
        <v>-5199</v>
      </c>
      <c r="Q40" s="118">
        <f>+IncSAuto!Q41+IncSIntLog!Q41</f>
        <v>-8492</v>
      </c>
      <c r="R40" s="262">
        <f>+IncSAuto!R41+IncSIntLog!R41</f>
        <v>-11585.579029999999</v>
      </c>
      <c r="S40" s="262">
        <f>+IncSAuto!S41+IncSIntLog!S41</f>
        <v>-8794.3497100000022</v>
      </c>
      <c r="T40" s="118">
        <f>+IncSAuto!T41+IncSIntLog!T41</f>
        <v>-6205.9491399999979</v>
      </c>
      <c r="U40" s="262">
        <f>+IncSAuto!U41+IncSIntLog!U41</f>
        <v>-11073.155569999997</v>
      </c>
      <c r="V40" s="262">
        <f>+IncSAuto!V41+IncSIntLog!V41</f>
        <v>-3803.2308699999994</v>
      </c>
      <c r="W40" s="118">
        <f>+IncSIntLog!W41+IncSAuto!W41</f>
        <v>-4287.1967700000005</v>
      </c>
      <c r="X40" s="262">
        <f>+IncSIntLog!X41+IncSAuto!X41</f>
        <v>3566.6795899999997</v>
      </c>
      <c r="Y40" s="118">
        <f>+IncSIntLog!Y41+IncSAuto!Y41</f>
        <v>-3113.1097999999997</v>
      </c>
      <c r="Z40" s="262">
        <f>+IncSIntLog!Z41+IncSAuto!Z41</f>
        <v>12617.61837</v>
      </c>
      <c r="AA40" s="118">
        <f>+IncSIntLog!AA41+IncSAuto!AA41</f>
        <v>-1889.4519500000004</v>
      </c>
      <c r="AB40" s="118">
        <f>+IncSIntLog!AB41+IncSAuto!AB41</f>
        <v>-825.25069999999994</v>
      </c>
      <c r="AC40" s="262">
        <f>+IncSIntLog!AC41+IncSAuto!AC41</f>
        <v>-4991.2516099999993</v>
      </c>
      <c r="AD40" s="118">
        <f>+IncSIntLog!AD41+IncSAuto!AD41</f>
        <v>-1413.8592500000002</v>
      </c>
      <c r="AE40" s="161">
        <f>+IncSIntLog!AE41+IncSAuto!AE41</f>
        <v>-1899.2444100000007</v>
      </c>
      <c r="AF40" s="118">
        <f>+IncSIntLog!AF41+IncSAuto!AF41</f>
        <v>-2687.1349600000003</v>
      </c>
      <c r="AG40" s="262">
        <f>+IncSIntLog!AG41+IncSAuto!AG41</f>
        <v>30529.000000000004</v>
      </c>
      <c r="AH40" s="118">
        <f>+IncSIntLog!AH41+IncSAuto!AH41</f>
        <v>-3245.5405300000007</v>
      </c>
      <c r="AI40" s="118">
        <f>+IncSIntLog!AI41+IncSAuto!AI41</f>
        <v>-2007.303140000002</v>
      </c>
      <c r="AJ40" s="118">
        <f>+IncSIntLog!AJ41+IncSAuto!AJ41</f>
        <v>-2212.7467099999985</v>
      </c>
      <c r="AK40" s="118">
        <f>+IncSIntLog!AK41+IncSAuto!AK41</f>
        <v>-2784.8866099999996</v>
      </c>
      <c r="AL40" s="118">
        <f>+IncSIntLog!AL41+IncSAuto!AL41</f>
        <v>-2152.0314800000001</v>
      </c>
      <c r="AM40" s="118">
        <f>+IncSIntLog!AM41+IncSAuto!AM41</f>
        <v>-2893.5208399999997</v>
      </c>
      <c r="AN40" s="262">
        <f>+IncSIntLog!AN41+IncSAuto!AN41</f>
        <v>1719.5772199999999</v>
      </c>
      <c r="AO40" s="118">
        <f>+IncSIntLog!AO41+IncSAuto!AO41</f>
        <v>-896.09401000000048</v>
      </c>
      <c r="AP40" s="118">
        <f>+IncSIntLog!AP41+IncSAuto!AP41</f>
        <v>-952.37159000000111</v>
      </c>
      <c r="AQ40" s="118">
        <v>-541.68053000000032</v>
      </c>
      <c r="AR40" s="118">
        <f>+IncSIntLog!AR41+IncSAuto!AR41</f>
        <v>164.84837999999854</v>
      </c>
      <c r="AS40" s="118">
        <f>+IncSIntLog!AS41+IncSAuto!AS41</f>
        <v>-52.790259999999535</v>
      </c>
      <c r="AT40" s="262">
        <f>+IncSIntLog!AT41+IncSAuto!AT41</f>
        <v>7143.2795999999998</v>
      </c>
      <c r="AU40" s="118">
        <f>+IncSIntLog!AU41+IncSAuto!AU41</f>
        <v>1279.2891099999988</v>
      </c>
      <c r="AV40" s="262">
        <v>2933.0279500000011</v>
      </c>
      <c r="AW40" s="118">
        <f>+IncSIntLog!AW41+IncSAuto!AW41</f>
        <v>2517.9430700000003</v>
      </c>
      <c r="AX40" s="118">
        <f>+IncSIntLog!AX41+IncSAuto!AX41</f>
        <v>2208.5117899999996</v>
      </c>
      <c r="AY40" s="118">
        <v>2039.7343800000001</v>
      </c>
      <c r="AZ40" s="262">
        <v>4056.5603299999984</v>
      </c>
      <c r="BA40" s="262">
        <v>1218.222050000001</v>
      </c>
      <c r="BB40" s="118">
        <f>+IncSIntLog!BB41+IncSAuto!BB41</f>
        <v>1460.4211999999975</v>
      </c>
    </row>
    <row r="41" spans="1:54" ht="14.1" customHeight="1" x14ac:dyDescent="0.2">
      <c r="A41" s="1011" t="s">
        <v>286</v>
      </c>
      <c r="B41" s="1009" t="str">
        <f>HYPERLINK(Menu!$AY$26,A41)</f>
        <v>Equity pickup</v>
      </c>
      <c r="C41" s="118">
        <f>+IncSAuto!C42+IncSIntLog!C42</f>
        <v>98</v>
      </c>
      <c r="D41" s="118">
        <f>+IncSAuto!D42+IncSIntLog!D42</f>
        <v>732</v>
      </c>
      <c r="E41" s="118">
        <f>+IncSAuto!E42+IncSIntLog!E42</f>
        <v>65</v>
      </c>
      <c r="F41" s="118">
        <f>+IncSAuto!F42+IncSIntLog!F42</f>
        <v>859</v>
      </c>
      <c r="G41" s="118">
        <f>+IncSAuto!G42+IncSIntLog!G42</f>
        <v>-728</v>
      </c>
      <c r="H41" s="118">
        <f>+IncSAuto!H42+IncSIntLog!H42</f>
        <v>-219</v>
      </c>
      <c r="I41" s="118">
        <f>+IncSAuto!I42+IncSIntLog!I42</f>
        <v>727</v>
      </c>
      <c r="J41" s="118">
        <f>+IncSAuto!J42+IncSIntLog!J42</f>
        <v>319</v>
      </c>
      <c r="K41" s="118">
        <f>+IncSAuto!K42+IncSIntLog!K42</f>
        <v>-200</v>
      </c>
      <c r="L41" s="118">
        <f>+IncSAuto!L42+IncSIntLog!L42</f>
        <v>68</v>
      </c>
      <c r="M41" s="118">
        <f>+IncSAuto!M42+IncSIntLog!M42</f>
        <v>409</v>
      </c>
      <c r="N41" s="118">
        <f>+IncSAuto!N42+IncSIntLog!N42</f>
        <v>2100</v>
      </c>
      <c r="O41" s="118">
        <f>+IncSAuto!O42+IncSIntLog!O42</f>
        <v>373</v>
      </c>
      <c r="P41" s="118">
        <f>+IncSAuto!P42+IncSIntLog!P42</f>
        <v>256</v>
      </c>
      <c r="Q41" s="118">
        <f>+IncSAuto!Q42+IncSIntLog!Q42</f>
        <v>785</v>
      </c>
      <c r="R41" s="118">
        <f>+IncSAuto!R42+IncSIntLog!R42</f>
        <v>453.33573000000024</v>
      </c>
      <c r="S41" s="118">
        <f>+IncSAuto!S42+IncSIntLog!S42</f>
        <v>-797.43479000000002</v>
      </c>
      <c r="T41" s="118">
        <f>+IncSAuto!T42+IncSIntLog!T42</f>
        <v>-908.26923000000011</v>
      </c>
      <c r="U41" s="118">
        <f>+IncSAuto!U42+IncSIntLog!U42</f>
        <v>-18.84490000000001</v>
      </c>
      <c r="V41" s="118">
        <f>+IncSAuto!V42+IncSIntLog!V42</f>
        <v>-465.49157000000025</v>
      </c>
      <c r="W41" s="118">
        <f>+IncSIntLog!W42+IncSAuto!W42</f>
        <v>-322.19973999999996</v>
      </c>
      <c r="X41" s="118">
        <f>+IncSIntLog!X42+IncSAuto!X42</f>
        <v>-379.92368999999991</v>
      </c>
      <c r="Y41" s="118">
        <f>+IncSIntLog!Y42+IncSAuto!Y42</f>
        <v>-656.57451999999967</v>
      </c>
      <c r="Z41" s="118">
        <f>+IncSIntLog!Z42+IncSAuto!Z42</f>
        <v>595.71961999999996</v>
      </c>
      <c r="AA41" s="118">
        <f>+IncSIntLog!AA42+IncSAuto!AA42</f>
        <v>-425.6678</v>
      </c>
      <c r="AB41" s="118">
        <f>+IncSIntLog!AB42+IncSAuto!AB42</f>
        <v>-226.81720999999999</v>
      </c>
      <c r="AC41" s="118">
        <f>+IncSIntLog!AC42+IncSAuto!AC42</f>
        <v>341.39789999999994</v>
      </c>
      <c r="AD41" s="118">
        <f>+IncSIntLog!AD42+IncSAuto!AD42</f>
        <v>681.55288999999982</v>
      </c>
      <c r="AE41" s="161">
        <f>+IncSIntLog!AE42+IncSAuto!AE42</f>
        <v>-528.95529999999997</v>
      </c>
      <c r="AF41" s="118">
        <f>+IncSIntLog!AF42+IncSAuto!AF42</f>
        <v>322.18200999999976</v>
      </c>
      <c r="AG41" s="118">
        <f>+IncSIntLog!AG42+IncSAuto!AG42</f>
        <v>843.61563999999998</v>
      </c>
      <c r="AH41" s="118">
        <f>+IncSIntLog!AH42+IncSAuto!AH42</f>
        <v>2349.8983000000007</v>
      </c>
      <c r="AI41" s="118">
        <f>+IncSIntLog!AI42+IncSAuto!AI42</f>
        <v>1394.2409299999999</v>
      </c>
      <c r="AJ41" s="118">
        <f>+IncSIntLog!AJ42+IncSAuto!AJ42</f>
        <v>2411.7455300000011</v>
      </c>
      <c r="AK41" s="118">
        <f>+IncSIntLog!AK42+IncSAuto!AK42</f>
        <v>2631.5309200000002</v>
      </c>
      <c r="AL41" s="118">
        <f>+IncSIntLog!AL42+IncSAuto!AL42</f>
        <v>-161.17881999999963</v>
      </c>
      <c r="AM41" s="118">
        <f>+IncSIntLog!AM42+IncSAuto!AM42</f>
        <v>810.82393999999999</v>
      </c>
      <c r="AN41" s="118">
        <f>+IncSIntLog!AN42+IncSAuto!AN42</f>
        <v>2401.2292212000002</v>
      </c>
      <c r="AO41" s="118">
        <f>+IncSIntLog!AO42+IncSAuto!AO42</f>
        <v>1798.9342100000001</v>
      </c>
      <c r="AP41" s="118">
        <f>+IncSIntLog!AP42+IncSAuto!AP42</f>
        <v>4231.8650899999993</v>
      </c>
      <c r="AQ41" s="118">
        <v>3013.2722072179999</v>
      </c>
      <c r="AR41" s="118">
        <f>+IncSIntLog!AR42+IncSAuto!AR42</f>
        <v>3005.6714555750004</v>
      </c>
      <c r="AS41" s="118">
        <f>+IncSIntLog!AS42+IncSAuto!AS42</f>
        <v>2435.9022783999999</v>
      </c>
      <c r="AT41" s="118">
        <f>+IncSIntLog!AT42+IncSAuto!AT42</f>
        <v>2116.9677172000006</v>
      </c>
      <c r="AU41" s="118">
        <f>+IncSIntLog!AU42+IncSAuto!AU42</f>
        <v>3837.901907800001</v>
      </c>
      <c r="AV41" s="118">
        <v>2883.4226600000002</v>
      </c>
      <c r="AW41" s="118">
        <f>+IncSIntLog!AW42+IncSAuto!AW42</f>
        <v>5093.8337000000001</v>
      </c>
      <c r="AX41" s="118">
        <f>+IncSIntLog!AX42+IncSAuto!AX42</f>
        <v>4439.7830400000003</v>
      </c>
      <c r="AY41" s="118">
        <v>6603.9437900000003</v>
      </c>
      <c r="AZ41" s="118">
        <v>9362.2939999999999</v>
      </c>
      <c r="BA41" s="118">
        <v>7432.3453100000006</v>
      </c>
      <c r="BB41" s="118">
        <f>+IncSIntLog!BB42+IncSAuto!BB42</f>
        <v>5865.9073797000028</v>
      </c>
    </row>
    <row r="42" spans="1:54" ht="14.1" customHeight="1" x14ac:dyDescent="0.2">
      <c r="A42" s="640"/>
      <c r="B42" s="119" t="s">
        <v>234</v>
      </c>
      <c r="C42" s="120">
        <f t="shared" ref="C42:AQ42" si="22">+SUM(C39:C41)</f>
        <v>22328</v>
      </c>
      <c r="D42" s="120">
        <f t="shared" si="22"/>
        <v>27801</v>
      </c>
      <c r="E42" s="120">
        <f t="shared" si="22"/>
        <v>39093</v>
      </c>
      <c r="F42" s="120">
        <f t="shared" si="22"/>
        <v>31594</v>
      </c>
      <c r="G42" s="120">
        <f t="shared" si="22"/>
        <v>2305</v>
      </c>
      <c r="H42" s="120">
        <f t="shared" si="22"/>
        <v>29562</v>
      </c>
      <c r="I42" s="120">
        <f t="shared" si="22"/>
        <v>22230</v>
      </c>
      <c r="J42" s="120">
        <f t="shared" si="22"/>
        <v>17869</v>
      </c>
      <c r="K42" s="120">
        <f t="shared" si="22"/>
        <v>898</v>
      </c>
      <c r="L42" s="120">
        <f t="shared" si="22"/>
        <v>20706</v>
      </c>
      <c r="M42" s="120">
        <f t="shared" si="22"/>
        <v>23443</v>
      </c>
      <c r="N42" s="120">
        <f t="shared" si="22"/>
        <v>40919</v>
      </c>
      <c r="O42" s="120">
        <f t="shared" si="22"/>
        <v>10729</v>
      </c>
      <c r="P42" s="120">
        <f t="shared" si="22"/>
        <v>1696</v>
      </c>
      <c r="Q42" s="120">
        <f t="shared" si="22"/>
        <v>8172</v>
      </c>
      <c r="R42" s="120">
        <f t="shared" si="22"/>
        <v>-9419.4256000000296</v>
      </c>
      <c r="S42" s="120">
        <f t="shared" si="22"/>
        <v>-2086.8340600000274</v>
      </c>
      <c r="T42" s="120">
        <f t="shared" si="22"/>
        <v>521.02276000003508</v>
      </c>
      <c r="U42" s="120">
        <f t="shared" si="22"/>
        <v>7020.3861899999847</v>
      </c>
      <c r="V42" s="120">
        <f t="shared" si="22"/>
        <v>21346.167470000004</v>
      </c>
      <c r="W42" s="120">
        <f t="shared" si="22"/>
        <v>9751.1492000000271</v>
      </c>
      <c r="X42" s="120">
        <f t="shared" si="22"/>
        <v>16289.862300000037</v>
      </c>
      <c r="Y42" s="120">
        <f t="shared" si="22"/>
        <v>24166.161749999988</v>
      </c>
      <c r="Z42" s="120">
        <f t="shared" si="22"/>
        <v>67285.740540000013</v>
      </c>
      <c r="AA42" s="120">
        <f t="shared" si="22"/>
        <v>20228.373630000009</v>
      </c>
      <c r="AB42" s="120">
        <f t="shared" si="22"/>
        <v>35186.010869999962</v>
      </c>
      <c r="AC42" s="120">
        <f t="shared" si="22"/>
        <v>41036.324519999936</v>
      </c>
      <c r="AD42" s="120">
        <f t="shared" si="22"/>
        <v>47844.218080000021</v>
      </c>
      <c r="AE42" s="163">
        <f t="shared" si="22"/>
        <v>38196.874890000065</v>
      </c>
      <c r="AF42" s="120">
        <f t="shared" si="22"/>
        <v>43438.23685000003</v>
      </c>
      <c r="AG42" s="120">
        <f t="shared" si="22"/>
        <v>131448.98283000008</v>
      </c>
      <c r="AH42" s="120">
        <f t="shared" si="22"/>
        <v>52214.259120000024</v>
      </c>
      <c r="AI42" s="120">
        <f t="shared" si="22"/>
        <v>26137.293390000006</v>
      </c>
      <c r="AJ42" s="120">
        <f t="shared" si="22"/>
        <v>-8987.3549800000219</v>
      </c>
      <c r="AK42" s="120">
        <f t="shared" si="22"/>
        <v>41959.816120000018</v>
      </c>
      <c r="AL42" s="120">
        <f t="shared" si="22"/>
        <v>37941.838950000027</v>
      </c>
      <c r="AM42" s="120">
        <f t="shared" si="22"/>
        <v>28149.525060000004</v>
      </c>
      <c r="AN42" s="120">
        <f t="shared" si="22"/>
        <v>32336.520711199966</v>
      </c>
      <c r="AO42" s="120">
        <f t="shared" si="22"/>
        <v>24630.560200000004</v>
      </c>
      <c r="AP42" s="120">
        <f t="shared" si="22"/>
        <v>39269.876089999903</v>
      </c>
      <c r="AQ42" s="120">
        <f t="shared" si="22"/>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B42" si="23">+SUM(AW39:AW41)</f>
        <v>73080.841300000058</v>
      </c>
      <c r="AX42" s="120">
        <f t="shared" si="23"/>
        <v>66601.116690000243</v>
      </c>
      <c r="AY42" s="120">
        <f t="shared" si="23"/>
        <v>53124.419359999818</v>
      </c>
      <c r="AZ42" s="120">
        <f t="shared" si="23"/>
        <v>84658.85205999999</v>
      </c>
      <c r="BA42" s="120">
        <f t="shared" si="23"/>
        <v>120378.99087000008</v>
      </c>
      <c r="BB42" s="120">
        <f t="shared" si="23"/>
        <v>119306.46871969991</v>
      </c>
    </row>
    <row r="43" spans="1:54" ht="14.1" customHeight="1" x14ac:dyDescent="0.2">
      <c r="A43" s="1011" t="s">
        <v>235</v>
      </c>
      <c r="B43" s="1009" t="str">
        <f>HYPERLINK(Menu!$AY$32,A43)</f>
        <v>Income Tax</v>
      </c>
      <c r="C43" s="118">
        <f>+IncSAuto!C44+IncSIntLog!C44</f>
        <v>-8014</v>
      </c>
      <c r="D43" s="118">
        <f>+IncSAuto!D44+IncSIntLog!D44</f>
        <v>-8880</v>
      </c>
      <c r="E43" s="118">
        <f>+IncSAuto!E44+IncSIntLog!E44</f>
        <v>-8831</v>
      </c>
      <c r="F43" s="118">
        <f>+IncSAuto!F44+IncSIntLog!F44</f>
        <v>-14616</v>
      </c>
      <c r="G43" s="118">
        <f>+IncSAuto!G44+IncSIntLog!G44</f>
        <v>-1306</v>
      </c>
      <c r="H43" s="118">
        <f>+IncSAuto!H44+IncSIntLog!H44</f>
        <v>-14353</v>
      </c>
      <c r="I43" s="118">
        <f>+IncSAuto!I44+IncSIntLog!I44</f>
        <v>-3882</v>
      </c>
      <c r="J43" s="118">
        <f>+IncSAuto!J44+IncSIntLog!J44</f>
        <v>-12950</v>
      </c>
      <c r="K43" s="118">
        <f>+IncSAuto!K44+IncSIntLog!K44</f>
        <v>405</v>
      </c>
      <c r="L43" s="118">
        <f>+IncSAuto!L44+IncSIntLog!L44</f>
        <v>-1432</v>
      </c>
      <c r="M43" s="118">
        <f>+IncSAuto!M44+IncSIntLog!M44</f>
        <v>-24998</v>
      </c>
      <c r="N43" s="118">
        <f>+IncSAuto!N44+IncSIntLog!N44</f>
        <v>-27524</v>
      </c>
      <c r="O43" s="118">
        <f>+IncSAuto!O44+IncSIntLog!O44</f>
        <v>-3229</v>
      </c>
      <c r="P43" s="118">
        <f>+IncSAuto!P44+IncSIntLog!P44</f>
        <v>-512</v>
      </c>
      <c r="Q43" s="118">
        <f>+IncSAuto!Q44+IncSIntLog!Q44</f>
        <v>-3071</v>
      </c>
      <c r="R43" s="118">
        <f>+IncSAuto!R44+IncSIntLog!R44</f>
        <v>5565.3430946000008</v>
      </c>
      <c r="S43" s="118">
        <f>+IncSAuto!S44+IncSIntLog!S44</f>
        <v>183.8628799999999</v>
      </c>
      <c r="T43" s="118">
        <f>+IncSAuto!T44+IncSIntLog!T44</f>
        <v>-1208.8514899999998</v>
      </c>
      <c r="U43" s="118">
        <f>+IncSAuto!U44+IncSIntLog!U44</f>
        <v>-3177.8091100000006</v>
      </c>
      <c r="V43" s="118">
        <f>+IncSAuto!V44+IncSIntLog!V44</f>
        <v>-8770.0601499999993</v>
      </c>
      <c r="W43" s="118">
        <f>+IncSIntLog!W44+IncSAuto!W44</f>
        <v>-4298.9159999999993</v>
      </c>
      <c r="X43" s="262">
        <f>+IncSIntLog!X44+IncSAuto!X44</f>
        <v>7766.8676800000003</v>
      </c>
      <c r="Y43" s="118">
        <f>+IncSIntLog!Y44+IncSAuto!Y44</f>
        <v>-8879.3011299999998</v>
      </c>
      <c r="Z43" s="262">
        <f>+IncSIntLog!Z44+IncSAuto!Z44</f>
        <v>-8319.4488999999976</v>
      </c>
      <c r="AA43" s="118">
        <f>+IncSIntLog!AA44+IncSAuto!AA44</f>
        <v>-6233.9323800000002</v>
      </c>
      <c r="AB43" s="118">
        <f>+IncSIntLog!AB44+IncSAuto!AB44</f>
        <v>-7000.1369300000006</v>
      </c>
      <c r="AC43" s="118">
        <f>+IncSIntLog!AC44+IncSAuto!AC44</f>
        <v>-9929.7333699999981</v>
      </c>
      <c r="AD43" s="262">
        <f>+IncSIntLog!AD44+IncSAuto!AD44</f>
        <v>-12883.216170000002</v>
      </c>
      <c r="AE43" s="161">
        <f>+IncSIntLog!AE44+IncSAuto!AE44</f>
        <v>-11575.73976</v>
      </c>
      <c r="AF43" s="118">
        <f>+IncSIntLog!AF44+IncSAuto!AF44</f>
        <v>-10923.94203</v>
      </c>
      <c r="AG43" s="262">
        <f>+IncSIntLog!AG44+IncSAuto!AG44</f>
        <v>-40057.514450000002</v>
      </c>
      <c r="AH43" s="118">
        <f>+IncSIntLog!AH44+IncSAuto!AH44</f>
        <v>-8769.3005799999992</v>
      </c>
      <c r="AI43" s="118">
        <f>+IncSIntLog!AI44+IncSAuto!AI44</f>
        <v>-6850.9689300000009</v>
      </c>
      <c r="AJ43" s="118">
        <f>+IncSIntLog!AJ44+IncSAuto!AJ44</f>
        <v>4624.6438900000012</v>
      </c>
      <c r="AK43" s="118">
        <f>+IncSIntLog!AK44+IncSAuto!AK44</f>
        <v>-12021.130279999999</v>
      </c>
      <c r="AL43" s="118">
        <f>+IncSIntLog!AL44+IncSAuto!AL44</f>
        <v>-9295.3423600000006</v>
      </c>
      <c r="AM43" s="118">
        <f>+IncSIntLog!AM44+IncSAuto!AM44</f>
        <v>-7991.2797200000005</v>
      </c>
      <c r="AN43" s="118">
        <f>+IncSIntLog!AN44+IncSAuto!AN44</f>
        <v>-8180.5598599999994</v>
      </c>
      <c r="AO43" s="262">
        <f>+IncSIntLog!AO44+IncSAuto!AO44</f>
        <v>9562.4248899999984</v>
      </c>
      <c r="AP43" s="118">
        <f>+IncSIntLog!AP44+IncSAuto!AP44</f>
        <v>-9991.3930699999983</v>
      </c>
      <c r="AQ43" s="118">
        <v>-5290.6915800000006</v>
      </c>
      <c r="AR43" s="118">
        <f>+IncSIntLog!AR44+IncSAuto!AR44</f>
        <v>-8048.3106199999993</v>
      </c>
      <c r="AS43" s="118">
        <f>+IncSIntLog!AS44+IncSAuto!AS44</f>
        <v>-17648.283640000001</v>
      </c>
      <c r="AT43" s="118">
        <f>+IncSIntLog!AT44+IncSAuto!AT44</f>
        <v>-17243.035920000002</v>
      </c>
      <c r="AU43" s="118">
        <f>+IncSIntLog!AU44+IncSAuto!AU44</f>
        <v>-10633.6551</v>
      </c>
      <c r="AV43" s="118">
        <v>-10582.149069999999</v>
      </c>
      <c r="AW43" s="118">
        <f>+IncSIntLog!AW44+IncSAuto!AW44</f>
        <v>-16768.140070000001</v>
      </c>
      <c r="AX43" s="118">
        <f>+IncSIntLog!AX44+IncSAuto!AX44</f>
        <v>-15580.42518</v>
      </c>
      <c r="AY43" s="118">
        <v>-15609.35252</v>
      </c>
      <c r="AZ43" s="118">
        <v>-21144.194380000001</v>
      </c>
      <c r="BA43" s="118">
        <v>-35933.303370000001</v>
      </c>
      <c r="BB43" s="118">
        <f>+IncSIntLog!BB44+IncSAuto!BB44</f>
        <v>-34169.50647</v>
      </c>
    </row>
    <row r="44" spans="1:54" ht="14.1" customHeight="1" outlineLevel="1" x14ac:dyDescent="0.2">
      <c r="A44" s="640"/>
      <c r="B44" s="119" t="s">
        <v>236</v>
      </c>
      <c r="C44" s="120">
        <f t="shared" ref="C44:AN44" si="24">SUM(C42:C43)</f>
        <v>14314</v>
      </c>
      <c r="D44" s="120">
        <f t="shared" si="24"/>
        <v>18921</v>
      </c>
      <c r="E44" s="120">
        <f t="shared" si="24"/>
        <v>30262</v>
      </c>
      <c r="F44" s="120">
        <f t="shared" si="24"/>
        <v>16978</v>
      </c>
      <c r="G44" s="120">
        <f t="shared" si="24"/>
        <v>999</v>
      </c>
      <c r="H44" s="120">
        <f t="shared" si="24"/>
        <v>15209</v>
      </c>
      <c r="I44" s="120">
        <f t="shared" si="24"/>
        <v>18348</v>
      </c>
      <c r="J44" s="120">
        <f t="shared" si="24"/>
        <v>4919</v>
      </c>
      <c r="K44" s="120">
        <f t="shared" si="24"/>
        <v>1303</v>
      </c>
      <c r="L44" s="120">
        <f t="shared" si="24"/>
        <v>19274</v>
      </c>
      <c r="M44" s="120">
        <f t="shared" si="24"/>
        <v>-1555</v>
      </c>
      <c r="N44" s="120">
        <f t="shared" si="24"/>
        <v>13395</v>
      </c>
      <c r="O44" s="120">
        <f t="shared" si="24"/>
        <v>7500</v>
      </c>
      <c r="P44" s="120">
        <f t="shared" si="24"/>
        <v>1184</v>
      </c>
      <c r="Q44" s="120">
        <f t="shared" si="24"/>
        <v>5101</v>
      </c>
      <c r="R44" s="120">
        <f t="shared" si="24"/>
        <v>-3854.0825054000288</v>
      </c>
      <c r="S44" s="120">
        <f t="shared" si="24"/>
        <v>-1902.9711800000275</v>
      </c>
      <c r="T44" s="120">
        <f t="shared" si="24"/>
        <v>-687.82872999996471</v>
      </c>
      <c r="U44" s="120">
        <f t="shared" si="24"/>
        <v>3842.5770799999841</v>
      </c>
      <c r="V44" s="120">
        <f t="shared" si="24"/>
        <v>12576.107320000005</v>
      </c>
      <c r="W44" s="120">
        <f t="shared" si="24"/>
        <v>5452.2332000000279</v>
      </c>
      <c r="X44" s="120">
        <f t="shared" si="24"/>
        <v>24056.729980000036</v>
      </c>
      <c r="Y44" s="120">
        <f t="shared" si="24"/>
        <v>15286.860619999989</v>
      </c>
      <c r="Z44" s="120">
        <f t="shared" si="24"/>
        <v>58966.291640000018</v>
      </c>
      <c r="AA44" s="120">
        <f t="shared" si="24"/>
        <v>13994.441250000009</v>
      </c>
      <c r="AB44" s="120">
        <f t="shared" si="24"/>
        <v>28185.873939999961</v>
      </c>
      <c r="AC44" s="120">
        <f t="shared" si="24"/>
        <v>31106.591149999938</v>
      </c>
      <c r="AD44" s="120">
        <f t="shared" si="24"/>
        <v>34961.001910000021</v>
      </c>
      <c r="AE44" s="163">
        <f t="shared" si="24"/>
        <v>26621.135130000064</v>
      </c>
      <c r="AF44" s="120">
        <f t="shared" si="24"/>
        <v>32514.294820000032</v>
      </c>
      <c r="AG44" s="120">
        <f t="shared" si="24"/>
        <v>91391.468380000078</v>
      </c>
      <c r="AH44" s="120">
        <f t="shared" si="24"/>
        <v>43444.958540000021</v>
      </c>
      <c r="AI44" s="120">
        <f t="shared" si="24"/>
        <v>19286.324460000003</v>
      </c>
      <c r="AJ44" s="120">
        <f t="shared" si="24"/>
        <v>-4362.7110900000207</v>
      </c>
      <c r="AK44" s="120">
        <f t="shared" si="24"/>
        <v>29938.68584000002</v>
      </c>
      <c r="AL44" s="120">
        <f t="shared" si="24"/>
        <v>28646.496590000024</v>
      </c>
      <c r="AM44" s="120">
        <f t="shared" si="24"/>
        <v>20158.245340000001</v>
      </c>
      <c r="AN44" s="120">
        <f t="shared" si="24"/>
        <v>24155.960851199969</v>
      </c>
      <c r="AO44" s="120">
        <f t="shared" ref="AO44:AT44" si="25">SUM(AO42:AO43)</f>
        <v>34192.985090000002</v>
      </c>
      <c r="AP44" s="120">
        <f t="shared" si="25"/>
        <v>29278.483019999905</v>
      </c>
      <c r="AQ44" s="120">
        <f t="shared" si="25"/>
        <v>18782.609207217967</v>
      </c>
      <c r="AR44" s="120">
        <f t="shared" si="25"/>
        <v>30580.699055574947</v>
      </c>
      <c r="AS44" s="120">
        <f t="shared" si="25"/>
        <v>53469.003068399958</v>
      </c>
      <c r="AT44" s="120">
        <f t="shared" si="25"/>
        <v>56832.361847199943</v>
      </c>
      <c r="AU44" s="120">
        <f>SUM(AU42:AU43)</f>
        <v>34722.848997799869</v>
      </c>
      <c r="AV44" s="120">
        <v>39856.318640000056</v>
      </c>
      <c r="AW44" s="120">
        <f t="shared" ref="AW44:BB44" si="26">SUM(AW42:AW43)</f>
        <v>56312.701230000057</v>
      </c>
      <c r="AX44" s="120">
        <f t="shared" si="26"/>
        <v>51020.691510000244</v>
      </c>
      <c r="AY44" s="120">
        <f t="shared" si="26"/>
        <v>37515.066839999818</v>
      </c>
      <c r="AZ44" s="120">
        <f t="shared" si="26"/>
        <v>63514.657679999989</v>
      </c>
      <c r="BA44" s="120">
        <f t="shared" si="26"/>
        <v>84445.687500000087</v>
      </c>
      <c r="BB44" s="120">
        <f t="shared" si="26"/>
        <v>85136.962249699922</v>
      </c>
    </row>
    <row r="45" spans="1:54" s="221" customFormat="1" ht="14.1" customHeight="1" outlineLevel="1" x14ac:dyDescent="0.2">
      <c r="A45" s="640"/>
      <c r="B45" s="230" t="s">
        <v>237</v>
      </c>
      <c r="C45" s="226">
        <f>+IncSAuto!C46+IncSIntLog!C46</f>
        <v>0</v>
      </c>
      <c r="D45" s="226">
        <f>+IncSAuto!D46+IncSIntLog!D46</f>
        <v>0</v>
      </c>
      <c r="E45" s="226">
        <f>+IncSAuto!E46+IncSIntLog!E46</f>
        <v>0</v>
      </c>
      <c r="F45" s="226">
        <f>+IncSAuto!F46+IncSIntLog!F46</f>
        <v>0</v>
      </c>
      <c r="G45" s="226">
        <f>+IncSAuto!G46+IncSIntLog!G46</f>
        <v>0</v>
      </c>
      <c r="H45" s="226">
        <f>+IncSAuto!H46+IncSIntLog!H46</f>
        <v>0</v>
      </c>
      <c r="I45" s="226">
        <f>+IncSAuto!I46+IncSIntLog!I46</f>
        <v>0</v>
      </c>
      <c r="J45" s="226">
        <f>+IncSAuto!J46+IncSIntLog!J46</f>
        <v>0</v>
      </c>
      <c r="K45" s="226">
        <f>+IncSAuto!K46+IncSIntLog!K46</f>
        <v>0</v>
      </c>
      <c r="L45" s="226">
        <f>+IncSAuto!L46+IncSIntLog!L46</f>
        <v>-29236</v>
      </c>
      <c r="M45" s="226">
        <f>+IncSAuto!M46+IncSIntLog!M46</f>
        <v>-21062</v>
      </c>
      <c r="N45" s="226">
        <f>+IncSAuto!N46+IncSIntLog!N46</f>
        <v>0</v>
      </c>
      <c r="O45" s="226">
        <f>+IncSAuto!O46+IncSIntLog!O46</f>
        <v>0</v>
      </c>
      <c r="P45" s="226">
        <f>+IncSAuto!P46+IncSIntLog!P46</f>
        <v>0</v>
      </c>
      <c r="Q45" s="226">
        <f>+IncSAuto!Q46+IncSIntLog!Q46</f>
        <v>0</v>
      </c>
      <c r="R45" s="226">
        <f>+IncSAuto!R46+IncSIntLog!R46</f>
        <v>0</v>
      </c>
      <c r="S45" s="226">
        <f>+IncSAuto!S46+IncSIntLog!S46</f>
        <v>0</v>
      </c>
      <c r="T45" s="226">
        <f>+IncSAuto!T46+IncSIntLog!T46</f>
        <v>0</v>
      </c>
      <c r="U45" s="226">
        <f>+IncSAuto!U46+IncSIntLog!U46</f>
        <v>0</v>
      </c>
      <c r="V45" s="226">
        <f>+IncSAuto!V46+IncSIntLog!V46</f>
        <v>0</v>
      </c>
      <c r="W45" s="226">
        <f>+IncSAuto!W46+IncSIntLog!W46</f>
        <v>0</v>
      </c>
      <c r="X45" s="226">
        <f>+IncSAuto!X46+IncSIntLog!X46</f>
        <v>0</v>
      </c>
      <c r="Y45" s="226">
        <f>+IncSAuto!Y46+IncSIntLog!Y46</f>
        <v>0</v>
      </c>
      <c r="Z45" s="226">
        <f>+IncSAuto!Z46+IncSIntLog!Z46</f>
        <v>0</v>
      </c>
      <c r="AA45" s="122">
        <f>+IncSAuto!AA46+IncSIntLog!AA46</f>
        <v>0</v>
      </c>
      <c r="AB45" s="122">
        <f>+IncSAuto!AB46+IncSIntLog!AB46</f>
        <v>0</v>
      </c>
      <c r="AC45" s="122">
        <f>+IncSAuto!AC46+IncSIntLog!AC46</f>
        <v>0</v>
      </c>
      <c r="AD45" s="122">
        <f>+IncSAuto!AD46+IncSIntLog!AD46</f>
        <v>0</v>
      </c>
      <c r="AE45" s="754">
        <v>0</v>
      </c>
      <c r="AF45" s="122">
        <v>0</v>
      </c>
      <c r="AG45" s="122">
        <v>0</v>
      </c>
      <c r="AH45" s="122">
        <v>0</v>
      </c>
      <c r="AI45" s="122">
        <v>0</v>
      </c>
      <c r="AJ45" s="122">
        <v>0</v>
      </c>
      <c r="AK45" s="122">
        <v>0</v>
      </c>
      <c r="AL45" s="122">
        <v>0</v>
      </c>
      <c r="AM45" s="122">
        <v>0</v>
      </c>
      <c r="AN45" s="122">
        <v>0</v>
      </c>
      <c r="AO45" s="122">
        <v>0</v>
      </c>
      <c r="AP45" s="122">
        <v>0</v>
      </c>
      <c r="AQ45" s="122">
        <v>0</v>
      </c>
      <c r="AR45" s="122">
        <v>0</v>
      </c>
      <c r="AS45" s="122">
        <v>0</v>
      </c>
      <c r="AT45" s="122">
        <v>0</v>
      </c>
      <c r="AU45" s="122">
        <v>0</v>
      </c>
      <c r="AV45" s="122">
        <v>0</v>
      </c>
      <c r="AW45" s="122">
        <v>0</v>
      </c>
      <c r="AX45" s="122">
        <v>0</v>
      </c>
      <c r="AY45" s="122">
        <v>0</v>
      </c>
      <c r="AZ45" s="122">
        <v>0</v>
      </c>
      <c r="BA45" s="122"/>
      <c r="BB45" s="122">
        <v>0</v>
      </c>
    </row>
    <row r="46" spans="1:54" s="221" customFormat="1" ht="14.1" customHeight="1" outlineLevel="1" x14ac:dyDescent="0.2">
      <c r="A46" s="640"/>
      <c r="B46" s="230" t="s">
        <v>238</v>
      </c>
      <c r="C46" s="226">
        <f>+IncSAuto!C47+IncSIntLog!C47</f>
        <v>-417</v>
      </c>
      <c r="D46" s="226">
        <f>+IncSAuto!D47+IncSIntLog!D47</f>
        <v>217</v>
      </c>
      <c r="E46" s="226">
        <f>+IncSAuto!E47+IncSIntLog!E47</f>
        <v>2658</v>
      </c>
      <c r="F46" s="226">
        <f>+IncSAuto!F47+IncSIntLog!F47</f>
        <v>434</v>
      </c>
      <c r="G46" s="226">
        <f>+IncSAuto!G47+IncSIntLog!G47</f>
        <v>3223</v>
      </c>
      <c r="H46" s="226">
        <f>+IncSAuto!H47+IncSIntLog!H47</f>
        <v>2704</v>
      </c>
      <c r="I46" s="226">
        <f>+IncSAuto!I47+IncSIntLog!I47</f>
        <v>2744</v>
      </c>
      <c r="J46" s="226">
        <f>+IncSAuto!J47+IncSIntLog!J47</f>
        <v>1309</v>
      </c>
      <c r="K46" s="226">
        <f>+IncSAuto!K47+IncSIntLog!K47</f>
        <v>-4</v>
      </c>
      <c r="L46" s="226">
        <f>+IncSAuto!L47+IncSIntLog!L47</f>
        <v>-7</v>
      </c>
      <c r="M46" s="226">
        <f>+IncSAuto!M47+IncSIntLog!M47</f>
        <v>-5069</v>
      </c>
      <c r="N46" s="226">
        <f>+IncSAuto!N47+IncSIntLog!N47</f>
        <v>-2</v>
      </c>
      <c r="O46" s="226">
        <f>+IncSAuto!O47+IncSIntLog!O47</f>
        <v>0</v>
      </c>
      <c r="P46" s="226">
        <f>+IncSAuto!P47+IncSIntLog!P47</f>
        <v>0</v>
      </c>
      <c r="Q46" s="226">
        <f>+IncSAuto!Q47+IncSIntLog!Q47</f>
        <v>0</v>
      </c>
      <c r="R46" s="226">
        <f>+IncSAuto!R47+IncSIntLog!R47</f>
        <v>0</v>
      </c>
      <c r="S46" s="226">
        <f>+IncSAuto!S47+IncSIntLog!S47</f>
        <v>0</v>
      </c>
      <c r="T46" s="226">
        <f>+IncSAuto!T47+IncSIntLog!T47</f>
        <v>0</v>
      </c>
      <c r="U46" s="226">
        <f>+IncSAuto!U47+IncSIntLog!U47</f>
        <v>0</v>
      </c>
      <c r="V46" s="226">
        <f>+IncSAuto!V47+IncSIntLog!V47</f>
        <v>0</v>
      </c>
      <c r="W46" s="226">
        <f>+IncSAuto!W47+IncSIntLog!W47</f>
        <v>0</v>
      </c>
      <c r="X46" s="226">
        <f>+IncSAuto!X47+IncSIntLog!X47</f>
        <v>0</v>
      </c>
      <c r="Y46" s="226">
        <f>+IncSAuto!Y47+IncSIntLog!Y47</f>
        <v>0</v>
      </c>
      <c r="Z46" s="226">
        <f>+IncSAuto!Z47+IncSIntLog!Z47</f>
        <v>0</v>
      </c>
      <c r="AA46" s="122">
        <f>+IncSAuto!AA47+IncSIntLog!AA47</f>
        <v>0</v>
      </c>
      <c r="AB46" s="122">
        <f>+IncSAuto!AB47+IncSIntLog!AB47</f>
        <v>0</v>
      </c>
      <c r="AC46" s="122">
        <f>+IncSAuto!AC47+IncSIntLog!AC47</f>
        <v>0</v>
      </c>
      <c r="AD46" s="122">
        <f>+IncSAuto!AD47+IncSIntLog!AD47</f>
        <v>0</v>
      </c>
      <c r="AE46" s="754">
        <v>0</v>
      </c>
      <c r="AF46" s="122">
        <v>0</v>
      </c>
      <c r="AG46" s="122">
        <v>0</v>
      </c>
      <c r="AH46" s="122">
        <v>0</v>
      </c>
      <c r="AI46" s="122">
        <v>0</v>
      </c>
      <c r="AJ46" s="122">
        <v>0</v>
      </c>
      <c r="AK46" s="122">
        <v>0</v>
      </c>
      <c r="AL46" s="122">
        <v>0</v>
      </c>
      <c r="AM46" s="122">
        <v>0</v>
      </c>
      <c r="AN46" s="122">
        <v>0</v>
      </c>
      <c r="AO46" s="122">
        <v>0</v>
      </c>
      <c r="AP46" s="122">
        <v>0</v>
      </c>
      <c r="AQ46" s="122">
        <v>0</v>
      </c>
      <c r="AR46" s="122">
        <v>0</v>
      </c>
      <c r="AS46" s="122">
        <v>0</v>
      </c>
      <c r="AT46" s="122">
        <v>0</v>
      </c>
      <c r="AU46" s="122">
        <v>0</v>
      </c>
      <c r="AV46" s="122">
        <v>0</v>
      </c>
      <c r="AW46" s="122">
        <v>0</v>
      </c>
      <c r="AX46" s="122">
        <v>0</v>
      </c>
      <c r="AY46" s="122">
        <v>0</v>
      </c>
      <c r="AZ46" s="122">
        <v>0</v>
      </c>
      <c r="BA46" s="122"/>
      <c r="BB46" s="122">
        <v>0</v>
      </c>
    </row>
    <row r="47" spans="1:54" s="221" customFormat="1" ht="14.1" customHeight="1" outlineLevel="1" x14ac:dyDescent="0.2">
      <c r="A47" s="640"/>
      <c r="B47" s="230" t="s">
        <v>213</v>
      </c>
      <c r="C47" s="122" t="s">
        <v>47</v>
      </c>
      <c r="D47" s="122" t="s">
        <v>47</v>
      </c>
      <c r="E47" s="122" t="s">
        <v>47</v>
      </c>
      <c r="F47" s="122" t="s">
        <v>47</v>
      </c>
      <c r="G47" s="122" t="s">
        <v>47</v>
      </c>
      <c r="H47" s="122" t="s">
        <v>47</v>
      </c>
      <c r="I47" s="122" t="s">
        <v>47</v>
      </c>
      <c r="J47" s="122" t="s">
        <v>47</v>
      </c>
      <c r="K47" s="122" t="s">
        <v>47</v>
      </c>
      <c r="L47" s="122" t="s">
        <v>47</v>
      </c>
      <c r="M47" s="122" t="s">
        <v>47</v>
      </c>
      <c r="N47" s="122" t="s">
        <v>47</v>
      </c>
      <c r="O47" s="122" t="s">
        <v>47</v>
      </c>
      <c r="P47" s="122" t="s">
        <v>47</v>
      </c>
      <c r="Q47" s="122" t="s">
        <v>47</v>
      </c>
      <c r="R47" s="122" t="s">
        <v>47</v>
      </c>
      <c r="S47" s="122" t="s">
        <v>47</v>
      </c>
      <c r="T47" s="122" t="s">
        <v>47</v>
      </c>
      <c r="U47" s="122" t="s">
        <v>47</v>
      </c>
      <c r="V47" s="122" t="s">
        <v>47</v>
      </c>
      <c r="W47" s="122" t="s">
        <v>47</v>
      </c>
      <c r="X47" s="122" t="s">
        <v>47</v>
      </c>
      <c r="Y47" s="122" t="s">
        <v>47</v>
      </c>
      <c r="Z47" s="122" t="s">
        <v>47</v>
      </c>
      <c r="AA47" s="122" t="s">
        <v>47</v>
      </c>
      <c r="AB47" s="122" t="s">
        <v>47</v>
      </c>
      <c r="AC47" s="122" t="s">
        <v>47</v>
      </c>
      <c r="AD47" s="122" t="s">
        <v>47</v>
      </c>
      <c r="AE47" s="754">
        <v>0</v>
      </c>
      <c r="AF47" s="122">
        <v>0</v>
      </c>
      <c r="AG47" s="122">
        <v>0</v>
      </c>
      <c r="AH47" s="122">
        <v>0</v>
      </c>
      <c r="AI47" s="122">
        <v>0</v>
      </c>
      <c r="AJ47" s="122">
        <v>0</v>
      </c>
      <c r="AK47" s="122">
        <v>0</v>
      </c>
      <c r="AL47" s="122">
        <v>0</v>
      </c>
      <c r="AM47" s="122">
        <v>0</v>
      </c>
      <c r="AN47" s="122">
        <v>0</v>
      </c>
      <c r="AO47" s="122">
        <v>0</v>
      </c>
      <c r="AP47" s="122">
        <v>0</v>
      </c>
      <c r="AQ47" s="122">
        <v>0</v>
      </c>
      <c r="AR47" s="122">
        <v>0</v>
      </c>
      <c r="AS47" s="122">
        <v>0</v>
      </c>
      <c r="AT47" s="122">
        <v>0</v>
      </c>
      <c r="AU47" s="122">
        <v>0</v>
      </c>
      <c r="AV47" s="122">
        <v>0</v>
      </c>
      <c r="AW47" s="122">
        <v>0</v>
      </c>
      <c r="AX47" s="122">
        <v>0</v>
      </c>
      <c r="AY47" s="122">
        <v>0</v>
      </c>
      <c r="AZ47" s="122">
        <v>0</v>
      </c>
      <c r="BA47" s="122"/>
      <c r="BB47" s="122">
        <v>0</v>
      </c>
    </row>
    <row r="48" spans="1:54" ht="14.1" customHeight="1" x14ac:dyDescent="0.2">
      <c r="A48" s="640"/>
      <c r="B48" s="119" t="s">
        <v>239</v>
      </c>
      <c r="C48" s="120">
        <f t="shared" ref="C48:AN48" si="27">SUM(C44:C47)</f>
        <v>13897</v>
      </c>
      <c r="D48" s="120">
        <f t="shared" si="27"/>
        <v>19138</v>
      </c>
      <c r="E48" s="120">
        <f t="shared" si="27"/>
        <v>32920</v>
      </c>
      <c r="F48" s="120">
        <f t="shared" si="27"/>
        <v>17412</v>
      </c>
      <c r="G48" s="120">
        <f t="shared" si="27"/>
        <v>4222</v>
      </c>
      <c r="H48" s="120">
        <f t="shared" si="27"/>
        <v>17913</v>
      </c>
      <c r="I48" s="120">
        <f t="shared" si="27"/>
        <v>21092</v>
      </c>
      <c r="J48" s="120">
        <f t="shared" si="27"/>
        <v>6228</v>
      </c>
      <c r="K48" s="120">
        <f t="shared" si="27"/>
        <v>1299</v>
      </c>
      <c r="L48" s="120">
        <f t="shared" si="27"/>
        <v>-9969</v>
      </c>
      <c r="M48" s="120">
        <f t="shared" si="27"/>
        <v>-27686</v>
      </c>
      <c r="N48" s="120">
        <f t="shared" si="27"/>
        <v>13393</v>
      </c>
      <c r="O48" s="120">
        <f t="shared" si="27"/>
        <v>7500</v>
      </c>
      <c r="P48" s="120">
        <f t="shared" si="27"/>
        <v>1184</v>
      </c>
      <c r="Q48" s="120">
        <f t="shared" si="27"/>
        <v>5101</v>
      </c>
      <c r="R48" s="120">
        <f t="shared" si="27"/>
        <v>-3854.0825054000288</v>
      </c>
      <c r="S48" s="120">
        <f t="shared" si="27"/>
        <v>-1902.9711800000275</v>
      </c>
      <c r="T48" s="120">
        <f t="shared" si="27"/>
        <v>-687.82872999996471</v>
      </c>
      <c r="U48" s="120">
        <f t="shared" si="27"/>
        <v>3842.5770799999841</v>
      </c>
      <c r="V48" s="120">
        <f t="shared" si="27"/>
        <v>12576.107320000005</v>
      </c>
      <c r="W48" s="120">
        <f t="shared" si="27"/>
        <v>5452.2332000000279</v>
      </c>
      <c r="X48" s="120">
        <f t="shared" si="27"/>
        <v>24056.729980000036</v>
      </c>
      <c r="Y48" s="120">
        <f t="shared" si="27"/>
        <v>15286.860619999989</v>
      </c>
      <c r="Z48" s="120">
        <f t="shared" si="27"/>
        <v>58966.291640000018</v>
      </c>
      <c r="AA48" s="120">
        <f t="shared" si="27"/>
        <v>13994.441250000009</v>
      </c>
      <c r="AB48" s="120">
        <f t="shared" si="27"/>
        <v>28185.873939999961</v>
      </c>
      <c r="AC48" s="120">
        <f t="shared" si="27"/>
        <v>31106.591149999938</v>
      </c>
      <c r="AD48" s="120">
        <f t="shared" si="27"/>
        <v>34961.001910000021</v>
      </c>
      <c r="AE48" s="163">
        <f t="shared" si="27"/>
        <v>26621.135130000064</v>
      </c>
      <c r="AF48" s="120">
        <f t="shared" si="27"/>
        <v>32514.294820000032</v>
      </c>
      <c r="AG48" s="120">
        <f t="shared" si="27"/>
        <v>91391.468380000078</v>
      </c>
      <c r="AH48" s="120">
        <f t="shared" si="27"/>
        <v>43444.958540000021</v>
      </c>
      <c r="AI48" s="120">
        <f t="shared" si="27"/>
        <v>19286.324460000003</v>
      </c>
      <c r="AJ48" s="120">
        <f t="shared" si="27"/>
        <v>-4362.7110900000207</v>
      </c>
      <c r="AK48" s="120">
        <f t="shared" si="27"/>
        <v>29938.68584000002</v>
      </c>
      <c r="AL48" s="120">
        <f t="shared" si="27"/>
        <v>28646.496590000024</v>
      </c>
      <c r="AM48" s="120">
        <f t="shared" si="27"/>
        <v>20158.245340000001</v>
      </c>
      <c r="AN48" s="120">
        <f t="shared" si="27"/>
        <v>24155.960851199969</v>
      </c>
      <c r="AO48" s="120">
        <f t="shared" ref="AO48:AT48" si="28">SUM(AO44:AO47)</f>
        <v>34192.985090000002</v>
      </c>
      <c r="AP48" s="120">
        <f t="shared" si="28"/>
        <v>29278.483019999905</v>
      </c>
      <c r="AQ48" s="120">
        <f t="shared" si="28"/>
        <v>18782.609207217967</v>
      </c>
      <c r="AR48" s="120">
        <f t="shared" si="28"/>
        <v>30580.699055574947</v>
      </c>
      <c r="AS48" s="120">
        <f t="shared" si="28"/>
        <v>53469.003068399958</v>
      </c>
      <c r="AT48" s="120">
        <f t="shared" si="28"/>
        <v>56832.361847199943</v>
      </c>
      <c r="AU48" s="120">
        <f>SUM(AU44:AU47)</f>
        <v>34722.848997799869</v>
      </c>
      <c r="AV48" s="120">
        <v>39856.318640000056</v>
      </c>
      <c r="AW48" s="120">
        <f t="shared" ref="AW48:BB48" si="29">SUM(AW44:AW47)</f>
        <v>56312.701230000057</v>
      </c>
      <c r="AX48" s="120">
        <f t="shared" si="29"/>
        <v>51020.691510000244</v>
      </c>
      <c r="AY48" s="120">
        <f t="shared" si="29"/>
        <v>37515.066839999818</v>
      </c>
      <c r="AZ48" s="120">
        <f t="shared" si="29"/>
        <v>63514.657679999989</v>
      </c>
      <c r="BA48" s="120">
        <f t="shared" si="29"/>
        <v>84445.687500000087</v>
      </c>
      <c r="BB48" s="120">
        <f t="shared" si="29"/>
        <v>85136.962249699922</v>
      </c>
    </row>
    <row r="49" spans="1:54" ht="14.1" customHeight="1" x14ac:dyDescent="0.2">
      <c r="A49" s="17"/>
      <c r="B49" s="337" t="s">
        <v>213</v>
      </c>
      <c r="C49" s="122">
        <f>+IncSAuto!C49+IncSIntLog!C49</f>
        <v>0</v>
      </c>
      <c r="D49" s="122">
        <f>+IncSAuto!D49+IncSIntLog!D49</f>
        <v>0</v>
      </c>
      <c r="E49" s="122">
        <f>+IncSAuto!E49+IncSIntLog!E49</f>
        <v>0</v>
      </c>
      <c r="F49" s="122">
        <f>+IncSAuto!F49+IncSIntLog!F49</f>
        <v>0</v>
      </c>
      <c r="G49" s="122">
        <f>+IncSAuto!G49+IncSIntLog!G49</f>
        <v>0</v>
      </c>
      <c r="H49" s="122">
        <f>+IncSAuto!H49+IncSIntLog!H49</f>
        <v>0</v>
      </c>
      <c r="I49" s="122">
        <f>+IncSAuto!I49+IncSIntLog!I49</f>
        <v>0</v>
      </c>
      <c r="J49" s="122">
        <f>+IncSAuto!J49+IncSIntLog!J49</f>
        <v>0</v>
      </c>
      <c r="K49" s="122">
        <f>+IncSAuto!K49+IncSIntLog!K49</f>
        <v>0</v>
      </c>
      <c r="L49" s="122">
        <f>+IncSAuto!L49+IncSIntLog!L49</f>
        <v>0</v>
      </c>
      <c r="M49" s="122">
        <f>+IncSAuto!M49+IncSIntLog!M49</f>
        <v>0</v>
      </c>
      <c r="N49" s="122">
        <f>+IncSAuto!N49+IncSIntLog!N49</f>
        <v>0</v>
      </c>
      <c r="O49" s="122">
        <f>+IncSAuto!O49+IncSIntLog!O49</f>
        <v>0</v>
      </c>
      <c r="P49" s="122">
        <f>+IncSAuto!P49+IncSIntLog!P49</f>
        <v>0</v>
      </c>
      <c r="Q49" s="122">
        <f>+IncSAuto!Q49+IncSIntLog!Q49</f>
        <v>0</v>
      </c>
      <c r="R49" s="122">
        <f>+IncSAuto!R49+IncSIntLog!R49</f>
        <v>0</v>
      </c>
      <c r="S49" s="122">
        <f>+IncSAuto!S49+IncSIntLog!S49</f>
        <v>0</v>
      </c>
      <c r="T49" s="122">
        <f>+IncSAuto!T49+IncSIntLog!T49</f>
        <v>0</v>
      </c>
      <c r="U49" s="122">
        <f>+IncSAuto!U49+IncSIntLog!U49</f>
        <v>0</v>
      </c>
      <c r="V49" s="122">
        <f>+IncSAuto!V49+IncSIntLog!V49</f>
        <v>0</v>
      </c>
      <c r="W49" s="122">
        <f>+IncSAuto!W49+IncSIntLog!W49</f>
        <v>0</v>
      </c>
      <c r="X49" s="122">
        <f>+IncSAuto!X49+IncSIntLog!X49</f>
        <v>0</v>
      </c>
      <c r="Y49" s="122">
        <f>+IncSAuto!Y49+IncSIntLog!Y49</f>
        <v>0</v>
      </c>
      <c r="Z49" s="122">
        <f>+IncSAuto!Z49+IncSIntLog!Z49</f>
        <v>0</v>
      </c>
      <c r="AA49" s="122">
        <f>+IncSAuto!AA49+IncSIntLog!AA49</f>
        <v>0</v>
      </c>
      <c r="AB49" s="122">
        <f>+IncSAuto!AB49+IncSIntLog!AB49</f>
        <v>0</v>
      </c>
      <c r="AC49" s="122">
        <f>+IncSAuto!AC49+IncSIntLog!AC49</f>
        <v>0</v>
      </c>
      <c r="AD49" s="122">
        <f>+IncSAuto!AD49+IncSIntLog!AD49</f>
        <v>0</v>
      </c>
      <c r="AE49" s="754">
        <v>0</v>
      </c>
      <c r="AF49" s="122">
        <v>0</v>
      </c>
      <c r="AG49" s="122">
        <v>0</v>
      </c>
      <c r="AH49" s="122">
        <v>0</v>
      </c>
      <c r="AI49" s="122">
        <v>0</v>
      </c>
      <c r="AJ49" s="122">
        <v>0</v>
      </c>
      <c r="AK49" s="122">
        <v>0</v>
      </c>
      <c r="AL49" s="487">
        <v>-117</v>
      </c>
      <c r="AM49" s="487">
        <v>-90</v>
      </c>
      <c r="AN49" s="487">
        <v>-27.967488800000002</v>
      </c>
      <c r="AO49" s="487">
        <v>-44</v>
      </c>
      <c r="AP49" s="487">
        <v>-146</v>
      </c>
      <c r="AQ49" s="487">
        <v>73</v>
      </c>
      <c r="AR49" s="487">
        <v>111.34514557500006</v>
      </c>
      <c r="AS49" s="487">
        <v>74.033388400000135</v>
      </c>
      <c r="AT49" s="487">
        <v>109.679</v>
      </c>
      <c r="AU49" s="487">
        <v>224.09200000000001</v>
      </c>
      <c r="AV49" s="487">
        <v>196.09647000000001</v>
      </c>
      <c r="AW49" s="487">
        <f>IncS!BB29</f>
        <v>136.32814999999999</v>
      </c>
      <c r="AX49" s="487">
        <f>IncS!BC29</f>
        <v>-56.032869999999996</v>
      </c>
      <c r="AY49" s="487">
        <v>232.13898999999998</v>
      </c>
      <c r="AZ49" s="487">
        <v>262.44155999999998</v>
      </c>
      <c r="BA49" s="487">
        <v>224.55350000000001</v>
      </c>
      <c r="BB49" s="487">
        <f>IncS!BG29</f>
        <v>75.921869999999998</v>
      </c>
    </row>
    <row r="50" spans="1:54" ht="14.1" customHeight="1" x14ac:dyDescent="0.2">
      <c r="A50" s="640"/>
      <c r="B50" s="125">
        <v>0</v>
      </c>
      <c r="C50" s="126">
        <f t="shared" ref="C50:AN50" si="30">+C48-C49</f>
        <v>13897</v>
      </c>
      <c r="D50" s="126">
        <f t="shared" si="30"/>
        <v>19138</v>
      </c>
      <c r="E50" s="126">
        <f t="shared" si="30"/>
        <v>32920</v>
      </c>
      <c r="F50" s="126">
        <f t="shared" si="30"/>
        <v>17412</v>
      </c>
      <c r="G50" s="126">
        <f t="shared" si="30"/>
        <v>4222</v>
      </c>
      <c r="H50" s="126">
        <f t="shared" si="30"/>
        <v>17913</v>
      </c>
      <c r="I50" s="126">
        <f t="shared" si="30"/>
        <v>21092</v>
      </c>
      <c r="J50" s="126">
        <f t="shared" si="30"/>
        <v>6228</v>
      </c>
      <c r="K50" s="126">
        <f t="shared" si="30"/>
        <v>1299</v>
      </c>
      <c r="L50" s="126">
        <f t="shared" si="30"/>
        <v>-9969</v>
      </c>
      <c r="M50" s="126">
        <f t="shared" si="30"/>
        <v>-27686</v>
      </c>
      <c r="N50" s="126">
        <f t="shared" si="30"/>
        <v>13393</v>
      </c>
      <c r="O50" s="126">
        <f t="shared" si="30"/>
        <v>7500</v>
      </c>
      <c r="P50" s="126">
        <f t="shared" si="30"/>
        <v>1184</v>
      </c>
      <c r="Q50" s="126">
        <f t="shared" si="30"/>
        <v>5101</v>
      </c>
      <c r="R50" s="126">
        <f t="shared" si="30"/>
        <v>-3854.0825054000288</v>
      </c>
      <c r="S50" s="126">
        <f t="shared" si="30"/>
        <v>-1902.9711800000275</v>
      </c>
      <c r="T50" s="126">
        <f t="shared" si="30"/>
        <v>-687.82872999996471</v>
      </c>
      <c r="U50" s="126">
        <f t="shared" si="30"/>
        <v>3842.5770799999841</v>
      </c>
      <c r="V50" s="126">
        <f t="shared" si="30"/>
        <v>12576.107320000005</v>
      </c>
      <c r="W50" s="126">
        <f t="shared" si="30"/>
        <v>5452.2332000000279</v>
      </c>
      <c r="X50" s="126">
        <f t="shared" si="30"/>
        <v>24056.729980000036</v>
      </c>
      <c r="Y50" s="126">
        <f t="shared" si="30"/>
        <v>15286.860619999989</v>
      </c>
      <c r="Z50" s="126">
        <f t="shared" si="30"/>
        <v>58966.291640000018</v>
      </c>
      <c r="AA50" s="126">
        <f t="shared" si="30"/>
        <v>13994.441250000009</v>
      </c>
      <c r="AB50" s="126">
        <f t="shared" si="30"/>
        <v>28185.873939999961</v>
      </c>
      <c r="AC50" s="126">
        <f t="shared" si="30"/>
        <v>31106.591149999938</v>
      </c>
      <c r="AD50" s="126">
        <f t="shared" si="30"/>
        <v>34961.001910000021</v>
      </c>
      <c r="AE50" s="165">
        <f t="shared" si="30"/>
        <v>26621.135130000064</v>
      </c>
      <c r="AF50" s="126">
        <f t="shared" si="30"/>
        <v>32514.294820000032</v>
      </c>
      <c r="AG50" s="126">
        <f t="shared" si="30"/>
        <v>91391.468380000078</v>
      </c>
      <c r="AH50" s="126">
        <f t="shared" si="30"/>
        <v>43444.958540000021</v>
      </c>
      <c r="AI50" s="126">
        <f t="shared" si="30"/>
        <v>19286.324460000003</v>
      </c>
      <c r="AJ50" s="126">
        <f t="shared" si="30"/>
        <v>-4362.7110900000207</v>
      </c>
      <c r="AK50" s="126">
        <f t="shared" si="30"/>
        <v>29938.68584000002</v>
      </c>
      <c r="AL50" s="126">
        <f t="shared" si="30"/>
        <v>28763.496590000024</v>
      </c>
      <c r="AM50" s="126">
        <f t="shared" si="30"/>
        <v>20248.245340000001</v>
      </c>
      <c r="AN50" s="126">
        <f t="shared" si="30"/>
        <v>24183.928339999969</v>
      </c>
      <c r="AO50" s="126">
        <f t="shared" ref="AO50:AU50" si="31">+AO48-AO49</f>
        <v>34236.985090000002</v>
      </c>
      <c r="AP50" s="126">
        <f t="shared" si="31"/>
        <v>29424.483019999905</v>
      </c>
      <c r="AQ50" s="126">
        <f t="shared" si="31"/>
        <v>18709.609207217967</v>
      </c>
      <c r="AR50" s="126">
        <f t="shared" si="31"/>
        <v>30469.353909999947</v>
      </c>
      <c r="AS50" s="126">
        <f t="shared" si="31"/>
        <v>53394.969679999958</v>
      </c>
      <c r="AT50" s="126">
        <f t="shared" si="31"/>
        <v>56722.682847199947</v>
      </c>
      <c r="AU50" s="126">
        <f t="shared" si="31"/>
        <v>34498.756997799872</v>
      </c>
      <c r="AV50" s="126">
        <v>39660.222170000059</v>
      </c>
      <c r="AW50" s="126">
        <f t="shared" ref="AW50:BB50" si="32">+AW48-AW49</f>
        <v>56176.373080000056</v>
      </c>
      <c r="AX50" s="126">
        <f t="shared" si="32"/>
        <v>51076.724380000247</v>
      </c>
      <c r="AY50" s="126">
        <f t="shared" si="32"/>
        <v>37282.927849999818</v>
      </c>
      <c r="AZ50" s="126">
        <f t="shared" si="32"/>
        <v>63252.21611999999</v>
      </c>
      <c r="BA50" s="126">
        <f t="shared" si="32"/>
        <v>84221.134000000093</v>
      </c>
      <c r="BB50" s="126">
        <f t="shared" si="32"/>
        <v>85061.040379699916</v>
      </c>
    </row>
    <row r="51" spans="1:54" ht="14.1" customHeight="1" x14ac:dyDescent="0.2">
      <c r="A51" s="633"/>
      <c r="B51" s="9" t="s">
        <v>266</v>
      </c>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169"/>
      <c r="AN51" s="1169"/>
      <c r="AO51" s="1169"/>
      <c r="AP51" s="1169"/>
      <c r="AQ51" s="1169"/>
      <c r="AR51" s="1169"/>
      <c r="AS51" s="1169"/>
      <c r="AT51" s="1169"/>
      <c r="AU51" s="1224"/>
      <c r="AV51" s="1224"/>
      <c r="AW51" s="1224"/>
      <c r="AX51" s="1224"/>
      <c r="AY51" s="1224"/>
      <c r="AZ51" s="1224"/>
      <c r="BA51" s="1224"/>
      <c r="BB51" s="1224"/>
    </row>
    <row r="52" spans="1:54" x14ac:dyDescent="0.2">
      <c r="B52" s="20"/>
      <c r="O52"/>
      <c r="P52"/>
      <c r="Q52"/>
      <c r="R52"/>
      <c r="S52"/>
      <c r="T52"/>
      <c r="U52"/>
      <c r="V52"/>
      <c r="W52" s="1"/>
      <c r="X52" s="1"/>
      <c r="Y52" s="1"/>
      <c r="Z52" s="1"/>
      <c r="AA52" s="865"/>
      <c r="AB52" s="1"/>
      <c r="AC52" s="1"/>
      <c r="AD52" s="1"/>
      <c r="AE52" s="1"/>
      <c r="AF52" s="1"/>
      <c r="AG52" s="1"/>
      <c r="AU52" s="1225"/>
      <c r="AV52" s="1225"/>
      <c r="AW52" s="1225"/>
      <c r="AX52" s="1225"/>
      <c r="AY52" s="1225"/>
      <c r="AZ52" s="1225"/>
      <c r="BA52" s="1225"/>
      <c r="BB52" s="1225"/>
    </row>
    <row r="53" spans="1:54" s="268" customFormat="1" ht="12.75" customHeight="1" x14ac:dyDescent="0.2">
      <c r="A53" s="630"/>
      <c r="B53" s="631"/>
      <c r="C53" s="549"/>
      <c r="D53" s="549"/>
      <c r="E53" s="549"/>
      <c r="F53" s="549"/>
      <c r="G53" s="632"/>
      <c r="H53" s="632"/>
      <c r="I53" s="549"/>
      <c r="J53" s="549"/>
      <c r="K53" s="549"/>
      <c r="L53" s="632"/>
      <c r="O53" s="269">
        <f>+IncSIntLog!O49+IncSAuto!O50</f>
        <v>0</v>
      </c>
      <c r="P53" s="269">
        <f>+IncSIntLog!P49+IncSAuto!P50</f>
        <v>0</v>
      </c>
      <c r="Q53" s="269">
        <f>+IncSIntLog!Q49+IncSAuto!Q50</f>
        <v>0</v>
      </c>
      <c r="R53" s="269">
        <f>+IncSIntLog!R49+IncSAuto!R50</f>
        <v>0</v>
      </c>
      <c r="S53" s="269">
        <f>+IncSIntLog!S49+IncSAuto!S50</f>
        <v>0</v>
      </c>
      <c r="T53" s="269">
        <f>+IncSIntLog!T49+IncSAuto!T50</f>
        <v>0</v>
      </c>
      <c r="U53" s="269">
        <f>+IncSIntLog!U49+IncSAuto!U50</f>
        <v>0</v>
      </c>
      <c r="V53" s="269">
        <f>+IncSIntLog!V49+IncSAuto!V50</f>
        <v>0</v>
      </c>
      <c r="W53" s="269">
        <f>+IncSIntLog!W49+IncSAuto!W50</f>
        <v>0</v>
      </c>
      <c r="X53" s="269">
        <f>+IncSIntLog!X49+IncSAuto!X50</f>
        <v>0</v>
      </c>
      <c r="Y53" s="269">
        <f>+IncSIntLog!Y49+IncSAuto!Y50</f>
        <v>0</v>
      </c>
      <c r="Z53" s="269">
        <f>+IncSIntLog!Z49+IncSAuto!Z50</f>
        <v>0</v>
      </c>
      <c r="AA53" s="1173"/>
      <c r="AB53" s="269">
        <f>+IncSIntLog!AB49+IncSAuto!AB50</f>
        <v>0</v>
      </c>
      <c r="AC53" s="269"/>
      <c r="AD53" s="269"/>
      <c r="AE53" s="551"/>
      <c r="AF53" s="551"/>
      <c r="AG53" s="551"/>
      <c r="AH53" s="551"/>
      <c r="AI53" s="551"/>
      <c r="AJ53" s="551"/>
      <c r="AK53" s="551"/>
      <c r="AL53" s="551"/>
      <c r="AM53" s="551"/>
      <c r="AN53" s="551"/>
      <c r="AO53" s="551"/>
      <c r="AP53" s="551"/>
      <c r="AQ53" s="551"/>
      <c r="AR53" s="1197"/>
      <c r="AS53" s="1208"/>
      <c r="AT53" s="1208"/>
      <c r="AU53" s="329"/>
      <c r="AV53" s="329"/>
      <c r="AW53" s="329"/>
      <c r="AX53" s="329"/>
      <c r="AY53" s="329"/>
      <c r="AZ53" s="329"/>
      <c r="BA53" s="329"/>
      <c r="BB53" s="329"/>
    </row>
    <row r="54" spans="1:54" s="268" customFormat="1" x14ac:dyDescent="0.2">
      <c r="AH54" s="1095"/>
      <c r="AI54" s="1095"/>
      <c r="AJ54" s="1095"/>
      <c r="AK54" s="1095"/>
      <c r="AL54" s="1095"/>
      <c r="AM54" s="1095"/>
      <c r="AN54" s="1095"/>
      <c r="AO54" s="1095"/>
      <c r="AP54" s="1095"/>
      <c r="AQ54" s="1095"/>
      <c r="AR54" s="715"/>
      <c r="AS54" s="1209"/>
      <c r="AT54" s="1209"/>
      <c r="AU54" s="1095"/>
      <c r="AV54" s="1095"/>
      <c r="AW54" s="1095"/>
      <c r="AX54" s="1095"/>
      <c r="AY54" s="1095"/>
      <c r="AZ54" s="1095"/>
      <c r="BA54" s="1095"/>
      <c r="BB54" s="1095"/>
    </row>
    <row r="55" spans="1:54" s="268" customFormat="1" x14ac:dyDescent="0.2">
      <c r="G55" s="634"/>
      <c r="H55" s="634"/>
      <c r="I55" s="1096"/>
      <c r="J55" s="1096"/>
      <c r="K55" s="1096"/>
      <c r="L55" s="1096"/>
      <c r="M55" s="1096"/>
      <c r="N55" s="1096"/>
      <c r="O55" s="634"/>
      <c r="P55" s="634"/>
      <c r="Q55" s="634"/>
      <c r="AA55" s="268" t="s">
        <v>968</v>
      </c>
      <c r="AB55" s="268" t="s">
        <v>968</v>
      </c>
      <c r="AE55" s="268" t="s">
        <v>963</v>
      </c>
      <c r="AF55" s="268" t="s">
        <v>963</v>
      </c>
      <c r="AI55" s="268" t="s">
        <v>1009</v>
      </c>
      <c r="AJ55" s="268" t="s">
        <v>1009</v>
      </c>
      <c r="AM55" s="268" t="s">
        <v>1146</v>
      </c>
      <c r="AN55" s="268" t="s">
        <v>1146</v>
      </c>
      <c r="AQ55" s="268" t="s">
        <v>1210</v>
      </c>
      <c r="AR55" s="268" t="s">
        <v>1210</v>
      </c>
      <c r="AU55" s="268" t="s">
        <v>1275</v>
      </c>
      <c r="AV55" s="268" t="s">
        <v>1275</v>
      </c>
      <c r="AY55" s="268" t="s">
        <v>1331</v>
      </c>
      <c r="AZ55" s="268" t="s">
        <v>1331</v>
      </c>
    </row>
    <row r="56" spans="1:54" s="268" customFormat="1" x14ac:dyDescent="0.2">
      <c r="AA56" s="268" t="s">
        <v>1007</v>
      </c>
      <c r="AB56" s="268" t="s">
        <v>1007</v>
      </c>
      <c r="AC56" s="268" t="s">
        <v>1007</v>
      </c>
      <c r="AE56" s="268" t="s">
        <v>1006</v>
      </c>
      <c r="AF56" s="268" t="s">
        <v>1006</v>
      </c>
      <c r="AG56" s="268" t="s">
        <v>1006</v>
      </c>
      <c r="AI56" s="268" t="s">
        <v>1008</v>
      </c>
      <c r="AJ56" s="268" t="s">
        <v>1008</v>
      </c>
      <c r="AK56" s="268" t="s">
        <v>1008</v>
      </c>
      <c r="AM56" s="268" t="s">
        <v>1147</v>
      </c>
      <c r="AN56" s="268" t="s">
        <v>1147</v>
      </c>
      <c r="AO56" s="268" t="s">
        <v>1147</v>
      </c>
      <c r="AQ56" s="268" t="s">
        <v>1195</v>
      </c>
      <c r="AR56" s="268" t="s">
        <v>1195</v>
      </c>
      <c r="AS56" s="268" t="s">
        <v>1195</v>
      </c>
      <c r="AU56" s="268" t="s">
        <v>1272</v>
      </c>
      <c r="AV56" s="268" t="s">
        <v>1272</v>
      </c>
      <c r="AW56" s="268" t="s">
        <v>1272</v>
      </c>
      <c r="AY56" s="268" t="s">
        <v>1328</v>
      </c>
      <c r="AZ56" s="268" t="s">
        <v>1328</v>
      </c>
      <c r="BA56" s="268" t="s">
        <v>1328</v>
      </c>
    </row>
    <row r="57" spans="1:54" s="554" customFormat="1" ht="14.1" customHeight="1" x14ac:dyDescent="0.2">
      <c r="C57" s="856">
        <f>D57</f>
        <v>2012</v>
      </c>
      <c r="D57" s="856">
        <f>E57</f>
        <v>2012</v>
      </c>
      <c r="E57" s="856">
        <f>F57</f>
        <v>2012</v>
      </c>
      <c r="F57" s="856">
        <f>G57-1</f>
        <v>2012</v>
      </c>
      <c r="G57" s="856">
        <f>H57</f>
        <v>2013</v>
      </c>
      <c r="H57" s="856">
        <f>I57</f>
        <v>2013</v>
      </c>
      <c r="I57" s="856">
        <f>J57</f>
        <v>2013</v>
      </c>
      <c r="J57" s="856">
        <f>K57-1</f>
        <v>2013</v>
      </c>
      <c r="K57" s="856">
        <f>L57</f>
        <v>2014</v>
      </c>
      <c r="L57" s="856">
        <f>M57</f>
        <v>2014</v>
      </c>
      <c r="M57" s="856">
        <f>N57</f>
        <v>2014</v>
      </c>
      <c r="N57" s="856">
        <f>O57-1</f>
        <v>2014</v>
      </c>
      <c r="O57" s="856">
        <f>P57</f>
        <v>2015</v>
      </c>
      <c r="P57" s="856">
        <f>Q57</f>
        <v>2015</v>
      </c>
      <c r="Q57" s="856">
        <f>R57</f>
        <v>2015</v>
      </c>
      <c r="R57" s="856">
        <f>S57-1</f>
        <v>2015</v>
      </c>
      <c r="S57" s="856">
        <f>T57</f>
        <v>2016</v>
      </c>
      <c r="T57" s="856">
        <f>U57</f>
        <v>2016</v>
      </c>
      <c r="U57" s="856">
        <f>V57</f>
        <v>2016</v>
      </c>
      <c r="V57" s="856">
        <f>W57-1</f>
        <v>2016</v>
      </c>
      <c r="W57" s="856">
        <f>X57</f>
        <v>2017</v>
      </c>
      <c r="X57" s="856">
        <f>Y57</f>
        <v>2017</v>
      </c>
      <c r="Y57" s="856">
        <f>Z57</f>
        <v>2017</v>
      </c>
      <c r="Z57" s="856">
        <f>AA57-1</f>
        <v>2017</v>
      </c>
      <c r="AA57" s="856">
        <f>AB57</f>
        <v>2018</v>
      </c>
      <c r="AB57" s="856">
        <f>AC57</f>
        <v>2018</v>
      </c>
      <c r="AC57" s="856">
        <f>AD57</f>
        <v>2018</v>
      </c>
      <c r="AD57" s="856">
        <f>AE57-1</f>
        <v>2018</v>
      </c>
      <c r="AE57" s="857">
        <v>2019</v>
      </c>
      <c r="AF57" s="857">
        <v>2019</v>
      </c>
      <c r="AG57" s="857">
        <v>2019</v>
      </c>
      <c r="AH57" s="857">
        <v>2019</v>
      </c>
      <c r="AI57" s="857">
        <v>2020</v>
      </c>
      <c r="AJ57" s="857">
        <v>2020</v>
      </c>
      <c r="AK57" s="857">
        <v>2020</v>
      </c>
      <c r="AL57" s="857">
        <v>2020</v>
      </c>
      <c r="AM57" s="857">
        <v>2021</v>
      </c>
      <c r="AN57" s="857">
        <v>2021</v>
      </c>
      <c r="AO57" s="857">
        <v>2021</v>
      </c>
      <c r="AP57" s="1141">
        <v>2021</v>
      </c>
      <c r="AQ57" s="1141">
        <v>2022</v>
      </c>
      <c r="AR57" s="1141">
        <v>2022</v>
      </c>
      <c r="AS57" s="1141">
        <v>2022</v>
      </c>
      <c r="AT57" s="1141">
        <v>2022</v>
      </c>
      <c r="AU57" s="1141">
        <v>2023</v>
      </c>
      <c r="AV57" s="1141">
        <v>2023</v>
      </c>
      <c r="AW57" s="1141">
        <v>2023</v>
      </c>
      <c r="AX57" s="1141">
        <v>2023</v>
      </c>
      <c r="AY57" s="1141">
        <v>2024</v>
      </c>
      <c r="AZ57" s="1141">
        <v>2024</v>
      </c>
      <c r="BA57" s="1141">
        <v>2024</v>
      </c>
      <c r="BB57" s="1141">
        <v>2024</v>
      </c>
    </row>
    <row r="58" spans="1:54" s="268" customFormat="1" ht="14.1" customHeight="1" x14ac:dyDescent="0.2">
      <c r="C58" s="269">
        <f t="shared" ref="C58:AG58" si="33">SUM(C15:C33)</f>
        <v>4903</v>
      </c>
      <c r="D58" s="269">
        <f t="shared" si="33"/>
        <v>2557</v>
      </c>
      <c r="E58" s="269">
        <f t="shared" si="33"/>
        <v>-4997</v>
      </c>
      <c r="F58" s="269">
        <f t="shared" si="33"/>
        <v>-8454</v>
      </c>
      <c r="G58" s="269">
        <f t="shared" si="33"/>
        <v>2023</v>
      </c>
      <c r="H58" s="269">
        <f t="shared" si="33"/>
        <v>5187</v>
      </c>
      <c r="I58" s="269">
        <f t="shared" si="33"/>
        <v>1481</v>
      </c>
      <c r="J58" s="269">
        <f t="shared" si="33"/>
        <v>5144</v>
      </c>
      <c r="K58" s="269">
        <f t="shared" si="33"/>
        <v>10742</v>
      </c>
      <c r="L58" s="269">
        <f t="shared" si="33"/>
        <v>0</v>
      </c>
      <c r="M58" s="269">
        <f t="shared" si="33"/>
        <v>0</v>
      </c>
      <c r="N58" s="269">
        <f t="shared" si="33"/>
        <v>878</v>
      </c>
      <c r="O58" s="269">
        <f t="shared" si="33"/>
        <v>0</v>
      </c>
      <c r="P58" s="269">
        <f t="shared" si="33"/>
        <v>3704.1926200000003</v>
      </c>
      <c r="Q58" s="269">
        <f t="shared" si="33"/>
        <v>0</v>
      </c>
      <c r="R58" s="269">
        <f t="shared" si="33"/>
        <v>25058.168579999998</v>
      </c>
      <c r="S58" s="269">
        <f t="shared" si="33"/>
        <v>0</v>
      </c>
      <c r="T58" s="269">
        <f t="shared" si="33"/>
        <v>0</v>
      </c>
      <c r="U58" s="269">
        <f t="shared" si="33"/>
        <v>0</v>
      </c>
      <c r="V58" s="269">
        <f t="shared" si="33"/>
        <v>0</v>
      </c>
      <c r="W58" s="269">
        <f t="shared" si="33"/>
        <v>0</v>
      </c>
      <c r="X58" s="269">
        <f t="shared" si="33"/>
        <v>8284.9666199999992</v>
      </c>
      <c r="Y58" s="269">
        <f t="shared" si="33"/>
        <v>5733</v>
      </c>
      <c r="Z58" s="269">
        <f t="shared" si="33"/>
        <v>-16855.072989999946</v>
      </c>
      <c r="AA58" s="269">
        <f t="shared" si="33"/>
        <v>0</v>
      </c>
      <c r="AB58" s="269">
        <f t="shared" si="33"/>
        <v>0</v>
      </c>
      <c r="AC58" s="269">
        <f t="shared" si="33"/>
        <v>5251.7599300000002</v>
      </c>
      <c r="AD58" s="269">
        <f t="shared" si="33"/>
        <v>12881.039347457499</v>
      </c>
      <c r="AE58" s="269">
        <f t="shared" si="33"/>
        <v>0</v>
      </c>
      <c r="AF58" s="269">
        <f t="shared" si="33"/>
        <v>0</v>
      </c>
      <c r="AG58" s="269">
        <f t="shared" si="33"/>
        <v>-50391.444189999995</v>
      </c>
      <c r="AH58" s="269">
        <f>SUM(AH15:AH33)</f>
        <v>2254</v>
      </c>
      <c r="AI58" s="269">
        <v>3317</v>
      </c>
      <c r="AJ58" s="269">
        <f>SUM(AJ15:AJ33)</f>
        <v>0</v>
      </c>
      <c r="AK58" s="269">
        <f>SUM(AK15:AK33)</f>
        <v>0</v>
      </c>
      <c r="AL58" s="269">
        <f>SUM(AL15:AL33)</f>
        <v>5220.2719999999999</v>
      </c>
      <c r="AM58" s="269"/>
      <c r="AN58" s="269">
        <f>SUM(AN15:AN33)</f>
        <v>-5732.7137899999998</v>
      </c>
      <c r="AO58" s="269">
        <f>SUM(AO15:AO33)</f>
        <v>1159</v>
      </c>
      <c r="AP58" s="269"/>
      <c r="AQ58" s="269"/>
      <c r="AR58" s="269">
        <f>SUM(AR15:AR33)</f>
        <v>0</v>
      </c>
      <c r="AS58" s="269">
        <f>SUM(AS15:AS33)</f>
        <v>6645.02</v>
      </c>
      <c r="AT58" s="269">
        <f>SUM(AT15:AT33)</f>
        <v>-5458.7727579526618</v>
      </c>
      <c r="AU58" s="269">
        <f>SUM(AU15:AU33)</f>
        <v>0</v>
      </c>
      <c r="AV58" s="269">
        <v>0</v>
      </c>
      <c r="AW58" s="269">
        <f>SUM(AW15:AW33)</f>
        <v>0</v>
      </c>
      <c r="AX58" s="269">
        <f>SUM(AX15:AX33)</f>
        <v>0</v>
      </c>
      <c r="AY58" s="269">
        <f t="shared" ref="AY58:AZ58" si="34">SUM(AY15:AY33)</f>
        <v>0</v>
      </c>
      <c r="AZ58" s="269">
        <f t="shared" si="34"/>
        <v>0</v>
      </c>
      <c r="BA58" s="269"/>
      <c r="BB58" s="269">
        <f>SUM(BB15:BB33)</f>
        <v>0</v>
      </c>
    </row>
    <row r="59" spans="1:54" s="268" customFormat="1" ht="14.1" customHeight="1" x14ac:dyDescent="0.2">
      <c r="AH59" s="1095"/>
      <c r="AI59" s="1095"/>
      <c r="AJ59" s="1095"/>
      <c r="AK59" s="1095"/>
      <c r="AL59" s="1095"/>
      <c r="AM59" s="1095"/>
      <c r="AN59" s="1095"/>
      <c r="AO59" s="1095"/>
      <c r="AP59" s="1095"/>
      <c r="AQ59" s="1095"/>
      <c r="AR59" s="1095"/>
      <c r="AS59" s="1095"/>
      <c r="AT59" s="1095"/>
      <c r="AU59" s="1095"/>
      <c r="AV59" s="1095"/>
      <c r="AW59" s="1095"/>
      <c r="AX59" s="1095"/>
      <c r="AY59" s="1095"/>
      <c r="AZ59" s="1095"/>
      <c r="BA59" s="1095"/>
      <c r="BB59" s="1095"/>
    </row>
    <row r="60" spans="1:54" s="268" customFormat="1" ht="14.1" customHeight="1" x14ac:dyDescent="0.2">
      <c r="AH60" s="1095"/>
      <c r="AI60" s="1095"/>
      <c r="AJ60" s="1095"/>
      <c r="AK60" s="1095"/>
      <c r="AL60" s="1095"/>
      <c r="AM60" s="1095"/>
      <c r="AN60" s="1095"/>
      <c r="AO60" s="1095"/>
      <c r="AP60" s="1095"/>
      <c r="AQ60" s="1095"/>
      <c r="AR60" s="1095"/>
      <c r="AS60" s="1095"/>
      <c r="AT60" s="1095"/>
      <c r="AU60" s="1095"/>
      <c r="AV60" s="1095"/>
      <c r="AW60" s="1095"/>
      <c r="AX60" s="1095"/>
      <c r="AY60" s="1095"/>
      <c r="AZ60" s="1095"/>
      <c r="BA60" s="1095"/>
      <c r="BB60" s="1095"/>
    </row>
    <row r="61" spans="1:54" s="268" customFormat="1" ht="14.1" customHeight="1" x14ac:dyDescent="0.2">
      <c r="AH61" s="1095"/>
      <c r="AI61" s="1095"/>
      <c r="AJ61" s="1095"/>
      <c r="AK61" s="1095"/>
      <c r="AL61" s="1095"/>
      <c r="AM61" s="1095"/>
      <c r="AN61" s="1095"/>
      <c r="AO61" s="1095"/>
      <c r="AP61" s="1095"/>
      <c r="AQ61" s="1095"/>
      <c r="AR61" s="1095"/>
      <c r="AS61" s="1095"/>
      <c r="AT61" s="1095"/>
      <c r="AU61" s="1095"/>
      <c r="AV61" s="1095"/>
      <c r="AW61" s="1095"/>
      <c r="AX61" s="1095"/>
      <c r="AY61" s="1095"/>
      <c r="AZ61" s="1095"/>
      <c r="BA61" s="1095"/>
      <c r="BB61" s="1095"/>
    </row>
    <row r="62" spans="1:54" s="268" customFormat="1" ht="14.1" customHeight="1" x14ac:dyDescent="0.2">
      <c r="AH62" s="1095"/>
      <c r="AI62" s="1095"/>
      <c r="AJ62" s="1095"/>
      <c r="AK62" s="1095"/>
      <c r="AL62" s="1095"/>
      <c r="AM62" s="1095"/>
      <c r="AN62" s="1095"/>
      <c r="AO62" s="1095"/>
      <c r="AP62" s="1095"/>
      <c r="AQ62" s="1095"/>
      <c r="AR62" s="1095"/>
      <c r="AS62" s="1095"/>
      <c r="AT62" s="1095"/>
      <c r="AU62" s="1095"/>
      <c r="AV62" s="1095"/>
      <c r="AW62" s="1095"/>
      <c r="AX62" s="1095"/>
      <c r="AY62" s="1095"/>
      <c r="AZ62" s="1095"/>
      <c r="BA62" s="1095"/>
      <c r="BB62" s="1095"/>
    </row>
    <row r="63" spans="1:54" s="268" customFormat="1" ht="14.1" customHeight="1" x14ac:dyDescent="0.2">
      <c r="AH63" s="1095"/>
      <c r="AI63" s="1095"/>
      <c r="AJ63" s="1095"/>
      <c r="AK63" s="1095"/>
      <c r="AL63" s="1095"/>
      <c r="AM63" s="1095"/>
      <c r="AN63" s="1095"/>
      <c r="AO63" s="1095"/>
      <c r="AP63" s="1095"/>
      <c r="AQ63" s="1095"/>
      <c r="AR63" s="1095"/>
      <c r="AS63" s="1095"/>
      <c r="AT63" s="1095"/>
      <c r="AU63" s="1095"/>
      <c r="AV63" s="1095"/>
      <c r="AW63" s="1095"/>
      <c r="AX63" s="1095"/>
      <c r="AY63" s="1095"/>
      <c r="AZ63" s="1095"/>
      <c r="BA63" s="1095"/>
      <c r="BB63" s="1095"/>
    </row>
    <row r="64" spans="1:54" s="268" customFormat="1" ht="14.1" customHeight="1" x14ac:dyDescent="0.2">
      <c r="AH64" s="1095"/>
      <c r="AI64" s="1095"/>
      <c r="AJ64" s="1095"/>
      <c r="AK64" s="1095"/>
      <c r="AL64" s="1095"/>
      <c r="AM64" s="1095"/>
      <c r="AN64" s="1095"/>
      <c r="AO64" s="1095"/>
      <c r="AP64" s="1095"/>
      <c r="AQ64" s="1095"/>
      <c r="AR64" s="1095"/>
      <c r="AS64" s="1095"/>
      <c r="AT64" s="1095"/>
      <c r="AU64" s="1095"/>
      <c r="AV64" s="1095"/>
      <c r="AW64" s="1095"/>
      <c r="AX64" s="1095"/>
      <c r="AY64" s="1095"/>
      <c r="AZ64" s="1095"/>
      <c r="BA64" s="1095"/>
      <c r="BB64" s="1095"/>
    </row>
    <row r="65" spans="1:54" s="268" customFormat="1" ht="14.1" customHeight="1" x14ac:dyDescent="0.2">
      <c r="AH65" s="1095"/>
      <c r="AI65" s="1095"/>
      <c r="AJ65" s="1095"/>
      <c r="AK65" s="1095"/>
      <c r="AL65" s="1095"/>
      <c r="AM65" s="1095"/>
      <c r="AN65" s="1095"/>
      <c r="AO65" s="1095"/>
      <c r="AP65" s="1095"/>
      <c r="AQ65" s="1095"/>
      <c r="AR65" s="1095"/>
      <c r="AS65" s="1095"/>
      <c r="AT65" s="1095"/>
      <c r="AU65" s="1095"/>
      <c r="AV65" s="1095"/>
      <c r="AW65" s="1095"/>
      <c r="AX65" s="1095"/>
      <c r="AY65" s="1095"/>
      <c r="AZ65" s="1095"/>
      <c r="BA65" s="1095"/>
      <c r="BB65" s="1095"/>
    </row>
    <row r="66" spans="1:54" s="268" customFormat="1" ht="14.1" customHeight="1" x14ac:dyDescent="0.2">
      <c r="AH66" s="1095"/>
      <c r="AI66" s="1095"/>
      <c r="AJ66" s="1095"/>
      <c r="AK66" s="1095"/>
      <c r="AL66" s="1095"/>
      <c r="AM66" s="1095"/>
      <c r="AN66" s="1095"/>
      <c r="AO66" s="1095"/>
      <c r="AP66" s="1095"/>
      <c r="AQ66" s="1095"/>
      <c r="AR66" s="1095"/>
      <c r="AS66" s="1095"/>
      <c r="AT66" s="1095"/>
      <c r="AU66" s="1095"/>
      <c r="AV66" s="1095"/>
      <c r="AW66" s="1095"/>
      <c r="AX66" s="1095"/>
      <c r="AY66" s="1095"/>
      <c r="AZ66" s="1095"/>
      <c r="BA66" s="1095"/>
      <c r="BB66" s="1095"/>
    </row>
    <row r="67" spans="1:54" s="268" customFormat="1" ht="14.1" customHeight="1" x14ac:dyDescent="0.2">
      <c r="AH67" s="1095"/>
      <c r="AI67" s="1095"/>
      <c r="AJ67" s="1095"/>
      <c r="AK67" s="1095"/>
      <c r="AL67" s="1095"/>
      <c r="AM67" s="1095"/>
      <c r="AN67" s="1095"/>
      <c r="AO67" s="1095"/>
      <c r="AP67" s="1095"/>
      <c r="AQ67" s="1095"/>
      <c r="AR67" s="1095"/>
      <c r="AS67" s="1095"/>
      <c r="AT67" s="1095"/>
      <c r="AU67" s="1095"/>
      <c r="AV67" s="1095"/>
      <c r="AW67" s="1095"/>
      <c r="AX67" s="1095"/>
      <c r="AY67" s="1095"/>
      <c r="AZ67" s="1095"/>
      <c r="BA67" s="1095"/>
      <c r="BB67" s="1095"/>
    </row>
    <row r="68" spans="1:54" s="268" customFormat="1" ht="14.1" customHeight="1" x14ac:dyDescent="0.2">
      <c r="AH68" s="1095"/>
      <c r="AI68" s="1095"/>
      <c r="AJ68" s="1095"/>
      <c r="AK68" s="1095"/>
      <c r="AL68" s="1095"/>
      <c r="AM68" s="1095"/>
      <c r="AN68" s="1095"/>
      <c r="AO68" s="1095"/>
      <c r="AP68" s="1095"/>
      <c r="AQ68" s="1095"/>
      <c r="AR68" s="1095"/>
      <c r="AS68" s="1095"/>
      <c r="AT68" s="1095"/>
      <c r="AU68" s="1095"/>
      <c r="AV68" s="1095"/>
      <c r="AW68" s="1095"/>
      <c r="AX68" s="1095"/>
      <c r="AY68" s="1095"/>
      <c r="AZ68" s="1095"/>
      <c r="BA68" s="1095"/>
      <c r="BB68" s="1095"/>
    </row>
    <row r="69" spans="1:54" s="268" customFormat="1" ht="14.1" customHeight="1" x14ac:dyDescent="0.2">
      <c r="AH69" s="1095"/>
      <c r="AI69" s="1095"/>
      <c r="AJ69" s="1095"/>
      <c r="AK69" s="1095"/>
      <c r="AL69" s="1095"/>
      <c r="AM69" s="1095"/>
      <c r="AN69" s="1095"/>
      <c r="AO69" s="1095"/>
      <c r="AP69" s="1095"/>
      <c r="AQ69" s="1095"/>
      <c r="AR69" s="1095"/>
      <c r="AS69" s="1095"/>
      <c r="AT69" s="1095"/>
      <c r="AU69" s="1095"/>
      <c r="AV69" s="1095"/>
      <c r="AW69" s="1095"/>
      <c r="AX69" s="1095"/>
      <c r="AY69" s="1095"/>
      <c r="AZ69" s="1095"/>
      <c r="BA69" s="1095"/>
      <c r="BB69" s="1095"/>
    </row>
    <row r="70" spans="1:54" s="268" customFormat="1" ht="14.1" customHeight="1" x14ac:dyDescent="0.2">
      <c r="AH70" s="1095"/>
      <c r="AI70" s="1095"/>
      <c r="AJ70" s="1095"/>
      <c r="AK70" s="1095"/>
      <c r="AL70" s="1095"/>
      <c r="AM70" s="1095"/>
      <c r="AN70" s="1095"/>
      <c r="AO70" s="1095"/>
      <c r="AP70" s="1095"/>
      <c r="AQ70" s="1095"/>
      <c r="AR70" s="1095"/>
      <c r="AS70" s="1095"/>
      <c r="AT70" s="1095"/>
      <c r="AU70" s="1095"/>
      <c r="AV70" s="1095"/>
      <c r="AW70" s="1095"/>
      <c r="AX70" s="1095"/>
      <c r="AY70" s="1095"/>
      <c r="AZ70" s="1095"/>
      <c r="BA70" s="1095"/>
      <c r="BB70" s="1095"/>
    </row>
    <row r="71" spans="1:54" s="268" customFormat="1" ht="14.1" customHeight="1" x14ac:dyDescent="0.2">
      <c r="AH71" s="1095"/>
      <c r="AI71" s="1095"/>
      <c r="AJ71" s="1095"/>
      <c r="AK71" s="1095"/>
      <c r="AL71" s="1095"/>
      <c r="AM71" s="1095"/>
      <c r="AN71" s="1095"/>
      <c r="AO71" s="1095"/>
      <c r="AP71" s="1095"/>
      <c r="AQ71" s="1095"/>
      <c r="AR71" s="1095"/>
      <c r="AS71" s="1095"/>
      <c r="AT71" s="1095"/>
      <c r="AU71" s="1095"/>
      <c r="AV71" s="1095"/>
      <c r="AW71" s="1095"/>
      <c r="AX71" s="1095"/>
      <c r="AY71" s="1095"/>
      <c r="AZ71" s="1095"/>
      <c r="BA71" s="1095"/>
      <c r="BB71" s="1095"/>
    </row>
    <row r="72" spans="1:54" s="268" customFormat="1" ht="14.1" customHeight="1" x14ac:dyDescent="0.2">
      <c r="AH72" s="1095"/>
      <c r="AI72" s="1095"/>
      <c r="AJ72" s="1095"/>
      <c r="AK72" s="1095"/>
      <c r="AL72" s="1095"/>
      <c r="AM72" s="1095"/>
      <c r="AN72" s="1095"/>
      <c r="AO72" s="1095"/>
      <c r="AP72" s="1095"/>
      <c r="AQ72" s="1095"/>
      <c r="AR72" s="1095"/>
      <c r="AS72" s="1095"/>
      <c r="AT72" s="1095"/>
      <c r="AU72" s="1095"/>
      <c r="AV72" s="1095"/>
      <c r="AW72" s="1095"/>
      <c r="AX72" s="1095"/>
      <c r="AY72" s="1095"/>
      <c r="AZ72" s="1095"/>
      <c r="BA72" s="1095"/>
      <c r="BB72" s="1095"/>
    </row>
    <row r="73" spans="1:54" s="268" customFormat="1" ht="14.1" customHeight="1" x14ac:dyDescent="0.2">
      <c r="AH73" s="1095"/>
      <c r="AI73" s="1095"/>
      <c r="AJ73" s="1095"/>
      <c r="AK73" s="1095"/>
      <c r="AL73" s="1095"/>
      <c r="AM73" s="1095"/>
      <c r="AN73" s="1095"/>
      <c r="AO73" s="1095"/>
      <c r="AP73" s="1095"/>
      <c r="AQ73" s="1095"/>
      <c r="AR73" s="1095"/>
      <c r="AS73" s="1095"/>
      <c r="AT73" s="1095"/>
      <c r="AU73" s="1095"/>
      <c r="AV73" s="1095"/>
      <c r="AW73" s="1095"/>
      <c r="AX73" s="1095"/>
      <c r="AY73" s="1095"/>
      <c r="AZ73" s="1095"/>
      <c r="BA73" s="1095"/>
      <c r="BB73" s="1095"/>
    </row>
    <row r="74" spans="1:54" s="268" customFormat="1" ht="14.1" customHeight="1" x14ac:dyDescent="0.2">
      <c r="AH74" s="1095"/>
      <c r="AI74" s="1095"/>
      <c r="AJ74" s="1095"/>
      <c r="AK74" s="1095"/>
      <c r="AL74" s="1095"/>
      <c r="AM74" s="1095"/>
      <c r="AN74" s="1095"/>
      <c r="AO74" s="1095"/>
      <c r="AP74" s="1095"/>
      <c r="AQ74" s="1095"/>
      <c r="AR74" s="1095"/>
      <c r="AS74" s="1095"/>
      <c r="AT74" s="1095"/>
      <c r="AU74" s="1095"/>
      <c r="AV74" s="1095"/>
      <c r="AW74" s="1095"/>
      <c r="AX74" s="1095"/>
      <c r="AY74" s="1095"/>
      <c r="AZ74" s="1095"/>
      <c r="BA74" s="1095"/>
      <c r="BB74" s="1095"/>
    </row>
    <row r="75" spans="1:54" s="268" customFormat="1" ht="14.1" customHeight="1" x14ac:dyDescent="0.2">
      <c r="AH75" s="1095"/>
      <c r="AI75" s="1095"/>
      <c r="AJ75" s="1095"/>
      <c r="AK75" s="1095"/>
      <c r="AL75" s="1095"/>
      <c r="AM75" s="1095"/>
      <c r="AN75" s="1095"/>
      <c r="AO75" s="1095"/>
      <c r="AP75" s="1095"/>
      <c r="AQ75" s="1095"/>
      <c r="AR75" s="1095"/>
      <c r="AS75" s="1095"/>
      <c r="AT75" s="1095"/>
      <c r="AU75" s="1095"/>
      <c r="AV75" s="1095"/>
      <c r="AW75" s="1095"/>
      <c r="AX75" s="1095"/>
      <c r="AY75" s="1095"/>
      <c r="AZ75" s="1095"/>
      <c r="BA75" s="1095"/>
      <c r="BB75" s="1095"/>
    </row>
    <row r="76" spans="1:54" s="268" customFormat="1" ht="14.1" customHeight="1" x14ac:dyDescent="0.2">
      <c r="AH76" s="1095"/>
      <c r="AI76" s="1095"/>
      <c r="AJ76" s="1095"/>
      <c r="AK76" s="1095"/>
      <c r="AL76" s="1095"/>
      <c r="AM76" s="1095"/>
      <c r="AN76" s="1095"/>
      <c r="AO76" s="1095"/>
      <c r="AP76" s="1095"/>
      <c r="AQ76" s="1095"/>
      <c r="AR76" s="1095"/>
      <c r="AS76" s="1095"/>
      <c r="AT76" s="1095"/>
      <c r="AU76" s="1095"/>
      <c r="AV76" s="1095"/>
      <c r="AW76" s="1095"/>
      <c r="AX76" s="1095"/>
      <c r="AY76" s="1095"/>
      <c r="AZ76" s="1095"/>
      <c r="BA76" s="1095"/>
      <c r="BB76" s="1095"/>
    </row>
    <row r="77" spans="1:54" s="268" customFormat="1" ht="14.1" customHeight="1" x14ac:dyDescent="0.2">
      <c r="AH77" s="1095"/>
      <c r="AI77" s="1095"/>
      <c r="AJ77" s="1095"/>
      <c r="AK77" s="1095"/>
      <c r="AL77" s="1095"/>
      <c r="AM77" s="1095"/>
      <c r="AN77" s="1095"/>
      <c r="AO77" s="1095"/>
      <c r="AP77" s="1095"/>
      <c r="AQ77" s="1095"/>
      <c r="AR77" s="1095"/>
      <c r="AS77" s="1095"/>
      <c r="AT77" s="1095"/>
      <c r="AU77" s="1095"/>
      <c r="AV77" s="1095"/>
      <c r="AW77" s="1095"/>
      <c r="AX77" s="1095"/>
      <c r="AY77" s="1095"/>
      <c r="AZ77" s="1095"/>
      <c r="BA77" s="1095"/>
      <c r="BB77" s="1095"/>
    </row>
    <row r="78" spans="1:54" s="268" customFormat="1" ht="14.1" customHeight="1" x14ac:dyDescent="0.2">
      <c r="AH78" s="1095"/>
      <c r="AI78" s="1095"/>
      <c r="AJ78" s="1095"/>
      <c r="AK78" s="1095"/>
      <c r="AL78" s="1095"/>
      <c r="AM78" s="1095"/>
      <c r="AN78" s="1095"/>
      <c r="AO78" s="1095"/>
      <c r="AP78" s="1095"/>
      <c r="AQ78" s="1095"/>
      <c r="AR78" s="1095"/>
      <c r="AS78" s="1095"/>
      <c r="AT78" s="1095"/>
      <c r="AU78" s="1095"/>
      <c r="AV78" s="1095"/>
      <c r="AW78" s="1095"/>
      <c r="AX78" s="1095"/>
      <c r="AY78" s="1095"/>
      <c r="AZ78" s="1095"/>
      <c r="BA78" s="1095"/>
      <c r="BB78" s="1095"/>
    </row>
    <row r="79" spans="1:54" s="268" customFormat="1" ht="14.1" customHeight="1" x14ac:dyDescent="0.2">
      <c r="AH79" s="1095"/>
      <c r="AI79" s="1095"/>
      <c r="AJ79" s="1095"/>
      <c r="AK79" s="1095"/>
      <c r="AL79" s="1095"/>
      <c r="AM79" s="1095"/>
      <c r="AN79" s="1095"/>
      <c r="AO79" s="1095"/>
      <c r="AP79" s="1095"/>
      <c r="AQ79" s="1095"/>
      <c r="AR79" s="1095"/>
      <c r="AS79" s="1095"/>
      <c r="AT79" s="1095"/>
      <c r="AU79" s="1095"/>
      <c r="AV79" s="1095"/>
      <c r="AW79" s="1095"/>
      <c r="AX79" s="1095"/>
      <c r="AY79" s="1095"/>
      <c r="AZ79" s="1095"/>
      <c r="BA79" s="1095"/>
      <c r="BB79" s="1095"/>
    </row>
    <row r="80" spans="1:54" s="268" customFormat="1" ht="14.1" customHeight="1" x14ac:dyDescent="0.2">
      <c r="A80" s="640"/>
      <c r="B80" s="1174"/>
      <c r="C80" s="634"/>
      <c r="D80" s="634"/>
      <c r="E80" s="634"/>
      <c r="F80" s="634"/>
      <c r="G80" s="634"/>
      <c r="H80" s="634"/>
      <c r="I80" s="634"/>
      <c r="J80" s="634"/>
      <c r="K80" s="634"/>
      <c r="L80" s="634"/>
      <c r="M80" s="634"/>
      <c r="N80" s="634"/>
      <c r="O80" s="634"/>
      <c r="AH80" s="1095"/>
      <c r="AI80" s="1095"/>
      <c r="AJ80" s="1095"/>
      <c r="AK80" s="1095"/>
      <c r="AL80" s="1095"/>
      <c r="AM80" s="1095"/>
      <c r="AN80" s="1095"/>
      <c r="AO80" s="1095"/>
      <c r="AP80" s="1095"/>
      <c r="AQ80" s="1095"/>
      <c r="AR80" s="1095"/>
      <c r="AS80" s="1095"/>
      <c r="AT80" s="1095"/>
      <c r="AU80" s="1095"/>
      <c r="AV80" s="1095"/>
      <c r="AW80" s="1095"/>
      <c r="AX80" s="1095"/>
      <c r="AY80" s="1095"/>
      <c r="AZ80" s="1095"/>
      <c r="BA80" s="1095"/>
      <c r="BB80" s="1095"/>
    </row>
    <row r="81" spans="1:54" s="268" customFormat="1" ht="14.1" customHeight="1" x14ac:dyDescent="0.2">
      <c r="A81" s="640"/>
      <c r="C81" s="634"/>
      <c r="D81" s="634"/>
      <c r="E81" s="634"/>
      <c r="F81" s="634"/>
      <c r="G81" s="634"/>
      <c r="H81" s="634"/>
      <c r="I81" s="634"/>
      <c r="J81" s="634"/>
      <c r="K81" s="634"/>
      <c r="L81" s="634"/>
      <c r="M81" s="634"/>
      <c r="N81" s="634"/>
      <c r="O81" s="634"/>
      <c r="AH81" s="1095"/>
      <c r="AI81" s="1095"/>
      <c r="AJ81" s="1095"/>
      <c r="AK81" s="1095"/>
      <c r="AL81" s="1095"/>
      <c r="AM81" s="1095"/>
      <c r="AN81" s="1095"/>
      <c r="AO81" s="1095"/>
      <c r="AP81" s="1095"/>
      <c r="AQ81" s="1095"/>
      <c r="AR81" s="1095"/>
      <c r="AS81" s="1095"/>
      <c r="AT81" s="1095"/>
      <c r="AU81" s="1095"/>
      <c r="AV81" s="1095"/>
      <c r="AW81" s="1095"/>
      <c r="AX81" s="1095"/>
      <c r="AY81" s="1095"/>
      <c r="AZ81" s="1095"/>
      <c r="BA81" s="1095"/>
      <c r="BB81" s="1095"/>
    </row>
    <row r="82" spans="1:54" s="268" customFormat="1" ht="14.1" customHeight="1" x14ac:dyDescent="0.2">
      <c r="AH82" s="1095"/>
      <c r="AI82" s="1095"/>
      <c r="AJ82" s="1095"/>
      <c r="AK82" s="1095"/>
      <c r="AL82" s="1095"/>
      <c r="AM82" s="1095"/>
      <c r="AN82" s="1095"/>
      <c r="AO82" s="1095"/>
      <c r="AP82" s="1095"/>
      <c r="AQ82" s="1095"/>
      <c r="AR82" s="1095"/>
      <c r="AS82" s="1095"/>
      <c r="AT82" s="1095"/>
      <c r="AU82" s="1095"/>
      <c r="AV82" s="1095"/>
      <c r="AW82" s="1095"/>
      <c r="AX82" s="1095"/>
      <c r="AY82" s="1095"/>
      <c r="AZ82" s="1095"/>
      <c r="BA82" s="1095"/>
      <c r="BB82" s="1095"/>
    </row>
    <row r="83" spans="1:54" s="268" customFormat="1" ht="14.1" customHeight="1" x14ac:dyDescent="0.2">
      <c r="E83" s="117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row>
    <row r="84" spans="1:54" s="268" customFormat="1" ht="14.1" customHeight="1" x14ac:dyDescent="0.2">
      <c r="AH84" s="1095"/>
      <c r="AI84" s="1095"/>
      <c r="AJ84" s="1095"/>
      <c r="AK84" s="1095"/>
      <c r="AL84" s="1095"/>
      <c r="AM84" s="1095"/>
      <c r="AN84" s="1095"/>
      <c r="AO84" s="1095"/>
      <c r="AP84" s="1095"/>
      <c r="AQ84" s="1095"/>
      <c r="AR84" s="1095"/>
      <c r="AS84" s="1095"/>
      <c r="AT84" s="1095"/>
      <c r="AU84" s="1095"/>
      <c r="AV84" s="1095"/>
      <c r="AW84" s="1095"/>
      <c r="AX84" s="1095"/>
      <c r="AY84" s="1095"/>
      <c r="AZ84" s="1095"/>
      <c r="BA84" s="1095"/>
      <c r="BB84" s="1095"/>
    </row>
    <row r="85" spans="1:54" s="268" customFormat="1" ht="14.1" customHeight="1" x14ac:dyDescent="0.2">
      <c r="AH85" s="1095"/>
      <c r="AI85" s="1095"/>
      <c r="AJ85" s="1095"/>
      <c r="AK85" s="1095"/>
      <c r="AL85" s="1095"/>
      <c r="AM85" s="1095"/>
      <c r="AN85" s="1095"/>
      <c r="AO85" s="1095"/>
      <c r="AP85" s="1095"/>
      <c r="AQ85" s="1095"/>
      <c r="AR85" s="1095"/>
      <c r="AS85" s="1095"/>
      <c r="AT85" s="1095"/>
      <c r="AU85" s="1095"/>
      <c r="AV85" s="1095"/>
      <c r="AW85" s="1095"/>
      <c r="AX85" s="1095"/>
      <c r="AY85" s="1095"/>
      <c r="AZ85" s="1095"/>
      <c r="BA85" s="1095"/>
      <c r="BB85" s="1095"/>
    </row>
    <row r="86" spans="1:54" s="268" customFormat="1" ht="14.1" customHeight="1" x14ac:dyDescent="0.2">
      <c r="AH86" s="1095"/>
      <c r="AI86" s="1095"/>
      <c r="AJ86" s="1095"/>
      <c r="AK86" s="1095"/>
      <c r="AL86" s="1095"/>
      <c r="AM86" s="1095"/>
      <c r="AN86" s="1095"/>
      <c r="AO86" s="1095"/>
      <c r="AP86" s="1095"/>
      <c r="AQ86" s="1095"/>
      <c r="AR86" s="1095"/>
      <c r="AS86" s="1095"/>
      <c r="AT86" s="1095"/>
      <c r="AU86" s="1095"/>
      <c r="AV86" s="1095"/>
      <c r="AW86" s="1095"/>
      <c r="AX86" s="1095"/>
      <c r="AY86" s="1095"/>
      <c r="AZ86" s="1095"/>
      <c r="BA86" s="1095"/>
      <c r="BB86" s="1095"/>
    </row>
    <row r="87" spans="1:54" s="268" customFormat="1" ht="14.1" customHeight="1" x14ac:dyDescent="0.2">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row>
    <row r="88" spans="1:54" s="268" customFormat="1" ht="14.1" customHeight="1" x14ac:dyDescent="0.2">
      <c r="AH88" s="1095"/>
      <c r="AI88" s="1095"/>
      <c r="AJ88" s="1095"/>
      <c r="AK88" s="1095"/>
      <c r="AL88" s="1095"/>
      <c r="AM88" s="1095"/>
      <c r="AN88" s="1095"/>
      <c r="AO88" s="1095"/>
      <c r="AP88" s="1095"/>
      <c r="AQ88" s="1095"/>
      <c r="AR88" s="1095"/>
      <c r="AS88" s="1095"/>
      <c r="AT88" s="1095"/>
      <c r="AU88" s="1095"/>
      <c r="AV88" s="1095"/>
      <c r="AW88" s="1095"/>
      <c r="AX88" s="1095"/>
      <c r="AY88" s="1095"/>
      <c r="AZ88" s="1095"/>
      <c r="BA88" s="1095"/>
      <c r="BB88" s="1095"/>
    </row>
    <row r="89" spans="1:54" s="188" customFormat="1" ht="14.1" customHeight="1" x14ac:dyDescent="0.2">
      <c r="AH89" s="1172"/>
      <c r="AI89" s="1172"/>
      <c r="AJ89" s="1172"/>
      <c r="AK89" s="1172"/>
      <c r="AL89" s="1172"/>
      <c r="AM89" s="1172"/>
      <c r="AN89" s="1172"/>
      <c r="AO89" s="1172"/>
      <c r="AP89" s="1172"/>
      <c r="AQ89" s="1172"/>
      <c r="AR89" s="1172"/>
      <c r="AS89" s="1172"/>
      <c r="AT89" s="1172"/>
      <c r="AU89" s="1172"/>
      <c r="AV89" s="1172"/>
      <c r="AW89" s="1172"/>
      <c r="AX89" s="1172"/>
      <c r="AY89" s="1172"/>
      <c r="AZ89" s="1172"/>
      <c r="BA89" s="1172"/>
      <c r="BB89" s="1172"/>
    </row>
    <row r="90" spans="1:54" s="188" customFormat="1" ht="14.1" customHeight="1" x14ac:dyDescent="0.2">
      <c r="AH90" s="1172"/>
      <c r="AI90" s="1172"/>
      <c r="AJ90" s="1172"/>
      <c r="AK90" s="1172"/>
      <c r="AL90" s="1172"/>
      <c r="AM90" s="1172"/>
      <c r="AN90" s="1172"/>
      <c r="AO90" s="1172"/>
      <c r="AP90" s="1172"/>
      <c r="AQ90" s="1172"/>
      <c r="AR90" s="1172"/>
      <c r="AS90" s="1172"/>
      <c r="AT90" s="1172"/>
      <c r="AU90" s="1172"/>
      <c r="AV90" s="1172"/>
      <c r="AW90" s="1172"/>
      <c r="AX90" s="1172"/>
      <c r="AY90" s="1172"/>
      <c r="AZ90" s="1172"/>
      <c r="BA90" s="1172"/>
      <c r="BB90" s="1172"/>
    </row>
    <row r="91" spans="1:54" s="188" customFormat="1" ht="14.1" customHeight="1" x14ac:dyDescent="0.2">
      <c r="AH91" s="1172"/>
      <c r="AI91" s="1172"/>
      <c r="AJ91" s="1172"/>
      <c r="AK91" s="1172"/>
      <c r="AL91" s="1172"/>
      <c r="AM91" s="1172"/>
      <c r="AN91" s="1172"/>
      <c r="AO91" s="1172"/>
      <c r="AP91" s="1172"/>
      <c r="AQ91" s="1172"/>
      <c r="AR91" s="1172"/>
      <c r="AS91" s="1172"/>
      <c r="AT91" s="1172"/>
      <c r="AU91" s="1172"/>
      <c r="AV91" s="1172"/>
      <c r="AW91" s="1172"/>
      <c r="AX91" s="1172"/>
      <c r="AY91" s="1172"/>
      <c r="AZ91" s="1172"/>
      <c r="BA91" s="1172"/>
      <c r="BB91" s="1172"/>
    </row>
    <row r="92" spans="1:54" s="188" customFormat="1" ht="14.1" customHeight="1" x14ac:dyDescent="0.2">
      <c r="AH92" s="1172"/>
      <c r="AI92" s="1172"/>
      <c r="AJ92" s="1172"/>
      <c r="AK92" s="1172"/>
      <c r="AL92" s="1172"/>
      <c r="AM92" s="1172"/>
      <c r="AN92" s="1172"/>
      <c r="AO92" s="1172"/>
      <c r="AP92" s="1172"/>
      <c r="AQ92" s="1172"/>
      <c r="AR92" s="1172"/>
      <c r="AS92" s="1172"/>
      <c r="AT92" s="1172"/>
      <c r="AU92" s="1172"/>
      <c r="AV92" s="1172"/>
      <c r="AW92" s="1172"/>
      <c r="AX92" s="1172"/>
      <c r="AY92" s="1172"/>
      <c r="AZ92" s="1172"/>
      <c r="BA92" s="1172"/>
      <c r="BB92" s="1172"/>
    </row>
    <row r="93" spans="1:54" ht="14.1" customHeight="1" x14ac:dyDescent="0.2"/>
    <row r="94" spans="1:54" ht="14.1" customHeigh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tabColor theme="9"/>
    <pageSetUpPr autoPageBreaks="0"/>
  </sheetPr>
  <dimension ref="A1:AP121"/>
  <sheetViews>
    <sheetView showGridLines="0" zoomScaleNormal="100" workbookViewId="0">
      <pane xSplit="2" ySplit="10" topLeftCell="AE11" activePane="bottomRight" state="frozen"/>
      <selection activeCell="N111" sqref="N111"/>
      <selection pane="topRight" activeCell="N111" sqref="N111"/>
      <selection pane="bottomLeft" activeCell="N111" sqref="N111"/>
      <selection pane="bottomRight" activeCell="AP5" sqref="AP5"/>
    </sheetView>
  </sheetViews>
  <sheetFormatPr defaultRowHeight="12.75" outlineLevelRow="2" x14ac:dyDescent="0.2"/>
  <cols>
    <col min="1" max="1" width="1.42578125" style="268" customWidth="1"/>
    <col min="2" max="2" width="45.42578125" style="40" customWidth="1"/>
    <col min="3" max="3" width="10.7109375" style="139" customWidth="1"/>
    <col min="4" max="4" width="10.7109375" style="132" customWidth="1"/>
    <col min="5" max="42" width="10.7109375" customWidth="1"/>
  </cols>
  <sheetData>
    <row r="1" spans="1:42" x14ac:dyDescent="0.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row>
    <row r="2" spans="1:42" x14ac:dyDescent="0.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row>
    <row r="3" spans="1:42" x14ac:dyDescent="0.2">
      <c r="C3" s="132"/>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row>
    <row r="4" spans="1:42" x14ac:dyDescent="0.2">
      <c r="B4" s="9" t="s">
        <v>214</v>
      </c>
      <c r="C4" s="132"/>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row>
    <row r="5" spans="1:42" x14ac:dyDescent="0.2">
      <c r="B5" s="113" t="s">
        <v>271</v>
      </c>
      <c r="C5" s="115" t="s">
        <v>475</v>
      </c>
      <c r="D5" s="115" t="s">
        <v>476</v>
      </c>
      <c r="E5" s="133" t="s">
        <v>477</v>
      </c>
      <c r="F5" s="133" t="s">
        <v>478</v>
      </c>
      <c r="G5" s="133" t="s">
        <v>479</v>
      </c>
      <c r="H5" s="133" t="s">
        <v>371</v>
      </c>
      <c r="I5" s="133" t="s">
        <v>372</v>
      </c>
      <c r="J5" s="133" t="s">
        <v>373</v>
      </c>
      <c r="K5" s="133" t="s">
        <v>374</v>
      </c>
      <c r="L5" s="133" t="s">
        <v>375</v>
      </c>
      <c r="M5" s="133" t="s">
        <v>376</v>
      </c>
      <c r="N5" s="133" t="s">
        <v>694</v>
      </c>
      <c r="O5" s="133" t="s">
        <v>758</v>
      </c>
      <c r="P5" s="133" t="s">
        <v>771</v>
      </c>
      <c r="Q5" s="133" t="s">
        <v>788</v>
      </c>
      <c r="R5" s="133" t="s">
        <v>844</v>
      </c>
      <c r="S5" s="133" t="s">
        <v>862</v>
      </c>
      <c r="T5" s="133" t="s">
        <v>922</v>
      </c>
      <c r="U5" s="133" t="s">
        <v>923</v>
      </c>
      <c r="V5" s="133" t="s">
        <v>924</v>
      </c>
      <c r="W5" s="133" t="s">
        <v>995</v>
      </c>
      <c r="X5" s="133" t="s">
        <v>1027</v>
      </c>
      <c r="Y5" s="133" t="s">
        <v>1028</v>
      </c>
      <c r="Z5" s="133" t="s">
        <v>993</v>
      </c>
      <c r="AA5" s="133" t="s">
        <v>1124</v>
      </c>
      <c r="AB5" s="133" t="s">
        <v>1125</v>
      </c>
      <c r="AC5" s="133" t="s">
        <v>1126</v>
      </c>
      <c r="AD5" s="133" t="s">
        <v>1127</v>
      </c>
      <c r="AE5" s="133" t="s">
        <v>1181</v>
      </c>
      <c r="AF5" s="133" t="s">
        <v>1189</v>
      </c>
      <c r="AG5" s="133" t="s">
        <v>1191</v>
      </c>
      <c r="AH5" s="133" t="s">
        <v>1193</v>
      </c>
      <c r="AI5" s="133" t="s">
        <v>1232</v>
      </c>
      <c r="AJ5" s="133" t="s">
        <v>1245</v>
      </c>
      <c r="AK5" s="133" t="s">
        <v>1247</v>
      </c>
      <c r="AL5" s="133" t="s">
        <v>1249</v>
      </c>
      <c r="AM5" s="133" t="s">
        <v>1306</v>
      </c>
      <c r="AN5" s="133" t="s">
        <v>1316</v>
      </c>
      <c r="AO5" s="133" t="s">
        <v>1317</v>
      </c>
      <c r="AP5" s="133" t="s">
        <v>1318</v>
      </c>
    </row>
    <row r="6" spans="1:42" ht="25.5" hidden="1" outlineLevel="1" x14ac:dyDescent="0.2">
      <c r="B6" s="186" t="s">
        <v>272</v>
      </c>
      <c r="C6" s="187">
        <f t="shared" ref="C6:R6" si="0">+C63+SUM(C87:C89)</f>
        <v>54433.999999999971</v>
      </c>
      <c r="D6" s="187">
        <f t="shared" si="0"/>
        <v>-38044</v>
      </c>
      <c r="E6" s="187">
        <f t="shared" si="0"/>
        <v>70041.174780000001</v>
      </c>
      <c r="F6" s="187">
        <f t="shared" si="0"/>
        <v>25579</v>
      </c>
      <c r="G6" s="187">
        <f t="shared" si="0"/>
        <v>51186.999720000022</v>
      </c>
      <c r="H6" s="187">
        <f t="shared" si="0"/>
        <v>-2641.9999999999982</v>
      </c>
      <c r="I6" s="187">
        <f t="shared" si="0"/>
        <v>28377</v>
      </c>
      <c r="J6" s="187">
        <f t="shared" si="0"/>
        <v>7437.0000000000018</v>
      </c>
      <c r="K6" s="187">
        <f t="shared" si="0"/>
        <v>16727.027199999993</v>
      </c>
      <c r="L6" s="187">
        <f t="shared" si="0"/>
        <v>18182.445259999968</v>
      </c>
      <c r="M6" s="187">
        <f t="shared" si="0"/>
        <v>33546.934711548151</v>
      </c>
      <c r="N6" s="187">
        <f t="shared" si="0"/>
        <v>16545.937288451845</v>
      </c>
      <c r="O6" s="187">
        <f t="shared" si="0"/>
        <v>47325</v>
      </c>
      <c r="P6" s="187">
        <f t="shared" si="0"/>
        <v>11895</v>
      </c>
      <c r="Q6" s="187">
        <f t="shared" si="0"/>
        <v>33009.324519999936</v>
      </c>
      <c r="R6" s="187">
        <f t="shared" si="0"/>
        <v>12660.218080000042</v>
      </c>
      <c r="S6" s="187">
        <f t="shared" ref="S6:X6" si="1">+S63</f>
        <v>55636</v>
      </c>
      <c r="T6" s="187">
        <f t="shared" si="1"/>
        <v>51412.371810000062</v>
      </c>
      <c r="U6" s="187">
        <f t="shared" si="1"/>
        <v>45622.193179999958</v>
      </c>
      <c r="V6" s="187">
        <f t="shared" si="1"/>
        <v>24899.259119999992</v>
      </c>
      <c r="W6" s="187">
        <f t="shared" si="1"/>
        <v>73009.393389999968</v>
      </c>
      <c r="X6" s="187">
        <f t="shared" si="1"/>
        <v>83569.515780000002</v>
      </c>
      <c r="Y6" s="187">
        <f>+Y63</f>
        <v>3533.416119999958</v>
      </c>
      <c r="Z6" s="187">
        <f>+Z63</f>
        <v>43612.838950000027</v>
      </c>
      <c r="AA6" s="187">
        <f>+AA63</f>
        <v>57920.245349999932</v>
      </c>
      <c r="AB6" s="187">
        <v>6722.9608511999832</v>
      </c>
      <c r="AC6" s="187">
        <v>38576.960199999994</v>
      </c>
      <c r="AD6" s="187">
        <f t="shared" ref="AD6:AI6" si="2">+AD63</f>
        <v>-49718.516980000059</v>
      </c>
      <c r="AE6" s="187">
        <f t="shared" si="2"/>
        <v>85359.709109999967</v>
      </c>
      <c r="AF6" s="187">
        <f t="shared" si="2"/>
        <v>-76.3009444250456</v>
      </c>
      <c r="AG6" s="187">
        <f t="shared" si="2"/>
        <v>59550.003068400016</v>
      </c>
      <c r="AH6" s="187">
        <f t="shared" si="2"/>
        <v>62957.361847199965</v>
      </c>
      <c r="AI6" s="187">
        <f t="shared" si="2"/>
        <v>87055.848997799796</v>
      </c>
      <c r="AJ6" s="187">
        <f>+AJ63</f>
        <v>45814.318640000201</v>
      </c>
      <c r="AK6" s="187">
        <f>+AK63</f>
        <v>67668.701230000093</v>
      </c>
      <c r="AL6" s="187">
        <f>+AL63</f>
        <v>15897.691510000186</v>
      </c>
      <c r="AM6" s="187">
        <f>+AM63</f>
        <v>84444.066839999767</v>
      </c>
      <c r="AN6" s="187">
        <f t="shared" ref="AN6:AP6" si="3">+AN63</f>
        <v>49445.657680000062</v>
      </c>
      <c r="AO6" s="187">
        <f t="shared" si="3"/>
        <v>68562.687500000116</v>
      </c>
      <c r="AP6" s="187">
        <f t="shared" si="3"/>
        <v>56234.962249699864</v>
      </c>
    </row>
    <row r="7" spans="1:42" s="233" customFormat="1" ht="25.5" hidden="1" outlineLevel="1" x14ac:dyDescent="0.2">
      <c r="A7" s="268"/>
      <c r="B7" s="234" t="s">
        <v>273</v>
      </c>
      <c r="C7" s="235">
        <f t="shared" ref="C7:E9" si="4">-C87</f>
        <v>0</v>
      </c>
      <c r="D7" s="235">
        <f t="shared" si="4"/>
        <v>0</v>
      </c>
      <c r="E7" s="235">
        <f t="shared" si="4"/>
        <v>0</v>
      </c>
      <c r="F7" s="235">
        <f t="shared" ref="F7:G9" si="5">-F87</f>
        <v>0</v>
      </c>
      <c r="G7" s="235">
        <f t="shared" si="5"/>
        <v>0</v>
      </c>
      <c r="H7" s="235">
        <f t="shared" ref="H7:I9" si="6">-H87</f>
        <v>0</v>
      </c>
      <c r="I7" s="235">
        <f t="shared" si="6"/>
        <v>0</v>
      </c>
      <c r="J7" s="235">
        <v>0</v>
      </c>
      <c r="K7" s="235">
        <v>0</v>
      </c>
      <c r="L7" s="235">
        <v>0</v>
      </c>
      <c r="M7" s="235">
        <v>0</v>
      </c>
      <c r="N7" s="235">
        <v>0</v>
      </c>
      <c r="O7" s="235">
        <v>0</v>
      </c>
      <c r="P7" s="235"/>
      <c r="Q7" s="235">
        <v>0</v>
      </c>
      <c r="R7" s="235">
        <v>0</v>
      </c>
      <c r="S7" s="235">
        <v>0</v>
      </c>
      <c r="T7" s="235"/>
      <c r="U7" s="235">
        <v>0</v>
      </c>
      <c r="V7" s="235">
        <v>0</v>
      </c>
      <c r="W7" s="235">
        <v>0</v>
      </c>
      <c r="X7" s="235">
        <v>0</v>
      </c>
      <c r="Y7" s="235">
        <v>0</v>
      </c>
      <c r="Z7" s="235">
        <v>0</v>
      </c>
      <c r="AA7" s="235">
        <v>0</v>
      </c>
      <c r="AB7" s="235">
        <v>0</v>
      </c>
      <c r="AC7" s="235">
        <v>0</v>
      </c>
      <c r="AD7" s="235">
        <v>0</v>
      </c>
      <c r="AE7" s="235"/>
      <c r="AF7" s="235">
        <v>0</v>
      </c>
      <c r="AG7" s="235">
        <v>0</v>
      </c>
      <c r="AH7" s="235">
        <v>0</v>
      </c>
      <c r="AI7" s="235">
        <v>0</v>
      </c>
      <c r="AJ7" s="235">
        <v>0</v>
      </c>
      <c r="AK7" s="235">
        <v>0</v>
      </c>
      <c r="AL7" s="235">
        <v>0</v>
      </c>
      <c r="AM7" s="235">
        <v>0</v>
      </c>
      <c r="AN7" s="235" t="s">
        <v>47</v>
      </c>
      <c r="AO7" s="235" t="s">
        <v>47</v>
      </c>
      <c r="AP7" s="235">
        <v>0</v>
      </c>
    </row>
    <row r="8" spans="1:42" s="233" customFormat="1" ht="25.5" hidden="1" outlineLevel="1" x14ac:dyDescent="0.2">
      <c r="A8" s="268"/>
      <c r="B8" s="234" t="s">
        <v>274</v>
      </c>
      <c r="C8" s="235">
        <f t="shared" si="4"/>
        <v>0</v>
      </c>
      <c r="D8" s="235">
        <f t="shared" si="4"/>
        <v>0</v>
      </c>
      <c r="E8" s="235">
        <f t="shared" si="4"/>
        <v>0</v>
      </c>
      <c r="F8" s="235">
        <f t="shared" si="5"/>
        <v>0</v>
      </c>
      <c r="G8" s="235">
        <f t="shared" si="5"/>
        <v>0</v>
      </c>
      <c r="H8" s="235">
        <f t="shared" si="6"/>
        <v>0</v>
      </c>
      <c r="I8" s="235">
        <f t="shared" si="6"/>
        <v>0</v>
      </c>
      <c r="J8" s="235">
        <v>0</v>
      </c>
      <c r="K8" s="235">
        <v>0</v>
      </c>
      <c r="L8" s="235">
        <v>0</v>
      </c>
      <c r="M8" s="235">
        <v>0</v>
      </c>
      <c r="N8" s="235">
        <v>0</v>
      </c>
      <c r="O8" s="235">
        <v>0</v>
      </c>
      <c r="P8" s="235"/>
      <c r="Q8" s="235">
        <v>0</v>
      </c>
      <c r="R8" s="235">
        <v>0</v>
      </c>
      <c r="S8" s="235">
        <v>0</v>
      </c>
      <c r="T8" s="235"/>
      <c r="U8" s="235">
        <v>0</v>
      </c>
      <c r="V8" s="235">
        <v>0</v>
      </c>
      <c r="W8" s="235">
        <v>0</v>
      </c>
      <c r="X8" s="235">
        <v>0</v>
      </c>
      <c r="Y8" s="235">
        <v>0</v>
      </c>
      <c r="Z8" s="235">
        <v>0</v>
      </c>
      <c r="AA8" s="235">
        <v>0</v>
      </c>
      <c r="AB8" s="235">
        <v>0</v>
      </c>
      <c r="AC8" s="235">
        <v>0</v>
      </c>
      <c r="AD8" s="235">
        <v>0</v>
      </c>
      <c r="AE8" s="235"/>
      <c r="AF8" s="235">
        <v>0</v>
      </c>
      <c r="AG8" s="235">
        <v>0</v>
      </c>
      <c r="AH8" s="235">
        <v>0</v>
      </c>
      <c r="AI8" s="235">
        <v>0</v>
      </c>
      <c r="AJ8" s="235">
        <v>0</v>
      </c>
      <c r="AK8" s="235">
        <v>0</v>
      </c>
      <c r="AL8" s="235">
        <v>0</v>
      </c>
      <c r="AM8" s="235">
        <v>0</v>
      </c>
      <c r="AN8" s="235" t="s">
        <v>47</v>
      </c>
      <c r="AO8" s="235" t="s">
        <v>47</v>
      </c>
      <c r="AP8" s="235">
        <v>0</v>
      </c>
    </row>
    <row r="9" spans="1:42" s="233" customFormat="1" hidden="1" outlineLevel="1" x14ac:dyDescent="0.2">
      <c r="A9" s="268"/>
      <c r="B9" s="234" t="s">
        <v>275</v>
      </c>
      <c r="C9" s="235">
        <f t="shared" si="4"/>
        <v>0</v>
      </c>
      <c r="D9" s="235">
        <f t="shared" si="4"/>
        <v>0</v>
      </c>
      <c r="E9" s="235">
        <f t="shared" si="4"/>
        <v>0</v>
      </c>
      <c r="F9" s="235">
        <f t="shared" si="5"/>
        <v>0</v>
      </c>
      <c r="G9" s="235">
        <f t="shared" si="5"/>
        <v>0</v>
      </c>
      <c r="H9" s="235">
        <f t="shared" si="6"/>
        <v>0</v>
      </c>
      <c r="I9" s="235">
        <f t="shared" si="6"/>
        <v>0</v>
      </c>
      <c r="J9" s="235">
        <v>0</v>
      </c>
      <c r="K9" s="235">
        <v>0</v>
      </c>
      <c r="L9" s="235">
        <v>0</v>
      </c>
      <c r="M9" s="235">
        <v>0</v>
      </c>
      <c r="N9" s="235">
        <v>0</v>
      </c>
      <c r="O9" s="235">
        <v>0</v>
      </c>
      <c r="P9" s="235"/>
      <c r="Q9" s="235">
        <v>0</v>
      </c>
      <c r="R9" s="235">
        <v>0</v>
      </c>
      <c r="S9" s="235">
        <v>0</v>
      </c>
      <c r="T9" s="235"/>
      <c r="U9" s="235">
        <v>0</v>
      </c>
      <c r="V9" s="235">
        <v>0</v>
      </c>
      <c r="W9" s="235">
        <v>0</v>
      </c>
      <c r="X9" s="235">
        <v>0</v>
      </c>
      <c r="Y9" s="235">
        <v>0</v>
      </c>
      <c r="Z9" s="235">
        <v>0</v>
      </c>
      <c r="AA9" s="235">
        <v>0</v>
      </c>
      <c r="AB9" s="235">
        <v>0</v>
      </c>
      <c r="AC9" s="235">
        <v>0</v>
      </c>
      <c r="AD9" s="235">
        <v>0</v>
      </c>
      <c r="AE9" s="235"/>
      <c r="AF9" s="235">
        <v>0</v>
      </c>
      <c r="AG9" s="235">
        <v>0</v>
      </c>
      <c r="AH9" s="235">
        <v>0</v>
      </c>
      <c r="AI9" s="235">
        <v>0</v>
      </c>
      <c r="AJ9" s="235">
        <v>0</v>
      </c>
      <c r="AK9" s="235">
        <v>0</v>
      </c>
      <c r="AL9" s="235">
        <v>0</v>
      </c>
      <c r="AM9" s="235">
        <v>0</v>
      </c>
      <c r="AN9" s="235" t="s">
        <v>47</v>
      </c>
      <c r="AO9" s="235" t="s">
        <v>47</v>
      </c>
      <c r="AP9" s="235">
        <v>0</v>
      </c>
    </row>
    <row r="10" spans="1:42" s="233" customFormat="1" ht="25.5" hidden="1" outlineLevel="1" x14ac:dyDescent="0.2">
      <c r="A10" s="268"/>
      <c r="B10" s="234" t="s">
        <v>276</v>
      </c>
      <c r="C10" s="235">
        <v>5405.6363199999896</v>
      </c>
      <c r="D10" s="235">
        <v>2003.9024199999999</v>
      </c>
      <c r="E10" s="235">
        <v>297.32211999999998</v>
      </c>
      <c r="F10" s="235">
        <v>0</v>
      </c>
      <c r="G10" s="235">
        <v>0</v>
      </c>
      <c r="H10" s="235">
        <v>0</v>
      </c>
      <c r="I10" s="235">
        <v>0</v>
      </c>
      <c r="J10" s="235">
        <v>0</v>
      </c>
      <c r="K10" s="235">
        <v>0</v>
      </c>
      <c r="L10" s="235">
        <v>0</v>
      </c>
      <c r="M10" s="235">
        <v>0</v>
      </c>
      <c r="N10" s="235">
        <v>0</v>
      </c>
      <c r="O10" s="235">
        <v>0</v>
      </c>
      <c r="P10" s="235"/>
      <c r="Q10" s="235">
        <v>0</v>
      </c>
      <c r="R10" s="235">
        <v>0</v>
      </c>
      <c r="S10" s="235">
        <v>0</v>
      </c>
      <c r="T10" s="235"/>
      <c r="U10" s="235">
        <v>0</v>
      </c>
      <c r="V10" s="235">
        <v>0</v>
      </c>
      <c r="W10" s="235">
        <v>0</v>
      </c>
      <c r="X10" s="235">
        <v>0</v>
      </c>
      <c r="Y10" s="235">
        <v>0</v>
      </c>
      <c r="Z10" s="235">
        <v>0</v>
      </c>
      <c r="AA10" s="235">
        <v>0</v>
      </c>
      <c r="AB10" s="235">
        <v>0</v>
      </c>
      <c r="AC10" s="235">
        <v>0</v>
      </c>
      <c r="AD10" s="235">
        <v>0</v>
      </c>
      <c r="AE10" s="235"/>
      <c r="AF10" s="235">
        <v>0</v>
      </c>
      <c r="AG10" s="235">
        <v>0</v>
      </c>
      <c r="AH10" s="235">
        <v>0</v>
      </c>
      <c r="AI10" s="235">
        <v>0</v>
      </c>
      <c r="AJ10" s="235">
        <v>0</v>
      </c>
      <c r="AK10" s="235">
        <v>0</v>
      </c>
      <c r="AL10" s="235">
        <v>0</v>
      </c>
      <c r="AM10" s="235">
        <v>0</v>
      </c>
      <c r="AN10" s="235" t="s">
        <v>47</v>
      </c>
      <c r="AO10" s="235" t="s">
        <v>47</v>
      </c>
      <c r="AP10" s="235">
        <v>0</v>
      </c>
    </row>
    <row r="11" spans="1:42" ht="25.5" collapsed="1" x14ac:dyDescent="0.2">
      <c r="B11" s="186" t="s">
        <v>277</v>
      </c>
      <c r="C11" s="137">
        <f>+C6-SUM(C7:C10)</f>
        <v>49028.36367999998</v>
      </c>
      <c r="D11" s="137">
        <f>+D6-SUM(D7:D10)</f>
        <v>-40047.902419999999</v>
      </c>
      <c r="E11" s="137">
        <f t="shared" ref="E11:L11" si="7">+E6-SUM(E7:E10)</f>
        <v>69743.852660000004</v>
      </c>
      <c r="F11" s="137">
        <f t="shared" si="7"/>
        <v>25579</v>
      </c>
      <c r="G11" s="137">
        <f t="shared" si="7"/>
        <v>51186.999720000022</v>
      </c>
      <c r="H11" s="137">
        <f t="shared" si="7"/>
        <v>-2641.9999999999982</v>
      </c>
      <c r="I11" s="137">
        <f t="shared" si="7"/>
        <v>28377</v>
      </c>
      <c r="J11" s="137">
        <f t="shared" si="7"/>
        <v>7437.0000000000018</v>
      </c>
      <c r="K11" s="137">
        <f t="shared" si="7"/>
        <v>16727.027199999993</v>
      </c>
      <c r="L11" s="137">
        <f t="shared" si="7"/>
        <v>18182.445259999968</v>
      </c>
      <c r="M11" s="137">
        <f t="shared" ref="M11:S11" si="8">+M6-SUM(M7:M10)</f>
        <v>33546.934711548151</v>
      </c>
      <c r="N11" s="137">
        <f t="shared" si="8"/>
        <v>16545.937288451845</v>
      </c>
      <c r="O11" s="137">
        <f t="shared" si="8"/>
        <v>47325</v>
      </c>
      <c r="P11" s="137">
        <f t="shared" si="8"/>
        <v>11895</v>
      </c>
      <c r="Q11" s="137">
        <f t="shared" si="8"/>
        <v>33009.324519999936</v>
      </c>
      <c r="R11" s="137">
        <f t="shared" si="8"/>
        <v>12660.218080000042</v>
      </c>
      <c r="S11" s="137">
        <f t="shared" si="8"/>
        <v>55636</v>
      </c>
      <c r="T11" s="137">
        <f t="shared" ref="T11:AA11" si="9">+T6-SUM(T7:T10)</f>
        <v>51412.371810000062</v>
      </c>
      <c r="U11" s="137">
        <f t="shared" si="9"/>
        <v>45622.193179999958</v>
      </c>
      <c r="V11" s="137">
        <f t="shared" si="9"/>
        <v>24899.259119999992</v>
      </c>
      <c r="W11" s="854">
        <f t="shared" si="9"/>
        <v>73009.393389999968</v>
      </c>
      <c r="X11" s="137">
        <f t="shared" si="9"/>
        <v>83569.515780000002</v>
      </c>
      <c r="Y11" s="137">
        <f t="shared" si="9"/>
        <v>3533.416119999958</v>
      </c>
      <c r="Z11" s="137">
        <f t="shared" si="9"/>
        <v>43612.838950000027</v>
      </c>
      <c r="AA11" s="137">
        <f t="shared" si="9"/>
        <v>57920.245349999932</v>
      </c>
      <c r="AB11" s="137">
        <f t="shared" ref="AB11:AL11" si="10">+AB6-SUM(AB7:AB10)</f>
        <v>6722.9608511999832</v>
      </c>
      <c r="AC11" s="137">
        <f t="shared" si="10"/>
        <v>38576.960199999994</v>
      </c>
      <c r="AD11" s="137">
        <f t="shared" si="10"/>
        <v>-49718.516980000059</v>
      </c>
      <c r="AE11" s="137">
        <f t="shared" si="10"/>
        <v>85359.709109999967</v>
      </c>
      <c r="AF11" s="137">
        <f t="shared" si="10"/>
        <v>-76.3009444250456</v>
      </c>
      <c r="AG11" s="137">
        <f t="shared" si="10"/>
        <v>59550.003068400016</v>
      </c>
      <c r="AH11" s="137">
        <f t="shared" si="10"/>
        <v>62957.361847199965</v>
      </c>
      <c r="AI11" s="137">
        <f t="shared" si="10"/>
        <v>87055.848997799796</v>
      </c>
      <c r="AJ11" s="137">
        <f t="shared" si="10"/>
        <v>45814.318640000201</v>
      </c>
      <c r="AK11" s="137">
        <f t="shared" si="10"/>
        <v>67668.701230000093</v>
      </c>
      <c r="AL11" s="137">
        <f t="shared" si="10"/>
        <v>15897.691510000186</v>
      </c>
      <c r="AM11" s="137">
        <f t="shared" ref="AM11:AP11" si="11">+AM6-SUM(AM7:AM10)</f>
        <v>84444.066839999767</v>
      </c>
      <c r="AN11" s="137">
        <f t="shared" si="11"/>
        <v>49445.657680000062</v>
      </c>
      <c r="AO11" s="137">
        <f t="shared" ref="AO11" si="12">+AO6-SUM(AO7:AO10)</f>
        <v>68562.687500000116</v>
      </c>
      <c r="AP11" s="137">
        <f t="shared" si="11"/>
        <v>56234.962249699864</v>
      </c>
    </row>
    <row r="12" spans="1:42" x14ac:dyDescent="0.2">
      <c r="B12" s="186" t="s">
        <v>278</v>
      </c>
      <c r="C12" s="137">
        <f t="shared" ref="C12:L12" si="13">+C66+C65</f>
        <v>-11655</v>
      </c>
      <c r="D12" s="137">
        <f t="shared" si="13"/>
        <v>-18076</v>
      </c>
      <c r="E12" s="137">
        <f t="shared" si="13"/>
        <v>-24512</v>
      </c>
      <c r="F12" s="137">
        <f t="shared" si="13"/>
        <v>-15090</v>
      </c>
      <c r="G12" s="137">
        <f t="shared" si="13"/>
        <v>-10828</v>
      </c>
      <c r="H12" s="137">
        <f t="shared" si="13"/>
        <v>-11244</v>
      </c>
      <c r="I12" s="137">
        <f t="shared" si="13"/>
        <v>-4304</v>
      </c>
      <c r="J12" s="137">
        <f t="shared" si="13"/>
        <v>-6620</v>
      </c>
      <c r="K12" s="137">
        <f t="shared" si="13"/>
        <v>-5300.027199999985</v>
      </c>
      <c r="L12" s="137">
        <f t="shared" si="13"/>
        <v>-6918.85</v>
      </c>
      <c r="M12" s="137">
        <f t="shared" ref="M12:S12" si="14">+M66+M65</f>
        <v>-6577.0201200000001</v>
      </c>
      <c r="N12" s="137">
        <f t="shared" si="14"/>
        <v>-5385.2518799999998</v>
      </c>
      <c r="O12" s="137">
        <f t="shared" si="14"/>
        <v>-3136</v>
      </c>
      <c r="P12" s="137">
        <f t="shared" si="14"/>
        <v>-3791</v>
      </c>
      <c r="Q12" s="137">
        <f t="shared" si="14"/>
        <v>-15137.324519999936</v>
      </c>
      <c r="R12" s="137">
        <f t="shared" si="14"/>
        <v>-11168.218080000042</v>
      </c>
      <c r="S12" s="137">
        <f t="shared" si="14"/>
        <v>-9354</v>
      </c>
      <c r="T12" s="137">
        <f t="shared" ref="T12:AA12" si="15">+T66+T65</f>
        <v>-14768.371810000062</v>
      </c>
      <c r="U12" s="137">
        <f t="shared" si="15"/>
        <v>-3487.6281899999376</v>
      </c>
      <c r="V12" s="137">
        <f t="shared" si="15"/>
        <v>-11298</v>
      </c>
      <c r="W12" s="137">
        <f t="shared" si="15"/>
        <v>-5535</v>
      </c>
      <c r="X12" s="137">
        <f t="shared" si="15"/>
        <v>-4534</v>
      </c>
      <c r="Y12" s="137">
        <f t="shared" si="15"/>
        <v>-4723</v>
      </c>
      <c r="Z12" s="137">
        <f t="shared" si="15"/>
        <v>-3159</v>
      </c>
      <c r="AA12" s="137">
        <f t="shared" si="15"/>
        <v>-4813</v>
      </c>
      <c r="AB12" s="137">
        <f t="shared" ref="AB12:AL12" si="16">+AB66+AB65</f>
        <v>-8470</v>
      </c>
      <c r="AC12" s="137">
        <f t="shared" si="16"/>
        <v>-9638</v>
      </c>
      <c r="AD12" s="137">
        <f t="shared" si="16"/>
        <v>-5663</v>
      </c>
      <c r="AE12" s="137">
        <f t="shared" si="16"/>
        <v>-5791</v>
      </c>
      <c r="AF12" s="137">
        <f t="shared" si="16"/>
        <v>-9259</v>
      </c>
      <c r="AG12" s="137">
        <f t="shared" si="16"/>
        <v>-7154</v>
      </c>
      <c r="AH12" s="137">
        <f t="shared" si="16"/>
        <v>-7897</v>
      </c>
      <c r="AI12" s="137">
        <f t="shared" si="16"/>
        <v>-19450</v>
      </c>
      <c r="AJ12" s="137">
        <f t="shared" si="16"/>
        <v>-4662</v>
      </c>
      <c r="AK12" s="137">
        <f t="shared" si="16"/>
        <v>-9741</v>
      </c>
      <c r="AL12" s="137">
        <f t="shared" si="16"/>
        <v>-8841</v>
      </c>
      <c r="AM12" s="137">
        <f t="shared" ref="AM12:AP12" si="17">+AM66+AM65</f>
        <v>-16032</v>
      </c>
      <c r="AN12" s="137">
        <f t="shared" si="17"/>
        <v>-13366</v>
      </c>
      <c r="AO12" s="137">
        <f t="shared" ref="AO12" si="18">+AO66+AO65</f>
        <v>-6901</v>
      </c>
      <c r="AP12" s="137">
        <f t="shared" si="17"/>
        <v>-20471</v>
      </c>
    </row>
    <row r="13" spans="1:42" x14ac:dyDescent="0.2">
      <c r="B13" s="848" t="s">
        <v>1000</v>
      </c>
      <c r="C13" s="137"/>
      <c r="D13" s="137"/>
      <c r="E13" s="137"/>
      <c r="F13" s="137"/>
      <c r="G13" s="137"/>
      <c r="H13" s="137"/>
      <c r="I13" s="137"/>
      <c r="J13" s="137"/>
      <c r="K13" s="137"/>
      <c r="L13" s="137"/>
      <c r="M13" s="137"/>
      <c r="N13" s="137"/>
      <c r="O13" s="137"/>
      <c r="P13" s="137"/>
      <c r="Q13" s="137"/>
      <c r="R13" s="137"/>
      <c r="S13" s="137">
        <f t="shared" ref="S13:X13" si="19">+S82</f>
        <v>-5514</v>
      </c>
      <c r="T13" s="137">
        <f t="shared" si="19"/>
        <v>-6540</v>
      </c>
      <c r="U13" s="137">
        <f t="shared" si="19"/>
        <v>-7697</v>
      </c>
      <c r="V13" s="137">
        <f t="shared" si="19"/>
        <v>-10243</v>
      </c>
      <c r="W13" s="137">
        <f t="shared" si="19"/>
        <v>-8318</v>
      </c>
      <c r="X13" s="137">
        <f t="shared" si="19"/>
        <v>-6744</v>
      </c>
      <c r="Y13" s="137">
        <f t="shared" ref="Y13:AF13" si="20">+Y82</f>
        <v>-7498</v>
      </c>
      <c r="Z13" s="137">
        <f t="shared" si="20"/>
        <v>-7879</v>
      </c>
      <c r="AA13" s="137">
        <f t="shared" si="20"/>
        <v>-8938</v>
      </c>
      <c r="AB13" s="137">
        <f t="shared" si="20"/>
        <v>-7989</v>
      </c>
      <c r="AC13" s="137">
        <f t="shared" si="20"/>
        <v>-7821</v>
      </c>
      <c r="AD13" s="137">
        <f t="shared" si="20"/>
        <v>-7801</v>
      </c>
      <c r="AE13" s="137">
        <f t="shared" si="20"/>
        <v>-7337</v>
      </c>
      <c r="AF13" s="137">
        <f t="shared" si="20"/>
        <v>-7711</v>
      </c>
      <c r="AG13" s="137">
        <f t="shared" ref="AG13:AL13" si="21">+AG82</f>
        <v>-11299</v>
      </c>
      <c r="AH13" s="137">
        <f t="shared" si="21"/>
        <v>-8738</v>
      </c>
      <c r="AI13" s="137">
        <f t="shared" si="21"/>
        <v>-8139</v>
      </c>
      <c r="AJ13" s="137">
        <f t="shared" si="21"/>
        <v>-7850</v>
      </c>
      <c r="AK13" s="137">
        <f t="shared" si="21"/>
        <v>-8241</v>
      </c>
      <c r="AL13" s="137">
        <f t="shared" si="21"/>
        <v>-8760</v>
      </c>
      <c r="AM13" s="137">
        <f t="shared" ref="AM13:AP13" si="22">+AM82</f>
        <v>-7662</v>
      </c>
      <c r="AN13" s="137">
        <f t="shared" si="22"/>
        <v>-7743</v>
      </c>
      <c r="AO13" s="137">
        <f t="shared" ref="AO13" si="23">+AO82</f>
        <v>-8056</v>
      </c>
      <c r="AP13" s="137">
        <f t="shared" si="22"/>
        <v>-8107</v>
      </c>
    </row>
    <row r="14" spans="1:42" x14ac:dyDescent="0.2">
      <c r="B14" s="124" t="s">
        <v>279</v>
      </c>
      <c r="C14" s="135">
        <f>+C12+C11</f>
        <v>37373.36367999998</v>
      </c>
      <c r="D14" s="135">
        <f>+D12+D11</f>
        <v>-58123.902419999999</v>
      </c>
      <c r="E14" s="135">
        <f t="shared" ref="E14:R14" si="24">+E12+E11</f>
        <v>45231.852660000004</v>
      </c>
      <c r="F14" s="135">
        <f t="shared" si="24"/>
        <v>10489</v>
      </c>
      <c r="G14" s="135">
        <f t="shared" si="24"/>
        <v>40358.999720000022</v>
      </c>
      <c r="H14" s="135">
        <f t="shared" si="24"/>
        <v>-13885.999999999998</v>
      </c>
      <c r="I14" s="135">
        <f t="shared" si="24"/>
        <v>24073</v>
      </c>
      <c r="J14" s="135">
        <f t="shared" si="24"/>
        <v>817.00000000000182</v>
      </c>
      <c r="K14" s="135">
        <f t="shared" si="24"/>
        <v>11427.000000000007</v>
      </c>
      <c r="L14" s="135">
        <f t="shared" si="24"/>
        <v>11263.595259999967</v>
      </c>
      <c r="M14" s="135">
        <f t="shared" si="24"/>
        <v>26969.914591548149</v>
      </c>
      <c r="N14" s="135">
        <f t="shared" si="24"/>
        <v>11160.685408451845</v>
      </c>
      <c r="O14" s="135">
        <f t="shared" si="24"/>
        <v>44189</v>
      </c>
      <c r="P14" s="135">
        <f t="shared" si="24"/>
        <v>8104</v>
      </c>
      <c r="Q14" s="135">
        <f t="shared" si="24"/>
        <v>17872</v>
      </c>
      <c r="R14" s="135">
        <f t="shared" si="24"/>
        <v>1492</v>
      </c>
      <c r="S14" s="135">
        <f t="shared" ref="S14:X14" si="25">+S12+S11+S13</f>
        <v>40768</v>
      </c>
      <c r="T14" s="135">
        <f t="shared" si="25"/>
        <v>30104</v>
      </c>
      <c r="U14" s="135">
        <f t="shared" si="25"/>
        <v>34437.564990000021</v>
      </c>
      <c r="V14" s="135">
        <f t="shared" si="25"/>
        <v>3358.2591199999915</v>
      </c>
      <c r="W14" s="135">
        <f t="shared" si="25"/>
        <v>59156.393389999968</v>
      </c>
      <c r="X14" s="135">
        <f t="shared" si="25"/>
        <v>72291.515780000002</v>
      </c>
      <c r="Y14" s="135">
        <f>+Y12+Y11+Y13</f>
        <v>-8687.583880000042</v>
      </c>
      <c r="Z14" s="135">
        <f>+Z12+Z11+Z13</f>
        <v>32574.838950000027</v>
      </c>
      <c r="AA14" s="135">
        <f>+AA12+AA11+AA13</f>
        <v>44169.245349999932</v>
      </c>
      <c r="AB14" s="135">
        <f>+AB12+AB11+AB13</f>
        <v>-9736.0391488000168</v>
      </c>
      <c r="AC14" s="135">
        <v>21117.960199999994</v>
      </c>
      <c r="AD14" s="135">
        <f t="shared" ref="AD14:AI14" si="26">+AD12+AD11+AD13</f>
        <v>-63182.516980000059</v>
      </c>
      <c r="AE14" s="135">
        <f t="shared" si="26"/>
        <v>72231.709109999967</v>
      </c>
      <c r="AF14" s="135">
        <f t="shared" si="26"/>
        <v>-17046.300944425046</v>
      </c>
      <c r="AG14" s="135">
        <f t="shared" si="26"/>
        <v>41097.003068400016</v>
      </c>
      <c r="AH14" s="135">
        <f t="shared" si="26"/>
        <v>46322.361847199965</v>
      </c>
      <c r="AI14" s="135">
        <f t="shared" si="26"/>
        <v>59466.848997799796</v>
      </c>
      <c r="AJ14" s="135">
        <f t="shared" ref="AJ14:AL14" si="27">+AJ12+AJ11+AJ13</f>
        <v>33302.318640000201</v>
      </c>
      <c r="AK14" s="135">
        <f t="shared" si="27"/>
        <v>49686.701230000093</v>
      </c>
      <c r="AL14" s="135">
        <f t="shared" si="27"/>
        <v>-1703.3084899998139</v>
      </c>
      <c r="AM14" s="135">
        <f t="shared" ref="AM14:AP14" si="28">+AM12+AM11+AM13</f>
        <v>60750.066839999767</v>
      </c>
      <c r="AN14" s="135">
        <f t="shared" si="28"/>
        <v>28336.657680000062</v>
      </c>
      <c r="AO14" s="135">
        <f t="shared" ref="AO14" si="29">+AO12+AO11+AO13</f>
        <v>53605.687500000116</v>
      </c>
      <c r="AP14" s="135">
        <f t="shared" si="28"/>
        <v>27656.962249699864</v>
      </c>
    </row>
    <row r="15" spans="1:42" x14ac:dyDescent="0.2">
      <c r="B15" s="188"/>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row>
    <row r="16" spans="1:42" x14ac:dyDescent="0.2">
      <c r="D16" s="139"/>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row>
    <row r="17" spans="2:42" x14ac:dyDescent="0.2">
      <c r="B17" s="113" t="s">
        <v>280</v>
      </c>
      <c r="C17" s="198" t="str">
        <f t="shared" ref="C17:M17" si="30">C5</f>
        <v>1Q15</v>
      </c>
      <c r="D17" s="198" t="str">
        <f t="shared" si="30"/>
        <v>2Q15</v>
      </c>
      <c r="E17" s="198" t="str">
        <f t="shared" si="30"/>
        <v>3Q15</v>
      </c>
      <c r="F17" s="198" t="str">
        <f t="shared" si="30"/>
        <v>4Q15</v>
      </c>
      <c r="G17" s="198" t="str">
        <f t="shared" si="30"/>
        <v>1Q16</v>
      </c>
      <c r="H17" s="198" t="str">
        <f t="shared" si="30"/>
        <v>2Q16</v>
      </c>
      <c r="I17" s="198" t="str">
        <f t="shared" si="30"/>
        <v>3Q16</v>
      </c>
      <c r="J17" s="198" t="str">
        <f t="shared" si="30"/>
        <v>4Q16</v>
      </c>
      <c r="K17" s="198" t="str">
        <f t="shared" si="30"/>
        <v>1Q17</v>
      </c>
      <c r="L17" s="198" t="str">
        <f t="shared" si="30"/>
        <v>2Q17</v>
      </c>
      <c r="M17" s="198" t="str">
        <f t="shared" si="30"/>
        <v>3Q17</v>
      </c>
      <c r="N17" s="198" t="str">
        <f t="shared" ref="N17:V17" si="31">N5</f>
        <v>4Q17</v>
      </c>
      <c r="O17" s="198" t="str">
        <f t="shared" si="31"/>
        <v>1Q18</v>
      </c>
      <c r="P17" s="198" t="str">
        <f t="shared" si="31"/>
        <v>2Q18</v>
      </c>
      <c r="Q17" s="198" t="str">
        <f t="shared" si="31"/>
        <v>3Q18</v>
      </c>
      <c r="R17" s="198" t="str">
        <f t="shared" si="31"/>
        <v>4Q18</v>
      </c>
      <c r="S17" s="198" t="str">
        <f t="shared" si="31"/>
        <v>1Q19</v>
      </c>
      <c r="T17" s="198" t="str">
        <f t="shared" si="31"/>
        <v>2Q19</v>
      </c>
      <c r="U17" s="198" t="str">
        <f t="shared" si="31"/>
        <v>3Q19</v>
      </c>
      <c r="V17" s="198" t="str">
        <f t="shared" si="31"/>
        <v>4Q19</v>
      </c>
      <c r="W17" s="198" t="str">
        <f t="shared" ref="W17:AF17" si="32">W5</f>
        <v>1Q20</v>
      </c>
      <c r="X17" s="198" t="str">
        <f t="shared" si="32"/>
        <v>2Q20</v>
      </c>
      <c r="Y17" s="198" t="str">
        <f t="shared" si="32"/>
        <v>3Q20</v>
      </c>
      <c r="Z17" s="198" t="str">
        <f t="shared" si="32"/>
        <v>4Q20</v>
      </c>
      <c r="AA17" s="198" t="str">
        <f t="shared" si="32"/>
        <v>1Q21</v>
      </c>
      <c r="AB17" s="198" t="str">
        <f t="shared" si="32"/>
        <v>2Q21</v>
      </c>
      <c r="AC17" s="198" t="str">
        <f t="shared" si="32"/>
        <v>3Q21</v>
      </c>
      <c r="AD17" s="198" t="str">
        <f t="shared" si="32"/>
        <v>4Q21</v>
      </c>
      <c r="AE17" s="198" t="str">
        <f t="shared" si="32"/>
        <v>1Q22</v>
      </c>
      <c r="AF17" s="198" t="str">
        <f t="shared" si="32"/>
        <v>2Q22</v>
      </c>
      <c r="AG17" s="198" t="str">
        <f t="shared" ref="AG17:AP17" si="33">AG5</f>
        <v>3Q22</v>
      </c>
      <c r="AH17" s="198" t="str">
        <f t="shared" si="33"/>
        <v>4Q22</v>
      </c>
      <c r="AI17" s="198" t="str">
        <f t="shared" si="33"/>
        <v>1Q23</v>
      </c>
      <c r="AJ17" s="198" t="str">
        <f t="shared" si="33"/>
        <v>2Q23</v>
      </c>
      <c r="AK17" s="198" t="str">
        <f t="shared" si="33"/>
        <v>3Q23</v>
      </c>
      <c r="AL17" s="198" t="str">
        <f t="shared" si="33"/>
        <v>4Q23</v>
      </c>
      <c r="AM17" s="198" t="str">
        <f t="shared" si="33"/>
        <v>1Q24</v>
      </c>
      <c r="AN17" s="198" t="str">
        <f t="shared" si="33"/>
        <v>2Q24</v>
      </c>
      <c r="AO17" s="198" t="str">
        <f t="shared" si="33"/>
        <v>3Q24</v>
      </c>
      <c r="AP17" s="198" t="str">
        <f t="shared" si="33"/>
        <v>4Q24</v>
      </c>
    </row>
    <row r="18" spans="2:42" x14ac:dyDescent="0.2">
      <c r="B18" s="134" t="s">
        <v>715</v>
      </c>
      <c r="C18" s="135">
        <f>IncS!T28</f>
        <v>7499.9999999999709</v>
      </c>
      <c r="D18" s="135">
        <f>IncS!U28</f>
        <v>1183</v>
      </c>
      <c r="E18" s="135">
        <f>IncS!V28</f>
        <v>5101.3234399999501</v>
      </c>
      <c r="F18" s="135">
        <f>IncS!W28</f>
        <v>-3853.5034754000353</v>
      </c>
      <c r="G18" s="135">
        <f>IncS!X28</f>
        <v>-1903.0002799999793</v>
      </c>
      <c r="H18" s="135">
        <f>IncS!Y28</f>
        <v>-688.32862999998008</v>
      </c>
      <c r="I18" s="135">
        <f>IncS!Z28</f>
        <v>3841.5552999999754</v>
      </c>
      <c r="J18" s="135">
        <f>IncS!AA28</f>
        <v>12576.107320000019</v>
      </c>
      <c r="K18" s="135">
        <f>IncS!AB28</f>
        <v>5452.2331999999906</v>
      </c>
      <c r="L18" s="135">
        <f>IncS!AC28</f>
        <v>24056.729979999967</v>
      </c>
      <c r="M18" s="135">
        <f>IncS!AD28</f>
        <v>15286.860620000039</v>
      </c>
      <c r="N18" s="135">
        <f>IncS!AE28</f>
        <v>58966.291639999938</v>
      </c>
      <c r="O18" s="135">
        <f>IncS!AF28</f>
        <v>13996.041430000012</v>
      </c>
      <c r="P18" s="135">
        <f>IncS!AG28</f>
        <v>28185.873939999947</v>
      </c>
      <c r="Q18" s="135">
        <f>IncS!AH28</f>
        <v>31106.591149999935</v>
      </c>
      <c r="R18" s="135">
        <f>IncS!AI28</f>
        <v>34961.001910000043</v>
      </c>
      <c r="S18" s="135">
        <f>IncS!AJ28</f>
        <v>26622.405009999984</v>
      </c>
      <c r="T18" s="135">
        <f>IncS!AK28</f>
        <v>32513.429780000064</v>
      </c>
      <c r="U18" s="135">
        <f>IncS!AL28</f>
        <v>91391.468380000093</v>
      </c>
      <c r="V18" s="135">
        <f>IncS!AM28</f>
        <v>43444.958539999992</v>
      </c>
      <c r="W18" s="135">
        <f>IncS!AN30</f>
        <v>19286.424459999962</v>
      </c>
      <c r="X18" s="135">
        <f>IncS!AO30</f>
        <v>-4362.8403299999954</v>
      </c>
      <c r="Y18" s="135">
        <f>IncS!AP30</f>
        <v>29939.285839999957</v>
      </c>
      <c r="Z18" s="135">
        <f>IncS!AQ28</f>
        <v>28646.496590000024</v>
      </c>
      <c r="AA18" s="135">
        <f>IncS!AR28</f>
        <v>20158.245349999932</v>
      </c>
      <c r="AB18" s="135">
        <f>IncS!AS28</f>
        <v>24155.960851199983</v>
      </c>
      <c r="AC18" s="135">
        <f>IncS!AT28</f>
        <v>34192.960199999994</v>
      </c>
      <c r="AD18" s="135">
        <f>IncS!AU28</f>
        <v>29278.483019999941</v>
      </c>
      <c r="AE18" s="135">
        <f>IncS!AV28</f>
        <v>18782.709109999967</v>
      </c>
      <c r="AF18" s="135">
        <f>IncS!AW28</f>
        <v>30580.699055574954</v>
      </c>
      <c r="AG18" s="135">
        <f>IncS!AX28</f>
        <v>53469.003068400016</v>
      </c>
      <c r="AH18" s="135">
        <f>IncS!AY28</f>
        <v>56832.361847199965</v>
      </c>
      <c r="AI18" s="135">
        <f>IncS!AZ28</f>
        <v>34722.848997799796</v>
      </c>
      <c r="AJ18" s="135">
        <f>IncS!BA28</f>
        <v>39856.318640000201</v>
      </c>
      <c r="AK18" s="135">
        <f>IncS!BB28</f>
        <v>56312.701230000086</v>
      </c>
      <c r="AL18" s="135">
        <f>IncS!BC28</f>
        <v>51020.691510000186</v>
      </c>
      <c r="AM18" s="135">
        <f>IncS!BD28</f>
        <v>37515.066839999767</v>
      </c>
      <c r="AN18" s="135">
        <f>IncS!BE28</f>
        <v>63514.657680000062</v>
      </c>
      <c r="AO18" s="135">
        <f>IncS!BF28</f>
        <v>84445.687500000116</v>
      </c>
      <c r="AP18" s="135">
        <f>IncS!BG28</f>
        <v>85136.962249699864</v>
      </c>
    </row>
    <row r="19" spans="2:42" x14ac:dyDescent="0.2">
      <c r="B19" s="136" t="s">
        <v>281</v>
      </c>
      <c r="C19" s="137">
        <v>6412.0000000000009</v>
      </c>
      <c r="D19" s="137">
        <v>7111.9999999999991</v>
      </c>
      <c r="E19" s="137">
        <v>6673</v>
      </c>
      <c r="F19" s="137">
        <v>7719</v>
      </c>
      <c r="G19" s="137">
        <v>7205</v>
      </c>
      <c r="H19" s="137">
        <v>9299</v>
      </c>
      <c r="I19" s="137">
        <v>6737</v>
      </c>
      <c r="J19" s="137">
        <v>6859</v>
      </c>
      <c r="K19" s="137">
        <v>6572</v>
      </c>
      <c r="L19" s="137">
        <v>6832</v>
      </c>
      <c r="M19" s="137">
        <v>7305</v>
      </c>
      <c r="N19" s="137">
        <v>7435</v>
      </c>
      <c r="O19" s="137">
        <v>6910</v>
      </c>
      <c r="P19" s="137">
        <v>8910</v>
      </c>
      <c r="Q19" s="137">
        <v>6854</v>
      </c>
      <c r="R19" s="137">
        <v>6616</v>
      </c>
      <c r="S19" s="137">
        <v>6470</v>
      </c>
      <c r="T19" s="137">
        <v>6502</v>
      </c>
      <c r="U19" s="137">
        <v>6554</v>
      </c>
      <c r="V19" s="137">
        <v>6284</v>
      </c>
      <c r="W19" s="137">
        <v>6272</v>
      </c>
      <c r="X19" s="137">
        <v>5955</v>
      </c>
      <c r="Y19" s="137">
        <v>5671</v>
      </c>
      <c r="Z19" s="137">
        <v>5527</v>
      </c>
      <c r="AA19" s="137">
        <v>5447</v>
      </c>
      <c r="AB19" s="137">
        <v>5539</v>
      </c>
      <c r="AC19" s="137">
        <v>5488</v>
      </c>
      <c r="AD19" s="137">
        <v>5541</v>
      </c>
      <c r="AE19" s="137">
        <v>5518</v>
      </c>
      <c r="AF19" s="137">
        <v>5451</v>
      </c>
      <c r="AG19" s="137">
        <v>5513</v>
      </c>
      <c r="AH19" s="137">
        <v>5643</v>
      </c>
      <c r="AI19" s="137">
        <v>6003</v>
      </c>
      <c r="AJ19" s="137">
        <v>6051</v>
      </c>
      <c r="AK19" s="137">
        <v>6147</v>
      </c>
      <c r="AL19" s="137">
        <v>6141</v>
      </c>
      <c r="AM19" s="137">
        <v>6324</v>
      </c>
      <c r="AN19" s="137">
        <v>6355</v>
      </c>
      <c r="AO19" s="137">
        <v>6566</v>
      </c>
      <c r="AP19" s="137">
        <v>6901</v>
      </c>
    </row>
    <row r="20" spans="2:42" x14ac:dyDescent="0.2">
      <c r="B20" s="136" t="s">
        <v>877</v>
      </c>
      <c r="C20" s="137" t="s">
        <v>47</v>
      </c>
      <c r="D20" s="137" t="s">
        <v>47</v>
      </c>
      <c r="E20" s="137" t="s">
        <v>47</v>
      </c>
      <c r="F20" s="137" t="s">
        <v>47</v>
      </c>
      <c r="G20" s="137" t="s">
        <v>47</v>
      </c>
      <c r="H20" s="137" t="s">
        <v>47</v>
      </c>
      <c r="I20" s="137" t="s">
        <v>47</v>
      </c>
      <c r="J20" s="137" t="s">
        <v>47</v>
      </c>
      <c r="K20" s="137" t="s">
        <v>47</v>
      </c>
      <c r="L20" s="137" t="s">
        <v>47</v>
      </c>
      <c r="M20" s="137" t="s">
        <v>47</v>
      </c>
      <c r="N20" s="137" t="s">
        <v>47</v>
      </c>
      <c r="O20" s="137" t="s">
        <v>47</v>
      </c>
      <c r="P20" s="137" t="s">
        <v>47</v>
      </c>
      <c r="Q20" s="137" t="s">
        <v>47</v>
      </c>
      <c r="R20" s="137" t="s">
        <v>47</v>
      </c>
      <c r="S20" s="137">
        <v>8930</v>
      </c>
      <c r="T20" s="137">
        <v>7143</v>
      </c>
      <c r="U20" s="137">
        <v>8275</v>
      </c>
      <c r="V20" s="137">
        <v>8446</v>
      </c>
      <c r="W20" s="137">
        <v>7881</v>
      </c>
      <c r="X20" s="137">
        <v>7886</v>
      </c>
      <c r="Y20" s="137">
        <v>7525</v>
      </c>
      <c r="Z20" s="137">
        <v>7333</v>
      </c>
      <c r="AA20" s="137">
        <v>7513</v>
      </c>
      <c r="AB20" s="137">
        <v>7300</v>
      </c>
      <c r="AC20" s="137">
        <v>7107</v>
      </c>
      <c r="AD20" s="137">
        <v>6930</v>
      </c>
      <c r="AE20" s="137">
        <v>7970</v>
      </c>
      <c r="AF20" s="137">
        <v>8240</v>
      </c>
      <c r="AG20" s="137">
        <v>7033</v>
      </c>
      <c r="AH20" s="137">
        <v>7727</v>
      </c>
      <c r="AI20" s="137">
        <v>7410</v>
      </c>
      <c r="AJ20" s="137">
        <v>7342</v>
      </c>
      <c r="AK20" s="137">
        <v>7638</v>
      </c>
      <c r="AL20" s="137">
        <v>8032</v>
      </c>
      <c r="AM20" s="137">
        <v>7514</v>
      </c>
      <c r="AN20" s="137">
        <v>7573</v>
      </c>
      <c r="AO20" s="137">
        <v>7278</v>
      </c>
      <c r="AP20" s="137">
        <v>7124</v>
      </c>
    </row>
    <row r="21" spans="2:42" x14ac:dyDescent="0.2">
      <c r="B21" s="136" t="s">
        <v>739</v>
      </c>
      <c r="C21" s="137">
        <v>-1841</v>
      </c>
      <c r="D21" s="137">
        <v>215.99999999999997</v>
      </c>
      <c r="E21" s="137">
        <v>146</v>
      </c>
      <c r="F21" s="137">
        <v>12744</v>
      </c>
      <c r="G21" s="137">
        <f>-956-G58</f>
        <v>1204</v>
      </c>
      <c r="H21" s="137">
        <v>-555</v>
      </c>
      <c r="I21" s="137">
        <f>-1387-I58</f>
        <v>672</v>
      </c>
      <c r="J21" s="137">
        <f>-692-J58</f>
        <v>395</v>
      </c>
      <c r="K21" s="137">
        <f>-229-K58</f>
        <v>276</v>
      </c>
      <c r="L21" s="334">
        <v>20892.511780000001</v>
      </c>
      <c r="M21" s="137">
        <v>6259.2143399999986</v>
      </c>
      <c r="N21" s="137">
        <v>11012.273880000001</v>
      </c>
      <c r="O21" s="137">
        <v>10299</v>
      </c>
      <c r="P21" s="137">
        <v>2110.9891300000527</v>
      </c>
      <c r="Q21" s="137">
        <v>3847</v>
      </c>
      <c r="R21" s="137">
        <v>16226</v>
      </c>
      <c r="S21" s="137">
        <v>4445</v>
      </c>
      <c r="T21" s="137">
        <v>4554</v>
      </c>
      <c r="U21" s="137">
        <v>6059</v>
      </c>
      <c r="V21" s="137">
        <v>6042</v>
      </c>
      <c r="W21" s="137">
        <v>5845</v>
      </c>
      <c r="X21" s="137">
        <v>2080</v>
      </c>
      <c r="Y21" s="137">
        <v>5588</v>
      </c>
      <c r="Z21" s="137">
        <v>1782</v>
      </c>
      <c r="AA21" s="137">
        <v>1091</v>
      </c>
      <c r="AB21" s="137">
        <v>1148</v>
      </c>
      <c r="AC21" s="137">
        <v>114</v>
      </c>
      <c r="AD21" s="137">
        <v>2582</v>
      </c>
      <c r="AE21" s="137">
        <v>-26</v>
      </c>
      <c r="AF21" s="137">
        <v>27</v>
      </c>
      <c r="AG21" s="137">
        <v>6436</v>
      </c>
      <c r="AH21" s="137">
        <v>415</v>
      </c>
      <c r="AI21" s="137">
        <v>478</v>
      </c>
      <c r="AJ21" s="137">
        <v>197</v>
      </c>
      <c r="AK21" s="137">
        <v>369</v>
      </c>
      <c r="AL21" s="137">
        <v>1068</v>
      </c>
      <c r="AM21" s="137">
        <v>894</v>
      </c>
      <c r="AN21" s="137">
        <v>480</v>
      </c>
      <c r="AO21" s="137">
        <v>-23</v>
      </c>
      <c r="AP21" s="137">
        <v>476</v>
      </c>
    </row>
    <row r="22" spans="2:42" x14ac:dyDescent="0.2">
      <c r="B22" s="136" t="s">
        <v>866</v>
      </c>
      <c r="C22" s="137">
        <v>0</v>
      </c>
      <c r="D22" s="137">
        <v>0</v>
      </c>
      <c r="E22" s="137">
        <v>0</v>
      </c>
      <c r="F22" s="137">
        <v>0</v>
      </c>
      <c r="G22" s="137">
        <v>0</v>
      </c>
      <c r="H22" s="137">
        <v>0</v>
      </c>
      <c r="I22" s="137">
        <v>0</v>
      </c>
      <c r="J22" s="137">
        <v>0</v>
      </c>
      <c r="K22" s="137">
        <v>0</v>
      </c>
      <c r="L22" s="137">
        <v>0</v>
      </c>
      <c r="M22" s="137">
        <v>0</v>
      </c>
      <c r="N22" s="137">
        <v>0</v>
      </c>
      <c r="O22" s="137">
        <v>0</v>
      </c>
      <c r="P22" s="137">
        <v>0</v>
      </c>
      <c r="Q22" s="137">
        <v>0</v>
      </c>
      <c r="R22" s="137">
        <v>0</v>
      </c>
      <c r="S22" s="137">
        <v>1307</v>
      </c>
      <c r="T22" s="137">
        <v>1616</v>
      </c>
      <c r="U22" s="137">
        <v>1718</v>
      </c>
      <c r="V22" s="137">
        <v>1799</v>
      </c>
      <c r="W22" s="137">
        <v>1573</v>
      </c>
      <c r="X22" s="137">
        <v>1492</v>
      </c>
      <c r="Y22" s="137">
        <v>1260</v>
      </c>
      <c r="Z22" s="137">
        <v>1126</v>
      </c>
      <c r="AA22" s="137">
        <v>1511</v>
      </c>
      <c r="AB22" s="137">
        <v>1165</v>
      </c>
      <c r="AC22" s="137">
        <v>1256</v>
      </c>
      <c r="AD22" s="137">
        <v>1089</v>
      </c>
      <c r="AE22" s="137">
        <v>1243</v>
      </c>
      <c r="AF22" s="137">
        <v>1073</v>
      </c>
      <c r="AG22" s="137">
        <v>1422</v>
      </c>
      <c r="AH22" s="137">
        <v>1514</v>
      </c>
      <c r="AI22" s="137">
        <v>1829</v>
      </c>
      <c r="AJ22" s="137">
        <v>2733</v>
      </c>
      <c r="AK22" s="137">
        <v>2518</v>
      </c>
      <c r="AL22" s="137">
        <v>2492</v>
      </c>
      <c r="AM22" s="137">
        <v>2389</v>
      </c>
      <c r="AN22" s="137">
        <v>2352</v>
      </c>
      <c r="AO22" s="137">
        <v>2229</v>
      </c>
      <c r="AP22" s="137">
        <v>1867</v>
      </c>
    </row>
    <row r="23" spans="2:42" ht="25.5" x14ac:dyDescent="0.2">
      <c r="B23" s="136" t="s">
        <v>288</v>
      </c>
      <c r="C23" s="137">
        <v>15487</v>
      </c>
      <c r="D23" s="137">
        <v>4659.0000000000009</v>
      </c>
      <c r="E23" s="137">
        <v>21574</v>
      </c>
      <c r="F23" s="137">
        <v>13253</v>
      </c>
      <c r="G23" s="137">
        <v>12307</v>
      </c>
      <c r="H23" s="137">
        <v>12501</v>
      </c>
      <c r="I23" s="137">
        <v>12759</v>
      </c>
      <c r="J23" s="137">
        <v>11783</v>
      </c>
      <c r="K23" s="137">
        <v>8528</v>
      </c>
      <c r="L23" s="137">
        <v>6348</v>
      </c>
      <c r="M23" s="137">
        <v>7405.0679899999996</v>
      </c>
      <c r="N23" s="137">
        <v>4431.9320100000004</v>
      </c>
      <c r="O23" s="137">
        <v>3734</v>
      </c>
      <c r="P23" s="137">
        <v>3010</v>
      </c>
      <c r="Q23" s="137">
        <v>6771</v>
      </c>
      <c r="R23" s="137">
        <v>961</v>
      </c>
      <c r="S23" s="137">
        <v>3566</v>
      </c>
      <c r="T23" s="137">
        <v>1031</v>
      </c>
      <c r="U23" s="137">
        <v>6522</v>
      </c>
      <c r="V23" s="137">
        <v>705</v>
      </c>
      <c r="W23" s="137">
        <v>17007</v>
      </c>
      <c r="X23" s="137">
        <v>7129</v>
      </c>
      <c r="Y23" s="137">
        <v>-501</v>
      </c>
      <c r="Z23" s="137">
        <v>2312</v>
      </c>
      <c r="AA23" s="137">
        <v>2312</v>
      </c>
      <c r="AB23" s="137">
        <v>2177</v>
      </c>
      <c r="AC23" s="137">
        <v>2577</v>
      </c>
      <c r="AD23" s="137">
        <v>3201</v>
      </c>
      <c r="AE23" s="137">
        <v>3957</v>
      </c>
      <c r="AF23" s="137">
        <v>2320</v>
      </c>
      <c r="AG23" s="137">
        <v>2564</v>
      </c>
      <c r="AH23" s="137">
        <v>2739</v>
      </c>
      <c r="AI23" s="137">
        <v>3682</v>
      </c>
      <c r="AJ23" s="137">
        <v>3293</v>
      </c>
      <c r="AK23" s="137">
        <v>2518</v>
      </c>
      <c r="AL23" s="137">
        <v>3127</v>
      </c>
      <c r="AM23" s="137">
        <v>3111</v>
      </c>
      <c r="AN23" s="137">
        <v>2960</v>
      </c>
      <c r="AO23" s="137">
        <v>3222</v>
      </c>
      <c r="AP23" s="137">
        <v>3186</v>
      </c>
    </row>
    <row r="24" spans="2:42" x14ac:dyDescent="0.2">
      <c r="B24" s="136" t="s">
        <v>286</v>
      </c>
      <c r="C24" s="137">
        <v>-373</v>
      </c>
      <c r="D24" s="137">
        <v>-256</v>
      </c>
      <c r="E24" s="137">
        <v>-785</v>
      </c>
      <c r="F24" s="137">
        <v>-453</v>
      </c>
      <c r="G24" s="137">
        <v>797</v>
      </c>
      <c r="H24" s="137">
        <v>908</v>
      </c>
      <c r="I24" s="137">
        <v>19</v>
      </c>
      <c r="J24" s="137">
        <v>466</v>
      </c>
      <c r="K24" s="137">
        <v>322</v>
      </c>
      <c r="L24" s="137">
        <v>382</v>
      </c>
      <c r="M24" s="137">
        <v>656</v>
      </c>
      <c r="N24" s="137">
        <v>-597</v>
      </c>
      <c r="O24" s="137">
        <v>425</v>
      </c>
      <c r="P24" s="137">
        <v>226</v>
      </c>
      <c r="Q24" s="137">
        <v>-342</v>
      </c>
      <c r="R24" s="137">
        <v>-680</v>
      </c>
      <c r="S24" s="137">
        <v>529</v>
      </c>
      <c r="T24" s="137">
        <v>-322</v>
      </c>
      <c r="U24" s="137">
        <v>-844</v>
      </c>
      <c r="V24" s="137">
        <v>-2349</v>
      </c>
      <c r="W24" s="137">
        <v>-1394</v>
      </c>
      <c r="X24" s="137">
        <v>-2412</v>
      </c>
      <c r="Y24" s="137">
        <v>-2632</v>
      </c>
      <c r="Z24" s="137">
        <v>162</v>
      </c>
      <c r="AA24" s="137">
        <v>-810</v>
      </c>
      <c r="AB24" s="137">
        <v>-2402</v>
      </c>
      <c r="AC24" s="137">
        <v>-1799</v>
      </c>
      <c r="AD24" s="137">
        <v>-4232</v>
      </c>
      <c r="AE24" s="137">
        <v>-3013</v>
      </c>
      <c r="AF24" s="137">
        <v>-3006</v>
      </c>
      <c r="AG24" s="137">
        <v>-2436</v>
      </c>
      <c r="AH24" s="137">
        <v>-2118</v>
      </c>
      <c r="AI24" s="137">
        <v>-3838</v>
      </c>
      <c r="AJ24" s="137">
        <v>-2884</v>
      </c>
      <c r="AK24" s="137">
        <v>-5094</v>
      </c>
      <c r="AL24" s="137">
        <v>-4440</v>
      </c>
      <c r="AM24" s="137">
        <v>-6604</v>
      </c>
      <c r="AN24" s="137">
        <v>-9362</v>
      </c>
      <c r="AO24" s="137">
        <v>-7433</v>
      </c>
      <c r="AP24" s="137">
        <v>-5865</v>
      </c>
    </row>
    <row r="25" spans="2:42" x14ac:dyDescent="0.2">
      <c r="B25" s="136" t="s">
        <v>282</v>
      </c>
      <c r="C25" s="137">
        <v>69.000000000000014</v>
      </c>
      <c r="D25" s="137">
        <v>107.99999999999999</v>
      </c>
      <c r="E25" s="137">
        <v>-213</v>
      </c>
      <c r="F25" s="137">
        <v>370</v>
      </c>
      <c r="G25" s="137">
        <v>35</v>
      </c>
      <c r="H25" s="137">
        <v>133</v>
      </c>
      <c r="I25" s="137">
        <v>830</v>
      </c>
      <c r="J25" s="137">
        <v>1944</v>
      </c>
      <c r="K25" s="137">
        <v>152</v>
      </c>
      <c r="L25" s="137">
        <v>-78</v>
      </c>
      <c r="M25" s="137">
        <v>232</v>
      </c>
      <c r="N25" s="137">
        <v>510</v>
      </c>
      <c r="O25" s="137">
        <v>406</v>
      </c>
      <c r="P25" s="137">
        <v>22</v>
      </c>
      <c r="Q25" s="137">
        <v>-21</v>
      </c>
      <c r="R25" s="137">
        <v>819</v>
      </c>
      <c r="S25" s="137">
        <v>71</v>
      </c>
      <c r="T25" s="137">
        <v>-23</v>
      </c>
      <c r="U25" s="137">
        <v>-12</v>
      </c>
      <c r="V25" s="137">
        <v>2852</v>
      </c>
      <c r="W25" s="137">
        <v>-16</v>
      </c>
      <c r="X25" s="137">
        <v>-25</v>
      </c>
      <c r="Y25" s="137">
        <v>229</v>
      </c>
      <c r="Z25" s="137">
        <v>1708</v>
      </c>
      <c r="AA25" s="137">
        <v>-76</v>
      </c>
      <c r="AB25" s="137">
        <v>633</v>
      </c>
      <c r="AC25" s="137">
        <v>-148</v>
      </c>
      <c r="AD25" s="137">
        <v>5</v>
      </c>
      <c r="AE25" s="137">
        <v>71</v>
      </c>
      <c r="AF25" s="137">
        <v>15</v>
      </c>
      <c r="AG25" s="137">
        <v>65</v>
      </c>
      <c r="AH25" s="137">
        <v>33</v>
      </c>
      <c r="AI25" s="137">
        <v>-19</v>
      </c>
      <c r="AJ25" s="137">
        <v>-1</v>
      </c>
      <c r="AK25" s="137">
        <v>-189</v>
      </c>
      <c r="AL25" s="137">
        <v>385</v>
      </c>
      <c r="AM25" s="137">
        <v>-423</v>
      </c>
      <c r="AN25" s="137">
        <v>-146</v>
      </c>
      <c r="AO25" s="137">
        <v>-82</v>
      </c>
      <c r="AP25" s="137">
        <v>-127</v>
      </c>
    </row>
    <row r="26" spans="2:42" x14ac:dyDescent="0.2">
      <c r="B26" s="136" t="s">
        <v>284</v>
      </c>
      <c r="C26" s="137">
        <v>-460.00000000000006</v>
      </c>
      <c r="D26" s="137">
        <v>-273.99999999999994</v>
      </c>
      <c r="E26" s="137">
        <v>1122</v>
      </c>
      <c r="F26" s="137">
        <v>812</v>
      </c>
      <c r="G26" s="137">
        <v>628</v>
      </c>
      <c r="H26" s="137">
        <v>-92</v>
      </c>
      <c r="I26" s="137">
        <v>-424</v>
      </c>
      <c r="J26" s="137">
        <v>755</v>
      </c>
      <c r="K26" s="137">
        <v>169</v>
      </c>
      <c r="L26" s="137">
        <v>-20</v>
      </c>
      <c r="M26" s="137">
        <v>-81</v>
      </c>
      <c r="N26" s="137">
        <v>25</v>
      </c>
      <c r="O26" s="137">
        <v>63</v>
      </c>
      <c r="P26" s="137">
        <v>-1001</v>
      </c>
      <c r="Q26" s="137">
        <v>283</v>
      </c>
      <c r="R26" s="137">
        <v>1751</v>
      </c>
      <c r="S26" s="137">
        <v>76</v>
      </c>
      <c r="T26" s="137">
        <v>-1492</v>
      </c>
      <c r="U26" s="137">
        <v>132</v>
      </c>
      <c r="V26" s="137">
        <v>-825</v>
      </c>
      <c r="W26" s="137">
        <v>-80</v>
      </c>
      <c r="X26" s="137">
        <v>69</v>
      </c>
      <c r="Y26" s="137">
        <v>111</v>
      </c>
      <c r="Z26" s="137">
        <v>-34</v>
      </c>
      <c r="AA26" s="137">
        <v>147</v>
      </c>
      <c r="AB26" s="137">
        <v>38</v>
      </c>
      <c r="AC26" s="137">
        <v>295</v>
      </c>
      <c r="AD26" s="137">
        <v>659</v>
      </c>
      <c r="AE26" s="137">
        <v>116</v>
      </c>
      <c r="AF26" s="137">
        <v>333</v>
      </c>
      <c r="AG26" s="137">
        <v>-54</v>
      </c>
      <c r="AH26" s="137">
        <v>12</v>
      </c>
      <c r="AI26" s="137">
        <v>385</v>
      </c>
      <c r="AJ26" s="137">
        <v>464</v>
      </c>
      <c r="AK26" s="137">
        <v>249</v>
      </c>
      <c r="AL26" s="137">
        <v>36</v>
      </c>
      <c r="AM26" s="137">
        <v>19</v>
      </c>
      <c r="AN26" s="137">
        <v>195</v>
      </c>
      <c r="AO26" s="137">
        <v>825</v>
      </c>
      <c r="AP26" s="137">
        <v>2122</v>
      </c>
    </row>
    <row r="27" spans="2:42" x14ac:dyDescent="0.2">
      <c r="B27" s="136" t="s">
        <v>958</v>
      </c>
      <c r="C27" s="137">
        <v>0</v>
      </c>
      <c r="D27" s="137">
        <v>0</v>
      </c>
      <c r="E27" s="137">
        <v>0</v>
      </c>
      <c r="F27" s="137">
        <v>0</v>
      </c>
      <c r="G27" s="137">
        <v>0</v>
      </c>
      <c r="H27" s="137">
        <v>0</v>
      </c>
      <c r="I27" s="137">
        <v>0</v>
      </c>
      <c r="J27" s="137">
        <v>0</v>
      </c>
      <c r="K27" s="137">
        <v>0</v>
      </c>
      <c r="L27" s="137">
        <v>0</v>
      </c>
      <c r="M27" s="137">
        <v>0</v>
      </c>
      <c r="N27" s="137">
        <v>0</v>
      </c>
      <c r="O27" s="137">
        <v>0</v>
      </c>
      <c r="P27" s="137">
        <v>0</v>
      </c>
      <c r="Q27" s="137">
        <v>0</v>
      </c>
      <c r="R27" s="137">
        <v>0</v>
      </c>
      <c r="S27" s="137">
        <v>0</v>
      </c>
      <c r="T27" s="137">
        <v>0</v>
      </c>
      <c r="U27" s="137">
        <v>-10</v>
      </c>
      <c r="V27" s="137">
        <v>-105</v>
      </c>
      <c r="W27" s="137">
        <v>2</v>
      </c>
      <c r="X27" s="137">
        <v>-38</v>
      </c>
      <c r="Y27" s="137">
        <v>-36</v>
      </c>
      <c r="Z27" s="137">
        <v>-35</v>
      </c>
      <c r="AA27" s="137">
        <v>-2</v>
      </c>
      <c r="AB27" s="137">
        <v>-1</v>
      </c>
      <c r="AC27" s="137">
        <v>0</v>
      </c>
      <c r="AD27" s="137">
        <v>3</v>
      </c>
      <c r="AE27" s="137">
        <v>0</v>
      </c>
      <c r="AF27" s="137">
        <v>0</v>
      </c>
      <c r="AG27" s="137">
        <v>0</v>
      </c>
      <c r="AH27" s="137">
        <v>0</v>
      </c>
      <c r="AI27" s="137">
        <v>0</v>
      </c>
      <c r="AJ27" s="137">
        <v>0</v>
      </c>
      <c r="AK27" s="137">
        <v>0</v>
      </c>
      <c r="AL27" s="137">
        <v>0</v>
      </c>
      <c r="AM27" s="137">
        <v>0</v>
      </c>
      <c r="AN27" s="137">
        <v>0</v>
      </c>
      <c r="AO27" s="137">
        <v>0</v>
      </c>
      <c r="AP27" s="137">
        <v>0</v>
      </c>
    </row>
    <row r="28" spans="2:42" x14ac:dyDescent="0.2">
      <c r="B28" s="136" t="s">
        <v>747</v>
      </c>
      <c r="C28" s="137">
        <v>0</v>
      </c>
      <c r="D28" s="137">
        <v>0</v>
      </c>
      <c r="E28" s="137">
        <v>0</v>
      </c>
      <c r="F28" s="137">
        <v>0</v>
      </c>
      <c r="G28" s="137">
        <v>0</v>
      </c>
      <c r="H28" s="137">
        <v>0</v>
      </c>
      <c r="I28" s="137">
        <v>0</v>
      </c>
      <c r="J28" s="137">
        <v>0</v>
      </c>
      <c r="K28" s="137">
        <v>0</v>
      </c>
      <c r="L28" s="137">
        <v>0</v>
      </c>
      <c r="M28" s="137">
        <v>0</v>
      </c>
      <c r="N28" s="137">
        <v>-50498</v>
      </c>
      <c r="O28" s="137">
        <v>0</v>
      </c>
      <c r="P28" s="137">
        <v>0</v>
      </c>
      <c r="Q28" s="137">
        <v>0</v>
      </c>
      <c r="R28" s="334">
        <v>-10599</v>
      </c>
      <c r="S28" s="137">
        <v>0</v>
      </c>
      <c r="T28" s="137">
        <v>0</v>
      </c>
      <c r="U28" s="334">
        <v>-91391</v>
      </c>
      <c r="V28" s="137">
        <v>-745</v>
      </c>
      <c r="W28" s="137">
        <v>0</v>
      </c>
      <c r="X28" s="137">
        <v>0</v>
      </c>
      <c r="Y28" s="137">
        <v>0</v>
      </c>
      <c r="Z28" s="137">
        <v>0</v>
      </c>
      <c r="AA28" s="137">
        <v>0</v>
      </c>
      <c r="AB28" s="137">
        <v>-8978</v>
      </c>
      <c r="AC28" s="137">
        <v>0</v>
      </c>
      <c r="AD28" s="137">
        <v>0</v>
      </c>
      <c r="AE28" s="137">
        <v>0</v>
      </c>
      <c r="AF28" s="137">
        <v>0</v>
      </c>
      <c r="AG28" s="137">
        <v>0</v>
      </c>
      <c r="AH28" s="137">
        <v>-15341</v>
      </c>
      <c r="AI28" s="137">
        <v>0</v>
      </c>
      <c r="AJ28" s="137">
        <v>0</v>
      </c>
      <c r="AK28" s="137">
        <v>0</v>
      </c>
      <c r="AL28" s="137">
        <v>0</v>
      </c>
      <c r="AM28" s="137">
        <v>0</v>
      </c>
      <c r="AN28" s="137">
        <v>0</v>
      </c>
      <c r="AO28" s="137">
        <v>0</v>
      </c>
      <c r="AP28" s="137">
        <v>0</v>
      </c>
    </row>
    <row r="29" spans="2:42" x14ac:dyDescent="0.2">
      <c r="B29" s="136" t="s">
        <v>656</v>
      </c>
      <c r="C29" s="137">
        <f>-IncS!T25</f>
        <v>3229</v>
      </c>
      <c r="D29" s="137">
        <f>-IncS!U25</f>
        <v>512</v>
      </c>
      <c r="E29" s="137">
        <f>-IncS!V25</f>
        <v>3070.77151</v>
      </c>
      <c r="F29" s="137">
        <f>-IncS!W25</f>
        <v>-5565.3430946000008</v>
      </c>
      <c r="G29" s="137">
        <f>-IncS!X25</f>
        <v>-185</v>
      </c>
      <c r="H29" s="137">
        <f>-IncS!Y25</f>
        <v>1210</v>
      </c>
      <c r="I29" s="137">
        <f>-IncS!Z25</f>
        <v>3177.8091100000011</v>
      </c>
      <c r="J29" s="137">
        <f>-IncS!AA25</f>
        <v>8770.0601499999993</v>
      </c>
      <c r="K29" s="137">
        <f>-IncS!AB25</f>
        <v>4298.9160000000002</v>
      </c>
      <c r="L29" s="137">
        <f>-IncS!AC25</f>
        <v>-7766.8676799999994</v>
      </c>
      <c r="M29" s="137">
        <f>-IncS!AD25</f>
        <v>8879.3011299999998</v>
      </c>
      <c r="N29" s="137">
        <f>-IncS!AE25</f>
        <v>8319.4488999999994</v>
      </c>
      <c r="O29" s="137">
        <f>-IncS!AF25</f>
        <v>6233</v>
      </c>
      <c r="P29" s="137">
        <f>-IncS!AG25</f>
        <v>7000.1369300000006</v>
      </c>
      <c r="Q29" s="137">
        <f>-IncS!AH25</f>
        <v>9929.7333699999999</v>
      </c>
      <c r="R29" s="137">
        <f>-IncS!AI25</f>
        <v>12883.216170000002</v>
      </c>
      <c r="S29" s="137">
        <f>-IncS!AJ25</f>
        <v>11575.73976</v>
      </c>
      <c r="T29" s="137">
        <f>-IncS!AK25</f>
        <v>10923.94203</v>
      </c>
      <c r="U29" s="137">
        <f>-IncS!AL25</f>
        <v>40057.514449999995</v>
      </c>
      <c r="V29" s="137">
        <f>-IncS!AM25</f>
        <v>8769.3005799999992</v>
      </c>
      <c r="W29" s="137">
        <f>-IncS!AN25</f>
        <v>6850.96893</v>
      </c>
      <c r="X29" s="137">
        <f>-IncS!AO25</f>
        <v>-4624.6438899999994</v>
      </c>
      <c r="Y29" s="137">
        <f>-IncS!AP25</f>
        <v>12021.130280000001</v>
      </c>
      <c r="Z29" s="137">
        <f>-IncS!AQ25</f>
        <v>9295.3423600000006</v>
      </c>
      <c r="AA29" s="137">
        <v>4534</v>
      </c>
      <c r="AB29" s="137">
        <v>3877</v>
      </c>
      <c r="AC29" s="137">
        <v>436</v>
      </c>
      <c r="AD29" s="137">
        <v>2298</v>
      </c>
      <c r="AE29" s="137">
        <v>1923</v>
      </c>
      <c r="AF29" s="137">
        <v>-13</v>
      </c>
      <c r="AG29" s="137">
        <v>-2447</v>
      </c>
      <c r="AH29" s="137">
        <v>5886</v>
      </c>
      <c r="AI29" s="137">
        <v>-4612</v>
      </c>
      <c r="AJ29" s="137">
        <v>1391</v>
      </c>
      <c r="AK29" s="137">
        <v>-1322</v>
      </c>
      <c r="AL29" s="137">
        <v>417</v>
      </c>
      <c r="AM29" s="137">
        <v>3346</v>
      </c>
      <c r="AN29" s="137">
        <v>-3226</v>
      </c>
      <c r="AO29" s="137">
        <v>-1269</v>
      </c>
      <c r="AP29" s="137">
        <v>185</v>
      </c>
    </row>
    <row r="30" spans="2:42" x14ac:dyDescent="0.2">
      <c r="B30" s="136" t="s">
        <v>1170</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-2238</v>
      </c>
      <c r="AD30" s="137">
        <v>2238</v>
      </c>
      <c r="AE30" s="137">
        <v>0</v>
      </c>
      <c r="AF30" s="137">
        <v>0</v>
      </c>
      <c r="AG30" s="137">
        <v>0</v>
      </c>
      <c r="AH30" s="137">
        <v>0</v>
      </c>
      <c r="AI30" s="137">
        <v>0</v>
      </c>
      <c r="AJ30" s="137">
        <v>0</v>
      </c>
      <c r="AK30" s="137">
        <v>0</v>
      </c>
      <c r="AL30" s="137">
        <v>0</v>
      </c>
      <c r="AM30" s="137">
        <v>0</v>
      </c>
      <c r="AN30" s="137">
        <v>0</v>
      </c>
      <c r="AO30" s="137">
        <v>0</v>
      </c>
      <c r="AP30" s="137">
        <v>0</v>
      </c>
    </row>
    <row r="31" spans="2:42" x14ac:dyDescent="0.2">
      <c r="B31" s="136" t="s">
        <v>1183</v>
      </c>
      <c r="C31" s="137" t="s">
        <v>47</v>
      </c>
      <c r="D31" s="137" t="s">
        <v>47</v>
      </c>
      <c r="E31" s="137" t="s">
        <v>47</v>
      </c>
      <c r="F31" s="137" t="s">
        <v>47</v>
      </c>
      <c r="G31" s="137" t="s">
        <v>47</v>
      </c>
      <c r="H31" s="137" t="s">
        <v>47</v>
      </c>
      <c r="I31" s="137" t="s">
        <v>47</v>
      </c>
      <c r="J31" s="137" t="s">
        <v>47</v>
      </c>
      <c r="K31" s="137" t="s">
        <v>47</v>
      </c>
      <c r="L31" s="137" t="s">
        <v>47</v>
      </c>
      <c r="M31" s="137" t="s">
        <v>47</v>
      </c>
      <c r="N31" s="137" t="s">
        <v>47</v>
      </c>
      <c r="O31" s="137" t="s">
        <v>47</v>
      </c>
      <c r="P31" s="137" t="s">
        <v>47</v>
      </c>
      <c r="Q31" s="137" t="s">
        <v>47</v>
      </c>
      <c r="R31" s="137" t="s">
        <v>47</v>
      </c>
      <c r="S31" s="137" t="s">
        <v>47</v>
      </c>
      <c r="T31" s="137" t="s">
        <v>47</v>
      </c>
      <c r="U31" s="137" t="s">
        <v>47</v>
      </c>
      <c r="V31" s="137" t="s">
        <v>47</v>
      </c>
      <c r="W31" s="137" t="s">
        <v>47</v>
      </c>
      <c r="X31" s="137" t="s">
        <v>47</v>
      </c>
      <c r="Y31" s="137" t="s">
        <v>47</v>
      </c>
      <c r="Z31" s="137" t="s">
        <v>47</v>
      </c>
      <c r="AA31" s="137">
        <v>0</v>
      </c>
      <c r="AB31" s="137">
        <v>0</v>
      </c>
      <c r="AC31" s="137" t="s">
        <v>47</v>
      </c>
      <c r="AD31" s="137">
        <v>-2592</v>
      </c>
      <c r="AE31" s="137">
        <v>0</v>
      </c>
      <c r="AF31" s="137">
        <v>0</v>
      </c>
      <c r="AG31" s="137">
        <v>-847</v>
      </c>
      <c r="AH31" s="137">
        <v>0</v>
      </c>
      <c r="AI31" s="137">
        <v>0</v>
      </c>
      <c r="AJ31" s="137">
        <v>0</v>
      </c>
      <c r="AK31" s="137">
        <v>0</v>
      </c>
      <c r="AL31" s="137">
        <v>0</v>
      </c>
      <c r="AM31" s="137">
        <v>0</v>
      </c>
      <c r="AN31" s="137">
        <v>0</v>
      </c>
      <c r="AO31" s="137">
        <v>0</v>
      </c>
      <c r="AP31" s="137">
        <v>0</v>
      </c>
    </row>
    <row r="32" spans="2:42" hidden="1" outlineLevel="1" x14ac:dyDescent="0.2">
      <c r="B32" s="231" t="s">
        <v>763</v>
      </c>
      <c r="C32" s="137" t="s">
        <v>47</v>
      </c>
      <c r="D32" s="137" t="s">
        <v>47</v>
      </c>
      <c r="E32" s="137" t="s">
        <v>47</v>
      </c>
      <c r="F32" s="137" t="s">
        <v>47</v>
      </c>
      <c r="G32" s="137" t="s">
        <v>47</v>
      </c>
      <c r="H32" s="137" t="s">
        <v>47</v>
      </c>
      <c r="I32" s="137" t="s">
        <v>47</v>
      </c>
      <c r="J32" s="137" t="s">
        <v>47</v>
      </c>
      <c r="K32" s="137" t="s">
        <v>47</v>
      </c>
      <c r="L32" s="232" t="s">
        <v>47</v>
      </c>
      <c r="M32" s="137" t="s">
        <v>47</v>
      </c>
      <c r="N32" s="137" t="s">
        <v>47</v>
      </c>
      <c r="O32" s="137">
        <v>2527</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c r="AO32" s="137"/>
      <c r="AP32" s="137">
        <v>0</v>
      </c>
    </row>
    <row r="33" spans="1:42" hidden="1" outlineLevel="1" x14ac:dyDescent="0.2">
      <c r="B33" s="231" t="s">
        <v>836</v>
      </c>
      <c r="C33" s="137">
        <v>0</v>
      </c>
      <c r="D33" s="137">
        <v>0</v>
      </c>
      <c r="E33" s="137">
        <v>0</v>
      </c>
      <c r="F33" s="137">
        <v>0</v>
      </c>
      <c r="G33" s="137">
        <v>0</v>
      </c>
      <c r="H33" s="137">
        <v>0</v>
      </c>
      <c r="I33" s="137">
        <v>0</v>
      </c>
      <c r="J33" s="137">
        <v>0</v>
      </c>
      <c r="K33" s="137">
        <v>0</v>
      </c>
      <c r="L33" s="232">
        <v>0</v>
      </c>
      <c r="M33" s="137">
        <v>0</v>
      </c>
      <c r="N33" s="137">
        <v>0</v>
      </c>
      <c r="O33" s="137">
        <v>0</v>
      </c>
      <c r="P33" s="137">
        <v>0</v>
      </c>
      <c r="Q33" s="137">
        <v>-3735</v>
      </c>
      <c r="R33" s="137">
        <v>2034</v>
      </c>
      <c r="S33" s="137">
        <v>-1028</v>
      </c>
      <c r="T33" s="137">
        <v>1669</v>
      </c>
      <c r="U33" s="137">
        <v>-3849</v>
      </c>
      <c r="V33" s="137">
        <v>1546</v>
      </c>
      <c r="W33" s="137">
        <v>-15165</v>
      </c>
      <c r="X33" s="137">
        <v>-4243</v>
      </c>
      <c r="Y33" s="137">
        <v>3089</v>
      </c>
      <c r="Z33" s="137">
        <v>0</v>
      </c>
      <c r="AA33" s="137">
        <v>0</v>
      </c>
      <c r="AB33" s="137">
        <v>0</v>
      </c>
      <c r="AC33" s="137">
        <v>0</v>
      </c>
      <c r="AD33" s="137">
        <v>0</v>
      </c>
      <c r="AE33" s="137">
        <v>0</v>
      </c>
      <c r="AF33" s="137">
        <v>0</v>
      </c>
      <c r="AG33" s="137">
        <v>0</v>
      </c>
      <c r="AH33" s="137">
        <v>0</v>
      </c>
      <c r="AI33" s="137">
        <v>0</v>
      </c>
      <c r="AJ33" s="137">
        <v>0</v>
      </c>
      <c r="AK33" s="137">
        <v>0</v>
      </c>
      <c r="AL33" s="137">
        <v>0</v>
      </c>
      <c r="AM33" s="137">
        <v>0</v>
      </c>
      <c r="AN33" s="137"/>
      <c r="AO33" s="137"/>
      <c r="AP33" s="137">
        <v>0</v>
      </c>
    </row>
    <row r="34" spans="1:42" hidden="1" outlineLevel="1" x14ac:dyDescent="0.2">
      <c r="B34" s="231" t="s">
        <v>764</v>
      </c>
      <c r="C34" s="137" t="s">
        <v>47</v>
      </c>
      <c r="D34" s="137" t="s">
        <v>47</v>
      </c>
      <c r="E34" s="137" t="s">
        <v>47</v>
      </c>
      <c r="F34" s="137" t="s">
        <v>47</v>
      </c>
      <c r="G34" s="137" t="s">
        <v>47</v>
      </c>
      <c r="H34" s="137" t="s">
        <v>47</v>
      </c>
      <c r="I34" s="137" t="s">
        <v>47</v>
      </c>
      <c r="J34" s="137" t="s">
        <v>47</v>
      </c>
      <c r="K34" s="137" t="s">
        <v>47</v>
      </c>
      <c r="L34" s="232" t="s">
        <v>47</v>
      </c>
      <c r="M34" s="137" t="s">
        <v>47</v>
      </c>
      <c r="N34" s="137" t="s">
        <v>47</v>
      </c>
      <c r="O34" s="137">
        <v>-1842</v>
      </c>
      <c r="P34" s="137">
        <v>0</v>
      </c>
      <c r="Q34" s="137">
        <v>0</v>
      </c>
      <c r="R34" s="137">
        <v>0</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c r="AI34" s="137">
        <v>0</v>
      </c>
      <c r="AJ34" s="137">
        <v>0</v>
      </c>
      <c r="AK34" s="137">
        <v>0</v>
      </c>
      <c r="AL34" s="137">
        <v>0</v>
      </c>
      <c r="AM34" s="137">
        <v>0</v>
      </c>
      <c r="AN34" s="137"/>
      <c r="AO34" s="137"/>
      <c r="AP34" s="137">
        <v>0</v>
      </c>
    </row>
    <row r="35" spans="1:42" ht="23.25" hidden="1" customHeight="1" outlineLevel="1" x14ac:dyDescent="0.2">
      <c r="B35" s="231" t="s">
        <v>285</v>
      </c>
      <c r="C35" s="137">
        <v>0</v>
      </c>
      <c r="D35" s="137">
        <v>0</v>
      </c>
      <c r="E35" s="137">
        <v>0</v>
      </c>
      <c r="F35" s="137">
        <v>0</v>
      </c>
      <c r="G35" s="137">
        <v>0</v>
      </c>
      <c r="H35" s="137">
        <v>0</v>
      </c>
      <c r="I35" s="137">
        <v>0</v>
      </c>
      <c r="J35" s="137">
        <v>0</v>
      </c>
      <c r="K35" s="137">
        <v>0</v>
      </c>
      <c r="L35" s="232">
        <v>0</v>
      </c>
      <c r="M35" s="137">
        <v>5733</v>
      </c>
      <c r="N35" s="137">
        <v>5731</v>
      </c>
      <c r="O35" s="137">
        <v>0</v>
      </c>
      <c r="P35" s="137">
        <v>0</v>
      </c>
      <c r="Q35" s="137">
        <v>0</v>
      </c>
      <c r="R35" s="137">
        <v>1907</v>
      </c>
      <c r="S35" s="137">
        <v>0</v>
      </c>
      <c r="T35" s="137">
        <v>0</v>
      </c>
      <c r="U35" s="137">
        <v>0</v>
      </c>
      <c r="V35" s="137">
        <v>0</v>
      </c>
      <c r="W35" s="137">
        <v>0</v>
      </c>
      <c r="X35" s="137">
        <v>0</v>
      </c>
      <c r="Y35" s="137">
        <v>0</v>
      </c>
      <c r="Z35" s="137">
        <v>0</v>
      </c>
      <c r="AA35" s="137">
        <v>0</v>
      </c>
      <c r="AB35" s="137">
        <v>0</v>
      </c>
      <c r="AC35" s="137">
        <v>0</v>
      </c>
      <c r="AD35" s="137">
        <v>0</v>
      </c>
      <c r="AE35" s="137">
        <v>0</v>
      </c>
      <c r="AF35" s="137">
        <v>0</v>
      </c>
      <c r="AG35" s="137">
        <v>0</v>
      </c>
      <c r="AH35" s="137">
        <v>0</v>
      </c>
      <c r="AI35" s="137">
        <v>0</v>
      </c>
      <c r="AJ35" s="137">
        <v>0</v>
      </c>
      <c r="AK35" s="137">
        <v>0</v>
      </c>
      <c r="AL35" s="137">
        <v>0</v>
      </c>
      <c r="AM35" s="137">
        <v>0</v>
      </c>
      <c r="AN35" s="137"/>
      <c r="AO35" s="137"/>
      <c r="AP35" s="137">
        <v>0</v>
      </c>
    </row>
    <row r="36" spans="1:42" hidden="1" outlineLevel="1" x14ac:dyDescent="0.2">
      <c r="B36" s="231" t="s">
        <v>550</v>
      </c>
      <c r="C36" s="137">
        <v>0</v>
      </c>
      <c r="D36" s="137">
        <v>0</v>
      </c>
      <c r="E36" s="137">
        <v>0</v>
      </c>
      <c r="F36" s="137">
        <v>0</v>
      </c>
      <c r="G36" s="137">
        <v>0</v>
      </c>
      <c r="H36" s="137">
        <v>0</v>
      </c>
      <c r="I36" s="137">
        <v>0</v>
      </c>
      <c r="J36" s="137">
        <v>0</v>
      </c>
      <c r="K36" s="137">
        <v>0</v>
      </c>
      <c r="L36" s="232">
        <v>1365</v>
      </c>
      <c r="M36" s="137">
        <v>0</v>
      </c>
      <c r="N36" s="137">
        <v>0</v>
      </c>
      <c r="O36" s="137">
        <v>0</v>
      </c>
      <c r="P36" s="137">
        <v>0</v>
      </c>
      <c r="Q36" s="137">
        <v>0</v>
      </c>
      <c r="R36" s="137">
        <v>0</v>
      </c>
      <c r="S36" s="137">
        <v>0</v>
      </c>
      <c r="T36" s="137">
        <v>0</v>
      </c>
      <c r="U36" s="137">
        <v>0</v>
      </c>
      <c r="V36" s="137">
        <v>0</v>
      </c>
      <c r="W36" s="137">
        <v>0</v>
      </c>
      <c r="X36" s="137">
        <v>0</v>
      </c>
      <c r="Y36" s="137">
        <v>0</v>
      </c>
      <c r="Z36" s="137">
        <v>0</v>
      </c>
      <c r="AA36" s="137">
        <v>0</v>
      </c>
      <c r="AB36" s="137">
        <v>0</v>
      </c>
      <c r="AC36" s="137">
        <v>0</v>
      </c>
      <c r="AD36" s="137" t="s">
        <v>47</v>
      </c>
      <c r="AE36" s="137" t="s">
        <v>47</v>
      </c>
      <c r="AF36" s="137" t="s">
        <v>47</v>
      </c>
      <c r="AG36" s="137" t="s">
        <v>47</v>
      </c>
      <c r="AH36" s="137" t="s">
        <v>47</v>
      </c>
      <c r="AI36" s="137" t="s">
        <v>47</v>
      </c>
      <c r="AJ36" s="137" t="s">
        <v>47</v>
      </c>
      <c r="AK36" s="137" t="s">
        <v>47</v>
      </c>
      <c r="AL36" s="137" t="s">
        <v>47</v>
      </c>
      <c r="AM36" s="137" t="s">
        <v>47</v>
      </c>
      <c r="AN36" s="137"/>
      <c r="AO36" s="137"/>
      <c r="AP36" s="137" t="s">
        <v>47</v>
      </c>
    </row>
    <row r="37" spans="1:42" ht="25.5" hidden="1" outlineLevel="2" x14ac:dyDescent="0.2">
      <c r="B37" s="231" t="s">
        <v>1142</v>
      </c>
      <c r="C37" s="232" t="s">
        <v>47</v>
      </c>
      <c r="D37" s="137" t="s">
        <v>47</v>
      </c>
      <c r="E37" s="137" t="s">
        <v>47</v>
      </c>
      <c r="F37" s="137" t="s">
        <v>47</v>
      </c>
      <c r="G37" s="137" t="s">
        <v>47</v>
      </c>
      <c r="H37" s="137" t="s">
        <v>47</v>
      </c>
      <c r="I37" s="137" t="s">
        <v>47</v>
      </c>
      <c r="J37" s="137" t="s">
        <v>47</v>
      </c>
      <c r="K37" s="137" t="s">
        <v>47</v>
      </c>
      <c r="L37" s="137" t="s">
        <v>47</v>
      </c>
      <c r="M37" s="137" t="s">
        <v>47</v>
      </c>
      <c r="N37" s="137" t="s">
        <v>47</v>
      </c>
      <c r="O37" s="137" t="s">
        <v>47</v>
      </c>
      <c r="P37" s="137" t="s">
        <v>47</v>
      </c>
      <c r="Q37" s="137" t="s">
        <v>47</v>
      </c>
      <c r="R37" s="137" t="s">
        <v>47</v>
      </c>
      <c r="S37" s="137" t="s">
        <v>47</v>
      </c>
      <c r="T37" s="137" t="s">
        <v>47</v>
      </c>
      <c r="U37" s="137" t="s">
        <v>47</v>
      </c>
      <c r="V37" s="137" t="s">
        <v>47</v>
      </c>
      <c r="W37" s="137" t="s">
        <v>47</v>
      </c>
      <c r="X37" s="137" t="s">
        <v>47</v>
      </c>
      <c r="Y37" s="137" t="s">
        <v>47</v>
      </c>
      <c r="Z37" s="137" t="s">
        <v>47</v>
      </c>
      <c r="AA37" s="137" t="s">
        <v>47</v>
      </c>
      <c r="AB37" s="137" t="s">
        <v>47</v>
      </c>
      <c r="AC37" s="137" t="s">
        <v>47</v>
      </c>
      <c r="AD37" s="137" t="s">
        <v>47</v>
      </c>
      <c r="AE37" s="137" t="s">
        <v>47</v>
      </c>
      <c r="AF37" s="137" t="s">
        <v>47</v>
      </c>
      <c r="AG37" s="137" t="s">
        <v>47</v>
      </c>
      <c r="AH37" s="137" t="s">
        <v>47</v>
      </c>
      <c r="AI37" s="137" t="s">
        <v>47</v>
      </c>
      <c r="AJ37" s="137" t="s">
        <v>47</v>
      </c>
      <c r="AK37" s="137" t="s">
        <v>47</v>
      </c>
      <c r="AL37" s="137" t="s">
        <v>47</v>
      </c>
      <c r="AM37" s="137" t="s">
        <v>47</v>
      </c>
      <c r="AN37" s="137"/>
      <c r="AO37" s="137"/>
      <c r="AP37" s="137" t="s">
        <v>47</v>
      </c>
    </row>
    <row r="38" spans="1:42" s="233" customFormat="1" hidden="1" outlineLevel="2" x14ac:dyDescent="0.2">
      <c r="A38" s="268"/>
      <c r="B38" s="231" t="s">
        <v>289</v>
      </c>
      <c r="C38" s="232">
        <v>272.00000000000006</v>
      </c>
      <c r="D38" s="232">
        <v>301.99999999999994</v>
      </c>
      <c r="E38" s="232">
        <v>367</v>
      </c>
      <c r="F38" s="232">
        <v>358</v>
      </c>
      <c r="G38" s="232">
        <v>358</v>
      </c>
      <c r="H38" s="232">
        <v>383</v>
      </c>
      <c r="I38" s="232">
        <v>408</v>
      </c>
      <c r="J38" s="232">
        <v>384</v>
      </c>
      <c r="K38" s="232">
        <v>137</v>
      </c>
      <c r="L38" s="232">
        <v>0</v>
      </c>
      <c r="M38" s="232">
        <v>-137</v>
      </c>
      <c r="N38" s="232">
        <v>137</v>
      </c>
      <c r="O38" s="232">
        <v>0</v>
      </c>
      <c r="P38" s="232">
        <v>0</v>
      </c>
      <c r="Q38" s="232">
        <v>0</v>
      </c>
      <c r="R38" s="232">
        <v>0</v>
      </c>
      <c r="S38" s="232">
        <v>0</v>
      </c>
      <c r="T38" s="232">
        <v>0</v>
      </c>
      <c r="U38" s="232">
        <v>0</v>
      </c>
      <c r="V38" s="137">
        <v>0</v>
      </c>
      <c r="W38" s="137">
        <v>0</v>
      </c>
      <c r="X38" s="137">
        <v>0</v>
      </c>
      <c r="Y38" s="137">
        <v>0</v>
      </c>
      <c r="Z38" s="137">
        <v>0</v>
      </c>
      <c r="AA38" s="137">
        <v>0</v>
      </c>
      <c r="AB38" s="137">
        <v>0</v>
      </c>
      <c r="AC38" s="137">
        <v>0</v>
      </c>
      <c r="AD38" s="137">
        <v>0</v>
      </c>
      <c r="AE38" s="137">
        <v>0</v>
      </c>
      <c r="AF38" s="137">
        <v>0</v>
      </c>
      <c r="AG38" s="137">
        <v>0</v>
      </c>
      <c r="AH38" s="137">
        <v>0</v>
      </c>
      <c r="AI38" s="137">
        <v>0</v>
      </c>
      <c r="AJ38" s="137">
        <v>0</v>
      </c>
      <c r="AK38" s="137">
        <v>0</v>
      </c>
      <c r="AL38" s="137">
        <v>0</v>
      </c>
      <c r="AM38" s="137">
        <v>0</v>
      </c>
      <c r="AN38" s="137"/>
      <c r="AO38" s="137"/>
      <c r="AP38" s="137">
        <v>0</v>
      </c>
    </row>
    <row r="39" spans="1:42" s="233" customFormat="1" hidden="1" outlineLevel="2" x14ac:dyDescent="0.2">
      <c r="A39" s="268"/>
      <c r="B39" s="231" t="s">
        <v>290</v>
      </c>
      <c r="C39" s="232">
        <v>-1825</v>
      </c>
      <c r="D39" s="232">
        <v>-1207</v>
      </c>
      <c r="E39" s="232">
        <v>-55</v>
      </c>
      <c r="F39" s="232">
        <v>0</v>
      </c>
      <c r="G39" s="232">
        <v>0</v>
      </c>
      <c r="H39" s="232">
        <v>0</v>
      </c>
      <c r="I39" s="232">
        <v>0</v>
      </c>
      <c r="J39" s="232">
        <v>0</v>
      </c>
      <c r="K39" s="232">
        <v>0</v>
      </c>
      <c r="L39" s="232">
        <v>0</v>
      </c>
      <c r="M39" s="232">
        <v>0</v>
      </c>
      <c r="N39" s="232">
        <v>0</v>
      </c>
      <c r="O39" s="232">
        <v>0</v>
      </c>
      <c r="P39" s="232">
        <v>0</v>
      </c>
      <c r="Q39" s="232">
        <v>0</v>
      </c>
      <c r="R39" s="232">
        <v>0</v>
      </c>
      <c r="S39" s="232">
        <v>0</v>
      </c>
      <c r="T39" s="232">
        <v>0</v>
      </c>
      <c r="U39" s="232">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c r="AO39" s="137"/>
      <c r="AP39" s="137">
        <v>0</v>
      </c>
    </row>
    <row r="40" spans="1:42" s="233" customFormat="1" ht="25.5" hidden="1" outlineLevel="2" x14ac:dyDescent="0.2">
      <c r="A40" s="268"/>
      <c r="B40" s="231" t="s">
        <v>287</v>
      </c>
      <c r="C40" s="232">
        <v>4</v>
      </c>
      <c r="D40" s="232">
        <v>0</v>
      </c>
      <c r="E40" s="232">
        <v>-4</v>
      </c>
      <c r="F40" s="232">
        <v>4811</v>
      </c>
      <c r="G40" s="232">
        <v>2283</v>
      </c>
      <c r="H40" s="232">
        <v>0</v>
      </c>
      <c r="I40" s="232">
        <f>6902-2283</f>
        <v>4619</v>
      </c>
      <c r="J40" s="232">
        <v>0</v>
      </c>
      <c r="K40" s="232">
        <v>0</v>
      </c>
      <c r="L40" s="232">
        <v>0</v>
      </c>
      <c r="M40" s="232">
        <v>0</v>
      </c>
      <c r="N40" s="232">
        <v>-3719</v>
      </c>
      <c r="O40" s="232">
        <v>0</v>
      </c>
      <c r="P40" s="232">
        <v>0</v>
      </c>
      <c r="Q40" s="232">
        <v>0</v>
      </c>
      <c r="R40" s="232">
        <v>0</v>
      </c>
      <c r="S40" s="232">
        <v>0</v>
      </c>
      <c r="T40" s="232">
        <v>0</v>
      </c>
      <c r="U40" s="232">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0</v>
      </c>
      <c r="AN40" s="137"/>
      <c r="AO40" s="137"/>
      <c r="AP40" s="137">
        <v>0</v>
      </c>
    </row>
    <row r="41" spans="1:42" s="233" customFormat="1" hidden="1" outlineLevel="2" x14ac:dyDescent="0.2">
      <c r="A41" s="268"/>
      <c r="B41" s="231" t="s">
        <v>740</v>
      </c>
      <c r="C41" s="232">
        <v>0</v>
      </c>
      <c r="D41" s="232">
        <v>0</v>
      </c>
      <c r="E41" s="232">
        <v>0</v>
      </c>
      <c r="F41" s="232">
        <v>0</v>
      </c>
      <c r="G41" s="232">
        <v>0</v>
      </c>
      <c r="H41" s="232">
        <v>0</v>
      </c>
      <c r="I41" s="232">
        <v>0</v>
      </c>
      <c r="J41" s="232">
        <v>0</v>
      </c>
      <c r="K41" s="232">
        <v>0</v>
      </c>
      <c r="L41" s="232">
        <v>0</v>
      </c>
      <c r="M41" s="232">
        <v>-471</v>
      </c>
      <c r="N41" s="232">
        <v>0</v>
      </c>
      <c r="O41" s="232">
        <v>0</v>
      </c>
      <c r="P41" s="232">
        <v>0</v>
      </c>
      <c r="Q41" s="232">
        <v>0</v>
      </c>
      <c r="R41" s="232">
        <v>0</v>
      </c>
      <c r="S41" s="232">
        <v>0</v>
      </c>
      <c r="T41" s="232">
        <v>0</v>
      </c>
      <c r="U41" s="232">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37">
        <v>0</v>
      </c>
      <c r="AM41" s="137">
        <v>0</v>
      </c>
      <c r="AN41" s="137"/>
      <c r="AO41" s="137"/>
      <c r="AP41" s="137">
        <v>0</v>
      </c>
    </row>
    <row r="42" spans="1:42" s="233" customFormat="1" hidden="1" outlineLevel="2" x14ac:dyDescent="0.2">
      <c r="A42" s="268"/>
      <c r="B42" s="231" t="s">
        <v>283</v>
      </c>
      <c r="C42" s="232">
        <v>0</v>
      </c>
      <c r="D42" s="232">
        <v>0</v>
      </c>
      <c r="E42" s="232">
        <v>0</v>
      </c>
      <c r="F42" s="232">
        <v>0</v>
      </c>
      <c r="G42" s="232">
        <v>0</v>
      </c>
      <c r="H42" s="232">
        <v>0</v>
      </c>
      <c r="I42" s="232">
        <v>0</v>
      </c>
      <c r="J42" s="232">
        <v>0</v>
      </c>
      <c r="K42" s="232">
        <v>0</v>
      </c>
      <c r="L42" s="232">
        <v>223</v>
      </c>
      <c r="M42" s="232">
        <v>-223</v>
      </c>
      <c r="N42" s="232">
        <v>0</v>
      </c>
      <c r="O42" s="232">
        <v>0</v>
      </c>
      <c r="P42" s="232">
        <v>0</v>
      </c>
      <c r="Q42" s="232">
        <v>0</v>
      </c>
      <c r="R42" s="232">
        <v>0</v>
      </c>
      <c r="S42" s="232">
        <v>0</v>
      </c>
      <c r="T42" s="232">
        <v>0</v>
      </c>
      <c r="U42" s="232">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37">
        <v>0</v>
      </c>
      <c r="AM42" s="137">
        <v>0</v>
      </c>
      <c r="AN42" s="137"/>
      <c r="AO42" s="137"/>
      <c r="AP42" s="137">
        <v>0</v>
      </c>
    </row>
    <row r="43" spans="1:42" s="233" customFormat="1" hidden="1" outlineLevel="2" x14ac:dyDescent="0.2">
      <c r="A43" s="268"/>
      <c r="B43" s="231" t="s">
        <v>291</v>
      </c>
      <c r="C43" s="232">
        <v>110</v>
      </c>
      <c r="D43" s="232">
        <v>110</v>
      </c>
      <c r="E43" s="232">
        <v>-603</v>
      </c>
      <c r="F43" s="232">
        <v>-1730</v>
      </c>
      <c r="G43" s="232">
        <v>0</v>
      </c>
      <c r="H43" s="232">
        <v>-44</v>
      </c>
      <c r="I43" s="232">
        <v>0</v>
      </c>
      <c r="J43" s="232">
        <v>0</v>
      </c>
      <c r="K43" s="232">
        <v>0</v>
      </c>
      <c r="L43" s="232">
        <v>0</v>
      </c>
      <c r="M43" s="232">
        <v>0</v>
      </c>
      <c r="N43" s="232">
        <v>0</v>
      </c>
      <c r="O43" s="232">
        <v>0</v>
      </c>
      <c r="P43" s="232">
        <v>0</v>
      </c>
      <c r="Q43" s="232">
        <v>0</v>
      </c>
      <c r="R43" s="232">
        <v>0</v>
      </c>
      <c r="S43" s="232">
        <v>0</v>
      </c>
      <c r="T43" s="232">
        <v>0</v>
      </c>
      <c r="U43" s="232">
        <v>0</v>
      </c>
      <c r="V43" s="137">
        <v>0</v>
      </c>
      <c r="W43" s="137">
        <v>0</v>
      </c>
      <c r="X43" s="137">
        <v>0</v>
      </c>
      <c r="Y43" s="137">
        <v>0</v>
      </c>
      <c r="Z43" s="137">
        <v>0</v>
      </c>
      <c r="AA43" s="137">
        <v>0</v>
      </c>
      <c r="AB43" s="137">
        <v>0</v>
      </c>
      <c r="AC43" s="137">
        <v>0</v>
      </c>
      <c r="AD43" s="137">
        <v>0</v>
      </c>
      <c r="AE43" s="137">
        <v>0</v>
      </c>
      <c r="AF43" s="137">
        <v>0</v>
      </c>
      <c r="AG43" s="137">
        <v>0</v>
      </c>
      <c r="AH43" s="137">
        <v>0</v>
      </c>
      <c r="AI43" s="137">
        <v>0</v>
      </c>
      <c r="AJ43" s="137">
        <v>0</v>
      </c>
      <c r="AK43" s="137">
        <v>0</v>
      </c>
      <c r="AL43" s="137">
        <v>0</v>
      </c>
      <c r="AM43" s="137">
        <v>0</v>
      </c>
      <c r="AN43" s="137"/>
      <c r="AO43" s="137"/>
      <c r="AP43" s="137">
        <v>0</v>
      </c>
    </row>
    <row r="44" spans="1:42" s="233" customFormat="1" hidden="1" outlineLevel="2" x14ac:dyDescent="0.2">
      <c r="A44" s="268"/>
      <c r="B44" s="231" t="s">
        <v>292</v>
      </c>
      <c r="C44" s="232" t="s">
        <v>47</v>
      </c>
      <c r="D44" s="232" t="s">
        <v>47</v>
      </c>
      <c r="E44" s="232" t="s">
        <v>47</v>
      </c>
      <c r="F44" s="232" t="s">
        <v>47</v>
      </c>
      <c r="G44" s="232" t="s">
        <v>47</v>
      </c>
      <c r="H44" s="232" t="s">
        <v>47</v>
      </c>
      <c r="I44" s="232" t="s">
        <v>47</v>
      </c>
      <c r="J44" s="232" t="s">
        <v>47</v>
      </c>
      <c r="K44" s="232" t="s">
        <v>47</v>
      </c>
      <c r="L44" s="232" t="s">
        <v>47</v>
      </c>
      <c r="M44" s="232" t="s">
        <v>47</v>
      </c>
      <c r="N44" s="232" t="s">
        <v>47</v>
      </c>
      <c r="O44" s="232">
        <v>0</v>
      </c>
      <c r="P44" s="232">
        <v>0</v>
      </c>
      <c r="Q44" s="232">
        <v>0</v>
      </c>
      <c r="R44" s="232">
        <v>0</v>
      </c>
      <c r="S44" s="232">
        <v>0</v>
      </c>
      <c r="T44" s="232">
        <v>0</v>
      </c>
      <c r="U44" s="232">
        <v>0</v>
      </c>
      <c r="V44" s="137" t="s">
        <v>47</v>
      </c>
      <c r="W44" s="137" t="s">
        <v>47</v>
      </c>
      <c r="X44" s="137">
        <v>0</v>
      </c>
      <c r="Y44" s="137" t="s">
        <v>47</v>
      </c>
      <c r="Z44" s="137" t="s">
        <v>47</v>
      </c>
      <c r="AA44" s="137" t="s">
        <v>47</v>
      </c>
      <c r="AB44" s="137" t="s">
        <v>47</v>
      </c>
      <c r="AC44" s="137" t="s">
        <v>47</v>
      </c>
      <c r="AD44" s="137" t="s">
        <v>47</v>
      </c>
      <c r="AE44" s="137" t="s">
        <v>47</v>
      </c>
      <c r="AF44" s="137" t="s">
        <v>47</v>
      </c>
      <c r="AG44" s="137" t="s">
        <v>47</v>
      </c>
      <c r="AH44" s="137" t="s">
        <v>47</v>
      </c>
      <c r="AI44" s="137" t="s">
        <v>47</v>
      </c>
      <c r="AJ44" s="137" t="s">
        <v>47</v>
      </c>
      <c r="AK44" s="137" t="s">
        <v>47</v>
      </c>
      <c r="AL44" s="137" t="s">
        <v>47</v>
      </c>
      <c r="AM44" s="137" t="s">
        <v>47</v>
      </c>
      <c r="AN44" s="137"/>
      <c r="AO44" s="137"/>
      <c r="AP44" s="137" t="s">
        <v>47</v>
      </c>
    </row>
    <row r="45" spans="1:42" collapsed="1" x14ac:dyDescent="0.2">
      <c r="B45" s="134" t="s">
        <v>293</v>
      </c>
      <c r="C45" s="135">
        <f t="shared" ref="C45:AF45" si="34">SUM(C19:C44)</f>
        <v>21084</v>
      </c>
      <c r="D45" s="135">
        <f t="shared" si="34"/>
        <v>11282</v>
      </c>
      <c r="E45" s="135">
        <f t="shared" si="34"/>
        <v>31292.771509999999</v>
      </c>
      <c r="F45" s="135">
        <f t="shared" si="34"/>
        <v>32318.656905399999</v>
      </c>
      <c r="G45" s="135">
        <f t="shared" si="34"/>
        <v>24632</v>
      </c>
      <c r="H45" s="135">
        <f t="shared" si="34"/>
        <v>23743</v>
      </c>
      <c r="I45" s="135">
        <f t="shared" si="34"/>
        <v>28797.809110000002</v>
      </c>
      <c r="J45" s="135">
        <f t="shared" si="34"/>
        <v>31356.060149999998</v>
      </c>
      <c r="K45" s="135">
        <f t="shared" si="34"/>
        <v>20454.916000000001</v>
      </c>
      <c r="L45" s="135">
        <f t="shared" si="34"/>
        <v>28177.644100000001</v>
      </c>
      <c r="M45" s="135">
        <f t="shared" si="34"/>
        <v>35557.583459999994</v>
      </c>
      <c r="N45" s="135">
        <f t="shared" si="34"/>
        <v>-17212.345209999999</v>
      </c>
      <c r="O45" s="135">
        <f t="shared" si="34"/>
        <v>28755</v>
      </c>
      <c r="P45" s="135">
        <f t="shared" si="34"/>
        <v>20278.126060000053</v>
      </c>
      <c r="Q45" s="135">
        <f t="shared" si="34"/>
        <v>23586.733370000002</v>
      </c>
      <c r="R45" s="135">
        <f t="shared" si="34"/>
        <v>31918.21617</v>
      </c>
      <c r="S45" s="135">
        <f t="shared" si="34"/>
        <v>35941.739759999997</v>
      </c>
      <c r="T45" s="135">
        <f t="shared" si="34"/>
        <v>31601.942029999998</v>
      </c>
      <c r="U45" s="135">
        <f t="shared" si="34"/>
        <v>-26788.485550000005</v>
      </c>
      <c r="V45" s="135">
        <f t="shared" si="34"/>
        <v>32419.300579999999</v>
      </c>
      <c r="W45" s="135">
        <f t="shared" si="34"/>
        <v>28775.968930000003</v>
      </c>
      <c r="X45" s="135">
        <f t="shared" si="34"/>
        <v>13268.356110000001</v>
      </c>
      <c r="Y45" s="135">
        <f t="shared" si="34"/>
        <v>32325.130280000001</v>
      </c>
      <c r="Z45" s="135">
        <f t="shared" si="34"/>
        <v>29176.342360000002</v>
      </c>
      <c r="AA45" s="135">
        <f t="shared" si="34"/>
        <v>21667</v>
      </c>
      <c r="AB45" s="135">
        <f t="shared" si="34"/>
        <v>10496</v>
      </c>
      <c r="AC45" s="135">
        <f t="shared" si="34"/>
        <v>13088</v>
      </c>
      <c r="AD45" s="135">
        <f t="shared" si="34"/>
        <v>17722</v>
      </c>
      <c r="AE45" s="135">
        <f t="shared" si="34"/>
        <v>17759</v>
      </c>
      <c r="AF45" s="135">
        <f t="shared" si="34"/>
        <v>14440</v>
      </c>
      <c r="AG45" s="135">
        <f t="shared" ref="AG45:AP45" si="35">SUM(AG19:AG44)</f>
        <v>17249</v>
      </c>
      <c r="AH45" s="135">
        <f t="shared" si="35"/>
        <v>6510</v>
      </c>
      <c r="AI45" s="135">
        <f t="shared" si="35"/>
        <v>11318</v>
      </c>
      <c r="AJ45" s="135">
        <f t="shared" si="35"/>
        <v>18586</v>
      </c>
      <c r="AK45" s="135">
        <f t="shared" si="35"/>
        <v>12834</v>
      </c>
      <c r="AL45" s="135">
        <f t="shared" si="35"/>
        <v>17258</v>
      </c>
      <c r="AM45" s="135">
        <f t="shared" si="35"/>
        <v>16570</v>
      </c>
      <c r="AN45" s="135">
        <f t="shared" si="35"/>
        <v>7181</v>
      </c>
      <c r="AO45" s="135">
        <f t="shared" si="35"/>
        <v>11313</v>
      </c>
      <c r="AP45" s="135">
        <f t="shared" si="35"/>
        <v>15869</v>
      </c>
    </row>
    <row r="46" spans="1:42" x14ac:dyDescent="0.2">
      <c r="A46" s="268" t="s">
        <v>167</v>
      </c>
      <c r="B46" s="222" t="s">
        <v>167</v>
      </c>
      <c r="C46" s="137">
        <v>66929</v>
      </c>
      <c r="D46" s="137">
        <v>-34459</v>
      </c>
      <c r="E46" s="137">
        <v>38406</v>
      </c>
      <c r="F46" s="137">
        <f>-6072-1.1534299999621</f>
        <v>-6073.1534299999621</v>
      </c>
      <c r="G46" s="137">
        <v>57721</v>
      </c>
      <c r="H46" s="137">
        <f>-9385+0.328629999979967</f>
        <v>-9384.67137000002</v>
      </c>
      <c r="I46" s="137">
        <v>12715</v>
      </c>
      <c r="J46" s="137">
        <v>-28573</v>
      </c>
      <c r="K46" s="137">
        <v>37956</v>
      </c>
      <c r="L46" s="137">
        <v>-7089</v>
      </c>
      <c r="M46" s="137">
        <v>-14113</v>
      </c>
      <c r="N46" s="137">
        <v>-33772</v>
      </c>
      <c r="O46" s="137">
        <v>18432</v>
      </c>
      <c r="P46" s="137">
        <v>-25427</v>
      </c>
      <c r="Q46" s="137">
        <v>-14881</v>
      </c>
      <c r="R46" s="137">
        <v>-37496</v>
      </c>
      <c r="S46" s="137">
        <v>23546</v>
      </c>
      <c r="T46" s="137">
        <v>-11781</v>
      </c>
      <c r="U46" s="137">
        <v>-7027.9344200001142</v>
      </c>
      <c r="V46" s="137">
        <v>-37575</v>
      </c>
      <c r="W46" s="137">
        <v>52801</v>
      </c>
      <c r="X46" s="137">
        <v>80939</v>
      </c>
      <c r="Y46" s="137">
        <v>-72384</v>
      </c>
      <c r="Z46" s="137">
        <v>-12387</v>
      </c>
      <c r="AA46" s="137">
        <v>42871</v>
      </c>
      <c r="AB46" s="137">
        <v>-28006</v>
      </c>
      <c r="AC46" s="137">
        <v>357</v>
      </c>
      <c r="AD46" s="137">
        <v>-106892</v>
      </c>
      <c r="AE46" s="137">
        <v>78857</v>
      </c>
      <c r="AF46" s="137">
        <v>-43097</v>
      </c>
      <c r="AG46" s="137">
        <v>-22593</v>
      </c>
      <c r="AH46" s="137">
        <v>-24978</v>
      </c>
      <c r="AI46" s="137">
        <v>53735</v>
      </c>
      <c r="AJ46" s="137">
        <v>-4576</v>
      </c>
      <c r="AK46" s="137">
        <v>-16959</v>
      </c>
      <c r="AL46" s="137">
        <v>-64789</v>
      </c>
      <c r="AM46" s="137">
        <v>51296</v>
      </c>
      <c r="AN46" s="137">
        <v>-48947</v>
      </c>
      <c r="AO46" s="137">
        <v>-53222</v>
      </c>
      <c r="AP46" s="137">
        <v>-44717</v>
      </c>
    </row>
    <row r="47" spans="1:42" x14ac:dyDescent="0.2">
      <c r="B47" s="136" t="s">
        <v>294</v>
      </c>
      <c r="C47" s="137">
        <v>-1060.0000000000009</v>
      </c>
      <c r="D47" s="137">
        <v>-5834.9999999999991</v>
      </c>
      <c r="E47" s="137">
        <v>2528</v>
      </c>
      <c r="F47" s="137">
        <v>-5956</v>
      </c>
      <c r="G47" s="137">
        <v>3337</v>
      </c>
      <c r="H47" s="137">
        <v>2644</v>
      </c>
      <c r="I47" s="137">
        <v>825</v>
      </c>
      <c r="J47" s="137">
        <f>-3970-0.167470000014873</f>
        <v>-3970.1674700000149</v>
      </c>
      <c r="K47" s="137">
        <v>-2387</v>
      </c>
      <c r="L47" s="334">
        <v>-16288</v>
      </c>
      <c r="M47" s="137">
        <v>5716.9661399999986</v>
      </c>
      <c r="N47" s="137">
        <v>4131.0338600000014</v>
      </c>
      <c r="O47" s="137">
        <v>13519</v>
      </c>
      <c r="P47" s="137">
        <v>5015</v>
      </c>
      <c r="Q47" s="137">
        <v>-539</v>
      </c>
      <c r="R47" s="137">
        <v>-392</v>
      </c>
      <c r="S47" s="137">
        <v>-721</v>
      </c>
      <c r="T47" s="137">
        <v>-851</v>
      </c>
      <c r="U47" s="137">
        <v>449</v>
      </c>
      <c r="V47" s="137">
        <v>-265</v>
      </c>
      <c r="W47" s="137">
        <v>10914</v>
      </c>
      <c r="X47" s="137">
        <v>-376</v>
      </c>
      <c r="Y47" s="137">
        <v>10810</v>
      </c>
      <c r="Z47" s="137">
        <v>10777</v>
      </c>
      <c r="AA47" s="137">
        <v>2424</v>
      </c>
      <c r="AB47" s="137">
        <f>-22167+17956</f>
        <v>-4211</v>
      </c>
      <c r="AC47" s="137">
        <v>823</v>
      </c>
      <c r="AD47" s="137">
        <f>3987-SUM(AA47:AC47)</f>
        <v>4951</v>
      </c>
      <c r="AE47" s="137">
        <v>3119</v>
      </c>
      <c r="AF47" s="137">
        <v>9468</v>
      </c>
      <c r="AG47" s="137">
        <v>29264</v>
      </c>
      <c r="AH47" s="137">
        <v>15980</v>
      </c>
      <c r="AI47" s="137">
        <v>13876</v>
      </c>
      <c r="AJ47" s="137">
        <v>5332</v>
      </c>
      <c r="AK47" s="137">
        <v>18505</v>
      </c>
      <c r="AL47" s="137">
        <v>16682</v>
      </c>
      <c r="AM47" s="137">
        <v>11743</v>
      </c>
      <c r="AN47" s="137">
        <v>22211</v>
      </c>
      <c r="AO47" s="137">
        <v>37291</v>
      </c>
      <c r="AP47" s="137">
        <v>32839</v>
      </c>
    </row>
    <row r="48" spans="1:42" x14ac:dyDescent="0.2">
      <c r="A48" s="268" t="s">
        <v>181</v>
      </c>
      <c r="B48" s="222" t="s">
        <v>181</v>
      </c>
      <c r="C48" s="137">
        <v>-894</v>
      </c>
      <c r="D48" s="137">
        <v>-545</v>
      </c>
      <c r="E48" s="137">
        <f>-344+0.0798300000460586</f>
        <v>-343.92016999995394</v>
      </c>
      <c r="F48" s="137">
        <v>5617</v>
      </c>
      <c r="G48" s="137">
        <v>-329</v>
      </c>
      <c r="H48" s="137">
        <v>59</v>
      </c>
      <c r="I48" s="137">
        <v>550</v>
      </c>
      <c r="J48" s="137">
        <v>62</v>
      </c>
      <c r="K48" s="137">
        <v>994</v>
      </c>
      <c r="L48" s="137">
        <v>2594</v>
      </c>
      <c r="M48" s="137">
        <v>-6318.2797</v>
      </c>
      <c r="N48" s="137">
        <v>2055.2797</v>
      </c>
      <c r="O48" s="137">
        <v>-419</v>
      </c>
      <c r="P48" s="137">
        <v>-730</v>
      </c>
      <c r="Q48" s="137">
        <v>-412</v>
      </c>
      <c r="R48" s="137">
        <v>-369</v>
      </c>
      <c r="S48" s="137">
        <v>-467</v>
      </c>
      <c r="T48" s="137">
        <v>-745</v>
      </c>
      <c r="U48" s="137">
        <v>-2415</v>
      </c>
      <c r="V48" s="137">
        <v>-109</v>
      </c>
      <c r="W48" s="137">
        <v>-595</v>
      </c>
      <c r="X48" s="137">
        <v>216</v>
      </c>
      <c r="Y48" s="137">
        <v>-160</v>
      </c>
      <c r="Z48" s="137">
        <v>-381</v>
      </c>
      <c r="AA48" s="137">
        <v>-232</v>
      </c>
      <c r="AB48" s="137">
        <v>-26</v>
      </c>
      <c r="AC48" s="137">
        <v>104</v>
      </c>
      <c r="AD48" s="137">
        <v>-237</v>
      </c>
      <c r="AE48" s="137">
        <v>-1046</v>
      </c>
      <c r="AF48" s="137">
        <v>55</v>
      </c>
      <c r="AG48" s="137">
        <v>1251</v>
      </c>
      <c r="AH48" s="137">
        <v>-246</v>
      </c>
      <c r="AI48" s="137">
        <v>-215</v>
      </c>
      <c r="AJ48" s="137">
        <v>-48</v>
      </c>
      <c r="AK48" s="137">
        <v>-124</v>
      </c>
      <c r="AL48" s="137">
        <v>-636</v>
      </c>
      <c r="AM48" s="137">
        <v>-244</v>
      </c>
      <c r="AN48" s="137">
        <v>-1935</v>
      </c>
      <c r="AO48" s="137">
        <v>-335</v>
      </c>
      <c r="AP48" s="137">
        <v>208</v>
      </c>
    </row>
    <row r="49" spans="1:42" x14ac:dyDescent="0.2">
      <c r="B49" s="136" t="s">
        <v>295</v>
      </c>
      <c r="C49" s="137">
        <v>-4070</v>
      </c>
      <c r="D49" s="137">
        <v>724.00000000000023</v>
      </c>
      <c r="E49" s="137">
        <v>5157</v>
      </c>
      <c r="F49" s="137">
        <v>3711</v>
      </c>
      <c r="G49" s="137">
        <v>-2445</v>
      </c>
      <c r="H49" s="137">
        <v>6657</v>
      </c>
      <c r="I49" s="137">
        <v>2837</v>
      </c>
      <c r="J49" s="137">
        <v>3916</v>
      </c>
      <c r="K49" s="137">
        <v>-7186</v>
      </c>
      <c r="L49" s="137">
        <v>4139</v>
      </c>
      <c r="M49" s="334">
        <v>4963.43</v>
      </c>
      <c r="N49" s="137">
        <v>4310.0006700000267</v>
      </c>
      <c r="O49" s="137">
        <v>-6925</v>
      </c>
      <c r="P49" s="137">
        <v>-664</v>
      </c>
      <c r="Q49" s="137">
        <v>-403</v>
      </c>
      <c r="R49" s="137">
        <v>-1254</v>
      </c>
      <c r="S49" s="137">
        <v>-1059</v>
      </c>
      <c r="T49" s="137">
        <v>-328</v>
      </c>
      <c r="U49" s="334">
        <v>2539</v>
      </c>
      <c r="V49" s="137">
        <v>3581</v>
      </c>
      <c r="W49" s="137">
        <v>-3414</v>
      </c>
      <c r="X49" s="137">
        <v>-961</v>
      </c>
      <c r="Y49" s="137">
        <v>-1</v>
      </c>
      <c r="Z49" s="137">
        <v>1815</v>
      </c>
      <c r="AA49" s="137">
        <v>-4683</v>
      </c>
      <c r="AB49" s="137">
        <v>2467</v>
      </c>
      <c r="AC49" s="137">
        <v>797</v>
      </c>
      <c r="AD49" s="137">
        <v>-179</v>
      </c>
      <c r="AE49" s="137">
        <v>-950</v>
      </c>
      <c r="AF49" s="137">
        <v>27</v>
      </c>
      <c r="AG49" s="137">
        <v>-12816</v>
      </c>
      <c r="AH49" s="137">
        <v>6066</v>
      </c>
      <c r="AI49" s="137">
        <v>660</v>
      </c>
      <c r="AJ49" s="137">
        <v>1518</v>
      </c>
      <c r="AK49" s="137">
        <v>-1303</v>
      </c>
      <c r="AL49" s="137">
        <v>809</v>
      </c>
      <c r="AM49" s="137">
        <v>2116</v>
      </c>
      <c r="AN49" s="137">
        <v>-1449</v>
      </c>
      <c r="AO49" s="137">
        <v>-3081</v>
      </c>
      <c r="AP49" s="137">
        <v>-2453</v>
      </c>
    </row>
    <row r="50" spans="1:42" x14ac:dyDescent="0.2">
      <c r="B50" s="136" t="s">
        <v>296</v>
      </c>
      <c r="C50" s="137">
        <v>-3423</v>
      </c>
      <c r="D50" s="137">
        <v>-9275</v>
      </c>
      <c r="E50" s="137">
        <v>293</v>
      </c>
      <c r="F50" s="137">
        <v>5915</v>
      </c>
      <c r="G50" s="137">
        <v>-11500</v>
      </c>
      <c r="H50" s="137">
        <v>-3013</v>
      </c>
      <c r="I50" s="137">
        <f>1508-0.364409999976488</f>
        <v>1507.6355900000235</v>
      </c>
      <c r="J50" s="137">
        <v>10765</v>
      </c>
      <c r="K50" s="137">
        <f>-19975-1348-172.122</f>
        <v>-21495.121999999999</v>
      </c>
      <c r="L50" s="137">
        <f>46-1242-271.15-35.6</f>
        <v>-1502.75</v>
      </c>
      <c r="M50" s="137">
        <v>4221.6201199999996</v>
      </c>
      <c r="N50" s="137">
        <v>6471.2518799999998</v>
      </c>
      <c r="O50" s="137">
        <v>-2459</v>
      </c>
      <c r="P50" s="137">
        <v>-5047</v>
      </c>
      <c r="Q50" s="137">
        <v>3542</v>
      </c>
      <c r="R50" s="137">
        <v>7025</v>
      </c>
      <c r="S50" s="137">
        <v>-2031</v>
      </c>
      <c r="T50" s="137">
        <v>-1232</v>
      </c>
      <c r="U50" s="137">
        <v>-1019</v>
      </c>
      <c r="V50" s="137">
        <v>6599</v>
      </c>
      <c r="W50" s="137">
        <v>-14917</v>
      </c>
      <c r="X50" s="137">
        <v>-3851</v>
      </c>
      <c r="Y50" s="137">
        <v>11326</v>
      </c>
      <c r="Z50" s="137">
        <v>1666</v>
      </c>
      <c r="AA50" s="137">
        <v>-5557</v>
      </c>
      <c r="AB50" s="137">
        <v>4194</v>
      </c>
      <c r="AC50" s="137">
        <v>7429</v>
      </c>
      <c r="AD50" s="137">
        <v>9279</v>
      </c>
      <c r="AE50" s="137">
        <v>-7153</v>
      </c>
      <c r="AF50" s="137">
        <v>-8279</v>
      </c>
      <c r="AG50" s="137">
        <v>-4515</v>
      </c>
      <c r="AH50" s="137">
        <v>6611</v>
      </c>
      <c r="AI50" s="137">
        <v>1484</v>
      </c>
      <c r="AJ50" s="137">
        <v>-1237</v>
      </c>
      <c r="AK50" s="137">
        <v>5107</v>
      </c>
      <c r="AL50" s="137">
        <v>4401</v>
      </c>
      <c r="AM50" s="137">
        <v>-4058</v>
      </c>
      <c r="AN50" s="137">
        <v>10355</v>
      </c>
      <c r="AO50" s="137">
        <v>-3860</v>
      </c>
      <c r="AP50" s="137">
        <v>9556</v>
      </c>
    </row>
    <row r="51" spans="1:42" x14ac:dyDescent="0.2">
      <c r="B51" s="136" t="s">
        <v>297</v>
      </c>
      <c r="C51" s="137">
        <v>-1435</v>
      </c>
      <c r="D51" s="137">
        <v>-2526</v>
      </c>
      <c r="E51" s="137">
        <v>3275</v>
      </c>
      <c r="F51" s="137">
        <v>-1134</v>
      </c>
      <c r="G51" s="137">
        <v>-2625</v>
      </c>
      <c r="H51" s="137">
        <v>1245</v>
      </c>
      <c r="I51" s="137">
        <v>3295</v>
      </c>
      <c r="J51" s="137">
        <v>-4334</v>
      </c>
      <c r="K51" s="137">
        <v>173</v>
      </c>
      <c r="L51" s="137">
        <v>335</v>
      </c>
      <c r="M51" s="137">
        <v>4102.7799199999999</v>
      </c>
      <c r="N51" s="137">
        <v>-1991.7799199999999</v>
      </c>
      <c r="O51" s="137">
        <v>-2702</v>
      </c>
      <c r="P51" s="137">
        <v>1628</v>
      </c>
      <c r="Q51" s="137">
        <v>4050</v>
      </c>
      <c r="R51" s="137">
        <v>-2079</v>
      </c>
      <c r="S51" s="137">
        <v>-3663</v>
      </c>
      <c r="T51" s="137">
        <v>3670</v>
      </c>
      <c r="U51" s="137">
        <v>3894</v>
      </c>
      <c r="V51" s="137">
        <v>-1899</v>
      </c>
      <c r="W51" s="137">
        <v>-4263</v>
      </c>
      <c r="X51" s="137">
        <v>2867</v>
      </c>
      <c r="Y51" s="137">
        <v>1262</v>
      </c>
      <c r="Z51" s="137">
        <v>-5388</v>
      </c>
      <c r="AA51" s="137">
        <v>-2726</v>
      </c>
      <c r="AB51" s="137">
        <v>3727</v>
      </c>
      <c r="AC51" s="137">
        <v>3857</v>
      </c>
      <c r="AD51" s="137">
        <v>-1143</v>
      </c>
      <c r="AE51" s="137">
        <v>-4197</v>
      </c>
      <c r="AF51" s="137">
        <v>2589</v>
      </c>
      <c r="AG51" s="137">
        <v>4130</v>
      </c>
      <c r="AH51" s="137">
        <v>-632</v>
      </c>
      <c r="AI51" s="137">
        <v>-3778</v>
      </c>
      <c r="AJ51" s="137">
        <v>5054</v>
      </c>
      <c r="AK51" s="137">
        <v>4744</v>
      </c>
      <c r="AL51" s="137">
        <v>-2152</v>
      </c>
      <c r="AM51" s="137">
        <v>-5004</v>
      </c>
      <c r="AN51" s="137">
        <v>4905</v>
      </c>
      <c r="AO51" s="137">
        <v>5729</v>
      </c>
      <c r="AP51" s="137">
        <v>-2429</v>
      </c>
    </row>
    <row r="52" spans="1:42" x14ac:dyDescent="0.2">
      <c r="B52" s="136" t="s">
        <v>298</v>
      </c>
      <c r="C52" s="137">
        <v>0</v>
      </c>
      <c r="D52" s="137">
        <v>11200</v>
      </c>
      <c r="E52" s="137">
        <v>6222</v>
      </c>
      <c r="F52" s="137">
        <v>-648</v>
      </c>
      <c r="G52" s="137">
        <v>1162</v>
      </c>
      <c r="H52" s="137">
        <v>162</v>
      </c>
      <c r="I52" s="137">
        <v>-5395</v>
      </c>
      <c r="J52" s="137">
        <v>265</v>
      </c>
      <c r="K52" s="137">
        <v>287</v>
      </c>
      <c r="L52" s="137">
        <v>-225</v>
      </c>
      <c r="M52" s="137">
        <v>-208</v>
      </c>
      <c r="N52" s="137">
        <v>-154</v>
      </c>
      <c r="O52" s="137">
        <v>-565</v>
      </c>
      <c r="P52" s="137">
        <v>52</v>
      </c>
      <c r="Q52" s="137">
        <v>0</v>
      </c>
      <c r="R52" s="137">
        <v>702</v>
      </c>
      <c r="S52" s="137">
        <v>-937</v>
      </c>
      <c r="T52" s="334">
        <v>13519</v>
      </c>
      <c r="U52" s="137">
        <v>1885</v>
      </c>
      <c r="V52" s="137">
        <v>-169</v>
      </c>
      <c r="W52" s="137">
        <v>203</v>
      </c>
      <c r="X52" s="137">
        <v>492</v>
      </c>
      <c r="Y52" s="137">
        <v>-125</v>
      </c>
      <c r="Z52" s="137">
        <v>-50</v>
      </c>
      <c r="AA52" s="137">
        <v>-84</v>
      </c>
      <c r="AB52" s="137">
        <v>100</v>
      </c>
      <c r="AC52" s="137">
        <v>415</v>
      </c>
      <c r="AD52" s="137">
        <v>-283</v>
      </c>
      <c r="AE52" s="137">
        <v>-36</v>
      </c>
      <c r="AF52" s="137">
        <v>64</v>
      </c>
      <c r="AG52" s="137">
        <v>27</v>
      </c>
      <c r="AH52" s="137">
        <v>496</v>
      </c>
      <c r="AI52" s="137">
        <v>-73</v>
      </c>
      <c r="AJ52" s="137">
        <v>-215</v>
      </c>
      <c r="AK52" s="137">
        <v>51</v>
      </c>
      <c r="AL52" s="137">
        <v>51</v>
      </c>
      <c r="AM52" s="137">
        <v>338</v>
      </c>
      <c r="AN52" s="137">
        <v>-318</v>
      </c>
      <c r="AO52" s="137">
        <v>-617</v>
      </c>
      <c r="AP52" s="137">
        <v>282</v>
      </c>
    </row>
    <row r="53" spans="1:42" x14ac:dyDescent="0.2">
      <c r="B53" s="136" t="s">
        <v>750</v>
      </c>
      <c r="C53" s="137">
        <v>-13513</v>
      </c>
      <c r="D53" s="137">
        <v>2208.9999999999995</v>
      </c>
      <c r="E53" s="137">
        <v>-8236</v>
      </c>
      <c r="F53" s="137">
        <v>8964</v>
      </c>
      <c r="G53" s="137">
        <v>995</v>
      </c>
      <c r="H53" s="137">
        <v>-7865</v>
      </c>
      <c r="I53" s="137">
        <v>-3086</v>
      </c>
      <c r="J53" s="137">
        <v>3421</v>
      </c>
      <c r="K53" s="137">
        <v>1442</v>
      </c>
      <c r="L53" s="137">
        <v>-1976</v>
      </c>
      <c r="M53" s="137">
        <v>2616</v>
      </c>
      <c r="N53" s="137">
        <v>8107</v>
      </c>
      <c r="O53" s="137">
        <v>-3378</v>
      </c>
      <c r="P53" s="137">
        <v>551</v>
      </c>
      <c r="Q53" s="137">
        <v>3018</v>
      </c>
      <c r="R53" s="137">
        <v>5637</v>
      </c>
      <c r="S53" s="137">
        <f>-7809-1.14476999998442</f>
        <v>-7810.1447699999844</v>
      </c>
      <c r="T53" s="137">
        <v>1619</v>
      </c>
      <c r="U53" s="137">
        <v>7385.1447699999844</v>
      </c>
      <c r="V53" s="137">
        <v>-223</v>
      </c>
      <c r="W53" s="137">
        <v>-5412</v>
      </c>
      <c r="X53" s="137">
        <v>3024</v>
      </c>
      <c r="Y53" s="137">
        <v>994</v>
      </c>
      <c r="Z53" s="137">
        <v>-857</v>
      </c>
      <c r="AA53" s="137">
        <v>-4032</v>
      </c>
      <c r="AB53" s="137">
        <v>4616</v>
      </c>
      <c r="AC53" s="137">
        <v>-9445</v>
      </c>
      <c r="AD53" s="137">
        <v>5067</v>
      </c>
      <c r="AE53" s="137">
        <v>-6370</v>
      </c>
      <c r="AF53" s="137">
        <v>6119</v>
      </c>
      <c r="AG53" s="137">
        <v>4996</v>
      </c>
      <c r="AH53" s="137">
        <v>8723</v>
      </c>
      <c r="AI53" s="137">
        <v>-6801</v>
      </c>
      <c r="AJ53" s="137">
        <v>-1906</v>
      </c>
      <c r="AK53" s="137">
        <v>3114</v>
      </c>
      <c r="AL53" s="137">
        <v>10766</v>
      </c>
      <c r="AM53" s="137">
        <v>-8146</v>
      </c>
      <c r="AN53" s="137">
        <v>9128</v>
      </c>
      <c r="AO53" s="137">
        <v>4947</v>
      </c>
      <c r="AP53" s="137">
        <v>8431</v>
      </c>
    </row>
    <row r="54" spans="1:42" x14ac:dyDescent="0.2">
      <c r="B54" s="134" t="s">
        <v>299</v>
      </c>
      <c r="C54" s="135">
        <f t="shared" ref="C54:L54" si="36">SUM(C46:C53)</f>
        <v>42534</v>
      </c>
      <c r="D54" s="135">
        <f t="shared" si="36"/>
        <v>-38507</v>
      </c>
      <c r="E54" s="135">
        <f t="shared" si="36"/>
        <v>47301.079830000046</v>
      </c>
      <c r="F54" s="135">
        <f t="shared" si="36"/>
        <v>10395.846570000038</v>
      </c>
      <c r="G54" s="135">
        <f t="shared" si="36"/>
        <v>46316</v>
      </c>
      <c r="H54" s="135">
        <f t="shared" si="36"/>
        <v>-9495.67137000002</v>
      </c>
      <c r="I54" s="135">
        <f t="shared" si="36"/>
        <v>13248.635590000024</v>
      </c>
      <c r="J54" s="135">
        <f t="shared" si="36"/>
        <v>-18448.167470000015</v>
      </c>
      <c r="K54" s="135">
        <f t="shared" si="36"/>
        <v>9783.8780000000006</v>
      </c>
      <c r="L54" s="135">
        <f t="shared" si="36"/>
        <v>-20012.75</v>
      </c>
      <c r="M54" s="135">
        <f t="shared" ref="M54:R54" si="37">SUM(M46:M53)</f>
        <v>981.5164799999975</v>
      </c>
      <c r="N54" s="135">
        <f t="shared" si="37"/>
        <v>-10843.213809999972</v>
      </c>
      <c r="O54" s="135">
        <f t="shared" si="37"/>
        <v>15503</v>
      </c>
      <c r="P54" s="135">
        <f t="shared" si="37"/>
        <v>-24622</v>
      </c>
      <c r="Q54" s="135">
        <f t="shared" si="37"/>
        <v>-5625</v>
      </c>
      <c r="R54" s="135">
        <f t="shared" si="37"/>
        <v>-28226</v>
      </c>
      <c r="S54" s="135">
        <f t="shared" ref="S54:X54" si="38">SUM(S46:S53)</f>
        <v>6857.8552300000156</v>
      </c>
      <c r="T54" s="135">
        <f t="shared" si="38"/>
        <v>3871</v>
      </c>
      <c r="U54" s="135">
        <f t="shared" si="38"/>
        <v>5690.2103499998702</v>
      </c>
      <c r="V54" s="135">
        <f t="shared" si="38"/>
        <v>-30060</v>
      </c>
      <c r="W54" s="135">
        <f t="shared" si="38"/>
        <v>35317</v>
      </c>
      <c r="X54" s="135">
        <f t="shared" si="38"/>
        <v>82350</v>
      </c>
      <c r="Y54" s="135">
        <f t="shared" ref="Y54:AF54" si="39">SUM(Y46:Y53)</f>
        <v>-48278</v>
      </c>
      <c r="Z54" s="135">
        <f t="shared" si="39"/>
        <v>-4805</v>
      </c>
      <c r="AA54" s="135">
        <f t="shared" si="39"/>
        <v>27981</v>
      </c>
      <c r="AB54" s="135">
        <f t="shared" si="39"/>
        <v>-17139</v>
      </c>
      <c r="AC54" s="135">
        <f t="shared" si="39"/>
        <v>4337</v>
      </c>
      <c r="AD54" s="135">
        <f t="shared" si="39"/>
        <v>-89437</v>
      </c>
      <c r="AE54" s="135">
        <f t="shared" si="39"/>
        <v>62224</v>
      </c>
      <c r="AF54" s="135">
        <f t="shared" si="39"/>
        <v>-33054</v>
      </c>
      <c r="AG54" s="135">
        <f>SUM(AG46:AG53)</f>
        <v>-256</v>
      </c>
      <c r="AH54" s="135">
        <f>SUM(AH46:AH53)</f>
        <v>12020</v>
      </c>
      <c r="AI54" s="135">
        <f>SUM(AI46:AI53)</f>
        <v>58888</v>
      </c>
      <c r="AJ54" s="135">
        <f>SUM(AJ46:AJ53)</f>
        <v>3922</v>
      </c>
      <c r="AK54" s="135">
        <v>13135</v>
      </c>
      <c r="AL54" s="135">
        <f>SUM(AL46:AL53)</f>
        <v>-34868</v>
      </c>
      <c r="AM54" s="135">
        <f>SUM(AM46:AM53)</f>
        <v>48041</v>
      </c>
      <c r="AN54" s="135">
        <f>SUM(AN46:AN53)</f>
        <v>-6050</v>
      </c>
      <c r="AO54" s="135">
        <f t="shared" ref="AO54:AP54" si="40">SUM(AO46:AO53)</f>
        <v>-13148</v>
      </c>
      <c r="AP54" s="135">
        <f t="shared" si="40"/>
        <v>1717</v>
      </c>
    </row>
    <row r="55" spans="1:42" x14ac:dyDescent="0.2">
      <c r="B55" s="136" t="s">
        <v>300</v>
      </c>
      <c r="C55" s="137">
        <v>-1413.9999999999998</v>
      </c>
      <c r="D55" s="137">
        <v>-1113.0000000000002</v>
      </c>
      <c r="E55" s="137">
        <v>0</v>
      </c>
      <c r="F55" s="137">
        <v>-152</v>
      </c>
      <c r="G55" s="137">
        <v>-18</v>
      </c>
      <c r="H55" s="137">
        <v>-14</v>
      </c>
      <c r="I55" s="137">
        <v>-11</v>
      </c>
      <c r="J55" s="137">
        <v>-9</v>
      </c>
      <c r="K55" s="137">
        <v>-9</v>
      </c>
      <c r="L55" s="137">
        <v>-60</v>
      </c>
      <c r="M55" s="137">
        <v>-1181.0045452418799</v>
      </c>
      <c r="N55" s="137">
        <v>-1525.9954547581201</v>
      </c>
      <c r="O55" s="137">
        <v>-914</v>
      </c>
      <c r="P55" s="137">
        <v>-1331</v>
      </c>
      <c r="Q55" s="137">
        <v>-314</v>
      </c>
      <c r="R55" s="137">
        <v>-1514</v>
      </c>
      <c r="S55" s="137">
        <v>0</v>
      </c>
      <c r="T55" s="137">
        <v>-441</v>
      </c>
      <c r="U55" s="137">
        <v>-1112</v>
      </c>
      <c r="V55" s="137">
        <v>-276</v>
      </c>
      <c r="W55" s="137">
        <v>-3987</v>
      </c>
      <c r="X55" s="137">
        <v>-105</v>
      </c>
      <c r="Y55" s="137">
        <v>-853</v>
      </c>
      <c r="Z55" s="137">
        <v>-1580</v>
      </c>
      <c r="AA55" s="137">
        <v>-1534</v>
      </c>
      <c r="AB55" s="137">
        <v>-3913</v>
      </c>
      <c r="AC55" s="137">
        <v>-2005</v>
      </c>
      <c r="AD55" s="137">
        <v>-1991</v>
      </c>
      <c r="AE55" s="137">
        <v>-3593</v>
      </c>
      <c r="AF55" s="137">
        <v>-3159</v>
      </c>
      <c r="AG55" s="137">
        <v>-4543</v>
      </c>
      <c r="AH55" s="137">
        <v>1</v>
      </c>
      <c r="AI55" s="137">
        <v>-5056</v>
      </c>
      <c r="AJ55" s="137">
        <v>-2392</v>
      </c>
      <c r="AK55" s="137">
        <v>-4245</v>
      </c>
      <c r="AL55" s="137">
        <v>-2339</v>
      </c>
      <c r="AM55" s="137">
        <v>-3403</v>
      </c>
      <c r="AN55" s="137">
        <v>-2940</v>
      </c>
      <c r="AO55" s="137">
        <v>-3509</v>
      </c>
      <c r="AP55" s="137">
        <v>-2869</v>
      </c>
    </row>
    <row r="56" spans="1:42" x14ac:dyDescent="0.2">
      <c r="B56" s="136" t="s">
        <v>301</v>
      </c>
      <c r="C56" s="137">
        <v>-12205.000000000002</v>
      </c>
      <c r="D56" s="137">
        <v>-10084.999999999998</v>
      </c>
      <c r="E56" s="137">
        <v>-13489</v>
      </c>
      <c r="F56" s="137">
        <v>-11747</v>
      </c>
      <c r="G56" s="137">
        <v>-14299</v>
      </c>
      <c r="H56" s="137">
        <v>-11453</v>
      </c>
      <c r="I56" s="137">
        <v>-13308</v>
      </c>
      <c r="J56" s="137">
        <v>-11673</v>
      </c>
      <c r="K56" s="137">
        <v>-13066</v>
      </c>
      <c r="L56" s="137">
        <v>-6758</v>
      </c>
      <c r="M56" s="137">
        <v>-9845.3321332100022</v>
      </c>
      <c r="N56" s="137">
        <v>257.33213321000221</v>
      </c>
      <c r="O56" s="137">
        <f>-4725-0.041430000012042</f>
        <v>-4725.041430000012</v>
      </c>
      <c r="P56" s="137">
        <v>-3115</v>
      </c>
      <c r="Q56" s="137">
        <v>-1712</v>
      </c>
      <c r="R56" s="137">
        <v>-2105</v>
      </c>
      <c r="S56" s="137">
        <v>-1703</v>
      </c>
      <c r="T56" s="137">
        <v>-2055</v>
      </c>
      <c r="U56" s="137">
        <v>0</v>
      </c>
      <c r="V56" s="137">
        <v>-1937</v>
      </c>
      <c r="W56" s="137">
        <v>0</v>
      </c>
      <c r="X56" s="137">
        <v>0</v>
      </c>
      <c r="Y56" s="137">
        <v>-1698</v>
      </c>
      <c r="Z56" s="137">
        <v>-364</v>
      </c>
      <c r="AA56" s="137">
        <v>0</v>
      </c>
      <c r="AB56" s="137">
        <v>-540</v>
      </c>
      <c r="AC56" s="137">
        <v>-204</v>
      </c>
      <c r="AD56" s="137">
        <v>0</v>
      </c>
      <c r="AE56" s="137">
        <v>0</v>
      </c>
      <c r="AF56" s="137">
        <v>0</v>
      </c>
      <c r="AG56" s="137">
        <v>0</v>
      </c>
      <c r="AH56" s="137">
        <v>0</v>
      </c>
      <c r="AI56" s="137">
        <v>0</v>
      </c>
      <c r="AJ56" s="137">
        <v>0</v>
      </c>
      <c r="AK56" s="137">
        <v>0</v>
      </c>
      <c r="AL56" s="137">
        <v>0</v>
      </c>
      <c r="AM56" s="137">
        <v>0</v>
      </c>
      <c r="AN56" s="137">
        <v>0</v>
      </c>
      <c r="AO56" s="137">
        <v>0</v>
      </c>
      <c r="AP56" s="137">
        <v>0</v>
      </c>
    </row>
    <row r="57" spans="1:42" x14ac:dyDescent="0.2">
      <c r="B57" s="136" t="s">
        <v>876</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-766</v>
      </c>
      <c r="T57" s="137">
        <v>-1609</v>
      </c>
      <c r="U57" s="137">
        <v>-1624</v>
      </c>
      <c r="V57" s="137">
        <v>-2095</v>
      </c>
      <c r="W57" s="137">
        <v>-1556</v>
      </c>
      <c r="X57" s="137">
        <v>-1192</v>
      </c>
      <c r="Y57" s="137">
        <v>-1085</v>
      </c>
      <c r="Z57" s="137">
        <v>-1227</v>
      </c>
      <c r="AA57" s="137">
        <v>-1547</v>
      </c>
      <c r="AB57" s="137">
        <v>-1607</v>
      </c>
      <c r="AC57" s="137">
        <v>-1313</v>
      </c>
      <c r="AD57" s="137">
        <v>-1163</v>
      </c>
      <c r="AE57" s="137">
        <v>-1700</v>
      </c>
      <c r="AF57" s="137">
        <v>-1688</v>
      </c>
      <c r="AG57" s="137">
        <v>-1994</v>
      </c>
      <c r="AH57" s="137">
        <v>-1641</v>
      </c>
      <c r="AI57" s="137">
        <v>-1768</v>
      </c>
      <c r="AJ57" s="137">
        <v>-2470</v>
      </c>
      <c r="AK57" s="137">
        <v>-1865</v>
      </c>
      <c r="AL57" s="137">
        <v>-3194</v>
      </c>
      <c r="AM57" s="137">
        <v>-2421</v>
      </c>
      <c r="AN57" s="137">
        <v>-2305</v>
      </c>
      <c r="AO57" s="137">
        <v>-2131</v>
      </c>
      <c r="AP57" s="137">
        <v>-1956</v>
      </c>
    </row>
    <row r="58" spans="1:42" x14ac:dyDescent="0.2">
      <c r="B58" s="136" t="s">
        <v>303</v>
      </c>
      <c r="C58" s="137">
        <v>0</v>
      </c>
      <c r="D58" s="137">
        <v>0</v>
      </c>
      <c r="E58" s="137">
        <v>0</v>
      </c>
      <c r="F58" s="137">
        <v>0</v>
      </c>
      <c r="G58" s="137">
        <v>-2160</v>
      </c>
      <c r="H58" s="137">
        <v>-4223</v>
      </c>
      <c r="I58" s="137">
        <v>-2059</v>
      </c>
      <c r="J58" s="137">
        <v>-1087</v>
      </c>
      <c r="K58" s="137">
        <v>-505</v>
      </c>
      <c r="L58" s="137">
        <v>-4463.1788200000001</v>
      </c>
      <c r="M58" s="137">
        <v>-1336.2103999999999</v>
      </c>
      <c r="N58" s="137">
        <v>-3828.61078</v>
      </c>
      <c r="O58" s="137">
        <v>-4564</v>
      </c>
      <c r="P58" s="137">
        <v>-2897</v>
      </c>
      <c r="Q58" s="137">
        <v>-8197</v>
      </c>
      <c r="R58" s="137">
        <v>-7273</v>
      </c>
      <c r="S58" s="137">
        <v>-4570</v>
      </c>
      <c r="T58" s="137">
        <v>-4687</v>
      </c>
      <c r="U58" s="334">
        <v>-11365</v>
      </c>
      <c r="V58" s="137">
        <v>-6348</v>
      </c>
      <c r="W58" s="137">
        <v>-3835</v>
      </c>
      <c r="X58" s="137">
        <v>-4373</v>
      </c>
      <c r="Y58" s="137">
        <v>-3922</v>
      </c>
      <c r="Z58" s="137">
        <v>-4100</v>
      </c>
      <c r="AA58" s="137">
        <v>-1646</v>
      </c>
      <c r="AB58" s="137">
        <v>-1872</v>
      </c>
      <c r="AC58" s="137">
        <v>-5614</v>
      </c>
      <c r="AD58" s="137">
        <v>-1479</v>
      </c>
      <c r="AE58" s="137">
        <v>-995</v>
      </c>
      <c r="AF58" s="137">
        <v>-4017</v>
      </c>
      <c r="AG58" s="137">
        <v>-1321</v>
      </c>
      <c r="AH58" s="137">
        <v>-3243</v>
      </c>
      <c r="AI58" s="137">
        <v>-263</v>
      </c>
      <c r="AJ58" s="137">
        <v>-1959</v>
      </c>
      <c r="AK58" s="137">
        <v>-415</v>
      </c>
      <c r="AL58" s="137">
        <v>-136</v>
      </c>
      <c r="AM58" s="137">
        <v>-265</v>
      </c>
      <c r="AN58" s="137">
        <v>-9</v>
      </c>
      <c r="AO58" s="137">
        <v>-1131</v>
      </c>
      <c r="AP58" s="137">
        <v>-6935</v>
      </c>
    </row>
    <row r="59" spans="1:42" x14ac:dyDescent="0.2">
      <c r="B59" s="136" t="s">
        <v>304</v>
      </c>
      <c r="C59" s="137">
        <v>-3048</v>
      </c>
      <c r="D59" s="137">
        <v>-803.99999999999977</v>
      </c>
      <c r="E59" s="137">
        <v>-182</v>
      </c>
      <c r="F59" s="137">
        <v>-1068</v>
      </c>
      <c r="G59" s="137">
        <v>-1381</v>
      </c>
      <c r="H59" s="137">
        <v>-511</v>
      </c>
      <c r="I59" s="137">
        <v>-2133</v>
      </c>
      <c r="J59" s="137">
        <v>-5278</v>
      </c>
      <c r="K59" s="137">
        <v>-5384</v>
      </c>
      <c r="L59" s="137">
        <v>-2758</v>
      </c>
      <c r="M59" s="137">
        <v>-5916.4787699999979</v>
      </c>
      <c r="N59" s="137">
        <v>-8472.5212300000021</v>
      </c>
      <c r="O59" s="137">
        <v>-726</v>
      </c>
      <c r="P59" s="137">
        <v>-4604</v>
      </c>
      <c r="Q59" s="137">
        <v>-5836</v>
      </c>
      <c r="R59" s="137">
        <v>-15101</v>
      </c>
      <c r="S59" s="137">
        <v>-6747</v>
      </c>
      <c r="T59" s="137">
        <v>-7782</v>
      </c>
      <c r="U59" s="137">
        <v>-10570</v>
      </c>
      <c r="V59" s="137">
        <v>-10249</v>
      </c>
      <c r="W59" s="137">
        <v>-992</v>
      </c>
      <c r="X59" s="137">
        <v>-2016</v>
      </c>
      <c r="Y59" s="137">
        <v>-2895</v>
      </c>
      <c r="Z59" s="137">
        <v>-2134</v>
      </c>
      <c r="AA59" s="137">
        <v>-7159</v>
      </c>
      <c r="AB59" s="137">
        <v>-2858</v>
      </c>
      <c r="AC59" s="137">
        <v>-3905</v>
      </c>
      <c r="AD59" s="137">
        <v>-2649</v>
      </c>
      <c r="AE59" s="137">
        <v>-7118</v>
      </c>
      <c r="AF59" s="137">
        <v>-3179</v>
      </c>
      <c r="AG59" s="137">
        <v>-3054</v>
      </c>
      <c r="AH59" s="137">
        <v>-7522</v>
      </c>
      <c r="AI59" s="137">
        <v>-10786</v>
      </c>
      <c r="AJ59" s="137">
        <v>-9729</v>
      </c>
      <c r="AK59" s="137">
        <v>-8088</v>
      </c>
      <c r="AL59" s="137">
        <v>-11844</v>
      </c>
      <c r="AM59" s="137">
        <v>-11593</v>
      </c>
      <c r="AN59" s="137">
        <v>-9946</v>
      </c>
      <c r="AO59" s="137">
        <v>-7277</v>
      </c>
      <c r="AP59" s="137">
        <v>-34728</v>
      </c>
    </row>
    <row r="60" spans="1:42" s="233" customFormat="1" hidden="1" outlineLevel="1" x14ac:dyDescent="0.2">
      <c r="A60" s="268"/>
      <c r="B60" s="231" t="s">
        <v>302</v>
      </c>
      <c r="C60" s="232">
        <v>-17</v>
      </c>
      <c r="D60" s="232">
        <v>0</v>
      </c>
      <c r="E60" s="232">
        <v>17</v>
      </c>
      <c r="F60" s="232">
        <v>-315</v>
      </c>
      <c r="G60" s="232">
        <v>0</v>
      </c>
      <c r="H60" s="232">
        <v>0</v>
      </c>
      <c r="I60" s="232">
        <v>0</v>
      </c>
      <c r="J60" s="232">
        <v>0</v>
      </c>
      <c r="K60" s="232">
        <v>0</v>
      </c>
      <c r="L60" s="232">
        <v>0</v>
      </c>
      <c r="M60" s="232">
        <v>0</v>
      </c>
      <c r="N60" s="232">
        <v>-39</v>
      </c>
      <c r="O60" s="232">
        <v>0</v>
      </c>
      <c r="P60" s="232">
        <v>0</v>
      </c>
      <c r="Q60" s="232">
        <v>0</v>
      </c>
      <c r="R60" s="232">
        <v>0</v>
      </c>
      <c r="S60" s="232">
        <v>0</v>
      </c>
      <c r="T60" s="232"/>
      <c r="U60" s="232">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c r="AO60" s="137"/>
      <c r="AP60" s="137">
        <v>0</v>
      </c>
    </row>
    <row r="61" spans="1:42" s="233" customFormat="1" hidden="1" outlineLevel="1" x14ac:dyDescent="0.2">
      <c r="A61" s="268"/>
      <c r="B61" s="231" t="s">
        <v>749</v>
      </c>
      <c r="C61" s="232"/>
      <c r="D61" s="232"/>
      <c r="E61" s="232"/>
      <c r="F61" s="232"/>
      <c r="G61" s="232"/>
      <c r="H61" s="232"/>
      <c r="I61" s="232"/>
      <c r="J61" s="232"/>
      <c r="K61" s="232"/>
      <c r="L61" s="232"/>
      <c r="M61" s="232"/>
      <c r="N61" s="232">
        <v>-756</v>
      </c>
      <c r="O61" s="232">
        <v>0</v>
      </c>
      <c r="P61" s="232">
        <v>0</v>
      </c>
      <c r="Q61" s="232">
        <v>0</v>
      </c>
      <c r="R61" s="232">
        <v>0</v>
      </c>
      <c r="S61" s="232">
        <v>0</v>
      </c>
      <c r="T61" s="232"/>
      <c r="U61" s="232">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c r="AO61" s="137"/>
      <c r="AP61" s="137">
        <v>0</v>
      </c>
    </row>
    <row r="62" spans="1:42" s="233" customFormat="1" hidden="1" outlineLevel="1" x14ac:dyDescent="0.2">
      <c r="A62" s="268"/>
      <c r="B62" s="231" t="s">
        <v>89</v>
      </c>
      <c r="C62" s="232">
        <v>0</v>
      </c>
      <c r="D62" s="232">
        <v>0</v>
      </c>
      <c r="E62" s="232">
        <v>0</v>
      </c>
      <c r="F62" s="232">
        <v>0</v>
      </c>
      <c r="G62" s="232">
        <v>0</v>
      </c>
      <c r="H62" s="232">
        <v>0</v>
      </c>
      <c r="I62" s="232">
        <v>0</v>
      </c>
      <c r="J62" s="232">
        <v>0</v>
      </c>
      <c r="K62" s="232">
        <v>0</v>
      </c>
      <c r="L62" s="232">
        <v>0</v>
      </c>
      <c r="M62" s="232">
        <v>0</v>
      </c>
      <c r="N62" s="232">
        <v>0</v>
      </c>
      <c r="O62" s="232" t="s">
        <v>47</v>
      </c>
      <c r="P62" s="232" t="s">
        <v>47</v>
      </c>
      <c r="Q62" s="232" t="s">
        <v>47</v>
      </c>
      <c r="R62" s="232" t="s">
        <v>47</v>
      </c>
      <c r="S62" s="232">
        <v>0</v>
      </c>
      <c r="T62" s="232"/>
      <c r="U62" s="232">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c r="AO62" s="137"/>
      <c r="AP62" s="137">
        <v>0</v>
      </c>
    </row>
    <row r="63" spans="1:42" collapsed="1" x14ac:dyDescent="0.2">
      <c r="B63" s="134" t="s">
        <v>305</v>
      </c>
      <c r="C63" s="135">
        <f t="shared" ref="C63:AF63" si="41">SUM(C55:C62,C54,C45,C18)</f>
        <v>54433.999999999971</v>
      </c>
      <c r="D63" s="135">
        <f t="shared" si="41"/>
        <v>-38044</v>
      </c>
      <c r="E63" s="135">
        <f t="shared" si="41"/>
        <v>70041.174780000001</v>
      </c>
      <c r="F63" s="135">
        <f t="shared" si="41"/>
        <v>25579</v>
      </c>
      <c r="G63" s="135">
        <f t="shared" si="41"/>
        <v>51186.999720000022</v>
      </c>
      <c r="H63" s="135">
        <f t="shared" si="41"/>
        <v>-2641.9999999999982</v>
      </c>
      <c r="I63" s="135">
        <f t="shared" si="41"/>
        <v>28377</v>
      </c>
      <c r="J63" s="135">
        <f t="shared" si="41"/>
        <v>7437.0000000000018</v>
      </c>
      <c r="K63" s="135">
        <f t="shared" si="41"/>
        <v>16727.027199999993</v>
      </c>
      <c r="L63" s="135">
        <f t="shared" si="41"/>
        <v>18182.445259999968</v>
      </c>
      <c r="M63" s="135">
        <f t="shared" si="41"/>
        <v>33546.934711548151</v>
      </c>
      <c r="N63" s="135">
        <f t="shared" si="41"/>
        <v>16545.937288451845</v>
      </c>
      <c r="O63" s="135">
        <f t="shared" si="41"/>
        <v>47325</v>
      </c>
      <c r="P63" s="135">
        <f t="shared" si="41"/>
        <v>11895</v>
      </c>
      <c r="Q63" s="135">
        <f t="shared" si="41"/>
        <v>33009.324519999936</v>
      </c>
      <c r="R63" s="135">
        <f t="shared" si="41"/>
        <v>12660.218080000042</v>
      </c>
      <c r="S63" s="135">
        <f t="shared" si="41"/>
        <v>55636</v>
      </c>
      <c r="T63" s="135">
        <f t="shared" si="41"/>
        <v>51412.371810000062</v>
      </c>
      <c r="U63" s="135">
        <f t="shared" si="41"/>
        <v>45622.193179999958</v>
      </c>
      <c r="V63" s="135">
        <f t="shared" si="41"/>
        <v>24899.259119999992</v>
      </c>
      <c r="W63" s="135">
        <f t="shared" si="41"/>
        <v>73009.393389999968</v>
      </c>
      <c r="X63" s="135">
        <f t="shared" si="41"/>
        <v>83569.515780000002</v>
      </c>
      <c r="Y63" s="135">
        <f t="shared" si="41"/>
        <v>3533.416119999958</v>
      </c>
      <c r="Z63" s="135">
        <f t="shared" si="41"/>
        <v>43612.838950000027</v>
      </c>
      <c r="AA63" s="135">
        <f t="shared" si="41"/>
        <v>57920.245349999932</v>
      </c>
      <c r="AB63" s="135">
        <f t="shared" si="41"/>
        <v>6722.9608511999832</v>
      </c>
      <c r="AC63" s="135">
        <f t="shared" si="41"/>
        <v>38576.960199999994</v>
      </c>
      <c r="AD63" s="135">
        <f t="shared" si="41"/>
        <v>-49718.516980000059</v>
      </c>
      <c r="AE63" s="135">
        <f t="shared" si="41"/>
        <v>85359.709109999967</v>
      </c>
      <c r="AF63" s="135">
        <f t="shared" si="41"/>
        <v>-76.3009444250456</v>
      </c>
      <c r="AG63" s="135">
        <f>SUM(AG55:AG62,AG54,AG45,AG18)</f>
        <v>59550.003068400016</v>
      </c>
      <c r="AH63" s="135">
        <f>SUM(AH55:AH62,AH54,AH45,AH18)</f>
        <v>62957.361847199965</v>
      </c>
      <c r="AI63" s="135">
        <v>87055.848997799796</v>
      </c>
      <c r="AJ63" s="135">
        <f t="shared" ref="AJ63:AP63" si="42">SUM(AJ55:AJ62,AJ54,AJ45,AJ18)</f>
        <v>45814.318640000201</v>
      </c>
      <c r="AK63" s="135">
        <f t="shared" si="42"/>
        <v>67668.701230000093</v>
      </c>
      <c r="AL63" s="135">
        <f t="shared" si="42"/>
        <v>15897.691510000186</v>
      </c>
      <c r="AM63" s="135">
        <f t="shared" si="42"/>
        <v>84444.066839999767</v>
      </c>
      <c r="AN63" s="135">
        <f t="shared" si="42"/>
        <v>49445.657680000062</v>
      </c>
      <c r="AO63" s="135">
        <f t="shared" si="42"/>
        <v>68562.687500000116</v>
      </c>
      <c r="AP63" s="135">
        <f t="shared" si="42"/>
        <v>56234.962249699864</v>
      </c>
    </row>
    <row r="64" spans="1:42" x14ac:dyDescent="0.2">
      <c r="B64" s="136" t="s">
        <v>306</v>
      </c>
      <c r="C64" s="137">
        <v>0</v>
      </c>
      <c r="D64" s="137">
        <v>0</v>
      </c>
      <c r="E64" s="137">
        <v>1244</v>
      </c>
      <c r="F64" s="137">
        <v>0</v>
      </c>
      <c r="G64" s="137">
        <v>0</v>
      </c>
      <c r="H64" s="137">
        <v>0</v>
      </c>
      <c r="I64" s="137">
        <v>0</v>
      </c>
      <c r="J64" s="137">
        <v>0</v>
      </c>
      <c r="K64" s="137">
        <v>0</v>
      </c>
      <c r="L64" s="137">
        <v>735</v>
      </c>
      <c r="M64" s="137">
        <v>0</v>
      </c>
      <c r="N64" s="137">
        <v>1</v>
      </c>
      <c r="O64" s="137">
        <v>0</v>
      </c>
      <c r="P64" s="137">
        <v>244</v>
      </c>
      <c r="Q64" s="137">
        <v>0</v>
      </c>
      <c r="R64" s="137">
        <v>0</v>
      </c>
      <c r="S64" s="137">
        <v>0</v>
      </c>
      <c r="T64" s="137">
        <v>267</v>
      </c>
      <c r="U64" s="137">
        <v>0</v>
      </c>
      <c r="V64" s="137">
        <v>0</v>
      </c>
      <c r="W64" s="137">
        <v>0</v>
      </c>
      <c r="X64" s="137">
        <v>1567</v>
      </c>
      <c r="Y64" s="137">
        <v>3775</v>
      </c>
      <c r="Z64" s="137">
        <v>2000</v>
      </c>
      <c r="AA64" s="137">
        <v>0</v>
      </c>
      <c r="AB64" s="137">
        <v>1684</v>
      </c>
      <c r="AC64" s="137">
        <v>2754</v>
      </c>
      <c r="AD64" s="137">
        <v>2150</v>
      </c>
      <c r="AE64" s="137">
        <v>1144</v>
      </c>
      <c r="AF64" s="137">
        <v>2195</v>
      </c>
      <c r="AG64" s="137">
        <v>2043</v>
      </c>
      <c r="AH64" s="137">
        <v>1300</v>
      </c>
      <c r="AI64" s="137">
        <v>2100</v>
      </c>
      <c r="AJ64" s="137">
        <v>3102</v>
      </c>
      <c r="AK64" s="137">
        <v>4000</v>
      </c>
      <c r="AL64" s="137">
        <v>5500</v>
      </c>
      <c r="AM64" s="137">
        <v>0</v>
      </c>
      <c r="AN64" s="137">
        <v>3181</v>
      </c>
      <c r="AO64" s="137">
        <v>17473</v>
      </c>
      <c r="AP64" s="137">
        <v>6500</v>
      </c>
    </row>
    <row r="65" spans="1:42" x14ac:dyDescent="0.2">
      <c r="A65" s="268" t="s">
        <v>307</v>
      </c>
      <c r="B65" s="222" t="s">
        <v>307</v>
      </c>
      <c r="C65" s="137">
        <v>-93</v>
      </c>
      <c r="D65" s="137">
        <v>-357</v>
      </c>
      <c r="E65" s="137">
        <v>-245</v>
      </c>
      <c r="F65" s="137">
        <v>-160</v>
      </c>
      <c r="G65" s="137">
        <v>-323</v>
      </c>
      <c r="H65" s="137">
        <v>-908</v>
      </c>
      <c r="I65" s="137">
        <v>-311</v>
      </c>
      <c r="J65" s="137">
        <v>-318</v>
      </c>
      <c r="K65" s="137">
        <f>-1244+172.122</f>
        <v>-1071.8779999999999</v>
      </c>
      <c r="L65" s="137">
        <f>-878+271.15</f>
        <v>-606.85</v>
      </c>
      <c r="M65" s="137">
        <v>-1173.2957699999997</v>
      </c>
      <c r="N65" s="137">
        <v>-1315.9762300000004</v>
      </c>
      <c r="O65" s="137">
        <v>-1150</v>
      </c>
      <c r="P65" s="137">
        <v>-611</v>
      </c>
      <c r="Q65" s="137">
        <v>-1486</v>
      </c>
      <c r="R65" s="137">
        <v>-2053</v>
      </c>
      <c r="S65" s="137">
        <v>-1700</v>
      </c>
      <c r="T65" s="137">
        <v>-820</v>
      </c>
      <c r="U65" s="137">
        <v>-797</v>
      </c>
      <c r="V65" s="137">
        <v>-1068</v>
      </c>
      <c r="W65" s="137">
        <v>-1749</v>
      </c>
      <c r="X65" s="137">
        <v>-898</v>
      </c>
      <c r="Y65" s="137">
        <v>-682</v>
      </c>
      <c r="Z65" s="137">
        <v>-696</v>
      </c>
      <c r="AA65" s="137">
        <v>-1546</v>
      </c>
      <c r="AB65" s="137">
        <v>-1234</v>
      </c>
      <c r="AC65" s="137">
        <v>-822</v>
      </c>
      <c r="AD65" s="137">
        <v>-1674</v>
      </c>
      <c r="AE65" s="137">
        <v>-2418</v>
      </c>
      <c r="AF65" s="137">
        <v>-288</v>
      </c>
      <c r="AG65" s="137">
        <v>-1354</v>
      </c>
      <c r="AH65" s="137">
        <v>-3676</v>
      </c>
      <c r="AI65" s="137">
        <v>-2964</v>
      </c>
      <c r="AJ65" s="137">
        <v>-1225</v>
      </c>
      <c r="AK65" s="137">
        <v>-1124</v>
      </c>
      <c r="AL65" s="137">
        <v>-1714</v>
      </c>
      <c r="AM65" s="137">
        <v>-2419</v>
      </c>
      <c r="AN65" s="137">
        <v>-4085</v>
      </c>
      <c r="AO65" s="137">
        <v>-2779</v>
      </c>
      <c r="AP65" s="137">
        <v>-6459</v>
      </c>
    </row>
    <row r="66" spans="1:42" x14ac:dyDescent="0.2">
      <c r="A66" s="268" t="s">
        <v>308</v>
      </c>
      <c r="B66" s="222" t="s">
        <v>308</v>
      </c>
      <c r="C66" s="137">
        <v>-11562</v>
      </c>
      <c r="D66" s="137">
        <v>-17719</v>
      </c>
      <c r="E66" s="137">
        <v>-24267</v>
      </c>
      <c r="F66" s="137">
        <v>-14930</v>
      </c>
      <c r="G66" s="137">
        <v>-10505</v>
      </c>
      <c r="H66" s="137">
        <v>-10336</v>
      </c>
      <c r="I66" s="137">
        <v>-3993</v>
      </c>
      <c r="J66" s="137">
        <v>-6302</v>
      </c>
      <c r="K66" s="137">
        <f>-5576+1348-0.149199999985285</f>
        <v>-4228.1491999999853</v>
      </c>
      <c r="L66" s="137">
        <f>-7554+1242</f>
        <v>-6312</v>
      </c>
      <c r="M66" s="137">
        <v>-5403.7243500000004</v>
      </c>
      <c r="N66" s="137">
        <v>-4069.2756499999996</v>
      </c>
      <c r="O66" s="137">
        <v>-1986</v>
      </c>
      <c r="P66" s="137">
        <v>-3180</v>
      </c>
      <c r="Q66" s="137">
        <f>-13652+0.675480000063544</f>
        <v>-13651.324519999936</v>
      </c>
      <c r="R66" s="137">
        <f>-9115-0.218080000042391</f>
        <v>-9115.2180800000424</v>
      </c>
      <c r="S66" s="137">
        <v>-7654</v>
      </c>
      <c r="T66" s="137">
        <f>-13949+0.628189999937604</f>
        <v>-13948.371810000062</v>
      </c>
      <c r="U66" s="137">
        <v>-2690.6281899999376</v>
      </c>
      <c r="V66" s="137">
        <v>-10230</v>
      </c>
      <c r="W66" s="137">
        <v>-3786</v>
      </c>
      <c r="X66" s="137">
        <v>-3636</v>
      </c>
      <c r="Y66" s="137">
        <v>-4041</v>
      </c>
      <c r="Z66" s="137">
        <v>-2463</v>
      </c>
      <c r="AA66" s="137">
        <v>-3267</v>
      </c>
      <c r="AB66" s="137">
        <v>-7236</v>
      </c>
      <c r="AC66" s="137">
        <v>-8816</v>
      </c>
      <c r="AD66" s="137">
        <v>-3989</v>
      </c>
      <c r="AE66" s="137">
        <v>-3373</v>
      </c>
      <c r="AF66" s="137">
        <v>-8971</v>
      </c>
      <c r="AG66" s="137">
        <v>-5800</v>
      </c>
      <c r="AH66" s="137">
        <v>-4221</v>
      </c>
      <c r="AI66" s="137">
        <v>-16486</v>
      </c>
      <c r="AJ66" s="137">
        <v>-3437</v>
      </c>
      <c r="AK66" s="137">
        <v>-8617</v>
      </c>
      <c r="AL66" s="137">
        <v>-7127</v>
      </c>
      <c r="AM66" s="137">
        <v>-13613</v>
      </c>
      <c r="AN66" s="137">
        <v>-9281</v>
      </c>
      <c r="AO66" s="137">
        <v>-4122</v>
      </c>
      <c r="AP66" s="137">
        <v>-14012</v>
      </c>
    </row>
    <row r="67" spans="1:42" x14ac:dyDescent="0.2">
      <c r="B67" s="136" t="s">
        <v>309</v>
      </c>
      <c r="C67" s="137">
        <v>615</v>
      </c>
      <c r="D67" s="137">
        <v>383</v>
      </c>
      <c r="E67" s="137">
        <v>609</v>
      </c>
      <c r="F67" s="137">
        <v>298</v>
      </c>
      <c r="G67" s="137">
        <v>787</v>
      </c>
      <c r="H67" s="137">
        <v>722</v>
      </c>
      <c r="I67" s="137">
        <v>436</v>
      </c>
      <c r="J67" s="137">
        <v>387</v>
      </c>
      <c r="K67" s="137">
        <v>3</v>
      </c>
      <c r="L67" s="137">
        <f>114+35.6</f>
        <v>149.6</v>
      </c>
      <c r="M67" s="137">
        <v>156.97</v>
      </c>
      <c r="N67" s="137">
        <v>306.42999999999995</v>
      </c>
      <c r="O67" s="137">
        <v>0</v>
      </c>
      <c r="P67" s="137">
        <v>351</v>
      </c>
      <c r="Q67" s="137">
        <v>2</v>
      </c>
      <c r="R67" s="137">
        <v>25</v>
      </c>
      <c r="S67" s="137">
        <v>360</v>
      </c>
      <c r="T67" s="137">
        <v>49</v>
      </c>
      <c r="U67" s="137">
        <v>143</v>
      </c>
      <c r="V67" s="137">
        <v>896</v>
      </c>
      <c r="W67" s="137">
        <v>45</v>
      </c>
      <c r="X67" s="137">
        <v>37</v>
      </c>
      <c r="Y67" s="137">
        <v>17</v>
      </c>
      <c r="Z67" s="137">
        <v>449</v>
      </c>
      <c r="AA67" s="137">
        <v>353</v>
      </c>
      <c r="AB67" s="137">
        <v>213</v>
      </c>
      <c r="AC67" s="137">
        <v>182</v>
      </c>
      <c r="AD67" s="137">
        <v>83</v>
      </c>
      <c r="AE67" s="137">
        <v>0</v>
      </c>
      <c r="AF67" s="137">
        <v>410</v>
      </c>
      <c r="AG67" s="137">
        <v>309</v>
      </c>
      <c r="AH67" s="137">
        <v>-97</v>
      </c>
      <c r="AI67" s="137">
        <v>182</v>
      </c>
      <c r="AJ67" s="137">
        <v>0</v>
      </c>
      <c r="AK67" s="137">
        <v>440</v>
      </c>
      <c r="AL67" s="137">
        <v>713</v>
      </c>
      <c r="AM67" s="137">
        <v>597</v>
      </c>
      <c r="AN67" s="137">
        <v>472</v>
      </c>
      <c r="AO67" s="137">
        <v>690</v>
      </c>
      <c r="AP67" s="137">
        <v>1053</v>
      </c>
    </row>
    <row r="68" spans="1:42" x14ac:dyDescent="0.2">
      <c r="B68" s="136" t="s">
        <v>1362</v>
      </c>
      <c r="C68" s="137">
        <v>0</v>
      </c>
      <c r="D68" s="137">
        <v>0</v>
      </c>
      <c r="E68" s="137">
        <v>0</v>
      </c>
      <c r="F68" s="137">
        <v>0</v>
      </c>
      <c r="G68" s="137">
        <v>0</v>
      </c>
      <c r="H68" s="137">
        <v>0</v>
      </c>
      <c r="I68" s="137">
        <v>0</v>
      </c>
      <c r="J68" s="137">
        <v>0</v>
      </c>
      <c r="K68" s="137">
        <v>0</v>
      </c>
      <c r="L68" s="137">
        <v>0</v>
      </c>
      <c r="M68" s="137">
        <v>0</v>
      </c>
      <c r="N68" s="137">
        <v>0</v>
      </c>
      <c r="O68" s="137">
        <v>0</v>
      </c>
      <c r="P68" s="137">
        <v>0</v>
      </c>
      <c r="Q68" s="137">
        <v>0</v>
      </c>
      <c r="R68" s="137">
        <v>0</v>
      </c>
      <c r="S68" s="137">
        <v>0</v>
      </c>
      <c r="T68" s="137">
        <v>0</v>
      </c>
      <c r="U68" s="137">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0</v>
      </c>
      <c r="AN68" s="137">
        <v>0</v>
      </c>
      <c r="AO68" s="137">
        <v>-10000</v>
      </c>
      <c r="AP68" s="137">
        <v>0</v>
      </c>
    </row>
    <row r="69" spans="1:42" x14ac:dyDescent="0.2">
      <c r="B69" s="136" t="s">
        <v>310</v>
      </c>
      <c r="C69" s="137" t="s">
        <v>47</v>
      </c>
      <c r="D69" s="137" t="s">
        <v>47</v>
      </c>
      <c r="E69" s="137" t="s">
        <v>47</v>
      </c>
      <c r="F69" s="137" t="s">
        <v>47</v>
      </c>
      <c r="G69" s="137" t="s">
        <v>47</v>
      </c>
      <c r="H69" s="137" t="s">
        <v>47</v>
      </c>
      <c r="I69" s="137">
        <v>0</v>
      </c>
      <c r="J69" s="137">
        <v>0</v>
      </c>
      <c r="K69" s="137">
        <v>-12697</v>
      </c>
      <c r="L69" s="137">
        <v>0</v>
      </c>
      <c r="M69" s="137">
        <v>156</v>
      </c>
      <c r="N69" s="137">
        <v>-137</v>
      </c>
      <c r="O69" s="137">
        <v>0</v>
      </c>
      <c r="P69" s="137">
        <v>0</v>
      </c>
      <c r="Q69" s="137">
        <v>0</v>
      </c>
      <c r="R69" s="137">
        <v>0</v>
      </c>
      <c r="S69" s="137">
        <v>0</v>
      </c>
      <c r="T69" s="137"/>
      <c r="U69" s="137">
        <v>0</v>
      </c>
      <c r="V69" s="137">
        <v>0</v>
      </c>
      <c r="W69" s="137">
        <v>0</v>
      </c>
      <c r="X69" s="137">
        <v>0</v>
      </c>
      <c r="Y69" s="137">
        <v>0</v>
      </c>
      <c r="Z69" s="137">
        <v>0</v>
      </c>
      <c r="AA69" s="137">
        <v>0</v>
      </c>
      <c r="AB69" s="137">
        <v>0</v>
      </c>
      <c r="AC69" s="137">
        <v>0</v>
      </c>
      <c r="AD69" s="137">
        <v>0</v>
      </c>
      <c r="AE69" s="137">
        <v>0</v>
      </c>
      <c r="AF69" s="137">
        <v>-4000</v>
      </c>
      <c r="AG69" s="137">
        <v>-1866</v>
      </c>
      <c r="AH69" s="137">
        <v>0</v>
      </c>
      <c r="AI69" s="137">
        <v>0</v>
      </c>
      <c r="AJ69" s="137">
        <v>-1851</v>
      </c>
      <c r="AK69" s="137">
        <v>-1152</v>
      </c>
      <c r="AL69" s="137">
        <v>0</v>
      </c>
      <c r="AM69" s="137">
        <v>0</v>
      </c>
      <c r="AN69" s="137">
        <v>0</v>
      </c>
      <c r="AO69" s="137">
        <v>0</v>
      </c>
      <c r="AP69" s="137">
        <v>-6000</v>
      </c>
    </row>
    <row r="70" spans="1:42" x14ac:dyDescent="0.2">
      <c r="B70" s="136" t="s">
        <v>1184</v>
      </c>
      <c r="C70" s="137" t="s">
        <v>47</v>
      </c>
      <c r="D70" s="137" t="s">
        <v>47</v>
      </c>
      <c r="E70" s="137" t="s">
        <v>47</v>
      </c>
      <c r="F70" s="137" t="s">
        <v>47</v>
      </c>
      <c r="G70" s="137" t="s">
        <v>47</v>
      </c>
      <c r="H70" s="137" t="s">
        <v>47</v>
      </c>
      <c r="I70" s="137" t="s">
        <v>47</v>
      </c>
      <c r="J70" s="137" t="s">
        <v>47</v>
      </c>
      <c r="K70" s="137" t="s">
        <v>47</v>
      </c>
      <c r="L70" s="137" t="s">
        <v>47</v>
      </c>
      <c r="M70" s="137">
        <v>0</v>
      </c>
      <c r="N70" s="137" t="s">
        <v>47</v>
      </c>
      <c r="O70" s="137">
        <v>0</v>
      </c>
      <c r="P70" s="137">
        <v>0</v>
      </c>
      <c r="Q70" s="137">
        <v>0</v>
      </c>
      <c r="R70" s="137">
        <v>0</v>
      </c>
      <c r="S70" s="137">
        <v>0</v>
      </c>
      <c r="T70" s="137">
        <v>0</v>
      </c>
      <c r="U70" s="137">
        <v>0</v>
      </c>
      <c r="V70" s="137">
        <v>0</v>
      </c>
      <c r="W70" s="137">
        <v>0</v>
      </c>
      <c r="X70" s="137">
        <v>0</v>
      </c>
      <c r="Y70" s="137">
        <v>0</v>
      </c>
      <c r="Z70" s="137">
        <v>0</v>
      </c>
      <c r="AA70" s="137">
        <v>0</v>
      </c>
      <c r="AB70" s="137">
        <v>0</v>
      </c>
      <c r="AC70" s="137">
        <v>0</v>
      </c>
      <c r="AD70" s="137">
        <v>3775</v>
      </c>
      <c r="AE70" s="137">
        <v>0</v>
      </c>
      <c r="AF70" s="137">
        <v>0</v>
      </c>
      <c r="AG70" s="137">
        <v>0</v>
      </c>
      <c r="AH70" s="137">
        <v>0</v>
      </c>
      <c r="AI70" s="137">
        <v>0</v>
      </c>
      <c r="AJ70" s="137">
        <v>0</v>
      </c>
      <c r="AK70" s="137">
        <v>0</v>
      </c>
      <c r="AL70" s="137">
        <v>0</v>
      </c>
      <c r="AM70" s="137">
        <v>0</v>
      </c>
      <c r="AN70" s="137">
        <v>0</v>
      </c>
      <c r="AO70" s="137">
        <v>0</v>
      </c>
      <c r="AP70" s="137">
        <v>0</v>
      </c>
    </row>
    <row r="71" spans="1:42" x14ac:dyDescent="0.2">
      <c r="B71" s="136" t="s">
        <v>1223</v>
      </c>
      <c r="C71" s="137" t="s">
        <v>47</v>
      </c>
      <c r="D71" s="137" t="s">
        <v>47</v>
      </c>
      <c r="E71" s="137" t="s">
        <v>47</v>
      </c>
      <c r="F71" s="137" t="s">
        <v>47</v>
      </c>
      <c r="G71" s="137" t="s">
        <v>47</v>
      </c>
      <c r="H71" s="137" t="s">
        <v>47</v>
      </c>
      <c r="I71" s="137" t="s">
        <v>47</v>
      </c>
      <c r="J71" s="137" t="s">
        <v>47</v>
      </c>
      <c r="K71" s="137" t="s">
        <v>47</v>
      </c>
      <c r="L71" s="137" t="s">
        <v>47</v>
      </c>
      <c r="M71" s="137">
        <v>0</v>
      </c>
      <c r="N71" s="137" t="s">
        <v>47</v>
      </c>
      <c r="O71" s="137">
        <v>0</v>
      </c>
      <c r="P71" s="137">
        <v>0</v>
      </c>
      <c r="Q71" s="137">
        <v>0</v>
      </c>
      <c r="R71" s="137">
        <v>0</v>
      </c>
      <c r="S71" s="137">
        <v>0</v>
      </c>
      <c r="T71" s="137">
        <v>0</v>
      </c>
      <c r="U71" s="137">
        <v>0</v>
      </c>
      <c r="V71" s="137">
        <v>0</v>
      </c>
      <c r="W71" s="137">
        <v>0</v>
      </c>
      <c r="X71" s="137">
        <v>0</v>
      </c>
      <c r="Y71" s="137">
        <v>0</v>
      </c>
      <c r="Z71" s="137">
        <v>0</v>
      </c>
      <c r="AA71" s="137">
        <v>0</v>
      </c>
      <c r="AB71" s="137">
        <v>0</v>
      </c>
      <c r="AC71" s="137">
        <v>0</v>
      </c>
      <c r="AD71" s="137">
        <v>0</v>
      </c>
      <c r="AE71" s="137">
        <v>0</v>
      </c>
      <c r="AF71" s="137">
        <v>0</v>
      </c>
      <c r="AG71" s="137">
        <v>525</v>
      </c>
      <c r="AH71" s="137">
        <v>-1</v>
      </c>
      <c r="AI71" s="137">
        <v>0</v>
      </c>
      <c r="AJ71" s="137">
        <v>0</v>
      </c>
      <c r="AK71" s="137">
        <v>0</v>
      </c>
      <c r="AL71" s="137">
        <v>0</v>
      </c>
      <c r="AM71" s="137">
        <v>0</v>
      </c>
      <c r="AN71" s="137">
        <v>0</v>
      </c>
      <c r="AO71" s="137">
        <v>0</v>
      </c>
      <c r="AP71" s="137">
        <v>0</v>
      </c>
    </row>
    <row r="72" spans="1:42" x14ac:dyDescent="0.2">
      <c r="B72" s="136" t="s">
        <v>1224</v>
      </c>
      <c r="C72" s="137" t="s">
        <v>47</v>
      </c>
      <c r="D72" s="137" t="s">
        <v>47</v>
      </c>
      <c r="E72" s="137" t="s">
        <v>47</v>
      </c>
      <c r="F72" s="137" t="s">
        <v>47</v>
      </c>
      <c r="G72" s="137" t="s">
        <v>47</v>
      </c>
      <c r="H72" s="137" t="s">
        <v>47</v>
      </c>
      <c r="I72" s="137" t="s">
        <v>47</v>
      </c>
      <c r="J72" s="137" t="s">
        <v>47</v>
      </c>
      <c r="K72" s="137" t="s">
        <v>47</v>
      </c>
      <c r="L72" s="137" t="s">
        <v>47</v>
      </c>
      <c r="M72" s="137">
        <v>0</v>
      </c>
      <c r="N72" s="137" t="s">
        <v>47</v>
      </c>
      <c r="O72" s="137">
        <v>0</v>
      </c>
      <c r="P72" s="137">
        <v>0</v>
      </c>
      <c r="Q72" s="137">
        <v>0</v>
      </c>
      <c r="R72" s="137">
        <v>0</v>
      </c>
      <c r="S72" s="137">
        <v>0</v>
      </c>
      <c r="T72" s="137">
        <v>0</v>
      </c>
      <c r="U72" s="137">
        <v>0</v>
      </c>
      <c r="V72" s="137">
        <v>0</v>
      </c>
      <c r="W72" s="137">
        <v>0</v>
      </c>
      <c r="X72" s="137">
        <v>0</v>
      </c>
      <c r="Y72" s="137">
        <v>0</v>
      </c>
      <c r="Z72" s="137">
        <v>0</v>
      </c>
      <c r="AA72" s="137">
        <v>0</v>
      </c>
      <c r="AB72" s="137">
        <v>0</v>
      </c>
      <c r="AC72" s="137">
        <v>0</v>
      </c>
      <c r="AD72" s="137">
        <v>0</v>
      </c>
      <c r="AE72" s="137">
        <v>0</v>
      </c>
      <c r="AF72" s="137">
        <v>0</v>
      </c>
      <c r="AG72" s="137">
        <v>0</v>
      </c>
      <c r="AH72" s="137">
        <v>0</v>
      </c>
      <c r="AI72" s="137">
        <v>0</v>
      </c>
      <c r="AJ72" s="137">
        <v>0</v>
      </c>
      <c r="AK72" s="137">
        <v>0</v>
      </c>
      <c r="AL72" s="137">
        <v>0</v>
      </c>
      <c r="AM72" s="137">
        <v>0</v>
      </c>
      <c r="AN72" s="137">
        <v>0</v>
      </c>
      <c r="AO72" s="137" t="s">
        <v>47</v>
      </c>
      <c r="AP72" s="137">
        <v>0</v>
      </c>
    </row>
    <row r="73" spans="1:42" hidden="1" outlineLevel="1" x14ac:dyDescent="0.2">
      <c r="B73" s="231" t="s">
        <v>311</v>
      </c>
      <c r="C73" s="232">
        <v>40199</v>
      </c>
      <c r="D73" s="232">
        <v>0</v>
      </c>
      <c r="E73" s="232">
        <v>41867</v>
      </c>
      <c r="F73" s="232">
        <v>0</v>
      </c>
      <c r="G73" s="232">
        <v>0</v>
      </c>
      <c r="H73" s="232">
        <v>0</v>
      </c>
      <c r="I73" s="232">
        <v>0</v>
      </c>
      <c r="J73" s="232">
        <v>0</v>
      </c>
      <c r="K73" s="232">
        <v>0</v>
      </c>
      <c r="L73" s="232">
        <v>0</v>
      </c>
      <c r="M73" s="232">
        <v>0</v>
      </c>
      <c r="N73" s="232">
        <v>0</v>
      </c>
      <c r="O73" s="232">
        <v>0</v>
      </c>
      <c r="P73" s="232">
        <v>0</v>
      </c>
      <c r="Q73" s="232">
        <v>0</v>
      </c>
      <c r="R73" s="232">
        <v>0</v>
      </c>
      <c r="S73" s="232">
        <v>0</v>
      </c>
      <c r="T73" s="232"/>
      <c r="U73" s="232">
        <v>0</v>
      </c>
      <c r="V73" s="137">
        <v>0</v>
      </c>
      <c r="W73" s="137">
        <v>0</v>
      </c>
      <c r="X73" s="137">
        <v>0</v>
      </c>
      <c r="Y73" s="137">
        <v>0</v>
      </c>
      <c r="Z73" s="137">
        <v>0</v>
      </c>
      <c r="AA73" s="137">
        <v>0</v>
      </c>
      <c r="AB73" s="137">
        <v>0</v>
      </c>
      <c r="AC73" s="137">
        <v>0</v>
      </c>
      <c r="AD73" s="137">
        <v>0</v>
      </c>
      <c r="AE73" s="137">
        <v>0</v>
      </c>
      <c r="AF73" s="137">
        <v>0</v>
      </c>
      <c r="AG73" s="137">
        <v>0</v>
      </c>
      <c r="AH73" s="137">
        <v>0</v>
      </c>
      <c r="AI73" s="137">
        <v>0</v>
      </c>
      <c r="AJ73" s="137">
        <v>0</v>
      </c>
      <c r="AK73" s="137">
        <v>0</v>
      </c>
      <c r="AL73" s="137">
        <v>0</v>
      </c>
      <c r="AM73" s="137">
        <v>0</v>
      </c>
      <c r="AN73" s="137"/>
      <c r="AO73" s="137"/>
      <c r="AP73" s="137">
        <v>0</v>
      </c>
    </row>
    <row r="74" spans="1:42" hidden="1" outlineLevel="1" x14ac:dyDescent="0.2">
      <c r="B74" s="231" t="s">
        <v>837</v>
      </c>
      <c r="C74" s="232" t="s">
        <v>47</v>
      </c>
      <c r="D74" s="232" t="s">
        <v>47</v>
      </c>
      <c r="E74" s="232" t="s">
        <v>47</v>
      </c>
      <c r="F74" s="232" t="s">
        <v>47</v>
      </c>
      <c r="G74" s="232" t="s">
        <v>47</v>
      </c>
      <c r="H74" s="232" t="s">
        <v>47</v>
      </c>
      <c r="I74" s="232" t="s">
        <v>47</v>
      </c>
      <c r="J74" s="232" t="s">
        <v>47</v>
      </c>
      <c r="K74" s="232" t="s">
        <v>47</v>
      </c>
      <c r="L74" s="232" t="s">
        <v>47</v>
      </c>
      <c r="M74" s="232">
        <v>0</v>
      </c>
      <c r="N74" s="232">
        <v>0</v>
      </c>
      <c r="O74" s="232">
        <v>0</v>
      </c>
      <c r="P74" s="232" t="s">
        <v>47</v>
      </c>
      <c r="Q74" s="232">
        <v>491</v>
      </c>
      <c r="R74" s="232">
        <v>0</v>
      </c>
      <c r="S74" s="232">
        <v>0</v>
      </c>
      <c r="T74" s="232">
        <v>0</v>
      </c>
      <c r="U74" s="232">
        <v>320</v>
      </c>
      <c r="V74" s="137">
        <v>0</v>
      </c>
      <c r="W74" s="137">
        <v>0</v>
      </c>
      <c r="X74" s="137">
        <v>0</v>
      </c>
      <c r="Y74" s="137">
        <v>0</v>
      </c>
      <c r="Z74" s="137">
        <v>0</v>
      </c>
      <c r="AA74" s="137">
        <v>0</v>
      </c>
      <c r="AB74" s="137">
        <v>0</v>
      </c>
      <c r="AC74" s="137">
        <v>0</v>
      </c>
      <c r="AD74" s="137">
        <v>0</v>
      </c>
      <c r="AE74" s="137">
        <v>0</v>
      </c>
      <c r="AF74" s="137">
        <v>0</v>
      </c>
      <c r="AG74" s="137">
        <v>0</v>
      </c>
      <c r="AH74" s="137">
        <v>0</v>
      </c>
      <c r="AI74" s="137">
        <v>0</v>
      </c>
      <c r="AJ74" s="137">
        <v>0</v>
      </c>
      <c r="AK74" s="137">
        <v>0</v>
      </c>
      <c r="AL74" s="137">
        <v>0</v>
      </c>
      <c r="AM74" s="137">
        <v>0</v>
      </c>
      <c r="AN74" s="137"/>
      <c r="AO74" s="137"/>
      <c r="AP74" s="137">
        <v>0</v>
      </c>
    </row>
    <row r="75" spans="1:42" hidden="1" outlineLevel="1" x14ac:dyDescent="0.2">
      <c r="B75" s="231" t="s">
        <v>765</v>
      </c>
      <c r="C75" s="232" t="s">
        <v>47</v>
      </c>
      <c r="D75" s="232" t="s">
        <v>47</v>
      </c>
      <c r="E75" s="232" t="s">
        <v>47</v>
      </c>
      <c r="F75" s="232" t="s">
        <v>47</v>
      </c>
      <c r="G75" s="232" t="s">
        <v>47</v>
      </c>
      <c r="H75" s="232" t="s">
        <v>47</v>
      </c>
      <c r="I75" s="232" t="s">
        <v>47</v>
      </c>
      <c r="J75" s="232" t="s">
        <v>47</v>
      </c>
      <c r="K75" s="232" t="s">
        <v>47</v>
      </c>
      <c r="L75" s="232" t="s">
        <v>47</v>
      </c>
      <c r="M75" s="232">
        <v>0</v>
      </c>
      <c r="N75" s="232" t="s">
        <v>47</v>
      </c>
      <c r="O75" s="232">
        <v>-655</v>
      </c>
      <c r="P75" s="232">
        <v>0</v>
      </c>
      <c r="Q75" s="232">
        <v>0</v>
      </c>
      <c r="R75" s="232">
        <v>0</v>
      </c>
      <c r="S75" s="232">
        <v>0</v>
      </c>
      <c r="T75" s="232">
        <v>0</v>
      </c>
      <c r="U75" s="232">
        <v>0</v>
      </c>
      <c r="V75" s="137">
        <v>0</v>
      </c>
      <c r="W75" s="137">
        <v>0</v>
      </c>
      <c r="X75" s="137">
        <v>0</v>
      </c>
      <c r="Y75" s="137">
        <v>0</v>
      </c>
      <c r="Z75" s="137">
        <v>0</v>
      </c>
      <c r="AA75" s="137">
        <v>0</v>
      </c>
      <c r="AB75" s="137">
        <v>0</v>
      </c>
      <c r="AC75" s="137">
        <v>0</v>
      </c>
      <c r="AD75" s="137">
        <v>0</v>
      </c>
      <c r="AE75" s="137">
        <v>0</v>
      </c>
      <c r="AF75" s="137">
        <v>0</v>
      </c>
      <c r="AG75" s="137">
        <v>0</v>
      </c>
      <c r="AH75" s="137">
        <v>0</v>
      </c>
      <c r="AI75" s="137">
        <v>0</v>
      </c>
      <c r="AJ75" s="137">
        <v>0</v>
      </c>
      <c r="AK75" s="137">
        <v>0</v>
      </c>
      <c r="AL75" s="137">
        <v>0</v>
      </c>
      <c r="AM75" s="137">
        <v>0</v>
      </c>
      <c r="AN75" s="137"/>
      <c r="AO75" s="137"/>
      <c r="AP75" s="137">
        <v>0</v>
      </c>
    </row>
    <row r="76" spans="1:42" hidden="1" outlineLevel="1" x14ac:dyDescent="0.2">
      <c r="B76" s="231" t="s">
        <v>312</v>
      </c>
      <c r="C76" s="232">
        <v>0</v>
      </c>
      <c r="D76" s="232">
        <v>0</v>
      </c>
      <c r="E76" s="232">
        <v>0</v>
      </c>
      <c r="F76" s="232">
        <v>0</v>
      </c>
      <c r="G76" s="232">
        <v>0</v>
      </c>
      <c r="H76" s="232">
        <v>0</v>
      </c>
      <c r="I76" s="232">
        <v>0</v>
      </c>
      <c r="J76" s="232">
        <v>0</v>
      </c>
      <c r="K76" s="232">
        <v>0</v>
      </c>
      <c r="L76" s="232">
        <v>0</v>
      </c>
      <c r="M76" s="232">
        <v>0</v>
      </c>
      <c r="N76" s="232">
        <v>0</v>
      </c>
      <c r="O76" s="232">
        <v>0</v>
      </c>
      <c r="P76" s="232">
        <v>0</v>
      </c>
      <c r="Q76" s="232">
        <v>0</v>
      </c>
      <c r="R76" s="232">
        <v>0</v>
      </c>
      <c r="S76" s="232">
        <v>0</v>
      </c>
      <c r="T76" s="232"/>
      <c r="U76" s="232">
        <v>0</v>
      </c>
      <c r="V76" s="137">
        <v>0</v>
      </c>
      <c r="W76" s="137">
        <v>0</v>
      </c>
      <c r="X76" s="137">
        <v>0</v>
      </c>
      <c r="Y76" s="137">
        <v>0</v>
      </c>
      <c r="Z76" s="137">
        <v>0</v>
      </c>
      <c r="AA76" s="137">
        <v>0</v>
      </c>
      <c r="AB76" s="137">
        <v>0</v>
      </c>
      <c r="AC76" s="137">
        <v>0</v>
      </c>
      <c r="AD76" s="137">
        <v>0</v>
      </c>
      <c r="AE76" s="137">
        <v>0</v>
      </c>
      <c r="AF76" s="137">
        <v>0</v>
      </c>
      <c r="AG76" s="137">
        <v>0</v>
      </c>
      <c r="AH76" s="137">
        <v>0</v>
      </c>
      <c r="AI76" s="137">
        <v>0</v>
      </c>
      <c r="AJ76" s="137">
        <v>0</v>
      </c>
      <c r="AK76" s="137">
        <v>0</v>
      </c>
      <c r="AL76" s="137">
        <v>0</v>
      </c>
      <c r="AM76" s="137">
        <v>0</v>
      </c>
      <c r="AN76" s="137"/>
      <c r="AO76" s="137"/>
      <c r="AP76" s="137">
        <v>0</v>
      </c>
    </row>
    <row r="77" spans="1:42" hidden="1" outlineLevel="1" x14ac:dyDescent="0.2">
      <c r="B77" s="231" t="s">
        <v>313</v>
      </c>
      <c r="C77" s="232">
        <v>0</v>
      </c>
      <c r="D77" s="232">
        <v>0</v>
      </c>
      <c r="E77" s="232">
        <v>0</v>
      </c>
      <c r="F77" s="232">
        <v>0</v>
      </c>
      <c r="G77" s="232">
        <v>0</v>
      </c>
      <c r="H77" s="232">
        <v>0</v>
      </c>
      <c r="I77" s="232">
        <v>0</v>
      </c>
      <c r="J77" s="232">
        <v>0</v>
      </c>
      <c r="K77" s="232">
        <v>0</v>
      </c>
      <c r="L77" s="232">
        <v>0</v>
      </c>
      <c r="M77" s="232">
        <v>0</v>
      </c>
      <c r="N77" s="232">
        <v>0</v>
      </c>
      <c r="O77" s="232">
        <v>0</v>
      </c>
      <c r="P77" s="232">
        <v>0</v>
      </c>
      <c r="Q77" s="232">
        <v>0</v>
      </c>
      <c r="R77" s="232">
        <v>0</v>
      </c>
      <c r="S77" s="232">
        <v>0</v>
      </c>
      <c r="T77" s="232"/>
      <c r="U77" s="232">
        <v>0</v>
      </c>
      <c r="V77" s="137">
        <v>0</v>
      </c>
      <c r="W77" s="137">
        <v>0</v>
      </c>
      <c r="X77" s="137">
        <v>0</v>
      </c>
      <c r="Y77" s="137">
        <v>0</v>
      </c>
      <c r="Z77" s="137">
        <v>0</v>
      </c>
      <c r="AA77" s="137">
        <v>0</v>
      </c>
      <c r="AB77" s="137">
        <v>0</v>
      </c>
      <c r="AC77" s="137">
        <v>0</v>
      </c>
      <c r="AD77" s="137">
        <v>0</v>
      </c>
      <c r="AE77" s="137">
        <v>0</v>
      </c>
      <c r="AF77" s="137">
        <v>0</v>
      </c>
      <c r="AG77" s="137">
        <v>0</v>
      </c>
      <c r="AH77" s="137">
        <v>0</v>
      </c>
      <c r="AI77" s="137">
        <v>0</v>
      </c>
      <c r="AJ77" s="137">
        <v>0</v>
      </c>
      <c r="AK77" s="137">
        <v>0</v>
      </c>
      <c r="AL77" s="137">
        <v>0</v>
      </c>
      <c r="AM77" s="137">
        <v>0</v>
      </c>
      <c r="AN77" s="137"/>
      <c r="AO77" s="137"/>
      <c r="AP77" s="137">
        <v>0</v>
      </c>
    </row>
    <row r="78" spans="1:42" collapsed="1" x14ac:dyDescent="0.2">
      <c r="B78" s="134" t="s">
        <v>935</v>
      </c>
      <c r="C78" s="135">
        <f t="shared" ref="C78:AP78" si="43">SUM(C64:C77)</f>
        <v>29159</v>
      </c>
      <c r="D78" s="135">
        <f t="shared" si="43"/>
        <v>-17693</v>
      </c>
      <c r="E78" s="135">
        <f t="shared" si="43"/>
        <v>19208</v>
      </c>
      <c r="F78" s="135">
        <f t="shared" si="43"/>
        <v>-14792</v>
      </c>
      <c r="G78" s="135">
        <f t="shared" si="43"/>
        <v>-10041</v>
      </c>
      <c r="H78" s="135">
        <f t="shared" si="43"/>
        <v>-10522</v>
      </c>
      <c r="I78" s="135">
        <f t="shared" si="43"/>
        <v>-3868</v>
      </c>
      <c r="J78" s="135">
        <f t="shared" si="43"/>
        <v>-6233</v>
      </c>
      <c r="K78" s="135">
        <f t="shared" si="43"/>
        <v>-17994.027199999986</v>
      </c>
      <c r="L78" s="135">
        <f t="shared" si="43"/>
        <v>-6034.25</v>
      </c>
      <c r="M78" s="135">
        <f t="shared" si="43"/>
        <v>-6264.0501199999999</v>
      </c>
      <c r="N78" s="135">
        <f t="shared" si="43"/>
        <v>-5214.8218799999995</v>
      </c>
      <c r="O78" s="135">
        <f t="shared" si="43"/>
        <v>-3791</v>
      </c>
      <c r="P78" s="135">
        <f t="shared" si="43"/>
        <v>-3196</v>
      </c>
      <c r="Q78" s="135">
        <f t="shared" si="43"/>
        <v>-14644.324519999936</v>
      </c>
      <c r="R78" s="135">
        <f t="shared" si="43"/>
        <v>-11143.218080000042</v>
      </c>
      <c r="S78" s="135">
        <f t="shared" si="43"/>
        <v>-8994</v>
      </c>
      <c r="T78" s="135">
        <f t="shared" si="43"/>
        <v>-14452.371810000062</v>
      </c>
      <c r="U78" s="135">
        <f t="shared" si="43"/>
        <v>-3024.6281899999376</v>
      </c>
      <c r="V78" s="135">
        <f t="shared" si="43"/>
        <v>-10402</v>
      </c>
      <c r="W78" s="135">
        <f t="shared" si="43"/>
        <v>-5490</v>
      </c>
      <c r="X78" s="135">
        <f t="shared" si="43"/>
        <v>-2930</v>
      </c>
      <c r="Y78" s="135">
        <f t="shared" si="43"/>
        <v>-931</v>
      </c>
      <c r="Z78" s="135">
        <f t="shared" si="43"/>
        <v>-710</v>
      </c>
      <c r="AA78" s="135">
        <f t="shared" si="43"/>
        <v>-4460</v>
      </c>
      <c r="AB78" s="135">
        <f t="shared" si="43"/>
        <v>-6573</v>
      </c>
      <c r="AC78" s="135">
        <f t="shared" si="43"/>
        <v>-6702</v>
      </c>
      <c r="AD78" s="135">
        <f t="shared" si="43"/>
        <v>345</v>
      </c>
      <c r="AE78" s="135">
        <f t="shared" si="43"/>
        <v>-4647</v>
      </c>
      <c r="AF78" s="135">
        <f t="shared" si="43"/>
        <v>-10654</v>
      </c>
      <c r="AG78" s="135">
        <f t="shared" si="43"/>
        <v>-6143</v>
      </c>
      <c r="AH78" s="135">
        <f t="shared" si="43"/>
        <v>-6695</v>
      </c>
      <c r="AI78" s="135">
        <f t="shared" si="43"/>
        <v>-17168</v>
      </c>
      <c r="AJ78" s="135">
        <f t="shared" si="43"/>
        <v>-3411</v>
      </c>
      <c r="AK78" s="135">
        <f t="shared" si="43"/>
        <v>-6453</v>
      </c>
      <c r="AL78" s="135">
        <f t="shared" si="43"/>
        <v>-2628</v>
      </c>
      <c r="AM78" s="135">
        <f t="shared" si="43"/>
        <v>-15435</v>
      </c>
      <c r="AN78" s="135">
        <f t="shared" si="43"/>
        <v>-9713</v>
      </c>
      <c r="AO78" s="135">
        <f t="shared" si="43"/>
        <v>1262</v>
      </c>
      <c r="AP78" s="135">
        <f t="shared" si="43"/>
        <v>-18918</v>
      </c>
    </row>
    <row r="79" spans="1:42" x14ac:dyDescent="0.2">
      <c r="B79" s="136" t="s">
        <v>751</v>
      </c>
      <c r="C79" s="137">
        <v>0</v>
      </c>
      <c r="D79" s="137">
        <v>0</v>
      </c>
      <c r="E79" s="137">
        <v>-5000</v>
      </c>
      <c r="F79" s="137">
        <v>0</v>
      </c>
      <c r="G79" s="137">
        <v>0</v>
      </c>
      <c r="H79" s="137">
        <v>0</v>
      </c>
      <c r="I79" s="137">
        <v>0</v>
      </c>
      <c r="J79" s="137">
        <v>0</v>
      </c>
      <c r="K79" s="137">
        <v>0</v>
      </c>
      <c r="L79" s="137">
        <v>-8000</v>
      </c>
      <c r="M79" s="137">
        <v>-14750</v>
      </c>
      <c r="N79" s="137">
        <v>-7643</v>
      </c>
      <c r="O79" s="137">
        <v>0</v>
      </c>
      <c r="P79" s="137">
        <v>-38856</v>
      </c>
      <c r="Q79" s="137">
        <v>-21090</v>
      </c>
      <c r="R79" s="137">
        <v>-15554</v>
      </c>
      <c r="S79" s="137">
        <v>0</v>
      </c>
      <c r="T79" s="137">
        <v>-28306</v>
      </c>
      <c r="U79" s="137">
        <v>-29568</v>
      </c>
      <c r="V79" s="137">
        <v>-45696</v>
      </c>
      <c r="W79" s="137">
        <v>0</v>
      </c>
      <c r="X79" s="137">
        <v>0</v>
      </c>
      <c r="Y79" s="137">
        <v>0</v>
      </c>
      <c r="Z79" s="137">
        <v>-22431</v>
      </c>
      <c r="AA79" s="137">
        <v>0</v>
      </c>
      <c r="AB79" s="137">
        <v>-12541</v>
      </c>
      <c r="AC79" s="137">
        <v>-22157</v>
      </c>
      <c r="AD79" s="137">
        <v>-17118</v>
      </c>
      <c r="AE79" s="137">
        <v>0</v>
      </c>
      <c r="AF79" s="137">
        <v>-22339</v>
      </c>
      <c r="AG79" s="137">
        <v>-24589</v>
      </c>
      <c r="AH79" s="137">
        <v>-27035</v>
      </c>
      <c r="AI79" s="137">
        <v>0</v>
      </c>
      <c r="AJ79" s="137">
        <v>-39563</v>
      </c>
      <c r="AK79" s="137">
        <v>-37648</v>
      </c>
      <c r="AL79" s="137">
        <v>-35606</v>
      </c>
      <c r="AM79" s="137">
        <v>0</v>
      </c>
      <c r="AN79" s="137">
        <v>-47713</v>
      </c>
      <c r="AO79" s="137">
        <v>-80444</v>
      </c>
      <c r="AP79" s="137">
        <v>-52001</v>
      </c>
    </row>
    <row r="80" spans="1:42" x14ac:dyDescent="0.2">
      <c r="A80" s="268" t="s">
        <v>315</v>
      </c>
      <c r="B80" s="222" t="s">
        <v>315</v>
      </c>
      <c r="C80" s="137">
        <v>0</v>
      </c>
      <c r="D80" s="137">
        <v>0</v>
      </c>
      <c r="E80" s="137">
        <v>0</v>
      </c>
      <c r="F80" s="137">
        <v>0</v>
      </c>
      <c r="G80" s="137">
        <v>0</v>
      </c>
      <c r="H80" s="137">
        <v>0</v>
      </c>
      <c r="I80" s="137">
        <v>0</v>
      </c>
      <c r="J80" s="137">
        <v>0</v>
      </c>
      <c r="K80" s="137">
        <v>1342</v>
      </c>
      <c r="L80" s="137">
        <f>53132-0.195259999964037</f>
        <v>53131.804740000036</v>
      </c>
      <c r="M80" s="137">
        <v>0</v>
      </c>
      <c r="N80" s="137">
        <v>0</v>
      </c>
      <c r="O80" s="137">
        <v>0</v>
      </c>
      <c r="P80" s="137">
        <v>0</v>
      </c>
      <c r="Q80" s="137">
        <v>50000</v>
      </c>
      <c r="R80" s="137">
        <v>0</v>
      </c>
      <c r="S80" s="137">
        <v>30000</v>
      </c>
      <c r="T80" s="137">
        <v>0</v>
      </c>
      <c r="U80" s="137">
        <v>0</v>
      </c>
      <c r="V80" s="137">
        <v>0</v>
      </c>
      <c r="W80" s="137">
        <v>0</v>
      </c>
      <c r="X80" s="137">
        <v>90000</v>
      </c>
      <c r="Y80" s="137">
        <v>45000</v>
      </c>
      <c r="Z80" s="137">
        <v>0</v>
      </c>
      <c r="AA80" s="137">
        <v>0</v>
      </c>
      <c r="AB80" s="137">
        <v>0</v>
      </c>
      <c r="AC80" s="137">
        <v>0</v>
      </c>
      <c r="AD80" s="137">
        <v>0</v>
      </c>
      <c r="AE80" s="137">
        <v>0</v>
      </c>
      <c r="AF80" s="137">
        <v>0</v>
      </c>
      <c r="AG80" s="137">
        <v>0</v>
      </c>
      <c r="AH80" s="137">
        <v>32568</v>
      </c>
      <c r="AI80" s="137">
        <v>0</v>
      </c>
      <c r="AJ80" s="137">
        <v>0</v>
      </c>
      <c r="AK80" s="137">
        <v>51266</v>
      </c>
      <c r="AL80" s="137">
        <v>5005</v>
      </c>
      <c r="AM80" s="137">
        <v>5910</v>
      </c>
      <c r="AN80" s="137">
        <v>8729</v>
      </c>
      <c r="AO80" s="137">
        <v>0</v>
      </c>
      <c r="AP80" s="137">
        <v>0</v>
      </c>
    </row>
    <row r="81" spans="1:42" x14ac:dyDescent="0.2">
      <c r="B81" s="136" t="s">
        <v>316</v>
      </c>
      <c r="C81" s="137">
        <v>-917</v>
      </c>
      <c r="D81" s="137">
        <v>-163067</v>
      </c>
      <c r="E81" s="137">
        <v>-805</v>
      </c>
      <c r="F81" s="137">
        <v>-613</v>
      </c>
      <c r="G81" s="137">
        <v>-20422</v>
      </c>
      <c r="H81" s="137">
        <v>-306</v>
      </c>
      <c r="I81" s="137">
        <v>-300</v>
      </c>
      <c r="J81" s="137">
        <v>-50257</v>
      </c>
      <c r="K81" s="137">
        <v>-66920</v>
      </c>
      <c r="L81" s="137">
        <v>-263</v>
      </c>
      <c r="M81" s="137">
        <v>-50255.884591548151</v>
      </c>
      <c r="N81" s="137">
        <v>-263.11540845184936</v>
      </c>
      <c r="O81" s="137">
        <v>-66800</v>
      </c>
      <c r="P81" s="137">
        <v>-4620</v>
      </c>
      <c r="Q81" s="137">
        <v>-40000</v>
      </c>
      <c r="R81" s="137">
        <v>0</v>
      </c>
      <c r="S81" s="137">
        <v>-46676</v>
      </c>
      <c r="T81" s="137">
        <v>-3333</v>
      </c>
      <c r="U81" s="137">
        <v>0</v>
      </c>
      <c r="V81" s="137">
        <v>-3334</v>
      </c>
      <c r="W81" s="137">
        <v>0</v>
      </c>
      <c r="X81" s="137">
        <v>-3333</v>
      </c>
      <c r="Y81" s="137">
        <v>-96373</v>
      </c>
      <c r="Z81" s="137">
        <v>0</v>
      </c>
      <c r="AA81" s="137">
        <v>0</v>
      </c>
      <c r="AB81" s="137">
        <v>-40000</v>
      </c>
      <c r="AC81" s="137">
        <v>0</v>
      </c>
      <c r="AD81" s="137">
        <v>0</v>
      </c>
      <c r="AE81" s="137">
        <v>-10000</v>
      </c>
      <c r="AF81" s="137">
        <v>-50000</v>
      </c>
      <c r="AG81" s="137">
        <v>0</v>
      </c>
      <c r="AH81" s="137">
        <v>0</v>
      </c>
      <c r="AI81" s="137">
        <v>-10000</v>
      </c>
      <c r="AJ81" s="137">
        <v>0</v>
      </c>
      <c r="AK81" s="137">
        <v>-45000</v>
      </c>
      <c r="AL81" s="137">
        <v>0</v>
      </c>
      <c r="AM81" s="137">
        <v>0</v>
      </c>
      <c r="AN81" s="137">
        <v>-10000</v>
      </c>
      <c r="AO81" s="137">
        <v>0</v>
      </c>
      <c r="AP81" s="137">
        <v>0</v>
      </c>
    </row>
    <row r="82" spans="1:42" x14ac:dyDescent="0.2">
      <c r="B82" s="136" t="s">
        <v>875</v>
      </c>
      <c r="C82" s="137">
        <v>0</v>
      </c>
      <c r="D82" s="137">
        <v>0</v>
      </c>
      <c r="E82" s="137">
        <v>0</v>
      </c>
      <c r="F82" s="137">
        <v>0</v>
      </c>
      <c r="G82" s="137">
        <v>0</v>
      </c>
      <c r="H82" s="137">
        <v>0</v>
      </c>
      <c r="I82" s="137">
        <v>0</v>
      </c>
      <c r="J82" s="137">
        <v>0</v>
      </c>
      <c r="K82" s="137">
        <v>0</v>
      </c>
      <c r="L82" s="137">
        <v>0</v>
      </c>
      <c r="M82" s="137">
        <v>0</v>
      </c>
      <c r="N82" s="137">
        <v>0</v>
      </c>
      <c r="O82" s="137">
        <v>0</v>
      </c>
      <c r="P82" s="137">
        <v>0</v>
      </c>
      <c r="Q82" s="137">
        <v>0</v>
      </c>
      <c r="R82" s="137">
        <v>0</v>
      </c>
      <c r="S82" s="137">
        <v>-5514</v>
      </c>
      <c r="T82" s="137">
        <v>-6540</v>
      </c>
      <c r="U82" s="137">
        <v>-7697</v>
      </c>
      <c r="V82" s="137">
        <v>-10243</v>
      </c>
      <c r="W82" s="137">
        <v>-8318</v>
      </c>
      <c r="X82" s="137">
        <v>-6744</v>
      </c>
      <c r="Y82" s="137">
        <v>-7498</v>
      </c>
      <c r="Z82" s="137">
        <v>-7879</v>
      </c>
      <c r="AA82" s="137">
        <v>-8938</v>
      </c>
      <c r="AB82" s="137">
        <v>-7989</v>
      </c>
      <c r="AC82" s="137">
        <v>-7821</v>
      </c>
      <c r="AD82" s="137">
        <v>-7801</v>
      </c>
      <c r="AE82" s="137">
        <v>-7337</v>
      </c>
      <c r="AF82" s="137">
        <v>-7711</v>
      </c>
      <c r="AG82" s="137">
        <v>-11299</v>
      </c>
      <c r="AH82" s="137">
        <v>-8738</v>
      </c>
      <c r="AI82" s="137">
        <v>-8139</v>
      </c>
      <c r="AJ82" s="137">
        <v>-7850</v>
      </c>
      <c r="AK82" s="137">
        <v>-8241</v>
      </c>
      <c r="AL82" s="137">
        <v>-8760</v>
      </c>
      <c r="AM82" s="137">
        <v>-7662</v>
      </c>
      <c r="AN82" s="137">
        <v>-7743</v>
      </c>
      <c r="AO82" s="137">
        <v>-8056</v>
      </c>
      <c r="AP82" s="137">
        <v>-8107</v>
      </c>
    </row>
    <row r="83" spans="1:42" ht="12" customHeight="1" x14ac:dyDescent="0.2">
      <c r="B83" s="136" t="s">
        <v>1168</v>
      </c>
      <c r="C83" s="137">
        <v>-16</v>
      </c>
      <c r="D83" s="137">
        <v>-5.0000000000000009</v>
      </c>
      <c r="E83" s="137">
        <v>0</v>
      </c>
      <c r="F83" s="137">
        <v>-2666</v>
      </c>
      <c r="G83" s="137">
        <v>-2290</v>
      </c>
      <c r="H83" s="137">
        <v>-7</v>
      </c>
      <c r="I83" s="137">
        <f>-3790+2283</f>
        <v>-1507</v>
      </c>
      <c r="J83" s="137">
        <v>-7</v>
      </c>
      <c r="K83" s="137">
        <v>0</v>
      </c>
      <c r="L83" s="137">
        <v>0</v>
      </c>
      <c r="M83" s="137">
        <v>0</v>
      </c>
      <c r="N83" s="137">
        <v>0</v>
      </c>
      <c r="O83" s="137">
        <v>0</v>
      </c>
      <c r="P83" s="137">
        <v>0</v>
      </c>
      <c r="Q83" s="137">
        <v>0</v>
      </c>
      <c r="R83" s="137">
        <v>0</v>
      </c>
      <c r="S83" s="137">
        <v>0</v>
      </c>
      <c r="T83" s="137"/>
      <c r="U83" s="137">
        <v>0</v>
      </c>
      <c r="V83" s="137">
        <v>0</v>
      </c>
      <c r="W83" s="137">
        <v>0</v>
      </c>
      <c r="X83" s="137">
        <v>0</v>
      </c>
      <c r="Y83" s="137">
        <v>0</v>
      </c>
      <c r="Z83" s="137">
        <v>0</v>
      </c>
      <c r="AA83" s="137">
        <v>0</v>
      </c>
      <c r="AB83" s="137">
        <v>0</v>
      </c>
      <c r="AC83" s="137">
        <v>-25005</v>
      </c>
      <c r="AD83" s="137">
        <v>0</v>
      </c>
      <c r="AE83" s="137">
        <v>0</v>
      </c>
      <c r="AF83" s="137">
        <v>0</v>
      </c>
      <c r="AG83" s="137">
        <v>0</v>
      </c>
      <c r="AH83" s="137">
        <v>0</v>
      </c>
      <c r="AI83" s="137">
        <v>0</v>
      </c>
      <c r="AJ83" s="137">
        <v>0</v>
      </c>
      <c r="AK83" s="137">
        <v>0</v>
      </c>
      <c r="AL83" s="137">
        <v>0</v>
      </c>
      <c r="AM83" s="137">
        <v>0</v>
      </c>
      <c r="AN83" s="137">
        <v>0</v>
      </c>
      <c r="AO83" s="137">
        <v>0</v>
      </c>
      <c r="AP83" s="137">
        <v>0</v>
      </c>
    </row>
    <row r="84" spans="1:42" hidden="1" outlineLevel="1" x14ac:dyDescent="0.2">
      <c r="B84" s="231" t="s">
        <v>317</v>
      </c>
      <c r="C84" s="232">
        <v>-3634</v>
      </c>
      <c r="D84" s="232">
        <v>43431</v>
      </c>
      <c r="E84" s="232">
        <v>-8198</v>
      </c>
      <c r="F84" s="232">
        <v>0</v>
      </c>
      <c r="G84" s="232">
        <v>0</v>
      </c>
      <c r="H84" s="232">
        <v>0</v>
      </c>
      <c r="I84" s="232">
        <v>0</v>
      </c>
      <c r="J84" s="232">
        <v>0</v>
      </c>
      <c r="K84" s="232">
        <v>0</v>
      </c>
      <c r="L84" s="232">
        <v>0</v>
      </c>
      <c r="M84" s="232">
        <v>0</v>
      </c>
      <c r="N84" s="232">
        <v>0</v>
      </c>
      <c r="O84" s="232">
        <v>0</v>
      </c>
      <c r="P84" s="232">
        <v>0</v>
      </c>
      <c r="Q84" s="232">
        <v>0</v>
      </c>
      <c r="R84" s="232">
        <v>-385</v>
      </c>
      <c r="S84" s="232">
        <v>0</v>
      </c>
      <c r="T84" s="232">
        <v>0</v>
      </c>
      <c r="U84" s="232">
        <v>0</v>
      </c>
      <c r="V84" s="232">
        <v>0</v>
      </c>
      <c r="W84" s="232">
        <v>-593</v>
      </c>
      <c r="X84" s="232">
        <v>0</v>
      </c>
      <c r="Y84" s="232">
        <v>17560</v>
      </c>
      <c r="Z84" s="232">
        <v>0</v>
      </c>
      <c r="AA84" s="232">
        <v>0</v>
      </c>
      <c r="AB84" s="232">
        <v>0</v>
      </c>
      <c r="AC84" s="232">
        <v>0</v>
      </c>
      <c r="AD84" s="232">
        <v>0</v>
      </c>
      <c r="AE84" s="232">
        <v>0</v>
      </c>
      <c r="AF84" s="232">
        <v>0</v>
      </c>
      <c r="AG84" s="137">
        <v>0</v>
      </c>
      <c r="AH84" s="137">
        <v>0</v>
      </c>
      <c r="AI84" s="137">
        <v>0</v>
      </c>
      <c r="AJ84" s="137">
        <v>0</v>
      </c>
      <c r="AK84" s="137">
        <v>0</v>
      </c>
      <c r="AL84" s="137">
        <v>0</v>
      </c>
      <c r="AM84" s="137">
        <v>0</v>
      </c>
      <c r="AN84" s="137"/>
      <c r="AO84" s="137"/>
      <c r="AP84" s="137">
        <v>0</v>
      </c>
    </row>
    <row r="85" spans="1:42" hidden="1" outlineLevel="1" x14ac:dyDescent="0.2">
      <c r="B85" s="231" t="s">
        <v>298</v>
      </c>
      <c r="C85" s="232">
        <v>77</v>
      </c>
      <c r="D85" s="232">
        <v>-77</v>
      </c>
      <c r="E85" s="232">
        <v>0</v>
      </c>
      <c r="F85" s="232">
        <v>0</v>
      </c>
      <c r="G85" s="232">
        <v>0</v>
      </c>
      <c r="H85" s="232">
        <v>0</v>
      </c>
      <c r="I85" s="232">
        <v>0</v>
      </c>
      <c r="J85" s="232">
        <v>0</v>
      </c>
      <c r="K85" s="232">
        <v>0</v>
      </c>
      <c r="L85" s="232">
        <v>0</v>
      </c>
      <c r="M85" s="232">
        <v>0</v>
      </c>
      <c r="N85" s="232">
        <v>0</v>
      </c>
      <c r="O85" s="232">
        <v>0</v>
      </c>
      <c r="P85" s="232">
        <v>0</v>
      </c>
      <c r="Q85" s="232">
        <v>0</v>
      </c>
      <c r="R85" s="232">
        <v>0</v>
      </c>
      <c r="S85" s="232">
        <v>0</v>
      </c>
      <c r="T85" s="232"/>
      <c r="U85" s="232">
        <v>0</v>
      </c>
      <c r="V85" s="232">
        <v>0</v>
      </c>
      <c r="W85" s="232">
        <v>0</v>
      </c>
      <c r="X85" s="232">
        <v>0</v>
      </c>
      <c r="Y85" s="232">
        <v>0</v>
      </c>
      <c r="Z85" s="232">
        <v>0</v>
      </c>
      <c r="AA85" s="232">
        <v>0</v>
      </c>
      <c r="AB85" s="232">
        <v>0</v>
      </c>
      <c r="AC85" s="232">
        <v>0</v>
      </c>
      <c r="AD85" s="232">
        <v>0</v>
      </c>
      <c r="AE85" s="232">
        <v>0</v>
      </c>
      <c r="AF85" s="232">
        <v>0</v>
      </c>
      <c r="AG85" s="232">
        <v>0</v>
      </c>
      <c r="AH85" s="232">
        <v>0</v>
      </c>
      <c r="AI85" s="137">
        <v>0</v>
      </c>
      <c r="AJ85" s="137">
        <v>0</v>
      </c>
      <c r="AK85" s="137">
        <v>0</v>
      </c>
      <c r="AL85" s="137">
        <v>0</v>
      </c>
      <c r="AM85" s="137">
        <v>0</v>
      </c>
      <c r="AN85" s="137"/>
      <c r="AO85" s="137"/>
      <c r="AP85" s="137">
        <v>0</v>
      </c>
    </row>
    <row r="86" spans="1:42" collapsed="1" x14ac:dyDescent="0.2">
      <c r="B86" s="134" t="s">
        <v>934</v>
      </c>
      <c r="C86" s="135">
        <f t="shared" ref="C86:AF86" si="44">SUM(C79:C85)</f>
        <v>-4490</v>
      </c>
      <c r="D86" s="135">
        <f t="shared" si="44"/>
        <v>-119718</v>
      </c>
      <c r="E86" s="135">
        <f t="shared" si="44"/>
        <v>-14003</v>
      </c>
      <c r="F86" s="135">
        <f t="shared" si="44"/>
        <v>-3279</v>
      </c>
      <c r="G86" s="135">
        <f t="shared" si="44"/>
        <v>-22712</v>
      </c>
      <c r="H86" s="135">
        <f t="shared" si="44"/>
        <v>-313</v>
      </c>
      <c r="I86" s="135">
        <f t="shared" si="44"/>
        <v>-1807</v>
      </c>
      <c r="J86" s="135">
        <f t="shared" si="44"/>
        <v>-50264</v>
      </c>
      <c r="K86" s="135">
        <f t="shared" si="44"/>
        <v>-65578</v>
      </c>
      <c r="L86" s="135">
        <f t="shared" si="44"/>
        <v>44868.804740000036</v>
      </c>
      <c r="M86" s="135">
        <f t="shared" si="44"/>
        <v>-65005.884591548151</v>
      </c>
      <c r="N86" s="135">
        <f t="shared" si="44"/>
        <v>-7906.1154084518494</v>
      </c>
      <c r="O86" s="135">
        <f t="shared" si="44"/>
        <v>-66800</v>
      </c>
      <c r="P86" s="135">
        <f t="shared" si="44"/>
        <v>-43476</v>
      </c>
      <c r="Q86" s="135">
        <f t="shared" si="44"/>
        <v>-11090</v>
      </c>
      <c r="R86" s="135">
        <f t="shared" si="44"/>
        <v>-15939</v>
      </c>
      <c r="S86" s="135">
        <f t="shared" si="44"/>
        <v>-22190</v>
      </c>
      <c r="T86" s="135">
        <f t="shared" si="44"/>
        <v>-38179</v>
      </c>
      <c r="U86" s="135">
        <f t="shared" si="44"/>
        <v>-37265</v>
      </c>
      <c r="V86" s="135">
        <f t="shared" si="44"/>
        <v>-59273</v>
      </c>
      <c r="W86" s="135">
        <f t="shared" si="44"/>
        <v>-8911</v>
      </c>
      <c r="X86" s="135">
        <f t="shared" si="44"/>
        <v>79923</v>
      </c>
      <c r="Y86" s="135">
        <f t="shared" si="44"/>
        <v>-41311</v>
      </c>
      <c r="Z86" s="135">
        <f t="shared" si="44"/>
        <v>-30310</v>
      </c>
      <c r="AA86" s="135">
        <f t="shared" si="44"/>
        <v>-8938</v>
      </c>
      <c r="AB86" s="135">
        <f t="shared" si="44"/>
        <v>-60530</v>
      </c>
      <c r="AC86" s="135">
        <f t="shared" si="44"/>
        <v>-54983</v>
      </c>
      <c r="AD86" s="135">
        <f t="shared" si="44"/>
        <v>-24919</v>
      </c>
      <c r="AE86" s="135">
        <f t="shared" si="44"/>
        <v>-17337</v>
      </c>
      <c r="AF86" s="135">
        <f t="shared" si="44"/>
        <v>-80050</v>
      </c>
      <c r="AG86" s="135">
        <f t="shared" ref="AG86:AM86" si="45">SUM(AG79:AG85)</f>
        <v>-35888</v>
      </c>
      <c r="AH86" s="135">
        <f t="shared" si="45"/>
        <v>-3205</v>
      </c>
      <c r="AI86" s="135">
        <f t="shared" si="45"/>
        <v>-18139</v>
      </c>
      <c r="AJ86" s="135">
        <f t="shared" si="45"/>
        <v>-47413</v>
      </c>
      <c r="AK86" s="135">
        <f t="shared" si="45"/>
        <v>-39623</v>
      </c>
      <c r="AL86" s="135">
        <f t="shared" si="45"/>
        <v>-39361</v>
      </c>
      <c r="AM86" s="135">
        <f t="shared" si="45"/>
        <v>-1752</v>
      </c>
      <c r="AN86" s="135">
        <f t="shared" ref="AN86:AP86" si="46">SUM(AN79:AN85)</f>
        <v>-56727</v>
      </c>
      <c r="AO86" s="135">
        <f t="shared" si="46"/>
        <v>-88500</v>
      </c>
      <c r="AP86" s="135">
        <f t="shared" si="46"/>
        <v>-60108</v>
      </c>
    </row>
    <row r="87" spans="1:42" s="233" customFormat="1" ht="25.5" hidden="1" outlineLevel="1" x14ac:dyDescent="0.2">
      <c r="A87" s="268"/>
      <c r="B87" s="231" t="s">
        <v>318</v>
      </c>
      <c r="C87" s="232">
        <v>0</v>
      </c>
      <c r="D87" s="232">
        <v>0</v>
      </c>
      <c r="E87" s="232">
        <v>0</v>
      </c>
      <c r="F87" s="232">
        <v>0</v>
      </c>
      <c r="G87" s="232">
        <v>0</v>
      </c>
      <c r="H87" s="232">
        <v>0</v>
      </c>
      <c r="I87" s="232">
        <v>0</v>
      </c>
      <c r="J87" s="232">
        <v>0</v>
      </c>
      <c r="K87" s="232">
        <v>0</v>
      </c>
      <c r="L87" s="232">
        <v>0</v>
      </c>
      <c r="M87" s="232">
        <v>0</v>
      </c>
      <c r="N87" s="232">
        <v>0</v>
      </c>
      <c r="O87" s="232">
        <v>0</v>
      </c>
      <c r="P87" s="232">
        <v>0</v>
      </c>
      <c r="Q87" s="232">
        <v>0</v>
      </c>
      <c r="R87" s="232">
        <v>0</v>
      </c>
      <c r="S87" s="232">
        <v>0</v>
      </c>
      <c r="T87" s="232">
        <v>0</v>
      </c>
      <c r="U87" s="232">
        <v>0</v>
      </c>
      <c r="V87" s="137">
        <v>0</v>
      </c>
      <c r="W87" s="137">
        <v>0</v>
      </c>
      <c r="X87" s="137">
        <v>0</v>
      </c>
      <c r="Y87" s="137">
        <v>0</v>
      </c>
      <c r="Z87" s="137">
        <v>0</v>
      </c>
      <c r="AA87" s="137">
        <v>0</v>
      </c>
      <c r="AB87" s="137">
        <v>0</v>
      </c>
      <c r="AC87" s="137">
        <v>0</v>
      </c>
      <c r="AD87" s="137">
        <v>0</v>
      </c>
      <c r="AE87" s="137">
        <v>0</v>
      </c>
      <c r="AF87" s="137">
        <v>0</v>
      </c>
      <c r="AG87" s="137">
        <v>0</v>
      </c>
      <c r="AH87" s="137">
        <v>0</v>
      </c>
      <c r="AI87" s="137">
        <v>0</v>
      </c>
      <c r="AJ87" s="137">
        <v>0</v>
      </c>
      <c r="AK87" s="137">
        <v>0</v>
      </c>
      <c r="AL87" s="137">
        <v>0</v>
      </c>
      <c r="AM87" s="137">
        <v>0</v>
      </c>
      <c r="AN87" s="137">
        <v>0</v>
      </c>
      <c r="AO87" s="137"/>
      <c r="AP87" s="137">
        <v>0</v>
      </c>
    </row>
    <row r="88" spans="1:42" s="233" customFormat="1" ht="25.5" hidden="1" outlineLevel="1" x14ac:dyDescent="0.2">
      <c r="A88" s="268"/>
      <c r="B88" s="231" t="s">
        <v>319</v>
      </c>
      <c r="C88" s="232">
        <v>0</v>
      </c>
      <c r="D88" s="232">
        <v>0</v>
      </c>
      <c r="E88" s="232">
        <v>0</v>
      </c>
      <c r="F88" s="232">
        <v>0</v>
      </c>
      <c r="G88" s="232">
        <v>0</v>
      </c>
      <c r="H88" s="232">
        <v>0</v>
      </c>
      <c r="I88" s="232">
        <v>0</v>
      </c>
      <c r="J88" s="232">
        <v>0</v>
      </c>
      <c r="K88" s="232">
        <v>0</v>
      </c>
      <c r="L88" s="232">
        <v>0</v>
      </c>
      <c r="M88" s="232">
        <v>0</v>
      </c>
      <c r="N88" s="232">
        <v>0</v>
      </c>
      <c r="O88" s="232">
        <v>0</v>
      </c>
      <c r="P88" s="232">
        <v>0</v>
      </c>
      <c r="Q88" s="232">
        <v>0</v>
      </c>
      <c r="R88" s="232">
        <v>0</v>
      </c>
      <c r="S88" s="232">
        <v>0</v>
      </c>
      <c r="T88" s="232">
        <v>0</v>
      </c>
      <c r="U88" s="232">
        <v>0</v>
      </c>
      <c r="V88" s="137">
        <v>0</v>
      </c>
      <c r="W88" s="137">
        <v>0</v>
      </c>
      <c r="X88" s="137">
        <v>0</v>
      </c>
      <c r="Y88" s="137">
        <v>0</v>
      </c>
      <c r="Z88" s="137">
        <v>0</v>
      </c>
      <c r="AA88" s="137">
        <v>0</v>
      </c>
      <c r="AB88" s="137">
        <v>0</v>
      </c>
      <c r="AC88" s="137">
        <v>0</v>
      </c>
      <c r="AD88" s="137">
        <v>0</v>
      </c>
      <c r="AE88" s="137">
        <v>0</v>
      </c>
      <c r="AF88" s="137">
        <v>0</v>
      </c>
      <c r="AG88" s="137">
        <v>0</v>
      </c>
      <c r="AH88" s="137">
        <v>0</v>
      </c>
      <c r="AI88" s="137">
        <v>0</v>
      </c>
      <c r="AJ88" s="137">
        <v>0</v>
      </c>
      <c r="AK88" s="137">
        <v>0</v>
      </c>
      <c r="AL88" s="137">
        <v>0</v>
      </c>
      <c r="AM88" s="137">
        <v>0</v>
      </c>
      <c r="AN88" s="137">
        <v>0</v>
      </c>
      <c r="AO88" s="137"/>
      <c r="AP88" s="137">
        <v>0</v>
      </c>
    </row>
    <row r="89" spans="1:42" s="233" customFormat="1" hidden="1" outlineLevel="1" x14ac:dyDescent="0.2">
      <c r="A89" s="268"/>
      <c r="B89" s="231" t="s">
        <v>275</v>
      </c>
      <c r="C89" s="232">
        <v>0</v>
      </c>
      <c r="D89" s="232">
        <v>0</v>
      </c>
      <c r="E89" s="232">
        <v>0</v>
      </c>
      <c r="F89" s="232">
        <v>0</v>
      </c>
      <c r="G89" s="232">
        <v>0</v>
      </c>
      <c r="H89" s="232">
        <v>0</v>
      </c>
      <c r="I89" s="232">
        <v>0</v>
      </c>
      <c r="J89" s="232">
        <v>0</v>
      </c>
      <c r="K89" s="232">
        <v>0</v>
      </c>
      <c r="L89" s="232">
        <v>0</v>
      </c>
      <c r="M89" s="232">
        <v>0</v>
      </c>
      <c r="N89" s="232">
        <v>0</v>
      </c>
      <c r="O89" s="232">
        <v>0</v>
      </c>
      <c r="P89" s="232">
        <v>0</v>
      </c>
      <c r="Q89" s="232">
        <v>0</v>
      </c>
      <c r="R89" s="232">
        <v>0</v>
      </c>
      <c r="S89" s="232">
        <v>0</v>
      </c>
      <c r="T89" s="232">
        <v>0</v>
      </c>
      <c r="U89" s="232">
        <v>0</v>
      </c>
      <c r="V89" s="137">
        <v>0</v>
      </c>
      <c r="W89" s="137">
        <v>0</v>
      </c>
      <c r="X89" s="137">
        <v>0</v>
      </c>
      <c r="Y89" s="137">
        <v>0</v>
      </c>
      <c r="Z89" s="137">
        <v>0</v>
      </c>
      <c r="AA89" s="137">
        <v>0</v>
      </c>
      <c r="AB89" s="137">
        <v>0</v>
      </c>
      <c r="AC89" s="137">
        <v>0</v>
      </c>
      <c r="AD89" s="137">
        <v>0</v>
      </c>
      <c r="AE89" s="137">
        <v>0</v>
      </c>
      <c r="AF89" s="137">
        <v>0</v>
      </c>
      <c r="AG89" s="137">
        <v>0</v>
      </c>
      <c r="AH89" s="137">
        <v>0</v>
      </c>
      <c r="AI89" s="137">
        <v>0</v>
      </c>
      <c r="AJ89" s="137">
        <v>0</v>
      </c>
      <c r="AK89" s="137">
        <v>0</v>
      </c>
      <c r="AL89" s="137">
        <v>0</v>
      </c>
      <c r="AM89" s="137">
        <v>0</v>
      </c>
      <c r="AN89" s="137">
        <v>0</v>
      </c>
      <c r="AO89" s="137"/>
      <c r="AP89" s="137">
        <v>0</v>
      </c>
    </row>
    <row r="90" spans="1:42" collapsed="1" x14ac:dyDescent="0.2">
      <c r="B90" s="134" t="s">
        <v>320</v>
      </c>
      <c r="C90" s="135">
        <v>0</v>
      </c>
      <c r="D90" s="135">
        <f>SUM(D87:D89)</f>
        <v>0</v>
      </c>
      <c r="E90" s="135">
        <f>SUM(E87:E89)</f>
        <v>0</v>
      </c>
      <c r="F90" s="135">
        <v>0</v>
      </c>
      <c r="G90" s="135">
        <v>0</v>
      </c>
      <c r="H90" s="135">
        <v>0</v>
      </c>
      <c r="I90" s="135">
        <v>0</v>
      </c>
      <c r="J90" s="135">
        <v>0</v>
      </c>
      <c r="K90" s="135">
        <v>0</v>
      </c>
      <c r="L90" s="135">
        <v>0</v>
      </c>
      <c r="M90" s="135">
        <v>0</v>
      </c>
      <c r="N90" s="135">
        <v>0</v>
      </c>
      <c r="O90" s="135">
        <v>0</v>
      </c>
      <c r="P90" s="135">
        <v>0</v>
      </c>
      <c r="Q90" s="135">
        <v>0</v>
      </c>
      <c r="R90" s="135">
        <v>0</v>
      </c>
      <c r="S90" s="135">
        <v>0</v>
      </c>
      <c r="T90" s="135">
        <v>0</v>
      </c>
      <c r="U90" s="135">
        <v>0</v>
      </c>
      <c r="V90" s="135">
        <v>0</v>
      </c>
      <c r="W90" s="135">
        <v>0</v>
      </c>
      <c r="X90" s="135">
        <v>0</v>
      </c>
      <c r="Y90" s="135">
        <v>0</v>
      </c>
      <c r="Z90" s="135">
        <v>0</v>
      </c>
      <c r="AA90" s="135">
        <v>0</v>
      </c>
      <c r="AB90" s="135">
        <v>0</v>
      </c>
      <c r="AC90" s="135">
        <v>0</v>
      </c>
      <c r="AD90" s="135"/>
      <c r="AE90" s="135"/>
      <c r="AF90" s="135">
        <v>0</v>
      </c>
      <c r="AG90" s="135">
        <v>0</v>
      </c>
      <c r="AH90" s="135">
        <v>0</v>
      </c>
      <c r="AI90" s="135">
        <v>0</v>
      </c>
      <c r="AJ90" s="135">
        <v>0</v>
      </c>
      <c r="AK90" s="135">
        <v>0</v>
      </c>
      <c r="AL90" s="135">
        <v>0</v>
      </c>
      <c r="AM90" s="135">
        <v>0</v>
      </c>
      <c r="AN90" s="135">
        <v>0</v>
      </c>
      <c r="AO90" s="135"/>
      <c r="AP90" s="135">
        <v>0</v>
      </c>
    </row>
    <row r="91" spans="1:42" x14ac:dyDescent="0.2">
      <c r="B91" s="134" t="s">
        <v>321</v>
      </c>
      <c r="C91" s="135">
        <f t="shared" ref="C91:AP91" si="47">SUM(C90,C86,C78,C63)</f>
        <v>79102.999999999971</v>
      </c>
      <c r="D91" s="135">
        <f t="shared" si="47"/>
        <v>-175455</v>
      </c>
      <c r="E91" s="135">
        <f t="shared" si="47"/>
        <v>75246.174780000001</v>
      </c>
      <c r="F91" s="135">
        <f t="shared" si="47"/>
        <v>7508</v>
      </c>
      <c r="G91" s="135">
        <f t="shared" si="47"/>
        <v>18433.999720000022</v>
      </c>
      <c r="H91" s="135">
        <f t="shared" si="47"/>
        <v>-13476.999999999998</v>
      </c>
      <c r="I91" s="135">
        <f t="shared" si="47"/>
        <v>22702</v>
      </c>
      <c r="J91" s="135">
        <f t="shared" si="47"/>
        <v>-49060</v>
      </c>
      <c r="K91" s="135">
        <f t="shared" si="47"/>
        <v>-66844.999999999985</v>
      </c>
      <c r="L91" s="135">
        <f t="shared" si="47"/>
        <v>57017</v>
      </c>
      <c r="M91" s="135">
        <f t="shared" si="47"/>
        <v>-37723</v>
      </c>
      <c r="N91" s="135">
        <f t="shared" si="47"/>
        <v>3424.9999999999964</v>
      </c>
      <c r="O91" s="135">
        <f t="shared" si="47"/>
        <v>-23266</v>
      </c>
      <c r="P91" s="135">
        <f t="shared" si="47"/>
        <v>-34777</v>
      </c>
      <c r="Q91" s="135">
        <f t="shared" si="47"/>
        <v>7275</v>
      </c>
      <c r="R91" s="135">
        <f t="shared" si="47"/>
        <v>-14422</v>
      </c>
      <c r="S91" s="135">
        <f t="shared" si="47"/>
        <v>24452</v>
      </c>
      <c r="T91" s="135">
        <f t="shared" si="47"/>
        <v>-1219</v>
      </c>
      <c r="U91" s="135">
        <f t="shared" si="47"/>
        <v>5332.5649900000208</v>
      </c>
      <c r="V91" s="135">
        <f t="shared" si="47"/>
        <v>-44775.740880000012</v>
      </c>
      <c r="W91" s="135">
        <f t="shared" si="47"/>
        <v>58608.393389999968</v>
      </c>
      <c r="X91" s="135">
        <f t="shared" si="47"/>
        <v>160562.51578000002</v>
      </c>
      <c r="Y91" s="135">
        <f t="shared" si="47"/>
        <v>-38708.583880000042</v>
      </c>
      <c r="Z91" s="135">
        <f t="shared" si="47"/>
        <v>12592.838950000027</v>
      </c>
      <c r="AA91" s="135">
        <f t="shared" si="47"/>
        <v>44522.245349999932</v>
      </c>
      <c r="AB91" s="135">
        <f t="shared" si="47"/>
        <v>-60380.039148800017</v>
      </c>
      <c r="AC91" s="135">
        <f t="shared" si="47"/>
        <v>-23108.039800000006</v>
      </c>
      <c r="AD91" s="135">
        <f t="shared" si="47"/>
        <v>-74292.516980000059</v>
      </c>
      <c r="AE91" s="135">
        <f t="shared" si="47"/>
        <v>63375.709109999967</v>
      </c>
      <c r="AF91" s="135">
        <f t="shared" si="47"/>
        <v>-90780.300944425049</v>
      </c>
      <c r="AG91" s="135">
        <f t="shared" si="47"/>
        <v>17519.003068400016</v>
      </c>
      <c r="AH91" s="135">
        <f t="shared" si="47"/>
        <v>53057.361847199965</v>
      </c>
      <c r="AI91" s="135">
        <f t="shared" si="47"/>
        <v>51748.848997799796</v>
      </c>
      <c r="AJ91" s="135">
        <f t="shared" si="47"/>
        <v>-5009.6813599997986</v>
      </c>
      <c r="AK91" s="135">
        <f t="shared" si="47"/>
        <v>21592.701230000093</v>
      </c>
      <c r="AL91" s="135">
        <f t="shared" si="47"/>
        <v>-26091.308489999814</v>
      </c>
      <c r="AM91" s="135">
        <f t="shared" si="47"/>
        <v>67257.066839999767</v>
      </c>
      <c r="AN91" s="135">
        <f t="shared" si="47"/>
        <v>-16994.342319999938</v>
      </c>
      <c r="AO91" s="135">
        <f t="shared" si="47"/>
        <v>-18675.312499999884</v>
      </c>
      <c r="AP91" s="135">
        <f t="shared" si="47"/>
        <v>-22791.037750300136</v>
      </c>
    </row>
    <row r="92" spans="1:42" x14ac:dyDescent="0.2">
      <c r="B92" s="136" t="s">
        <v>322</v>
      </c>
      <c r="C92" s="137">
        <f>+BalSheet!V7</f>
        <v>227857</v>
      </c>
      <c r="D92" s="137">
        <f>+BalSheet!W7</f>
        <v>306960</v>
      </c>
      <c r="E92" s="137">
        <f>+BalSheet!X7</f>
        <v>131505</v>
      </c>
      <c r="F92" s="137">
        <f>+BalSheet!Y7</f>
        <v>206751</v>
      </c>
      <c r="G92" s="137">
        <f>+BalSheet!Z7</f>
        <v>214259</v>
      </c>
      <c r="H92" s="137">
        <f>+BalSheet!AA7</f>
        <v>232693</v>
      </c>
      <c r="I92" s="137">
        <f>+BalSheet!AB7</f>
        <v>219216</v>
      </c>
      <c r="J92" s="137">
        <f>+BalSheet!AC7</f>
        <v>241918</v>
      </c>
      <c r="K92" s="137">
        <f>+BalSheet!AD7</f>
        <v>192858</v>
      </c>
      <c r="L92" s="137">
        <f>+BalSheet!AE7</f>
        <v>126013</v>
      </c>
      <c r="M92" s="137">
        <f>+BalSheet!AF7</f>
        <v>183030</v>
      </c>
      <c r="N92" s="137">
        <f>+BalSheet!AG7</f>
        <v>145307</v>
      </c>
      <c r="O92" s="137">
        <f>+BalSheet!AH7</f>
        <v>148732</v>
      </c>
      <c r="P92" s="137">
        <f t="shared" ref="P92:V92" si="48">+O93</f>
        <v>125466</v>
      </c>
      <c r="Q92" s="137">
        <f t="shared" si="48"/>
        <v>90689</v>
      </c>
      <c r="R92" s="137">
        <f t="shared" si="48"/>
        <v>97964</v>
      </c>
      <c r="S92" s="137">
        <f t="shared" si="48"/>
        <v>83542</v>
      </c>
      <c r="T92" s="137">
        <f t="shared" si="48"/>
        <v>107994</v>
      </c>
      <c r="U92" s="137">
        <f t="shared" si="48"/>
        <v>106775</v>
      </c>
      <c r="V92" s="137">
        <f t="shared" si="48"/>
        <v>112108</v>
      </c>
      <c r="W92" s="137">
        <f t="shared" ref="W92:AC92" si="49">+V93</f>
        <v>67332</v>
      </c>
      <c r="X92" s="137">
        <f t="shared" si="49"/>
        <v>125940</v>
      </c>
      <c r="Y92" s="137">
        <f t="shared" si="49"/>
        <v>286503</v>
      </c>
      <c r="Z92" s="137">
        <f t="shared" si="49"/>
        <v>247793</v>
      </c>
      <c r="AA92" s="137">
        <f t="shared" si="49"/>
        <v>260387</v>
      </c>
      <c r="AB92" s="137">
        <f t="shared" si="49"/>
        <v>304909</v>
      </c>
      <c r="AC92" s="137">
        <f t="shared" si="49"/>
        <v>244529</v>
      </c>
      <c r="AD92" s="137">
        <f t="shared" ref="AD92:AM92" si="50">+AC93</f>
        <v>221421</v>
      </c>
      <c r="AE92" s="137">
        <f t="shared" si="50"/>
        <v>147128</v>
      </c>
      <c r="AF92" s="137">
        <f t="shared" si="50"/>
        <v>210504</v>
      </c>
      <c r="AG92" s="137">
        <f t="shared" si="50"/>
        <v>119723</v>
      </c>
      <c r="AH92" s="137">
        <f t="shared" si="50"/>
        <v>137242</v>
      </c>
      <c r="AI92" s="137">
        <f t="shared" si="50"/>
        <v>190299</v>
      </c>
      <c r="AJ92" s="137">
        <f t="shared" si="50"/>
        <v>242048</v>
      </c>
      <c r="AK92" s="137">
        <f t="shared" si="50"/>
        <v>237038</v>
      </c>
      <c r="AL92" s="137">
        <f t="shared" si="50"/>
        <v>258630</v>
      </c>
      <c r="AM92" s="137">
        <f t="shared" si="50"/>
        <v>232539</v>
      </c>
      <c r="AN92" s="137">
        <f t="shared" ref="AN92:AP92" si="51">+AM93</f>
        <v>299796</v>
      </c>
      <c r="AO92" s="137">
        <f t="shared" si="51"/>
        <v>282802</v>
      </c>
      <c r="AP92" s="137">
        <f t="shared" si="51"/>
        <v>264126</v>
      </c>
    </row>
    <row r="93" spans="1:42" x14ac:dyDescent="0.2">
      <c r="B93" s="238" t="s">
        <v>323</v>
      </c>
      <c r="C93" s="239">
        <f>BalSheet!W7</f>
        <v>306960</v>
      </c>
      <c r="D93" s="239">
        <f>BalSheet!X7</f>
        <v>131505</v>
      </c>
      <c r="E93" s="239">
        <f>BalSheet!Y7</f>
        <v>206751</v>
      </c>
      <c r="F93" s="239">
        <f>BalSheet!Z7</f>
        <v>214259</v>
      </c>
      <c r="G93" s="239">
        <f>BalSheet!AA7</f>
        <v>232693</v>
      </c>
      <c r="H93" s="239">
        <f>BalSheet!AB7</f>
        <v>219216</v>
      </c>
      <c r="I93" s="239">
        <f>BalSheet!AC7</f>
        <v>241918</v>
      </c>
      <c r="J93" s="239">
        <f>BalSheet!AD7</f>
        <v>192858</v>
      </c>
      <c r="K93" s="239">
        <f>BalSheet!AE7</f>
        <v>126013</v>
      </c>
      <c r="L93" s="239">
        <f>BalSheet!AF7</f>
        <v>183030</v>
      </c>
      <c r="M93" s="239">
        <f>BalSheet!AG7</f>
        <v>145307</v>
      </c>
      <c r="N93" s="239">
        <f>BalSheet!AH7</f>
        <v>148732</v>
      </c>
      <c r="O93" s="239">
        <f>BalSheet!AI7</f>
        <v>125466</v>
      </c>
      <c r="P93" s="239">
        <f>BalSheet!AJ7</f>
        <v>90689</v>
      </c>
      <c r="Q93" s="239">
        <f>BalSheet!AK7</f>
        <v>97964</v>
      </c>
      <c r="R93" s="239">
        <f>BalSheet!AL7</f>
        <v>83542</v>
      </c>
      <c r="S93" s="239">
        <f>BalSheet!AM7</f>
        <v>107994</v>
      </c>
      <c r="T93" s="239">
        <f>BalSheet!AN7</f>
        <v>106775</v>
      </c>
      <c r="U93" s="239">
        <f>BalSheet!AO7</f>
        <v>112108</v>
      </c>
      <c r="V93" s="239">
        <f>BalSheet!AP7</f>
        <v>67332</v>
      </c>
      <c r="W93" s="239">
        <f>BalSheet!AQ7</f>
        <v>125940</v>
      </c>
      <c r="X93" s="239">
        <f>BalSheet!AR7</f>
        <v>286503</v>
      </c>
      <c r="Y93" s="239">
        <f>BalSheet!AS7</f>
        <v>247793</v>
      </c>
      <c r="Z93" s="239">
        <f>BalSheet!AT7</f>
        <v>260387</v>
      </c>
      <c r="AA93" s="239">
        <f>BalSheet!AU7</f>
        <v>304909</v>
      </c>
      <c r="AB93" s="239">
        <f>BalSheet!AV7</f>
        <v>244529</v>
      </c>
      <c r="AC93" s="239">
        <f>BalSheet!AW7</f>
        <v>221421</v>
      </c>
      <c r="AD93" s="239">
        <f>BalSheet!AX7</f>
        <v>147128</v>
      </c>
      <c r="AE93" s="239">
        <f>BalSheet!AY7</f>
        <v>210504</v>
      </c>
      <c r="AF93" s="239">
        <f>BalSheet!AZ7</f>
        <v>119723</v>
      </c>
      <c r="AG93" s="239">
        <f>BalSheet!BA7</f>
        <v>137242</v>
      </c>
      <c r="AH93" s="239">
        <f>BalSheet!BB7</f>
        <v>190299</v>
      </c>
      <c r="AI93" s="239">
        <f>BalSheet!BC7</f>
        <v>242048</v>
      </c>
      <c r="AJ93" s="239">
        <f>BalSheet!BD7</f>
        <v>237038</v>
      </c>
      <c r="AK93" s="239">
        <f>BalSheet!BE7</f>
        <v>258630</v>
      </c>
      <c r="AL93" s="239">
        <f>BalSheet!BF7</f>
        <v>232539</v>
      </c>
      <c r="AM93" s="239">
        <f>BalSheet!BG7</f>
        <v>299796</v>
      </c>
      <c r="AN93" s="239">
        <f>BalSheet!BH7</f>
        <v>282802</v>
      </c>
      <c r="AO93" s="239">
        <f>BalSheet!BI7</f>
        <v>264126</v>
      </c>
      <c r="AP93" s="239">
        <f>BalSheet!BJ7</f>
        <v>241335</v>
      </c>
    </row>
    <row r="94" spans="1:42" x14ac:dyDescent="0.2">
      <c r="B94" s="60" t="s">
        <v>71</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row>
    <row r="95" spans="1:42" s="1016" customFormat="1" x14ac:dyDescent="0.2">
      <c r="A95" s="1017"/>
      <c r="C95" s="1018">
        <f t="shared" ref="C95:T95" si="52">+C93-C92-C91</f>
        <v>0</v>
      </c>
      <c r="D95" s="1018">
        <f t="shared" si="52"/>
        <v>0</v>
      </c>
      <c r="E95" s="1018">
        <f t="shared" si="52"/>
        <v>-0.17478000000119209</v>
      </c>
      <c r="F95" s="1018">
        <f t="shared" si="52"/>
        <v>0</v>
      </c>
      <c r="G95" s="1018">
        <f t="shared" si="52"/>
        <v>2.7999997837468982E-4</v>
      </c>
      <c r="H95" s="1018">
        <f t="shared" si="52"/>
        <v>0</v>
      </c>
      <c r="I95" s="1018">
        <f t="shared" si="52"/>
        <v>0</v>
      </c>
      <c r="J95" s="1018">
        <f t="shared" si="52"/>
        <v>0</v>
      </c>
      <c r="K95" s="1018">
        <f t="shared" si="52"/>
        <v>0</v>
      </c>
      <c r="L95" s="1018">
        <f t="shared" si="52"/>
        <v>0</v>
      </c>
      <c r="M95" s="1018">
        <f t="shared" si="52"/>
        <v>0</v>
      </c>
      <c r="N95" s="1018">
        <f t="shared" si="52"/>
        <v>3.637978807091713E-12</v>
      </c>
      <c r="O95" s="1018">
        <f t="shared" si="52"/>
        <v>0</v>
      </c>
      <c r="P95" s="1018">
        <f t="shared" si="52"/>
        <v>0</v>
      </c>
      <c r="Q95" s="1018">
        <f t="shared" si="52"/>
        <v>0</v>
      </c>
      <c r="R95" s="1018">
        <f t="shared" si="52"/>
        <v>0</v>
      </c>
      <c r="S95" s="1018">
        <f t="shared" si="52"/>
        <v>0</v>
      </c>
      <c r="T95" s="1018">
        <f t="shared" si="52"/>
        <v>0</v>
      </c>
      <c r="U95" s="1037">
        <f>+U93-U92-U91</f>
        <v>0.43500999997922918</v>
      </c>
      <c r="V95" s="1037">
        <v>-0.25911999999516411</v>
      </c>
      <c r="W95" s="1037">
        <f t="shared" ref="W95:AF95" si="53">+W93-W92-W91</f>
        <v>-0.393389999968349</v>
      </c>
      <c r="X95" s="1037">
        <f t="shared" si="53"/>
        <v>0.48421999998390675</v>
      </c>
      <c r="Y95" s="1037">
        <f t="shared" si="53"/>
        <v>-1.4161199999580276</v>
      </c>
      <c r="Z95" s="1037">
        <f t="shared" si="53"/>
        <v>1.1610499999733292</v>
      </c>
      <c r="AA95" s="1037">
        <f t="shared" si="53"/>
        <v>-0.24534999993193196</v>
      </c>
      <c r="AB95" s="1037">
        <f t="shared" si="53"/>
        <v>3.9148800016846508E-2</v>
      </c>
      <c r="AC95" s="1037">
        <f t="shared" si="53"/>
        <v>3.980000000592554E-2</v>
      </c>
      <c r="AD95" s="1037">
        <f t="shared" si="53"/>
        <v>-0.48301999994146172</v>
      </c>
      <c r="AE95" s="1037">
        <f t="shared" si="53"/>
        <v>0.29089000003295951</v>
      </c>
      <c r="AF95" s="1037">
        <f t="shared" si="53"/>
        <v>-0.69905557495076209</v>
      </c>
      <c r="AG95" s="1037">
        <f t="shared" ref="AG95:AP95" si="54">+AG93-AG92-AG91</f>
        <v>-3.0684000157634728E-3</v>
      </c>
      <c r="AH95" s="1037">
        <f t="shared" si="54"/>
        <v>-0.36184719996526837</v>
      </c>
      <c r="AI95" s="1037">
        <f t="shared" si="54"/>
        <v>0.15100220020394772</v>
      </c>
      <c r="AJ95" s="1037">
        <f t="shared" si="54"/>
        <v>-0.31864000020141248</v>
      </c>
      <c r="AK95" s="1037">
        <f t="shared" si="54"/>
        <v>-0.70123000009334646</v>
      </c>
      <c r="AL95" s="1037">
        <f t="shared" si="54"/>
        <v>0.30848999981390079</v>
      </c>
      <c r="AM95" s="1037">
        <f t="shared" si="54"/>
        <v>-6.6839999766671099E-2</v>
      </c>
      <c r="AN95" s="1037">
        <f t="shared" si="54"/>
        <v>0.34231999993789941</v>
      </c>
      <c r="AO95" s="1037">
        <f t="shared" si="54"/>
        <v>-0.68750000011641532</v>
      </c>
      <c r="AP95" s="1037">
        <f t="shared" si="54"/>
        <v>3.7750300136394799E-2</v>
      </c>
    </row>
    <row r="96" spans="1:42" s="329" customFormat="1" x14ac:dyDescent="0.2">
      <c r="A96" s="939"/>
      <c r="C96" s="1137"/>
      <c r="D96" s="1138"/>
    </row>
    <row r="97" spans="1:42" s="1100" customFormat="1" x14ac:dyDescent="0.2">
      <c r="A97" s="554"/>
      <c r="C97" s="1101"/>
      <c r="D97" s="1102"/>
    </row>
    <row r="98" spans="1:42" s="1100" customFormat="1" x14ac:dyDescent="0.2">
      <c r="C98" s="1103"/>
      <c r="D98" s="1103"/>
      <c r="E98" s="1103"/>
      <c r="F98" s="554"/>
      <c r="G98" s="554"/>
      <c r="H98" s="554"/>
      <c r="I98" s="554"/>
      <c r="J98" s="554"/>
      <c r="K98" s="554"/>
      <c r="L98" s="554"/>
      <c r="M98" s="554"/>
      <c r="N98" s="554"/>
      <c r="O98" s="554" t="s">
        <v>968</v>
      </c>
      <c r="P98" s="554" t="s">
        <v>968</v>
      </c>
      <c r="Q98" s="554"/>
      <c r="R98" s="554"/>
      <c r="S98" s="554" t="s">
        <v>963</v>
      </c>
      <c r="T98" s="554" t="s">
        <v>963</v>
      </c>
      <c r="U98" s="554"/>
      <c r="V98" s="554"/>
      <c r="W98" s="554" t="s">
        <v>1009</v>
      </c>
      <c r="X98" s="554" t="s">
        <v>1009</v>
      </c>
      <c r="Y98" s="554"/>
      <c r="Z98" s="554"/>
      <c r="AA98" s="554" t="s">
        <v>1146</v>
      </c>
      <c r="AB98" s="554" t="s">
        <v>1146</v>
      </c>
      <c r="AC98" s="554"/>
      <c r="AD98" s="554"/>
      <c r="AE98" s="554" t="s">
        <v>1204</v>
      </c>
      <c r="AF98" s="554" t="s">
        <v>1204</v>
      </c>
      <c r="AG98" s="554"/>
      <c r="AH98" s="554"/>
      <c r="AI98" s="554" t="s">
        <v>1271</v>
      </c>
      <c r="AJ98" s="554" t="s">
        <v>1271</v>
      </c>
      <c r="AK98" s="554"/>
      <c r="AL98" s="554"/>
      <c r="AM98" s="554" t="s">
        <v>1327</v>
      </c>
      <c r="AN98" s="554" t="s">
        <v>1327</v>
      </c>
      <c r="AO98" s="554"/>
      <c r="AP98" s="554"/>
    </row>
    <row r="99" spans="1:42" s="1100" customFormat="1" x14ac:dyDescent="0.2">
      <c r="C99" s="554"/>
      <c r="D99" s="554"/>
      <c r="E99" s="554"/>
      <c r="F99" s="554"/>
      <c r="G99" s="554"/>
      <c r="H99" s="554"/>
      <c r="I99" s="554"/>
      <c r="J99" s="554"/>
      <c r="K99" s="554"/>
      <c r="L99" s="554"/>
      <c r="M99" s="554"/>
      <c r="N99" s="554"/>
      <c r="O99" s="554" t="s">
        <v>1007</v>
      </c>
      <c r="P99" s="554" t="s">
        <v>1007</v>
      </c>
      <c r="Q99" s="554" t="s">
        <v>1007</v>
      </c>
      <c r="R99" s="554"/>
      <c r="S99" s="554" t="s">
        <v>1006</v>
      </c>
      <c r="T99" s="554" t="s">
        <v>1006</v>
      </c>
      <c r="U99" s="554" t="s">
        <v>1006</v>
      </c>
      <c r="V99" s="554"/>
      <c r="W99" s="554" t="s">
        <v>1008</v>
      </c>
      <c r="X99" s="554" t="s">
        <v>1008</v>
      </c>
      <c r="Y99" s="554" t="s">
        <v>1008</v>
      </c>
      <c r="Z99" s="554"/>
      <c r="AA99" s="554" t="s">
        <v>1147</v>
      </c>
      <c r="AB99" s="554" t="s">
        <v>1147</v>
      </c>
      <c r="AC99" s="554" t="s">
        <v>1147</v>
      </c>
      <c r="AD99" s="554"/>
      <c r="AE99" s="554" t="s">
        <v>1195</v>
      </c>
      <c r="AF99" s="554" t="s">
        <v>1195</v>
      </c>
      <c r="AG99" s="554" t="s">
        <v>1195</v>
      </c>
      <c r="AH99" s="554"/>
      <c r="AI99" s="554" t="s">
        <v>1272</v>
      </c>
      <c r="AJ99" s="554" t="s">
        <v>1272</v>
      </c>
      <c r="AK99" s="554" t="s">
        <v>1272</v>
      </c>
      <c r="AL99" s="554"/>
      <c r="AM99" s="554" t="s">
        <v>1328</v>
      </c>
      <c r="AN99" s="554" t="s">
        <v>1328</v>
      </c>
      <c r="AO99" s="554" t="s">
        <v>1328</v>
      </c>
      <c r="AP99" s="554"/>
    </row>
    <row r="100" spans="1:42" s="1100" customFormat="1" x14ac:dyDescent="0.2">
      <c r="C100" s="856">
        <f>D100</f>
        <v>2015</v>
      </c>
      <c r="D100" s="856">
        <f>E100</f>
        <v>2015</v>
      </c>
      <c r="E100" s="856">
        <f>F100</f>
        <v>2015</v>
      </c>
      <c r="F100" s="856">
        <f>G100-1</f>
        <v>2015</v>
      </c>
      <c r="G100" s="856">
        <f>H100</f>
        <v>2016</v>
      </c>
      <c r="H100" s="856">
        <f>I100</f>
        <v>2016</v>
      </c>
      <c r="I100" s="856">
        <f>J100</f>
        <v>2016</v>
      </c>
      <c r="J100" s="856">
        <f>K100-1</f>
        <v>2016</v>
      </c>
      <c r="K100" s="856">
        <f>L100</f>
        <v>2017</v>
      </c>
      <c r="L100" s="856">
        <f>M100</f>
        <v>2017</v>
      </c>
      <c r="M100" s="856">
        <f>N100</f>
        <v>2017</v>
      </c>
      <c r="N100" s="856">
        <f>O100-1</f>
        <v>2017</v>
      </c>
      <c r="O100" s="856">
        <f>P100</f>
        <v>2018</v>
      </c>
      <c r="P100" s="856">
        <f>Q100</f>
        <v>2018</v>
      </c>
      <c r="Q100" s="856">
        <f>R100</f>
        <v>2018</v>
      </c>
      <c r="R100" s="856">
        <f>S100-1</f>
        <v>2018</v>
      </c>
      <c r="S100" s="1104">
        <v>2019</v>
      </c>
      <c r="T100" s="1104">
        <v>2019</v>
      </c>
      <c r="U100" s="1104">
        <v>2019</v>
      </c>
      <c r="V100" s="1104">
        <v>2019</v>
      </c>
      <c r="W100" s="1104">
        <v>2020</v>
      </c>
      <c r="X100" s="1104">
        <v>2020</v>
      </c>
      <c r="Y100" s="1104">
        <v>2020</v>
      </c>
      <c r="Z100" s="1104">
        <v>2020</v>
      </c>
      <c r="AA100" s="1104">
        <v>2021</v>
      </c>
      <c r="AB100" s="1104">
        <v>2021</v>
      </c>
      <c r="AC100" s="1104">
        <v>2021</v>
      </c>
      <c r="AD100" s="1104">
        <v>2021</v>
      </c>
      <c r="AE100" s="1104">
        <v>2022</v>
      </c>
      <c r="AF100" s="1104">
        <v>2022</v>
      </c>
      <c r="AG100" s="1104">
        <v>2022</v>
      </c>
      <c r="AH100" s="1104">
        <v>2022</v>
      </c>
      <c r="AI100" s="1104">
        <v>2023</v>
      </c>
      <c r="AJ100" s="1104">
        <v>2023</v>
      </c>
      <c r="AK100" s="1104">
        <v>2023</v>
      </c>
      <c r="AL100" s="1104">
        <v>2023</v>
      </c>
      <c r="AM100" s="1104">
        <v>2024</v>
      </c>
      <c r="AN100" s="1104">
        <v>2024</v>
      </c>
      <c r="AO100" s="1104">
        <v>2024</v>
      </c>
      <c r="AP100" s="1104">
        <v>2024</v>
      </c>
    </row>
    <row r="101" spans="1:42" s="551" customFormat="1" x14ac:dyDescent="0.2">
      <c r="AG101" s="40"/>
      <c r="AH101" s="40"/>
      <c r="AI101" s="40"/>
      <c r="AJ101" s="40"/>
      <c r="AK101" s="40"/>
      <c r="AL101" s="40"/>
      <c r="AM101" s="40"/>
      <c r="AN101" s="40"/>
      <c r="AO101" s="40"/>
      <c r="AP101" s="40"/>
    </row>
    <row r="102" spans="1:42" s="551" customFormat="1" x14ac:dyDescent="0.2">
      <c r="C102" s="1100"/>
      <c r="D102" s="1100"/>
      <c r="E102" s="1100"/>
      <c r="F102" s="1100"/>
      <c r="G102" s="1100"/>
      <c r="H102" s="1100"/>
      <c r="I102" s="1100"/>
      <c r="J102" s="1100"/>
      <c r="K102" s="1100"/>
      <c r="L102" s="1100"/>
      <c r="M102" s="1100"/>
      <c r="N102" s="1100"/>
      <c r="O102" s="1100"/>
      <c r="P102" s="1100"/>
      <c r="Q102" s="1100"/>
      <c r="R102" s="1100"/>
      <c r="S102" s="1100"/>
      <c r="T102" s="1100"/>
      <c r="U102" s="1100"/>
      <c r="V102" s="1100"/>
      <c r="W102" s="1100"/>
      <c r="X102" s="1100"/>
      <c r="Y102" s="1100"/>
      <c r="Z102" s="1100"/>
      <c r="AA102" s="1100"/>
      <c r="AB102" s="1100"/>
      <c r="AC102" s="1100"/>
      <c r="AD102" s="1100"/>
      <c r="AE102" s="1100"/>
      <c r="AF102" s="1100"/>
      <c r="AG102" s="1226"/>
      <c r="AH102" s="1226"/>
      <c r="AI102" s="1226"/>
      <c r="AJ102" s="1226"/>
      <c r="AK102" s="1226"/>
      <c r="AL102" s="1226"/>
      <c r="AM102" s="1226"/>
      <c r="AN102" s="1226"/>
      <c r="AO102" s="1226"/>
      <c r="AP102" s="1226"/>
    </row>
    <row r="103" spans="1:42" s="551" customFormat="1" x14ac:dyDescent="0.2">
      <c r="AG103" s="40"/>
      <c r="AH103" s="40"/>
      <c r="AI103" s="40"/>
      <c r="AJ103" s="40"/>
      <c r="AK103" s="40"/>
      <c r="AL103" s="40"/>
      <c r="AM103" s="40"/>
      <c r="AN103" s="40"/>
      <c r="AO103" s="40"/>
      <c r="AP103" s="40"/>
    </row>
    <row r="104" spans="1:42" s="1153" customFormat="1" x14ac:dyDescent="0.2">
      <c r="A104" s="551"/>
      <c r="B104" s="1153">
        <v>1</v>
      </c>
      <c r="C104" s="1153">
        <v>2</v>
      </c>
      <c r="D104" s="1153">
        <v>3</v>
      </c>
      <c r="E104" s="1153">
        <v>4</v>
      </c>
      <c r="F104" s="1153">
        <v>5</v>
      </c>
      <c r="G104" s="1153">
        <v>6</v>
      </c>
      <c r="H104" s="1153">
        <v>7</v>
      </c>
      <c r="I104" s="1153">
        <v>8</v>
      </c>
      <c r="J104" s="1153">
        <v>9</v>
      </c>
      <c r="K104" s="1153">
        <v>10</v>
      </c>
      <c r="L104" s="1153">
        <v>11</v>
      </c>
      <c r="M104" s="1153">
        <v>12</v>
      </c>
      <c r="N104" s="1153">
        <v>13</v>
      </c>
      <c r="O104" s="1153">
        <v>14</v>
      </c>
      <c r="P104" s="1153">
        <v>15</v>
      </c>
      <c r="Q104" s="1153">
        <v>16</v>
      </c>
      <c r="R104" s="1153">
        <v>17</v>
      </c>
      <c r="S104" s="1153">
        <v>18</v>
      </c>
      <c r="T104" s="1153">
        <v>19</v>
      </c>
      <c r="U104" s="1153">
        <v>20</v>
      </c>
      <c r="V104" s="1153">
        <v>21</v>
      </c>
      <c r="W104" s="1153">
        <v>22</v>
      </c>
      <c r="X104" s="1153">
        <v>23</v>
      </c>
      <c r="Y104" s="1153">
        <v>24</v>
      </c>
      <c r="Z104" s="1153">
        <v>25</v>
      </c>
      <c r="AA104" s="1153">
        <v>26</v>
      </c>
      <c r="AB104" s="1153">
        <v>27</v>
      </c>
      <c r="AC104" s="1153">
        <v>28</v>
      </c>
      <c r="AD104" s="1153">
        <v>29</v>
      </c>
      <c r="AE104" s="1153">
        <v>30</v>
      </c>
      <c r="AF104" s="1153">
        <v>31</v>
      </c>
      <c r="AG104" s="1227"/>
      <c r="AH104" s="1227"/>
      <c r="AI104" s="1227"/>
      <c r="AJ104" s="1227"/>
      <c r="AK104" s="1227"/>
      <c r="AL104" s="1227"/>
      <c r="AM104" s="1227"/>
      <c r="AN104" s="1227"/>
      <c r="AO104" s="1227"/>
      <c r="AP104" s="1227"/>
    </row>
    <row r="105" spans="1:42" s="551" customFormat="1" x14ac:dyDescent="0.2">
      <c r="AG105" s="40"/>
      <c r="AH105" s="40"/>
      <c r="AI105" s="40"/>
      <c r="AJ105" s="40"/>
      <c r="AK105" s="40"/>
      <c r="AL105" s="40"/>
      <c r="AM105" s="40"/>
      <c r="AN105" s="40"/>
      <c r="AO105" s="40"/>
      <c r="AP105" s="40"/>
    </row>
    <row r="106" spans="1:42" s="551" customFormat="1" x14ac:dyDescent="0.2">
      <c r="AG106" s="40"/>
      <c r="AH106" s="40"/>
      <c r="AI106" s="40"/>
      <c r="AJ106" s="40"/>
      <c r="AK106" s="40"/>
      <c r="AL106" s="40"/>
      <c r="AM106" s="40"/>
      <c r="AN106" s="40"/>
      <c r="AO106" s="40"/>
      <c r="AP106" s="40"/>
    </row>
    <row r="107" spans="1:42" s="551" customFormat="1" x14ac:dyDescent="0.2">
      <c r="AG107" s="40"/>
      <c r="AH107" s="40"/>
      <c r="AI107" s="40"/>
      <c r="AJ107" s="40"/>
      <c r="AK107" s="40"/>
      <c r="AL107" s="40"/>
      <c r="AM107" s="40"/>
      <c r="AN107" s="40"/>
      <c r="AO107" s="40"/>
      <c r="AP107" s="40"/>
    </row>
    <row r="108" spans="1:42" s="551" customFormat="1" x14ac:dyDescent="0.2">
      <c r="A108" s="268"/>
      <c r="C108" s="553"/>
      <c r="D108" s="552"/>
      <c r="AG108" s="40"/>
      <c r="AH108" s="40"/>
      <c r="AI108" s="40"/>
      <c r="AJ108" s="40"/>
      <c r="AK108" s="40"/>
      <c r="AL108" s="40"/>
      <c r="AM108" s="40"/>
      <c r="AN108" s="40"/>
      <c r="AO108" s="40"/>
      <c r="AP108" s="40"/>
    </row>
    <row r="109" spans="1:42" s="551" customFormat="1" x14ac:dyDescent="0.2">
      <c r="A109" s="268"/>
      <c r="C109" s="553"/>
      <c r="D109" s="552"/>
      <c r="AG109" s="40"/>
      <c r="AH109" s="40"/>
      <c r="AI109" s="40"/>
      <c r="AJ109" s="40"/>
      <c r="AK109" s="40"/>
      <c r="AL109" s="40"/>
      <c r="AM109" s="40"/>
      <c r="AN109" s="40"/>
      <c r="AO109" s="40"/>
      <c r="AP109" s="40"/>
    </row>
    <row r="110" spans="1:42" s="551" customFormat="1" x14ac:dyDescent="0.2">
      <c r="A110" s="268"/>
      <c r="C110" s="553"/>
      <c r="D110" s="552"/>
      <c r="AG110" s="40"/>
      <c r="AH110" s="40"/>
      <c r="AI110" s="40"/>
      <c r="AJ110" s="40"/>
      <c r="AK110" s="40"/>
      <c r="AL110" s="40"/>
      <c r="AM110" s="40"/>
      <c r="AN110" s="40"/>
      <c r="AO110" s="40"/>
      <c r="AP110" s="40"/>
    </row>
    <row r="111" spans="1:42" s="551" customFormat="1" x14ac:dyDescent="0.2">
      <c r="A111" s="268"/>
      <c r="C111" s="553"/>
      <c r="D111" s="552"/>
      <c r="AG111" s="40"/>
      <c r="AH111" s="40"/>
      <c r="AI111" s="40"/>
      <c r="AJ111" s="40"/>
      <c r="AK111" s="40"/>
      <c r="AL111" s="40"/>
      <c r="AM111" s="40"/>
      <c r="AN111" s="40"/>
      <c r="AO111" s="40"/>
      <c r="AP111" s="40"/>
    </row>
    <row r="112" spans="1:42" s="551" customFormat="1" x14ac:dyDescent="0.2">
      <c r="A112" s="268"/>
      <c r="C112" s="553"/>
      <c r="D112" s="552"/>
      <c r="AG112" s="40"/>
      <c r="AH112" s="40"/>
      <c r="AI112" s="40"/>
      <c r="AJ112" s="40"/>
      <c r="AK112" s="40"/>
      <c r="AL112" s="40"/>
      <c r="AM112" s="40"/>
      <c r="AN112" s="40"/>
      <c r="AO112" s="40"/>
      <c r="AP112" s="40"/>
    </row>
    <row r="113" spans="1:42" s="551" customFormat="1" x14ac:dyDescent="0.2">
      <c r="A113" s="268"/>
      <c r="C113" s="553"/>
      <c r="D113" s="552"/>
      <c r="AG113" s="40"/>
      <c r="AH113" s="40"/>
      <c r="AI113" s="40"/>
      <c r="AJ113" s="40"/>
      <c r="AK113" s="40"/>
      <c r="AL113" s="40"/>
      <c r="AM113" s="40"/>
      <c r="AN113" s="40"/>
      <c r="AO113" s="40"/>
      <c r="AP113" s="40"/>
    </row>
    <row r="114" spans="1:42" s="551" customFormat="1" x14ac:dyDescent="0.2">
      <c r="A114" s="268"/>
      <c r="C114" s="553"/>
      <c r="D114" s="552"/>
    </row>
    <row r="115" spans="1:42" s="551" customFormat="1" x14ac:dyDescent="0.2">
      <c r="A115" s="268"/>
      <c r="C115" s="553"/>
      <c r="D115" s="552"/>
    </row>
    <row r="116" spans="1:42" s="551" customFormat="1" x14ac:dyDescent="0.2">
      <c r="A116" s="268"/>
      <c r="C116" s="553"/>
      <c r="D116" s="552"/>
    </row>
    <row r="117" spans="1:42" s="551" customFormat="1" x14ac:dyDescent="0.2">
      <c r="A117" s="268"/>
      <c r="C117" s="553"/>
      <c r="D117" s="552"/>
    </row>
    <row r="118" spans="1:42" s="551" customFormat="1" x14ac:dyDescent="0.2">
      <c r="A118" s="268"/>
      <c r="C118" s="553"/>
      <c r="D118" s="552"/>
    </row>
    <row r="119" spans="1:42" s="551" customFormat="1" x14ac:dyDescent="0.2">
      <c r="A119" s="268"/>
      <c r="C119" s="553"/>
      <c r="D119" s="552"/>
    </row>
    <row r="120" spans="1:42" s="551" customFormat="1" x14ac:dyDescent="0.2">
      <c r="A120" s="268"/>
      <c r="C120" s="553"/>
      <c r="D120" s="552"/>
    </row>
    <row r="121" spans="1:42" s="551" customFormat="1" x14ac:dyDescent="0.2">
      <c r="A121" s="268"/>
      <c r="C121" s="553"/>
      <c r="D121" s="55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3">
    <tabColor theme="9"/>
    <pageSetUpPr autoPageBreaks="0"/>
  </sheetPr>
  <dimension ref="A1:AS43"/>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S5" sqref="AS5"/>
    </sheetView>
  </sheetViews>
  <sheetFormatPr defaultColWidth="9.28515625" defaultRowHeight="12.75" outlineLevelRow="1" x14ac:dyDescent="0.2"/>
  <cols>
    <col min="1" max="1" width="1.42578125" style="2" customWidth="1"/>
    <col min="2" max="2" width="53.28515625" style="194" bestFit="1" customWidth="1"/>
    <col min="3" max="5" width="9.7109375" style="199" customWidth="1"/>
    <col min="6" max="25" width="9.7109375" style="195" customWidth="1"/>
    <col min="26" max="26" width="8.7109375"/>
    <col min="27" max="45" width="9.7109375" style="195" customWidth="1"/>
    <col min="46" max="16384" width="9.28515625" style="195"/>
  </cols>
  <sheetData>
    <row r="1" spans="1:45" s="551" customFormat="1" x14ac:dyDescent="0.2">
      <c r="A1" s="268"/>
      <c r="C1" s="552"/>
      <c r="D1" s="552"/>
      <c r="E1" s="552"/>
      <c r="F1" s="553"/>
      <c r="G1" s="553"/>
      <c r="H1" s="553"/>
      <c r="I1" s="553"/>
      <c r="J1" s="553"/>
      <c r="K1" s="553"/>
      <c r="L1" s="553"/>
      <c r="M1" s="553"/>
      <c r="N1" s="553"/>
      <c r="O1" s="553"/>
      <c r="P1" s="553"/>
      <c r="Q1" s="553"/>
      <c r="R1" s="553"/>
      <c r="S1" s="553"/>
      <c r="T1" s="553"/>
      <c r="U1" s="553"/>
      <c r="V1" s="553"/>
      <c r="W1" s="838"/>
      <c r="X1" s="553"/>
      <c r="Y1" s="838"/>
      <c r="Z1" s="553"/>
      <c r="AA1" s="838"/>
      <c r="AB1" s="838"/>
      <c r="AC1" s="838"/>
      <c r="AD1" s="838"/>
      <c r="AE1" s="838"/>
      <c r="AF1" s="838"/>
      <c r="AG1" s="838"/>
      <c r="AH1" s="838"/>
      <c r="AI1" s="838"/>
      <c r="AJ1" s="838"/>
      <c r="AK1" s="838"/>
      <c r="AL1" s="838"/>
      <c r="AM1" s="838"/>
      <c r="AN1" s="838"/>
      <c r="AO1" s="838"/>
      <c r="AP1" s="838"/>
      <c r="AQ1" s="838"/>
      <c r="AR1" s="838"/>
      <c r="AS1" s="838"/>
    </row>
    <row r="2" spans="1:45" s="551" customFormat="1" x14ac:dyDescent="0.2">
      <c r="A2" s="268"/>
      <c r="C2" s="552"/>
      <c r="D2" s="552"/>
      <c r="E2" s="552"/>
      <c r="F2" s="552"/>
      <c r="G2" s="552"/>
      <c r="H2" s="552"/>
      <c r="I2" s="552"/>
      <c r="J2" s="552"/>
      <c r="K2" s="552"/>
      <c r="L2" s="552"/>
      <c r="M2" s="552"/>
      <c r="N2" s="552"/>
      <c r="O2" s="552"/>
      <c r="P2" s="552"/>
      <c r="Q2" s="552"/>
      <c r="R2" s="552"/>
      <c r="S2" s="552"/>
      <c r="T2" s="552"/>
      <c r="U2" s="552"/>
      <c r="V2" s="552"/>
      <c r="W2" s="839"/>
      <c r="X2" s="552"/>
      <c r="Y2" s="839"/>
      <c r="Z2" s="552"/>
      <c r="AA2" s="839"/>
      <c r="AB2" s="839"/>
      <c r="AC2" s="839"/>
      <c r="AD2" s="839"/>
      <c r="AE2" s="839"/>
      <c r="AF2" s="839"/>
      <c r="AG2" s="839"/>
      <c r="AH2" s="839"/>
      <c r="AI2" s="839"/>
      <c r="AJ2" s="839"/>
      <c r="AK2" s="839"/>
      <c r="AL2" s="839"/>
      <c r="AM2" s="839"/>
      <c r="AN2" s="839"/>
      <c r="AO2" s="839"/>
      <c r="AP2" s="839"/>
      <c r="AQ2" s="839"/>
      <c r="AR2" s="839"/>
      <c r="AS2" s="839"/>
    </row>
    <row r="3" spans="1:45" customFormat="1" x14ac:dyDescent="0.2">
      <c r="A3" s="2"/>
      <c r="B3" s="40"/>
      <c r="C3" s="132"/>
      <c r="D3" s="132"/>
      <c r="E3" s="132"/>
      <c r="W3" s="28"/>
      <c r="X3" s="28"/>
      <c r="Y3" s="28"/>
      <c r="AA3" s="28"/>
      <c r="AB3" s="557"/>
      <c r="AC3" s="557"/>
      <c r="AD3" s="557"/>
      <c r="AE3" s="557"/>
      <c r="AF3" s="557"/>
      <c r="AG3" s="557"/>
      <c r="AH3" s="557"/>
      <c r="AI3" s="557"/>
      <c r="AJ3" s="557"/>
      <c r="AK3" s="557"/>
      <c r="AL3" s="557"/>
      <c r="AM3" s="557"/>
      <c r="AN3" s="557"/>
      <c r="AO3" s="1214"/>
      <c r="AP3" s="1214"/>
      <c r="AQ3" s="1214"/>
      <c r="AR3" s="1214"/>
      <c r="AS3" s="1214"/>
    </row>
    <row r="4" spans="1:45" customFormat="1" x14ac:dyDescent="0.2">
      <c r="A4" s="2"/>
      <c r="B4" s="9" t="s">
        <v>214</v>
      </c>
      <c r="C4" s="132"/>
      <c r="D4" s="132"/>
      <c r="E4" s="132"/>
      <c r="W4" s="28"/>
      <c r="X4" s="28"/>
      <c r="Y4" s="28"/>
      <c r="AA4" s="28"/>
      <c r="AB4" s="28"/>
      <c r="AC4" s="28"/>
      <c r="AD4" s="28"/>
      <c r="AE4" s="28"/>
      <c r="AF4" s="28"/>
      <c r="AG4" s="28"/>
      <c r="AH4" s="28"/>
      <c r="AI4" s="28"/>
      <c r="AJ4" s="28"/>
      <c r="AK4" s="28"/>
      <c r="AL4" s="28"/>
      <c r="AM4" s="28"/>
      <c r="AN4" s="28"/>
      <c r="AO4" s="28"/>
      <c r="AP4" s="28"/>
      <c r="AQ4" s="28"/>
      <c r="AR4" s="28"/>
      <c r="AS4" s="28"/>
    </row>
    <row r="5" spans="1:45" x14ac:dyDescent="0.2">
      <c r="B5" s="113" t="s">
        <v>391</v>
      </c>
      <c r="C5" s="198" t="s">
        <v>622</v>
      </c>
      <c r="D5" s="198" t="s">
        <v>1437</v>
      </c>
      <c r="E5" s="198" t="s">
        <v>474</v>
      </c>
      <c r="F5" s="198" t="s">
        <v>475</v>
      </c>
      <c r="G5" s="198" t="s">
        <v>476</v>
      </c>
      <c r="H5" s="198" t="s">
        <v>477</v>
      </c>
      <c r="I5" s="198" t="s">
        <v>478</v>
      </c>
      <c r="J5" s="198" t="s">
        <v>479</v>
      </c>
      <c r="K5" s="198" t="s">
        <v>371</v>
      </c>
      <c r="L5" s="198" t="s">
        <v>372</v>
      </c>
      <c r="M5" s="198" t="s">
        <v>373</v>
      </c>
      <c r="N5" s="198" t="s">
        <v>374</v>
      </c>
      <c r="O5" s="198" t="s">
        <v>375</v>
      </c>
      <c r="P5" s="198" t="s">
        <v>376</v>
      </c>
      <c r="Q5" s="198" t="s">
        <v>694</v>
      </c>
      <c r="R5" s="198" t="s">
        <v>758</v>
      </c>
      <c r="S5" s="198" t="s">
        <v>771</v>
      </c>
      <c r="T5" s="198" t="s">
        <v>788</v>
      </c>
      <c r="U5" s="198" t="s">
        <v>844</v>
      </c>
      <c r="V5" s="198" t="s">
        <v>862</v>
      </c>
      <c r="W5" s="198" t="s">
        <v>922</v>
      </c>
      <c r="X5" s="198" t="s">
        <v>923</v>
      </c>
      <c r="Y5" s="198" t="s">
        <v>924</v>
      </c>
      <c r="Z5" s="198" t="s">
        <v>995</v>
      </c>
      <c r="AA5" s="198" t="s">
        <v>1027</v>
      </c>
      <c r="AB5" s="198" t="s">
        <v>1028</v>
      </c>
      <c r="AC5" s="198" t="s">
        <v>993</v>
      </c>
      <c r="AD5" s="198" t="s">
        <v>1124</v>
      </c>
      <c r="AE5" s="198" t="s">
        <v>1125</v>
      </c>
      <c r="AF5" s="198" t="s">
        <v>1126</v>
      </c>
      <c r="AG5" s="198" t="s">
        <v>1127</v>
      </c>
      <c r="AH5" s="198" t="s">
        <v>1181</v>
      </c>
      <c r="AI5" s="198" t="s">
        <v>1189</v>
      </c>
      <c r="AJ5" s="198" t="s">
        <v>1191</v>
      </c>
      <c r="AK5" s="198" t="s">
        <v>1193</v>
      </c>
      <c r="AL5" s="198" t="s">
        <v>1232</v>
      </c>
      <c r="AM5" s="198" t="s">
        <v>1245</v>
      </c>
      <c r="AN5" s="198" t="s">
        <v>1247</v>
      </c>
      <c r="AO5" s="198" t="s">
        <v>1249</v>
      </c>
      <c r="AP5" s="198" t="s">
        <v>1306</v>
      </c>
      <c r="AQ5" s="198" t="s">
        <v>1316</v>
      </c>
      <c r="AR5" s="198" t="s">
        <v>1317</v>
      </c>
      <c r="AS5" s="198" t="s">
        <v>1318</v>
      </c>
    </row>
    <row r="6" spans="1:45" x14ac:dyDescent="0.2">
      <c r="B6" s="136" t="s">
        <v>324</v>
      </c>
      <c r="C6" s="137">
        <v>2095548</v>
      </c>
      <c r="D6" s="137">
        <v>1872843</v>
      </c>
      <c r="E6" s="242">
        <v>466875</v>
      </c>
      <c r="F6" s="137">
        <v>338043</v>
      </c>
      <c r="G6" s="137">
        <v>327680</v>
      </c>
      <c r="H6" s="137">
        <v>327567</v>
      </c>
      <c r="I6" s="137">
        <v>338144</v>
      </c>
      <c r="J6" s="137">
        <v>237670</v>
      </c>
      <c r="K6" s="137">
        <v>266918</v>
      </c>
      <c r="L6" s="137">
        <v>277504</v>
      </c>
      <c r="M6" s="137">
        <v>297086</v>
      </c>
      <c r="N6" s="137">
        <v>249776</v>
      </c>
      <c r="O6" s="137">
        <v>297588</v>
      </c>
      <c r="P6" s="137">
        <v>333803</v>
      </c>
      <c r="Q6" s="137">
        <v>373138</v>
      </c>
      <c r="R6" s="137">
        <v>305470</v>
      </c>
      <c r="S6" s="137">
        <v>341672</v>
      </c>
      <c r="T6" s="137">
        <v>392686</v>
      </c>
      <c r="U6" s="137">
        <v>416553</v>
      </c>
      <c r="V6" s="137">
        <v>348722</v>
      </c>
      <c r="W6" s="137">
        <v>386001</v>
      </c>
      <c r="X6" s="137">
        <v>395540</v>
      </c>
      <c r="Y6" s="137">
        <v>440361</v>
      </c>
      <c r="Z6" s="137">
        <v>328198</v>
      </c>
      <c r="AA6" s="137">
        <v>153320</v>
      </c>
      <c r="AB6" s="137">
        <v>339209</v>
      </c>
      <c r="AC6" s="137">
        <v>366667</v>
      </c>
      <c r="AD6" s="137">
        <v>275047</v>
      </c>
      <c r="AE6" s="137">
        <v>276259</v>
      </c>
      <c r="AF6" s="137">
        <v>272524</v>
      </c>
      <c r="AG6" s="137">
        <v>358247</v>
      </c>
      <c r="AH6" s="137">
        <v>282638</v>
      </c>
      <c r="AI6" s="137">
        <v>357438</v>
      </c>
      <c r="AJ6" s="137">
        <v>488039</v>
      </c>
      <c r="AK6" s="137">
        <v>481054</v>
      </c>
      <c r="AL6" s="137">
        <v>394455</v>
      </c>
      <c r="AM6" s="137">
        <v>431899</v>
      </c>
      <c r="AN6" s="137">
        <v>503889</v>
      </c>
      <c r="AO6" s="137">
        <v>536155</v>
      </c>
      <c r="AP6" s="137">
        <v>460692</v>
      </c>
      <c r="AQ6" s="137">
        <v>558144</v>
      </c>
      <c r="AR6" s="137">
        <v>712963</v>
      </c>
      <c r="AS6" s="137">
        <v>736905</v>
      </c>
    </row>
    <row r="7" spans="1:45" x14ac:dyDescent="0.2">
      <c r="B7" s="136" t="s">
        <v>325</v>
      </c>
      <c r="C7" s="137">
        <v>39945</v>
      </c>
      <c r="D7" s="137">
        <v>155743</v>
      </c>
      <c r="E7" s="242">
        <v>18901</v>
      </c>
      <c r="F7" s="137">
        <v>3294</v>
      </c>
      <c r="G7" s="137">
        <v>5475</v>
      </c>
      <c r="H7" s="137">
        <v>3618</v>
      </c>
      <c r="I7" s="137">
        <v>2298</v>
      </c>
      <c r="J7" s="137">
        <v>1736</v>
      </c>
      <c r="K7" s="137">
        <v>2927</v>
      </c>
      <c r="L7" s="137">
        <v>387</v>
      </c>
      <c r="M7" s="137">
        <v>716</v>
      </c>
      <c r="N7" s="137">
        <v>604</v>
      </c>
      <c r="O7" s="137">
        <v>1169</v>
      </c>
      <c r="P7" s="137">
        <v>1510</v>
      </c>
      <c r="Q7" s="137">
        <v>1692</v>
      </c>
      <c r="R7" s="137">
        <v>7580</v>
      </c>
      <c r="S7" s="137">
        <v>670</v>
      </c>
      <c r="T7" s="137">
        <v>-1520</v>
      </c>
      <c r="U7" s="137">
        <v>2168</v>
      </c>
      <c r="V7" s="137">
        <v>1412</v>
      </c>
      <c r="W7" s="137">
        <v>695</v>
      </c>
      <c r="X7" s="137">
        <v>57349</v>
      </c>
      <c r="Y7" s="137">
        <v>1340</v>
      </c>
      <c r="Z7" s="137">
        <v>556</v>
      </c>
      <c r="AA7" s="137">
        <v>95</v>
      </c>
      <c r="AB7" s="137">
        <v>202</v>
      </c>
      <c r="AC7" s="137">
        <v>49</v>
      </c>
      <c r="AD7" s="137">
        <v>6857</v>
      </c>
      <c r="AE7" s="137">
        <v>4511</v>
      </c>
      <c r="AF7" s="137">
        <v>515</v>
      </c>
      <c r="AG7" s="137">
        <v>-447</v>
      </c>
      <c r="AH7" s="137">
        <v>213</v>
      </c>
      <c r="AI7" s="137">
        <v>240</v>
      </c>
      <c r="AJ7" s="137">
        <v>1507</v>
      </c>
      <c r="AK7" s="137">
        <v>9407</v>
      </c>
      <c r="AL7" s="137">
        <v>1708</v>
      </c>
      <c r="AM7" s="137">
        <v>-57</v>
      </c>
      <c r="AN7" s="137">
        <v>654</v>
      </c>
      <c r="AO7" s="137">
        <v>-698</v>
      </c>
      <c r="AP7" s="137">
        <v>506</v>
      </c>
      <c r="AQ7" s="137">
        <v>747</v>
      </c>
      <c r="AR7" s="137">
        <v>-37</v>
      </c>
      <c r="AS7" s="137">
        <v>2605</v>
      </c>
    </row>
    <row r="8" spans="1:45" ht="25.5" x14ac:dyDescent="0.2">
      <c r="B8" s="136" t="s">
        <v>982</v>
      </c>
      <c r="C8" s="137">
        <v>1896</v>
      </c>
      <c r="D8" s="137">
        <v>-13047</v>
      </c>
      <c r="E8" s="242">
        <v>-38</v>
      </c>
      <c r="F8" s="137">
        <v>460</v>
      </c>
      <c r="G8" s="137">
        <v>274</v>
      </c>
      <c r="H8" s="137">
        <v>-1122</v>
      </c>
      <c r="I8" s="137">
        <v>-812</v>
      </c>
      <c r="J8" s="137">
        <v>-628</v>
      </c>
      <c r="K8" s="137">
        <v>92</v>
      </c>
      <c r="L8" s="137">
        <v>424</v>
      </c>
      <c r="M8" s="137">
        <v>-755</v>
      </c>
      <c r="N8" s="137">
        <v>-169</v>
      </c>
      <c r="O8" s="137">
        <v>20</v>
      </c>
      <c r="P8" s="137">
        <v>81</v>
      </c>
      <c r="Q8" s="137">
        <v>-25</v>
      </c>
      <c r="R8" s="137">
        <v>-63</v>
      </c>
      <c r="S8" s="137">
        <v>1001</v>
      </c>
      <c r="T8" s="137">
        <v>-283</v>
      </c>
      <c r="U8" s="137">
        <v>-1751</v>
      </c>
      <c r="V8" s="137">
        <v>-76</v>
      </c>
      <c r="W8" s="137">
        <v>1492</v>
      </c>
      <c r="X8" s="137">
        <v>-132</v>
      </c>
      <c r="Y8" s="137">
        <v>825</v>
      </c>
      <c r="Z8" s="137">
        <v>80</v>
      </c>
      <c r="AA8" s="137">
        <v>-69</v>
      </c>
      <c r="AB8" s="137">
        <v>-111</v>
      </c>
      <c r="AC8" s="137">
        <v>34</v>
      </c>
      <c r="AD8" s="137">
        <v>-147</v>
      </c>
      <c r="AE8" s="137">
        <v>-38</v>
      </c>
      <c r="AF8" s="137">
        <v>-295</v>
      </c>
      <c r="AG8" s="137">
        <v>-659</v>
      </c>
      <c r="AH8" s="137">
        <v>-116</v>
      </c>
      <c r="AI8" s="137">
        <v>-27</v>
      </c>
      <c r="AJ8" s="137">
        <v>55</v>
      </c>
      <c r="AK8" s="137">
        <v>-319</v>
      </c>
      <c r="AL8" s="137">
        <v>-385</v>
      </c>
      <c r="AM8" s="137">
        <v>-464</v>
      </c>
      <c r="AN8" s="137">
        <v>-249</v>
      </c>
      <c r="AO8" s="137">
        <v>-36</v>
      </c>
      <c r="AP8" s="137">
        <v>-19</v>
      </c>
      <c r="AQ8" s="137">
        <v>-195</v>
      </c>
      <c r="AR8" s="137">
        <v>-825</v>
      </c>
      <c r="AS8" s="137">
        <v>-2122</v>
      </c>
    </row>
    <row r="9" spans="1:45" x14ac:dyDescent="0.2">
      <c r="B9" s="196" t="s">
        <v>326</v>
      </c>
      <c r="C9" s="197">
        <f>+SUM(C6:C8)</f>
        <v>2137389</v>
      </c>
      <c r="D9" s="197">
        <f t="shared" ref="D9:I9" si="0">+SUM(D6:D8)</f>
        <v>2015539</v>
      </c>
      <c r="E9" s="243">
        <f t="shared" si="0"/>
        <v>485738</v>
      </c>
      <c r="F9" s="197">
        <f t="shared" si="0"/>
        <v>341797</v>
      </c>
      <c r="G9" s="197">
        <f t="shared" si="0"/>
        <v>333429</v>
      </c>
      <c r="H9" s="197">
        <f t="shared" si="0"/>
        <v>330063</v>
      </c>
      <c r="I9" s="197">
        <f t="shared" si="0"/>
        <v>339630</v>
      </c>
      <c r="J9" s="197">
        <f t="shared" ref="J9:Z9" si="1">+SUM(J6:J8)</f>
        <v>238778</v>
      </c>
      <c r="K9" s="197">
        <f t="shared" si="1"/>
        <v>269937</v>
      </c>
      <c r="L9" s="197">
        <f t="shared" si="1"/>
        <v>278315</v>
      </c>
      <c r="M9" s="197">
        <f t="shared" si="1"/>
        <v>297047</v>
      </c>
      <c r="N9" s="197">
        <f t="shared" si="1"/>
        <v>250211</v>
      </c>
      <c r="O9" s="197">
        <f t="shared" si="1"/>
        <v>298777</v>
      </c>
      <c r="P9" s="197">
        <f t="shared" si="1"/>
        <v>335394</v>
      </c>
      <c r="Q9" s="197">
        <f t="shared" si="1"/>
        <v>374805</v>
      </c>
      <c r="R9" s="197">
        <f t="shared" si="1"/>
        <v>312987</v>
      </c>
      <c r="S9" s="197">
        <f t="shared" si="1"/>
        <v>343343</v>
      </c>
      <c r="T9" s="197">
        <f t="shared" si="1"/>
        <v>390883</v>
      </c>
      <c r="U9" s="197">
        <f t="shared" si="1"/>
        <v>416970</v>
      </c>
      <c r="V9" s="197">
        <f t="shared" si="1"/>
        <v>350058</v>
      </c>
      <c r="W9" s="197">
        <f t="shared" si="1"/>
        <v>388188</v>
      </c>
      <c r="X9" s="197">
        <f t="shared" si="1"/>
        <v>452757</v>
      </c>
      <c r="Y9" s="197">
        <f t="shared" si="1"/>
        <v>442526</v>
      </c>
      <c r="Z9" s="197">
        <f t="shared" si="1"/>
        <v>328834</v>
      </c>
      <c r="AA9" s="197">
        <f t="shared" ref="AA9:AF9" si="2">+SUM(AA6:AA8)</f>
        <v>153346</v>
      </c>
      <c r="AB9" s="197">
        <f t="shared" si="2"/>
        <v>339300</v>
      </c>
      <c r="AC9" s="197">
        <f t="shared" si="2"/>
        <v>366750</v>
      </c>
      <c r="AD9" s="197">
        <f t="shared" si="2"/>
        <v>281757</v>
      </c>
      <c r="AE9" s="197">
        <f t="shared" si="2"/>
        <v>280732</v>
      </c>
      <c r="AF9" s="197">
        <f t="shared" si="2"/>
        <v>272744</v>
      </c>
      <c r="AG9" s="197">
        <f t="shared" ref="AG9:AL9" si="3">+SUM(AG6:AG8)</f>
        <v>357141</v>
      </c>
      <c r="AH9" s="197">
        <f t="shared" si="3"/>
        <v>282735</v>
      </c>
      <c r="AI9" s="197">
        <f t="shared" si="3"/>
        <v>357651</v>
      </c>
      <c r="AJ9" s="197">
        <f t="shared" si="3"/>
        <v>489601</v>
      </c>
      <c r="AK9" s="197">
        <f>+SUM(AK6:AK8)</f>
        <v>490142</v>
      </c>
      <c r="AL9" s="197">
        <f t="shared" si="3"/>
        <v>395778</v>
      </c>
      <c r="AM9" s="197">
        <f t="shared" ref="AM9:AS9" si="4">+SUM(AM6:AM8)</f>
        <v>431378</v>
      </c>
      <c r="AN9" s="197">
        <f t="shared" si="4"/>
        <v>504294</v>
      </c>
      <c r="AO9" s="197">
        <f t="shared" si="4"/>
        <v>535421</v>
      </c>
      <c r="AP9" s="197">
        <f t="shared" si="4"/>
        <v>461179</v>
      </c>
      <c r="AQ9" s="197">
        <f t="shared" si="4"/>
        <v>558696</v>
      </c>
      <c r="AR9" s="197">
        <f t="shared" si="4"/>
        <v>712101</v>
      </c>
      <c r="AS9" s="197">
        <f t="shared" si="4"/>
        <v>737388</v>
      </c>
    </row>
    <row r="10" spans="1:45" x14ac:dyDescent="0.2">
      <c r="B10" s="136" t="s">
        <v>327</v>
      </c>
      <c r="C10" s="137">
        <v>-1141985</v>
      </c>
      <c r="D10" s="137">
        <v>-1022505</v>
      </c>
      <c r="E10" s="242">
        <v>-268182</v>
      </c>
      <c r="F10" s="137">
        <v>-188747</v>
      </c>
      <c r="G10" s="137">
        <v>-179253</v>
      </c>
      <c r="H10" s="137">
        <v>-176263</v>
      </c>
      <c r="I10" s="137">
        <v>-181951</v>
      </c>
      <c r="J10" s="137">
        <v>-123971</v>
      </c>
      <c r="K10" s="137">
        <v>-143509</v>
      </c>
      <c r="L10" s="137">
        <v>-148289</v>
      </c>
      <c r="M10" s="137">
        <v>-158010</v>
      </c>
      <c r="N10" s="137">
        <v>-130648</v>
      </c>
      <c r="O10" s="137">
        <v>-160727</v>
      </c>
      <c r="P10" s="137">
        <v>-181957</v>
      </c>
      <c r="Q10" s="137">
        <v>-200710</v>
      </c>
      <c r="R10" s="137">
        <v>-165476</v>
      </c>
      <c r="S10" s="137">
        <v>-188255</v>
      </c>
      <c r="T10" s="137">
        <v>-218673</v>
      </c>
      <c r="U10" s="137">
        <v>-230675</v>
      </c>
      <c r="V10" s="137">
        <v>-186759</v>
      </c>
      <c r="W10" s="137">
        <v>-211130</v>
      </c>
      <c r="X10" s="137">
        <v>-213636</v>
      </c>
      <c r="Y10" s="137">
        <v>-240468</v>
      </c>
      <c r="Z10" s="137">
        <v>-174726</v>
      </c>
      <c r="AA10" s="137">
        <v>-71320</v>
      </c>
      <c r="AB10" s="137">
        <v>-186852</v>
      </c>
      <c r="AC10" s="137">
        <v>-207649</v>
      </c>
      <c r="AD10" s="137">
        <v>-153175</v>
      </c>
      <c r="AE10" s="137">
        <v>-153626</v>
      </c>
      <c r="AF10" s="137">
        <v>-149148</v>
      </c>
      <c r="AG10" s="137">
        <v>-201800</v>
      </c>
      <c r="AH10" s="137">
        <v>-155776</v>
      </c>
      <c r="AI10" s="137">
        <v>-198813</v>
      </c>
      <c r="AJ10" s="137">
        <v>-277941</v>
      </c>
      <c r="AK10" s="137">
        <v>-275595</v>
      </c>
      <c r="AL10" s="137">
        <v>-222953</v>
      </c>
      <c r="AM10" s="137">
        <v>-245741</v>
      </c>
      <c r="AN10" s="137">
        <v>-286981</v>
      </c>
      <c r="AO10" s="137">
        <v>-309845</v>
      </c>
      <c r="AP10" s="137">
        <v>-262321</v>
      </c>
      <c r="AQ10" s="137">
        <v>-318742</v>
      </c>
      <c r="AR10" s="137">
        <v>-398358</v>
      </c>
      <c r="AS10" s="137">
        <v>-415515</v>
      </c>
    </row>
    <row r="11" spans="1:45" ht="25.5" x14ac:dyDescent="0.2">
      <c r="B11" s="136" t="s">
        <v>328</v>
      </c>
      <c r="C11" s="137">
        <v>-248270</v>
      </c>
      <c r="D11" s="137">
        <v>-421458</v>
      </c>
      <c r="E11" s="242">
        <v>-46950</v>
      </c>
      <c r="F11" s="137">
        <v>-35779</v>
      </c>
      <c r="G11" s="137">
        <v>-44250</v>
      </c>
      <c r="H11" s="137">
        <v>-38957</v>
      </c>
      <c r="I11" s="137">
        <v>-67687</v>
      </c>
      <c r="J11" s="137">
        <v>-26723</v>
      </c>
      <c r="K11" s="137">
        <v>-35209</v>
      </c>
      <c r="L11" s="137">
        <v>-32166</v>
      </c>
      <c r="M11" s="137">
        <v>-34889</v>
      </c>
      <c r="N11" s="137">
        <v>-29787</v>
      </c>
      <c r="O11" s="137">
        <v>-52294</v>
      </c>
      <c r="P11" s="137">
        <v>-39416</v>
      </c>
      <c r="Q11" s="137">
        <v>-54410</v>
      </c>
      <c r="R11" s="137">
        <v>-44902</v>
      </c>
      <c r="S11" s="137">
        <v>-34944</v>
      </c>
      <c r="T11" s="137">
        <v>-31327</v>
      </c>
      <c r="U11" s="137">
        <v>-50870</v>
      </c>
      <c r="V11" s="137">
        <v>-34591</v>
      </c>
      <c r="W11" s="137">
        <v>-37378</v>
      </c>
      <c r="X11" s="137">
        <v>-43318</v>
      </c>
      <c r="Y11" s="137">
        <v>-46766</v>
      </c>
      <c r="Z11" s="137">
        <v>-37305</v>
      </c>
      <c r="AA11" s="137">
        <v>-24620</v>
      </c>
      <c r="AB11" s="137">
        <v>-30112</v>
      </c>
      <c r="AC11" s="137">
        <v>-34886</v>
      </c>
      <c r="AD11" s="137">
        <v>-25162</v>
      </c>
      <c r="AE11" s="137">
        <v>-27748</v>
      </c>
      <c r="AF11" s="137">
        <v>-26944</v>
      </c>
      <c r="AG11" s="137">
        <v>-32912</v>
      </c>
      <c r="AH11" s="137">
        <v>-28380</v>
      </c>
      <c r="AI11" s="137">
        <v>-33964</v>
      </c>
      <c r="AJ11" s="137">
        <v>-41484</v>
      </c>
      <c r="AK11" s="137">
        <v>-43742</v>
      </c>
      <c r="AL11" s="137">
        <v>-38330</v>
      </c>
      <c r="AM11" s="137">
        <v>-35918</v>
      </c>
      <c r="AN11" s="137">
        <v>-37073</v>
      </c>
      <c r="AO11" s="137">
        <v>-42863</v>
      </c>
      <c r="AP11" s="137">
        <v>-42788</v>
      </c>
      <c r="AQ11" s="137">
        <v>-42450</v>
      </c>
      <c r="AR11" s="137">
        <v>-47224</v>
      </c>
      <c r="AS11" s="137">
        <v>-48370</v>
      </c>
    </row>
    <row r="12" spans="1:45" s="765" customFormat="1" hidden="1" outlineLevel="1" x14ac:dyDescent="0.2">
      <c r="A12" s="221"/>
      <c r="B12" s="231" t="s">
        <v>144</v>
      </c>
      <c r="C12" s="232">
        <v>0</v>
      </c>
      <c r="D12" s="232">
        <v>0</v>
      </c>
      <c r="E12" s="766">
        <v>0</v>
      </c>
      <c r="F12" s="232">
        <v>0</v>
      </c>
      <c r="G12" s="232">
        <v>0</v>
      </c>
      <c r="H12" s="232">
        <v>0</v>
      </c>
      <c r="I12" s="232">
        <v>0</v>
      </c>
      <c r="J12" s="232">
        <v>0</v>
      </c>
      <c r="K12" s="232">
        <v>0</v>
      </c>
      <c r="L12" s="232">
        <v>0</v>
      </c>
      <c r="M12" s="232">
        <v>0</v>
      </c>
      <c r="N12" s="232">
        <v>0</v>
      </c>
      <c r="O12" s="232">
        <v>-1364.59871</v>
      </c>
      <c r="P12" s="232">
        <v>0</v>
      </c>
      <c r="Q12" s="232">
        <v>-0.40129000000001724</v>
      </c>
      <c r="R12" s="232">
        <v>0</v>
      </c>
      <c r="S12" s="232">
        <v>0</v>
      </c>
      <c r="T12" s="232">
        <v>0</v>
      </c>
      <c r="U12" s="232">
        <v>0</v>
      </c>
      <c r="V12" s="232">
        <v>0</v>
      </c>
      <c r="W12" s="232"/>
      <c r="X12" s="232">
        <v>0</v>
      </c>
      <c r="Y12" s="232">
        <v>0</v>
      </c>
      <c r="Z12" s="232">
        <v>0</v>
      </c>
      <c r="AA12" s="232">
        <v>0</v>
      </c>
      <c r="AB12" s="232">
        <v>0</v>
      </c>
      <c r="AC12" s="137">
        <v>0</v>
      </c>
      <c r="AD12" s="137">
        <v>0</v>
      </c>
      <c r="AE12" s="137">
        <v>0</v>
      </c>
      <c r="AF12" s="137">
        <v>0</v>
      </c>
      <c r="AG12" s="137"/>
      <c r="AH12" s="137">
        <v>0</v>
      </c>
      <c r="AI12" s="137">
        <v>0</v>
      </c>
      <c r="AJ12" s="137">
        <v>0</v>
      </c>
      <c r="AK12" s="137">
        <v>0</v>
      </c>
      <c r="AL12" s="137">
        <v>0</v>
      </c>
      <c r="AM12" s="137">
        <v>0</v>
      </c>
      <c r="AN12" s="137">
        <v>0</v>
      </c>
      <c r="AO12" s="137">
        <v>0</v>
      </c>
      <c r="AP12" s="137">
        <v>0</v>
      </c>
      <c r="AQ12" s="137"/>
      <c r="AR12" s="137"/>
      <c r="AS12" s="137">
        <v>0</v>
      </c>
    </row>
    <row r="13" spans="1:45" collapsed="1" x14ac:dyDescent="0.2">
      <c r="B13" s="196" t="s">
        <v>329</v>
      </c>
      <c r="C13" s="197">
        <f>+SUM(C10:C11)</f>
        <v>-1390255</v>
      </c>
      <c r="D13" s="197">
        <f t="shared" ref="D13:I13" si="5">+SUM(D10:D11)</f>
        <v>-1443963</v>
      </c>
      <c r="E13" s="243">
        <f t="shared" si="5"/>
        <v>-315132</v>
      </c>
      <c r="F13" s="197">
        <f t="shared" si="5"/>
        <v>-224526</v>
      </c>
      <c r="G13" s="197">
        <f t="shared" si="5"/>
        <v>-223503</v>
      </c>
      <c r="H13" s="197">
        <f t="shared" si="5"/>
        <v>-215220</v>
      </c>
      <c r="I13" s="197">
        <f t="shared" si="5"/>
        <v>-249638</v>
      </c>
      <c r="J13" s="197">
        <f>+SUM(J10:J11)</f>
        <v>-150694</v>
      </c>
      <c r="K13" s="197">
        <f>+SUM(K10:K11)</f>
        <v>-178718</v>
      </c>
      <c r="L13" s="197">
        <f>+SUM(L10:L11)</f>
        <v>-180455</v>
      </c>
      <c r="M13" s="197">
        <f>+SUM(M10:M11)</f>
        <v>-192899</v>
      </c>
      <c r="N13" s="197">
        <f>+SUM(N10:N11)</f>
        <v>-160435</v>
      </c>
      <c r="O13" s="197">
        <f t="shared" ref="O13:Z13" si="6">+SUM(O10:O12)</f>
        <v>-214385.59870999999</v>
      </c>
      <c r="P13" s="197">
        <f t="shared" si="6"/>
        <v>-221373</v>
      </c>
      <c r="Q13" s="197">
        <f t="shared" si="6"/>
        <v>-255120.40129000001</v>
      </c>
      <c r="R13" s="197">
        <f t="shared" si="6"/>
        <v>-210378</v>
      </c>
      <c r="S13" s="197">
        <f t="shared" si="6"/>
        <v>-223199</v>
      </c>
      <c r="T13" s="197">
        <f t="shared" si="6"/>
        <v>-250000</v>
      </c>
      <c r="U13" s="197">
        <f t="shared" si="6"/>
        <v>-281545</v>
      </c>
      <c r="V13" s="197">
        <f t="shared" si="6"/>
        <v>-221350</v>
      </c>
      <c r="W13" s="197">
        <f t="shared" si="6"/>
        <v>-248508</v>
      </c>
      <c r="X13" s="197">
        <f t="shared" si="6"/>
        <v>-256954</v>
      </c>
      <c r="Y13" s="197">
        <f t="shared" si="6"/>
        <v>-287234</v>
      </c>
      <c r="Z13" s="197">
        <f t="shared" si="6"/>
        <v>-212031</v>
      </c>
      <c r="AA13" s="197">
        <f t="shared" ref="AA13:AF13" si="7">+SUM(AA10:AA12)</f>
        <v>-95940</v>
      </c>
      <c r="AB13" s="197">
        <f t="shared" si="7"/>
        <v>-216964</v>
      </c>
      <c r="AC13" s="197">
        <f t="shared" si="7"/>
        <v>-242535</v>
      </c>
      <c r="AD13" s="197">
        <f t="shared" si="7"/>
        <v>-178337</v>
      </c>
      <c r="AE13" s="197">
        <f t="shared" si="7"/>
        <v>-181374</v>
      </c>
      <c r="AF13" s="197">
        <f t="shared" si="7"/>
        <v>-176092</v>
      </c>
      <c r="AG13" s="197">
        <f t="shared" ref="AG13:AL13" si="8">+SUM(AG10:AG12)</f>
        <v>-234712</v>
      </c>
      <c r="AH13" s="197">
        <f t="shared" si="8"/>
        <v>-184156</v>
      </c>
      <c r="AI13" s="197">
        <f t="shared" si="8"/>
        <v>-232777</v>
      </c>
      <c r="AJ13" s="197">
        <f t="shared" si="8"/>
        <v>-319425</v>
      </c>
      <c r="AK13" s="197">
        <f>+SUM(AK10:AK12)</f>
        <v>-319337</v>
      </c>
      <c r="AL13" s="197">
        <f t="shared" si="8"/>
        <v>-261283</v>
      </c>
      <c r="AM13" s="197">
        <f t="shared" ref="AM13:AS13" si="9">+SUM(AM10:AM12)</f>
        <v>-281659</v>
      </c>
      <c r="AN13" s="197">
        <f t="shared" si="9"/>
        <v>-324054</v>
      </c>
      <c r="AO13" s="197">
        <f t="shared" si="9"/>
        <v>-352708</v>
      </c>
      <c r="AP13" s="197">
        <f t="shared" si="9"/>
        <v>-305109</v>
      </c>
      <c r="AQ13" s="197">
        <f t="shared" si="9"/>
        <v>-361192</v>
      </c>
      <c r="AR13" s="197">
        <f t="shared" si="9"/>
        <v>-445582</v>
      </c>
      <c r="AS13" s="197">
        <f t="shared" si="9"/>
        <v>-463885</v>
      </c>
    </row>
    <row r="14" spans="1:45" x14ac:dyDescent="0.2">
      <c r="B14" s="136" t="s">
        <v>330</v>
      </c>
      <c r="C14" s="137">
        <f t="shared" ref="C14:H14" si="10">+C13+C9</f>
        <v>747134</v>
      </c>
      <c r="D14" s="137">
        <f t="shared" si="10"/>
        <v>571576</v>
      </c>
      <c r="E14" s="242">
        <f t="shared" si="10"/>
        <v>170606</v>
      </c>
      <c r="F14" s="137">
        <f t="shared" si="10"/>
        <v>117271</v>
      </c>
      <c r="G14" s="137">
        <f t="shared" si="10"/>
        <v>109926</v>
      </c>
      <c r="H14" s="137">
        <f t="shared" si="10"/>
        <v>114843</v>
      </c>
      <c r="I14" s="137">
        <f t="shared" ref="I14:P14" si="11">+I13+I9</f>
        <v>89992</v>
      </c>
      <c r="J14" s="137">
        <f t="shared" si="11"/>
        <v>88084</v>
      </c>
      <c r="K14" s="137">
        <f t="shared" si="11"/>
        <v>91219</v>
      </c>
      <c r="L14" s="137">
        <f t="shared" si="11"/>
        <v>97860</v>
      </c>
      <c r="M14" s="137">
        <f t="shared" si="11"/>
        <v>104148</v>
      </c>
      <c r="N14" s="137">
        <f t="shared" si="11"/>
        <v>89776</v>
      </c>
      <c r="O14" s="137">
        <f t="shared" si="11"/>
        <v>84391.401290000009</v>
      </c>
      <c r="P14" s="137">
        <f t="shared" si="11"/>
        <v>114021</v>
      </c>
      <c r="Q14" s="137">
        <v>119684.59870999999</v>
      </c>
      <c r="R14" s="137">
        <v>102609</v>
      </c>
      <c r="S14" s="137">
        <v>120144</v>
      </c>
      <c r="T14" s="137">
        <v>140883</v>
      </c>
      <c r="U14" s="137">
        <v>135425</v>
      </c>
      <c r="V14" s="137">
        <v>128708</v>
      </c>
      <c r="W14" s="137">
        <v>139680</v>
      </c>
      <c r="X14" s="137">
        <v>195803</v>
      </c>
      <c r="Y14" s="137">
        <v>155292</v>
      </c>
      <c r="Z14" s="137">
        <v>116803</v>
      </c>
      <c r="AA14" s="137">
        <v>57406</v>
      </c>
      <c r="AB14" s="137">
        <v>122336</v>
      </c>
      <c r="AC14" s="137">
        <v>124215</v>
      </c>
      <c r="AD14" s="137">
        <v>103420</v>
      </c>
      <c r="AE14" s="137">
        <v>99358</v>
      </c>
      <c r="AF14" s="137">
        <v>96652</v>
      </c>
      <c r="AG14" s="137">
        <v>122429</v>
      </c>
      <c r="AH14" s="137">
        <v>98579</v>
      </c>
      <c r="AI14" s="137">
        <v>124874</v>
      </c>
      <c r="AJ14" s="137">
        <v>170176</v>
      </c>
      <c r="AK14" s="137">
        <v>170805</v>
      </c>
      <c r="AL14" s="137">
        <v>134495</v>
      </c>
      <c r="AM14" s="137">
        <v>149719</v>
      </c>
      <c r="AN14" s="137">
        <v>180240</v>
      </c>
      <c r="AO14" s="137">
        <v>182713</v>
      </c>
      <c r="AP14" s="137">
        <v>156070</v>
      </c>
      <c r="AQ14" s="137">
        <v>197504</v>
      </c>
      <c r="AR14" s="137">
        <v>266519</v>
      </c>
      <c r="AS14" s="137">
        <v>273503</v>
      </c>
    </row>
    <row r="15" spans="1:45" x14ac:dyDescent="0.2">
      <c r="B15" s="136" t="s">
        <v>331</v>
      </c>
      <c r="C15" s="137">
        <v>-29054</v>
      </c>
      <c r="D15" s="137">
        <v>-27130</v>
      </c>
      <c r="E15" s="242">
        <v>-3224</v>
      </c>
      <c r="F15" s="137">
        <v>-6412</v>
      </c>
      <c r="G15" s="137">
        <v>-7112</v>
      </c>
      <c r="H15" s="137">
        <v>-6673</v>
      </c>
      <c r="I15" s="137">
        <v>-7719</v>
      </c>
      <c r="J15" s="137">
        <v>-7205</v>
      </c>
      <c r="K15" s="137">
        <v>-9299</v>
      </c>
      <c r="L15" s="137">
        <v>-6737</v>
      </c>
      <c r="M15" s="137">
        <v>-6859</v>
      </c>
      <c r="N15" s="137">
        <v>-6572</v>
      </c>
      <c r="O15" s="137">
        <v>-6832</v>
      </c>
      <c r="P15" s="137">
        <v>-7305</v>
      </c>
      <c r="Q15" s="137">
        <v>-7435</v>
      </c>
      <c r="R15" s="137">
        <v>-6910</v>
      </c>
      <c r="S15" s="137">
        <v>-8910</v>
      </c>
      <c r="T15" s="137">
        <v>-6854</v>
      </c>
      <c r="U15" s="137">
        <v>-6616</v>
      </c>
      <c r="V15" s="137">
        <v>-6470</v>
      </c>
      <c r="W15" s="137">
        <v>-6502</v>
      </c>
      <c r="X15" s="137">
        <v>-6554</v>
      </c>
      <c r="Y15" s="137">
        <v>-6284</v>
      </c>
      <c r="Z15" s="137">
        <v>-6272</v>
      </c>
      <c r="AA15" s="137">
        <v>-5955</v>
      </c>
      <c r="AB15" s="137">
        <v>-5671</v>
      </c>
      <c r="AC15" s="137">
        <v>-5527</v>
      </c>
      <c r="AD15" s="137">
        <v>-5447</v>
      </c>
      <c r="AE15" s="137">
        <v>-5539</v>
      </c>
      <c r="AF15" s="137">
        <v>-5488</v>
      </c>
      <c r="AG15" s="137">
        <v>-5541</v>
      </c>
      <c r="AH15" s="137">
        <v>-5518</v>
      </c>
      <c r="AI15" s="137">
        <v>-5451</v>
      </c>
      <c r="AJ15" s="137">
        <v>-5513</v>
      </c>
      <c r="AK15" s="137">
        <v>-5643</v>
      </c>
      <c r="AL15" s="137">
        <v>-6003</v>
      </c>
      <c r="AM15" s="137">
        <v>-6051</v>
      </c>
      <c r="AN15" s="137">
        <v>-6147</v>
      </c>
      <c r="AO15" s="137">
        <v>-6141</v>
      </c>
      <c r="AP15" s="137">
        <v>-6324</v>
      </c>
      <c r="AQ15" s="137">
        <v>-6355</v>
      </c>
      <c r="AR15" s="137">
        <v>-6566</v>
      </c>
      <c r="AS15" s="137">
        <v>-6901</v>
      </c>
    </row>
    <row r="16" spans="1:45" x14ac:dyDescent="0.2">
      <c r="B16" s="136" t="s">
        <v>877</v>
      </c>
      <c r="C16" s="137">
        <v>0</v>
      </c>
      <c r="D16" s="137">
        <v>0</v>
      </c>
      <c r="E16" s="242">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-8930</v>
      </c>
      <c r="W16" s="137">
        <v>-7143</v>
      </c>
      <c r="X16" s="137">
        <v>-8275</v>
      </c>
      <c r="Y16" s="137">
        <v>-8441</v>
      </c>
      <c r="Z16" s="137">
        <v>-7881</v>
      </c>
      <c r="AA16" s="137">
        <v>-7886</v>
      </c>
      <c r="AB16" s="137">
        <v>-7525</v>
      </c>
      <c r="AC16" s="137">
        <v>-7333</v>
      </c>
      <c r="AD16" s="137">
        <v>-7513</v>
      </c>
      <c r="AE16" s="137">
        <v>-7300</v>
      </c>
      <c r="AF16" s="137">
        <v>-7107</v>
      </c>
      <c r="AG16" s="137">
        <v>-6930</v>
      </c>
      <c r="AH16" s="137">
        <v>-7970</v>
      </c>
      <c r="AI16" s="137">
        <v>-8240</v>
      </c>
      <c r="AJ16" s="137">
        <v>-7033</v>
      </c>
      <c r="AK16" s="137">
        <v>-7727</v>
      </c>
      <c r="AL16" s="137">
        <v>-7410</v>
      </c>
      <c r="AM16" s="137">
        <v>-7342</v>
      </c>
      <c r="AN16" s="137">
        <v>-7638</v>
      </c>
      <c r="AO16" s="137">
        <v>-8032</v>
      </c>
      <c r="AP16" s="137">
        <v>-7514</v>
      </c>
      <c r="AQ16" s="137">
        <v>-7573</v>
      </c>
      <c r="AR16" s="137">
        <v>-7278</v>
      </c>
      <c r="AS16" s="137">
        <v>-7124</v>
      </c>
    </row>
    <row r="17" spans="1:45" x14ac:dyDescent="0.2">
      <c r="B17" s="196" t="s">
        <v>332</v>
      </c>
      <c r="C17" s="197">
        <f>+SUM(C14:C15)</f>
        <v>718080</v>
      </c>
      <c r="D17" s="197">
        <f t="shared" ref="D17:I17" si="12">+SUM(D14:D15)</f>
        <v>544446</v>
      </c>
      <c r="E17" s="243">
        <f t="shared" si="12"/>
        <v>167382</v>
      </c>
      <c r="F17" s="197">
        <f t="shared" si="12"/>
        <v>110859</v>
      </c>
      <c r="G17" s="197">
        <f t="shared" si="12"/>
        <v>102814</v>
      </c>
      <c r="H17" s="197">
        <f t="shared" si="12"/>
        <v>108170</v>
      </c>
      <c r="I17" s="197">
        <f t="shared" si="12"/>
        <v>82273</v>
      </c>
      <c r="J17" s="197">
        <f>+SUM(J14:J15)</f>
        <v>80879</v>
      </c>
      <c r="K17" s="197">
        <f>+SUM(K14:K15)</f>
        <v>81920</v>
      </c>
      <c r="L17" s="197">
        <f>+SUM(L14:L15)</f>
        <v>91123</v>
      </c>
      <c r="M17" s="197">
        <f>+SUM(M14:M15)</f>
        <v>97289</v>
      </c>
      <c r="N17" s="197">
        <f>+SUM(N14:N15)</f>
        <v>83204</v>
      </c>
      <c r="O17" s="197">
        <f t="shared" ref="O17:U17" si="13">+SUM(O14:O15)</f>
        <v>77559.401290000009</v>
      </c>
      <c r="P17" s="197">
        <f t="shared" si="13"/>
        <v>106716</v>
      </c>
      <c r="Q17" s="197">
        <f t="shared" si="13"/>
        <v>112249.59870999999</v>
      </c>
      <c r="R17" s="197">
        <f t="shared" si="13"/>
        <v>95699</v>
      </c>
      <c r="S17" s="197">
        <f t="shared" si="13"/>
        <v>111234</v>
      </c>
      <c r="T17" s="197">
        <f t="shared" si="13"/>
        <v>134029</v>
      </c>
      <c r="U17" s="197">
        <f t="shared" si="13"/>
        <v>128809</v>
      </c>
      <c r="V17" s="197">
        <f t="shared" ref="V17:AA17" si="14">+SUM(V14:V16)</f>
        <v>113308</v>
      </c>
      <c r="W17" s="197">
        <f t="shared" si="14"/>
        <v>126035</v>
      </c>
      <c r="X17" s="197">
        <f t="shared" si="14"/>
        <v>180974</v>
      </c>
      <c r="Y17" s="197">
        <f t="shared" si="14"/>
        <v>140567</v>
      </c>
      <c r="Z17" s="197">
        <f t="shared" si="14"/>
        <v>102650</v>
      </c>
      <c r="AA17" s="197">
        <f t="shared" si="14"/>
        <v>43565</v>
      </c>
      <c r="AB17" s="197">
        <f t="shared" ref="AB17:AI17" si="15">+SUM(AB14:AB16)</f>
        <v>109140</v>
      </c>
      <c r="AC17" s="197">
        <f t="shared" si="15"/>
        <v>111355</v>
      </c>
      <c r="AD17" s="197">
        <f t="shared" si="15"/>
        <v>90460</v>
      </c>
      <c r="AE17" s="197">
        <f t="shared" si="15"/>
        <v>86519</v>
      </c>
      <c r="AF17" s="197">
        <f t="shared" si="15"/>
        <v>84057</v>
      </c>
      <c r="AG17" s="197">
        <f t="shared" si="15"/>
        <v>109958</v>
      </c>
      <c r="AH17" s="197">
        <f t="shared" si="15"/>
        <v>85091</v>
      </c>
      <c r="AI17" s="197">
        <f t="shared" si="15"/>
        <v>111183</v>
      </c>
      <c r="AJ17" s="197">
        <f t="shared" ref="AJ17:AO17" si="16">+SUM(AJ14:AJ16)</f>
        <v>157630</v>
      </c>
      <c r="AK17" s="197">
        <f t="shared" si="16"/>
        <v>157435</v>
      </c>
      <c r="AL17" s="197">
        <f t="shared" si="16"/>
        <v>121082</v>
      </c>
      <c r="AM17" s="197">
        <f t="shared" si="16"/>
        <v>136326</v>
      </c>
      <c r="AN17" s="197">
        <f t="shared" si="16"/>
        <v>166455</v>
      </c>
      <c r="AO17" s="197">
        <f t="shared" si="16"/>
        <v>168540</v>
      </c>
      <c r="AP17" s="197">
        <f>+SUM(AP14:AP16)</f>
        <v>142232</v>
      </c>
      <c r="AQ17" s="197">
        <f>+SUM(AQ14:AQ16)</f>
        <v>183576</v>
      </c>
      <c r="AR17" s="197">
        <f>+SUM(AR14:AR16)</f>
        <v>252675</v>
      </c>
      <c r="AS17" s="197">
        <f>+SUM(AS14:AS16)</f>
        <v>259478</v>
      </c>
    </row>
    <row r="18" spans="1:45" x14ac:dyDescent="0.2">
      <c r="B18" s="136" t="s">
        <v>286</v>
      </c>
      <c r="C18" s="137">
        <v>99</v>
      </c>
      <c r="D18" s="137">
        <v>2377</v>
      </c>
      <c r="E18" s="242">
        <v>2101</v>
      </c>
      <c r="F18" s="137">
        <v>373</v>
      </c>
      <c r="G18" s="137">
        <v>256</v>
      </c>
      <c r="H18" s="137">
        <v>785</v>
      </c>
      <c r="I18" s="137">
        <v>453</v>
      </c>
      <c r="J18" s="137">
        <v>-797</v>
      </c>
      <c r="K18" s="137">
        <v>-909</v>
      </c>
      <c r="L18" s="137">
        <v>-19</v>
      </c>
      <c r="M18" s="137">
        <v>-465</v>
      </c>
      <c r="N18" s="137">
        <v>-322</v>
      </c>
      <c r="O18" s="137">
        <v>-382</v>
      </c>
      <c r="P18" s="137">
        <v>-656</v>
      </c>
      <c r="Q18" s="137">
        <v>597</v>
      </c>
      <c r="R18" s="137">
        <v>-425</v>
      </c>
      <c r="S18" s="137">
        <v>-226</v>
      </c>
      <c r="T18" s="137">
        <v>342</v>
      </c>
      <c r="U18" s="137">
        <v>680</v>
      </c>
      <c r="V18" s="137">
        <v>-529</v>
      </c>
      <c r="W18" s="137">
        <v>322</v>
      </c>
      <c r="X18" s="137">
        <v>844</v>
      </c>
      <c r="Y18" s="137">
        <v>2349</v>
      </c>
      <c r="Z18" s="137">
        <v>1394</v>
      </c>
      <c r="AA18" s="137">
        <v>2412</v>
      </c>
      <c r="AB18" s="137">
        <v>2632</v>
      </c>
      <c r="AC18" s="137">
        <v>-162</v>
      </c>
      <c r="AD18" s="137">
        <v>810</v>
      </c>
      <c r="AE18" s="137">
        <v>2402</v>
      </c>
      <c r="AF18" s="137">
        <v>1799</v>
      </c>
      <c r="AG18" s="137">
        <v>4232</v>
      </c>
      <c r="AH18" s="137">
        <v>3013</v>
      </c>
      <c r="AI18" s="137">
        <v>3006</v>
      </c>
      <c r="AJ18" s="137">
        <v>2436</v>
      </c>
      <c r="AK18" s="137">
        <v>2118</v>
      </c>
      <c r="AL18" s="137">
        <v>3838</v>
      </c>
      <c r="AM18" s="137">
        <v>2884</v>
      </c>
      <c r="AN18" s="137">
        <v>5094</v>
      </c>
      <c r="AO18" s="137">
        <v>4440</v>
      </c>
      <c r="AP18" s="137">
        <v>6604</v>
      </c>
      <c r="AQ18" s="137">
        <v>9362</v>
      </c>
      <c r="AR18" s="137">
        <v>7433</v>
      </c>
      <c r="AS18" s="137">
        <v>5865</v>
      </c>
    </row>
    <row r="19" spans="1:45" x14ac:dyDescent="0.2">
      <c r="B19" s="136" t="s">
        <v>333</v>
      </c>
      <c r="C19" s="137">
        <v>112506</v>
      </c>
      <c r="D19" s="137">
        <v>72929</v>
      </c>
      <c r="E19" s="242">
        <v>10445</v>
      </c>
      <c r="F19" s="137">
        <v>10027</v>
      </c>
      <c r="G19" s="137">
        <v>11296</v>
      </c>
      <c r="H19" s="137">
        <v>6419</v>
      </c>
      <c r="I19" s="137">
        <v>8050</v>
      </c>
      <c r="J19" s="137">
        <v>7501</v>
      </c>
      <c r="K19" s="137">
        <v>7702</v>
      </c>
      <c r="L19" s="137">
        <v>7922</v>
      </c>
      <c r="M19" s="137">
        <v>9355</v>
      </c>
      <c r="N19" s="137">
        <v>5307</v>
      </c>
      <c r="O19" s="137">
        <v>11658</v>
      </c>
      <c r="P19" s="137">
        <v>5578</v>
      </c>
      <c r="Q19" s="137">
        <v>18053</v>
      </c>
      <c r="R19" s="137">
        <v>2675</v>
      </c>
      <c r="S19" s="137">
        <v>3003</v>
      </c>
      <c r="T19" s="137">
        <v>10159</v>
      </c>
      <c r="U19" s="137">
        <v>8879</v>
      </c>
      <c r="V19" s="137">
        <v>3796</v>
      </c>
      <c r="W19" s="137">
        <v>-3049</v>
      </c>
      <c r="X19" s="137">
        <v>40347</v>
      </c>
      <c r="Y19" s="137">
        <v>1026</v>
      </c>
      <c r="Z19" s="137">
        <v>17050</v>
      </c>
      <c r="AA19" s="137">
        <v>6654</v>
      </c>
      <c r="AB19" s="137">
        <v>-1489</v>
      </c>
      <c r="AC19" s="137">
        <v>1867</v>
      </c>
      <c r="AD19" s="137">
        <v>1523</v>
      </c>
      <c r="AE19" s="137">
        <v>5703</v>
      </c>
      <c r="AF19" s="137">
        <v>3451</v>
      </c>
      <c r="AG19" s="137">
        <v>7583</v>
      </c>
      <c r="AH19" s="137">
        <v>6273</v>
      </c>
      <c r="AI19" s="137">
        <v>7098</v>
      </c>
      <c r="AJ19" s="137">
        <v>3710</v>
      </c>
      <c r="AK19" s="137">
        <v>11622</v>
      </c>
      <c r="AL19" s="137">
        <v>8149</v>
      </c>
      <c r="AM19" s="137">
        <v>10513</v>
      </c>
      <c r="AN19" s="137">
        <v>8543</v>
      </c>
      <c r="AO19" s="137">
        <v>9381</v>
      </c>
      <c r="AP19" s="137">
        <v>8661</v>
      </c>
      <c r="AQ19" s="137">
        <v>10518</v>
      </c>
      <c r="AR19" s="137">
        <v>7861</v>
      </c>
      <c r="AS19" s="137">
        <v>8247</v>
      </c>
    </row>
    <row r="20" spans="1:45" x14ac:dyDescent="0.2">
      <c r="B20" s="240" t="s">
        <v>334</v>
      </c>
      <c r="C20" s="241">
        <f>+SUM(C17:C19)</f>
        <v>830685</v>
      </c>
      <c r="D20" s="241">
        <f t="shared" ref="D20:I20" si="17">+SUM(D17:D19)</f>
        <v>619752</v>
      </c>
      <c r="E20" s="244">
        <f t="shared" si="17"/>
        <v>179928</v>
      </c>
      <c r="F20" s="241">
        <f t="shared" si="17"/>
        <v>121259</v>
      </c>
      <c r="G20" s="241">
        <f t="shared" si="17"/>
        <v>114366</v>
      </c>
      <c r="H20" s="241">
        <f t="shared" si="17"/>
        <v>115374</v>
      </c>
      <c r="I20" s="241">
        <f t="shared" si="17"/>
        <v>90776</v>
      </c>
      <c r="J20" s="241">
        <f>+SUM(J17:J19)</f>
        <v>87583</v>
      </c>
      <c r="K20" s="241">
        <f>+SUM(K17:K19)</f>
        <v>88713</v>
      </c>
      <c r="L20" s="241">
        <f>+SUM(L17:L19)</f>
        <v>99026</v>
      </c>
      <c r="M20" s="241">
        <f>+SUM(M17:M19)</f>
        <v>106179</v>
      </c>
      <c r="N20" s="241">
        <f>+SUM(N17:N19)</f>
        <v>88189</v>
      </c>
      <c r="O20" s="241">
        <f t="shared" ref="O20:Z20" si="18">+SUM(O17:O19)</f>
        <v>88835.401290000009</v>
      </c>
      <c r="P20" s="241">
        <f t="shared" si="18"/>
        <v>111638</v>
      </c>
      <c r="Q20" s="241">
        <f t="shared" si="18"/>
        <v>130899.59870999999</v>
      </c>
      <c r="R20" s="241">
        <f t="shared" si="18"/>
        <v>97949</v>
      </c>
      <c r="S20" s="241">
        <f t="shared" si="18"/>
        <v>114011</v>
      </c>
      <c r="T20" s="241">
        <f t="shared" si="18"/>
        <v>144530</v>
      </c>
      <c r="U20" s="241">
        <f t="shared" si="18"/>
        <v>138368</v>
      </c>
      <c r="V20" s="241">
        <f t="shared" si="18"/>
        <v>116575</v>
      </c>
      <c r="W20" s="241">
        <f t="shared" si="18"/>
        <v>123308</v>
      </c>
      <c r="X20" s="241">
        <f t="shared" si="18"/>
        <v>222165</v>
      </c>
      <c r="Y20" s="241">
        <f t="shared" si="18"/>
        <v>143942</v>
      </c>
      <c r="Z20" s="241">
        <f t="shared" si="18"/>
        <v>121094</v>
      </c>
      <c r="AA20" s="241">
        <f t="shared" ref="AA20:AF20" si="19">+SUM(AA17:AA19)</f>
        <v>52631</v>
      </c>
      <c r="AB20" s="241">
        <f t="shared" si="19"/>
        <v>110283</v>
      </c>
      <c r="AC20" s="241">
        <f t="shared" si="19"/>
        <v>113060</v>
      </c>
      <c r="AD20" s="241">
        <f t="shared" si="19"/>
        <v>92793</v>
      </c>
      <c r="AE20" s="241">
        <f t="shared" si="19"/>
        <v>94624</v>
      </c>
      <c r="AF20" s="241">
        <f t="shared" si="19"/>
        <v>89307</v>
      </c>
      <c r="AG20" s="241">
        <f t="shared" ref="AG20:AL20" si="20">+SUM(AG17:AG19)</f>
        <v>121773</v>
      </c>
      <c r="AH20" s="241">
        <f t="shared" si="20"/>
        <v>94377</v>
      </c>
      <c r="AI20" s="241">
        <f t="shared" si="20"/>
        <v>121287</v>
      </c>
      <c r="AJ20" s="241">
        <f t="shared" si="20"/>
        <v>163776</v>
      </c>
      <c r="AK20" s="241">
        <f>+SUM(AK17:AK19)</f>
        <v>171175</v>
      </c>
      <c r="AL20" s="241">
        <f t="shared" si="20"/>
        <v>133069</v>
      </c>
      <c r="AM20" s="241">
        <f t="shared" ref="AM20:AS20" si="21">+SUM(AM17:AM19)</f>
        <v>149723</v>
      </c>
      <c r="AN20" s="241">
        <f t="shared" si="21"/>
        <v>180092</v>
      </c>
      <c r="AO20" s="241">
        <f t="shared" si="21"/>
        <v>182361</v>
      </c>
      <c r="AP20" s="241">
        <f t="shared" si="21"/>
        <v>157497</v>
      </c>
      <c r="AQ20" s="241">
        <f t="shared" si="21"/>
        <v>203456</v>
      </c>
      <c r="AR20" s="241">
        <f t="shared" si="21"/>
        <v>267969</v>
      </c>
      <c r="AS20" s="241">
        <f t="shared" si="21"/>
        <v>273590</v>
      </c>
    </row>
    <row r="21" spans="1:45" x14ac:dyDescent="0.2">
      <c r="B21" s="200"/>
      <c r="C21" s="201"/>
      <c r="D21" s="201"/>
      <c r="E21" s="201"/>
      <c r="F21" s="656"/>
      <c r="G21" s="656"/>
      <c r="H21" s="656"/>
      <c r="I21" s="656"/>
      <c r="J21" s="656"/>
      <c r="K21" s="656" t="s">
        <v>123</v>
      </c>
      <c r="L21" s="656" t="s">
        <v>124</v>
      </c>
      <c r="M21" s="656" t="s">
        <v>127</v>
      </c>
      <c r="N21" s="656" t="s">
        <v>140</v>
      </c>
      <c r="O21" s="656" t="s">
        <v>143</v>
      </c>
      <c r="P21" s="656" t="s">
        <v>145</v>
      </c>
      <c r="Q21" s="656" t="s">
        <v>146</v>
      </c>
      <c r="R21" s="656" t="s">
        <v>158</v>
      </c>
      <c r="S21" s="656" t="s">
        <v>159</v>
      </c>
      <c r="T21" s="656" t="s">
        <v>159</v>
      </c>
      <c r="U21" s="656" t="s">
        <v>159</v>
      </c>
      <c r="V21" s="656" t="s">
        <v>159</v>
      </c>
      <c r="W21" s="656"/>
      <c r="X21" s="656" t="s">
        <v>159</v>
      </c>
      <c r="Y21" s="656" t="s">
        <v>159</v>
      </c>
      <c r="Z21" s="656" t="s">
        <v>159</v>
      </c>
      <c r="AA21" s="656" t="s">
        <v>159</v>
      </c>
      <c r="AB21" s="656" t="s">
        <v>159</v>
      </c>
      <c r="AC21" s="656" t="s">
        <v>159</v>
      </c>
      <c r="AD21" s="656" t="s">
        <v>159</v>
      </c>
      <c r="AE21" s="656" t="s">
        <v>159</v>
      </c>
      <c r="AF21" s="656" t="s">
        <v>159</v>
      </c>
      <c r="AG21" s="656"/>
      <c r="AH21" s="656" t="s">
        <v>159</v>
      </c>
      <c r="AI21" s="656" t="s">
        <v>159</v>
      </c>
      <c r="AJ21" s="656" t="s">
        <v>159</v>
      </c>
      <c r="AK21" s="656" t="s">
        <v>159</v>
      </c>
      <c r="AL21" s="656" t="s">
        <v>159</v>
      </c>
      <c r="AM21" s="656" t="s">
        <v>159</v>
      </c>
      <c r="AN21" s="656" t="s">
        <v>159</v>
      </c>
      <c r="AO21" s="656" t="s">
        <v>159</v>
      </c>
      <c r="AP21" s="656" t="s">
        <v>159</v>
      </c>
      <c r="AQ21" s="656"/>
      <c r="AR21" s="656"/>
      <c r="AS21" s="656" t="s">
        <v>159</v>
      </c>
    </row>
    <row r="22" spans="1:45" x14ac:dyDescent="0.2">
      <c r="B22" s="196" t="s">
        <v>335</v>
      </c>
      <c r="C22" s="197">
        <f>+SUM(C23:C25)</f>
        <v>277984</v>
      </c>
      <c r="D22" s="197">
        <f t="shared" ref="D22:I22" si="22">+SUM(D23:D25)</f>
        <v>202931</v>
      </c>
      <c r="E22" s="243">
        <f t="shared" si="22"/>
        <v>45861</v>
      </c>
      <c r="F22" s="197">
        <f t="shared" si="22"/>
        <v>40280</v>
      </c>
      <c r="G22" s="197">
        <f t="shared" si="22"/>
        <v>41052</v>
      </c>
      <c r="H22" s="197">
        <f t="shared" si="22"/>
        <v>40499</v>
      </c>
      <c r="I22" s="197">
        <f t="shared" si="22"/>
        <v>37293</v>
      </c>
      <c r="J22" s="197">
        <f>+SUM(J26:J28)</f>
        <v>34176.659289999996</v>
      </c>
      <c r="K22" s="197">
        <f t="shared" ref="K22:Z22" si="23">+SUM(K26:K28)</f>
        <v>34469.416570000023</v>
      </c>
      <c r="L22" s="197">
        <f t="shared" si="23"/>
        <v>33159.293279999983</v>
      </c>
      <c r="M22" s="197">
        <f t="shared" si="23"/>
        <v>32240.528329999986</v>
      </c>
      <c r="N22" s="197">
        <f t="shared" si="23"/>
        <v>31394.059510000003</v>
      </c>
      <c r="O22" s="197">
        <f t="shared" si="23"/>
        <v>33093.008000000016</v>
      </c>
      <c r="P22" s="197">
        <f t="shared" si="23"/>
        <v>34993.300729999974</v>
      </c>
      <c r="Q22" s="197">
        <f t="shared" si="23"/>
        <v>39190.631760000011</v>
      </c>
      <c r="R22" s="197">
        <f t="shared" si="23"/>
        <v>32911</v>
      </c>
      <c r="S22" s="197">
        <f t="shared" si="23"/>
        <v>32723</v>
      </c>
      <c r="T22" s="197">
        <f t="shared" si="23"/>
        <v>35674</v>
      </c>
      <c r="U22" s="197">
        <f t="shared" si="23"/>
        <v>38777</v>
      </c>
      <c r="V22" s="197">
        <f t="shared" si="23"/>
        <v>33628</v>
      </c>
      <c r="W22" s="197">
        <f t="shared" si="23"/>
        <v>40258</v>
      </c>
      <c r="X22" s="197">
        <f t="shared" si="23"/>
        <v>39610</v>
      </c>
      <c r="Y22" s="197">
        <f t="shared" si="23"/>
        <v>41845</v>
      </c>
      <c r="Z22" s="197">
        <f t="shared" si="23"/>
        <v>38468</v>
      </c>
      <c r="AA22" s="197">
        <f t="shared" ref="AA22:AF22" si="24">+SUM(AA26:AA28)</f>
        <v>32679</v>
      </c>
      <c r="AB22" s="197">
        <f t="shared" si="24"/>
        <v>30327</v>
      </c>
      <c r="AC22" s="197">
        <f t="shared" si="24"/>
        <v>31352</v>
      </c>
      <c r="AD22" s="197">
        <f t="shared" si="24"/>
        <v>30279</v>
      </c>
      <c r="AE22" s="197">
        <f t="shared" si="24"/>
        <v>31688</v>
      </c>
      <c r="AF22" s="197">
        <f t="shared" si="24"/>
        <v>29190</v>
      </c>
      <c r="AG22" s="197">
        <f t="shared" ref="AG22:AL22" si="25">+SUM(AG26:AG28)</f>
        <v>35099</v>
      </c>
      <c r="AH22" s="197">
        <f t="shared" si="25"/>
        <v>31748</v>
      </c>
      <c r="AI22" s="197">
        <f t="shared" si="25"/>
        <v>36457</v>
      </c>
      <c r="AJ22" s="197">
        <f t="shared" si="25"/>
        <v>37347</v>
      </c>
      <c r="AK22" s="197">
        <f>+SUM(AK26:AK28)</f>
        <v>41090</v>
      </c>
      <c r="AL22" s="197">
        <f t="shared" si="25"/>
        <v>37715</v>
      </c>
      <c r="AM22" s="197">
        <f t="shared" ref="AM22:AS22" si="26">+SUM(AM26:AM28)</f>
        <v>42280</v>
      </c>
      <c r="AN22" s="197">
        <f t="shared" si="26"/>
        <v>44517</v>
      </c>
      <c r="AO22" s="197">
        <f t="shared" si="26"/>
        <v>46982</v>
      </c>
      <c r="AP22" s="197">
        <f t="shared" si="26"/>
        <v>43054</v>
      </c>
      <c r="AQ22" s="197">
        <f t="shared" si="26"/>
        <v>46358</v>
      </c>
      <c r="AR22" s="197">
        <f t="shared" si="26"/>
        <v>52344</v>
      </c>
      <c r="AS22" s="197">
        <f t="shared" si="26"/>
        <v>55874</v>
      </c>
    </row>
    <row r="23" spans="1:45" s="625" customFormat="1" hidden="1" outlineLevel="1" x14ac:dyDescent="0.2">
      <c r="A23" s="626"/>
      <c r="B23" s="627" t="s">
        <v>336</v>
      </c>
      <c r="C23" s="628">
        <v>262966</v>
      </c>
      <c r="D23" s="628">
        <v>188024</v>
      </c>
      <c r="E23" s="629">
        <v>43087</v>
      </c>
      <c r="F23" s="137">
        <v>36172</v>
      </c>
      <c r="G23" s="137">
        <v>34571</v>
      </c>
      <c r="H23" s="137">
        <v>37197</v>
      </c>
      <c r="I23" s="137">
        <v>38605</v>
      </c>
      <c r="J23" s="137">
        <v>0</v>
      </c>
      <c r="K23" s="137">
        <v>0</v>
      </c>
      <c r="L23" s="137">
        <v>0</v>
      </c>
      <c r="M23" s="137">
        <v>0</v>
      </c>
      <c r="N23" s="137" t="s">
        <v>47</v>
      </c>
      <c r="O23" s="137" t="s">
        <v>47</v>
      </c>
      <c r="P23" s="137" t="s">
        <v>47</v>
      </c>
      <c r="Q23" s="137" t="s">
        <v>47</v>
      </c>
      <c r="R23" s="137" t="s">
        <v>47</v>
      </c>
      <c r="S23" s="137" t="s">
        <v>47</v>
      </c>
      <c r="T23" s="137" t="s">
        <v>47</v>
      </c>
      <c r="U23" s="137" t="s">
        <v>47</v>
      </c>
      <c r="V23" s="137" t="s">
        <v>47</v>
      </c>
      <c r="W23" s="137"/>
      <c r="X23" s="137" t="s">
        <v>47</v>
      </c>
      <c r="Y23" s="137" t="s">
        <v>47</v>
      </c>
      <c r="Z23" s="137" t="s">
        <v>47</v>
      </c>
      <c r="AA23" s="137" t="s">
        <v>47</v>
      </c>
      <c r="AB23" s="137" t="s">
        <v>47</v>
      </c>
      <c r="AC23" s="137" t="s">
        <v>47</v>
      </c>
      <c r="AD23" s="137" t="s">
        <v>47</v>
      </c>
      <c r="AE23" s="137" t="s">
        <v>47</v>
      </c>
      <c r="AF23" s="137" t="s">
        <v>47</v>
      </c>
      <c r="AG23" s="137"/>
      <c r="AH23" s="137" t="s">
        <v>47</v>
      </c>
      <c r="AI23" s="137" t="s">
        <v>47</v>
      </c>
      <c r="AJ23" s="137" t="s">
        <v>47</v>
      </c>
      <c r="AK23" s="137" t="s">
        <v>47</v>
      </c>
      <c r="AL23" s="137" t="s">
        <v>47</v>
      </c>
      <c r="AM23" s="137" t="s">
        <v>47</v>
      </c>
      <c r="AN23" s="137" t="s">
        <v>47</v>
      </c>
      <c r="AO23" s="137" t="s">
        <v>47</v>
      </c>
      <c r="AP23" s="137" t="s">
        <v>47</v>
      </c>
      <c r="AQ23" s="137"/>
      <c r="AR23" s="137"/>
      <c r="AS23" s="137" t="s">
        <v>47</v>
      </c>
    </row>
    <row r="24" spans="1:45" s="625" customFormat="1" hidden="1" outlineLevel="1" x14ac:dyDescent="0.2">
      <c r="A24" s="626"/>
      <c r="B24" s="627" t="s">
        <v>337</v>
      </c>
      <c r="C24" s="628">
        <v>8256</v>
      </c>
      <c r="D24" s="628">
        <v>8010</v>
      </c>
      <c r="E24" s="629">
        <v>1387</v>
      </c>
      <c r="F24" s="137">
        <v>2221</v>
      </c>
      <c r="G24" s="137">
        <v>2277</v>
      </c>
      <c r="H24" s="137">
        <v>1591</v>
      </c>
      <c r="I24" s="137">
        <v>680</v>
      </c>
      <c r="J24" s="137">
        <v>0</v>
      </c>
      <c r="K24" s="137">
        <v>0</v>
      </c>
      <c r="L24" s="137">
        <v>0</v>
      </c>
      <c r="M24" s="137">
        <v>0</v>
      </c>
      <c r="N24" s="137" t="s">
        <v>47</v>
      </c>
      <c r="O24" s="137" t="s">
        <v>47</v>
      </c>
      <c r="P24" s="137" t="s">
        <v>47</v>
      </c>
      <c r="Q24" s="137" t="s">
        <v>47</v>
      </c>
      <c r="R24" s="137" t="s">
        <v>47</v>
      </c>
      <c r="S24" s="137" t="s">
        <v>47</v>
      </c>
      <c r="T24" s="137" t="s">
        <v>47</v>
      </c>
      <c r="U24" s="137" t="s">
        <v>47</v>
      </c>
      <c r="V24" s="137" t="s">
        <v>47</v>
      </c>
      <c r="W24" s="137"/>
      <c r="X24" s="137" t="s">
        <v>47</v>
      </c>
      <c r="Y24" s="137" t="s">
        <v>47</v>
      </c>
      <c r="Z24" s="137" t="s">
        <v>47</v>
      </c>
      <c r="AA24" s="137" t="s">
        <v>47</v>
      </c>
      <c r="AB24" s="137" t="s">
        <v>47</v>
      </c>
      <c r="AC24" s="137" t="s">
        <v>47</v>
      </c>
      <c r="AD24" s="137" t="s">
        <v>47</v>
      </c>
      <c r="AE24" s="137" t="s">
        <v>47</v>
      </c>
      <c r="AF24" s="137" t="s">
        <v>47</v>
      </c>
      <c r="AG24" s="137"/>
      <c r="AH24" s="137" t="s">
        <v>47</v>
      </c>
      <c r="AI24" s="137" t="s">
        <v>47</v>
      </c>
      <c r="AJ24" s="137" t="s">
        <v>47</v>
      </c>
      <c r="AK24" s="137" t="s">
        <v>47</v>
      </c>
      <c r="AL24" s="137" t="s">
        <v>47</v>
      </c>
      <c r="AM24" s="137" t="s">
        <v>47</v>
      </c>
      <c r="AN24" s="137" t="s">
        <v>47</v>
      </c>
      <c r="AO24" s="137" t="s">
        <v>47</v>
      </c>
      <c r="AP24" s="137" t="s">
        <v>47</v>
      </c>
      <c r="AQ24" s="137"/>
      <c r="AR24" s="137"/>
      <c r="AS24" s="137" t="s">
        <v>47</v>
      </c>
    </row>
    <row r="25" spans="1:45" s="625" customFormat="1" hidden="1" outlineLevel="1" x14ac:dyDescent="0.2">
      <c r="A25" s="626"/>
      <c r="B25" s="627" t="s">
        <v>338</v>
      </c>
      <c r="C25" s="628">
        <v>6762</v>
      </c>
      <c r="D25" s="628">
        <v>6897</v>
      </c>
      <c r="E25" s="629">
        <v>1387</v>
      </c>
      <c r="F25" s="137">
        <v>1887</v>
      </c>
      <c r="G25" s="137">
        <v>4204</v>
      </c>
      <c r="H25" s="137">
        <v>1711</v>
      </c>
      <c r="I25" s="137">
        <v>-1992</v>
      </c>
      <c r="J25" s="137">
        <v>0</v>
      </c>
      <c r="K25" s="137">
        <v>0</v>
      </c>
      <c r="L25" s="137">
        <v>0</v>
      </c>
      <c r="M25" s="137">
        <v>0</v>
      </c>
      <c r="N25" s="137" t="s">
        <v>47</v>
      </c>
      <c r="O25" s="137" t="s">
        <v>47</v>
      </c>
      <c r="P25" s="137" t="s">
        <v>47</v>
      </c>
      <c r="Q25" s="137" t="s">
        <v>47</v>
      </c>
      <c r="R25" s="137" t="s">
        <v>47</v>
      </c>
      <c r="S25" s="137" t="s">
        <v>47</v>
      </c>
      <c r="T25" s="137" t="s">
        <v>47</v>
      </c>
      <c r="U25" s="137" t="s">
        <v>47</v>
      </c>
      <c r="V25" s="137" t="s">
        <v>47</v>
      </c>
      <c r="W25" s="137"/>
      <c r="X25" s="137" t="s">
        <v>47</v>
      </c>
      <c r="Y25" s="137" t="s">
        <v>47</v>
      </c>
      <c r="Z25" s="137" t="s">
        <v>47</v>
      </c>
      <c r="AA25" s="137" t="s">
        <v>47</v>
      </c>
      <c r="AB25" s="137" t="s">
        <v>47</v>
      </c>
      <c r="AC25" s="137" t="s">
        <v>47</v>
      </c>
      <c r="AD25" s="137" t="s">
        <v>47</v>
      </c>
      <c r="AE25" s="137" t="s">
        <v>47</v>
      </c>
      <c r="AF25" s="137" t="s">
        <v>47</v>
      </c>
      <c r="AG25" s="137"/>
      <c r="AH25" s="137" t="s">
        <v>47</v>
      </c>
      <c r="AI25" s="137" t="s">
        <v>47</v>
      </c>
      <c r="AJ25" s="137" t="s">
        <v>47</v>
      </c>
      <c r="AK25" s="137" t="s">
        <v>47</v>
      </c>
      <c r="AL25" s="137" t="s">
        <v>47</v>
      </c>
      <c r="AM25" s="137" t="s">
        <v>47</v>
      </c>
      <c r="AN25" s="137" t="s">
        <v>47</v>
      </c>
      <c r="AO25" s="137" t="s">
        <v>47</v>
      </c>
      <c r="AP25" s="137" t="s">
        <v>47</v>
      </c>
      <c r="AQ25" s="137"/>
      <c r="AR25" s="137"/>
      <c r="AS25" s="137" t="s">
        <v>47</v>
      </c>
    </row>
    <row r="26" spans="1:45" collapsed="1" x14ac:dyDescent="0.2">
      <c r="B26" s="136" t="s">
        <v>731</v>
      </c>
      <c r="C26" s="137">
        <v>0</v>
      </c>
      <c r="D26" s="137">
        <v>0</v>
      </c>
      <c r="E26" s="242">
        <v>0</v>
      </c>
      <c r="F26" s="137" t="s">
        <v>47</v>
      </c>
      <c r="G26" s="137" t="s">
        <v>47</v>
      </c>
      <c r="H26" s="137" t="s">
        <v>47</v>
      </c>
      <c r="I26" s="137" t="s">
        <v>47</v>
      </c>
      <c r="J26" s="137">
        <v>27779.164189999996</v>
      </c>
      <c r="K26" s="137">
        <v>28681.323850000023</v>
      </c>
      <c r="L26" s="137">
        <v>27431.973769999982</v>
      </c>
      <c r="M26" s="137">
        <v>26250.903959999992</v>
      </c>
      <c r="N26" s="137">
        <v>26103.674340000001</v>
      </c>
      <c r="O26" s="137">
        <v>27956.350890000012</v>
      </c>
      <c r="P26" s="137">
        <v>29267.803309999978</v>
      </c>
      <c r="Q26" s="137">
        <v>21726.171460000009</v>
      </c>
      <c r="R26" s="137">
        <v>25404</v>
      </c>
      <c r="S26" s="137">
        <v>26784</v>
      </c>
      <c r="T26" s="137">
        <v>27356</v>
      </c>
      <c r="U26" s="137">
        <v>29476</v>
      </c>
      <c r="V26" s="137">
        <v>25142</v>
      </c>
      <c r="W26" s="137">
        <v>30980</v>
      </c>
      <c r="X26" s="137">
        <v>30154</v>
      </c>
      <c r="Y26" s="137">
        <v>32177</v>
      </c>
      <c r="Z26" s="137">
        <v>29575</v>
      </c>
      <c r="AA26" s="137">
        <v>23523</v>
      </c>
      <c r="AB26" s="137">
        <v>23153</v>
      </c>
      <c r="AC26" s="137">
        <v>23937</v>
      </c>
      <c r="AD26" s="137">
        <v>22684</v>
      </c>
      <c r="AE26" s="137">
        <v>24527</v>
      </c>
      <c r="AF26" s="137">
        <v>22399</v>
      </c>
      <c r="AG26" s="137">
        <v>27275</v>
      </c>
      <c r="AH26" s="137">
        <v>24385</v>
      </c>
      <c r="AI26" s="137">
        <v>28566</v>
      </c>
      <c r="AJ26" s="137">
        <v>29051</v>
      </c>
      <c r="AK26" s="137">
        <v>32302</v>
      </c>
      <c r="AL26" s="137">
        <v>29122</v>
      </c>
      <c r="AM26" s="137">
        <v>33107</v>
      </c>
      <c r="AN26" s="137">
        <v>34275</v>
      </c>
      <c r="AO26" s="137">
        <v>36564</v>
      </c>
      <c r="AP26" s="137">
        <v>32841</v>
      </c>
      <c r="AQ26" s="137">
        <v>35467</v>
      </c>
      <c r="AR26" s="137">
        <v>40081</v>
      </c>
      <c r="AS26" s="137">
        <v>41264</v>
      </c>
    </row>
    <row r="27" spans="1:45" x14ac:dyDescent="0.2">
      <c r="B27" s="136" t="s">
        <v>732</v>
      </c>
      <c r="C27" s="137">
        <v>0</v>
      </c>
      <c r="D27" s="137">
        <v>0</v>
      </c>
      <c r="E27" s="242">
        <v>0</v>
      </c>
      <c r="F27" s="137" t="s">
        <v>47</v>
      </c>
      <c r="G27" s="137" t="s">
        <v>47</v>
      </c>
      <c r="H27" s="137" t="s">
        <v>47</v>
      </c>
      <c r="I27" s="137" t="s">
        <v>47</v>
      </c>
      <c r="J27" s="137">
        <v>3707.2037100000002</v>
      </c>
      <c r="K27" s="137">
        <v>3749.6770000000006</v>
      </c>
      <c r="L27" s="137">
        <v>3784.1789899999999</v>
      </c>
      <c r="M27" s="137">
        <v>3662.2296899999983</v>
      </c>
      <c r="N27" s="137">
        <v>3644.5253099999995</v>
      </c>
      <c r="O27" s="137">
        <v>3899.6382600000015</v>
      </c>
      <c r="P27" s="137">
        <v>4071.1457599999972</v>
      </c>
      <c r="Q27" s="137">
        <v>13618.690670000002</v>
      </c>
      <c r="R27" s="137">
        <v>5902</v>
      </c>
      <c r="S27" s="137">
        <v>6133</v>
      </c>
      <c r="T27" s="137">
        <v>6652</v>
      </c>
      <c r="U27" s="137">
        <v>7194</v>
      </c>
      <c r="V27" s="137">
        <v>6634</v>
      </c>
      <c r="W27" s="137">
        <v>7182</v>
      </c>
      <c r="X27" s="137">
        <v>7594</v>
      </c>
      <c r="Y27" s="137">
        <v>7681</v>
      </c>
      <c r="Z27" s="137">
        <v>6940</v>
      </c>
      <c r="AA27" s="137">
        <v>5782</v>
      </c>
      <c r="AB27" s="137">
        <v>5557</v>
      </c>
      <c r="AC27" s="137">
        <v>5946</v>
      </c>
      <c r="AD27" s="137">
        <v>6002</v>
      </c>
      <c r="AE27" s="137">
        <v>5458</v>
      </c>
      <c r="AF27" s="137">
        <v>5574</v>
      </c>
      <c r="AG27" s="137">
        <v>5957</v>
      </c>
      <c r="AH27" s="137">
        <v>5824</v>
      </c>
      <c r="AI27" s="137">
        <v>6256</v>
      </c>
      <c r="AJ27" s="137">
        <v>6618</v>
      </c>
      <c r="AK27" s="137">
        <v>6865</v>
      </c>
      <c r="AL27" s="137">
        <v>6923</v>
      </c>
      <c r="AM27" s="137">
        <v>7294</v>
      </c>
      <c r="AN27" s="137">
        <v>7916</v>
      </c>
      <c r="AO27" s="137">
        <v>8546</v>
      </c>
      <c r="AP27" s="137">
        <v>8204</v>
      </c>
      <c r="AQ27" s="137">
        <v>8800</v>
      </c>
      <c r="AR27" s="137">
        <v>9964</v>
      </c>
      <c r="AS27" s="137">
        <v>12256</v>
      </c>
    </row>
    <row r="28" spans="1:45" x14ac:dyDescent="0.2">
      <c r="A28" s="195"/>
      <c r="B28" s="136" t="s">
        <v>85</v>
      </c>
      <c r="C28" s="137">
        <v>0</v>
      </c>
      <c r="D28" s="137">
        <v>0</v>
      </c>
      <c r="E28" s="242">
        <v>0</v>
      </c>
      <c r="F28" s="137" t="s">
        <v>47</v>
      </c>
      <c r="G28" s="137" t="s">
        <v>47</v>
      </c>
      <c r="H28" s="137" t="s">
        <v>47</v>
      </c>
      <c r="I28" s="137" t="s">
        <v>47</v>
      </c>
      <c r="J28" s="137">
        <v>2690.2913900000003</v>
      </c>
      <c r="K28" s="137">
        <v>2038.4157200000002</v>
      </c>
      <c r="L28" s="137">
        <v>1943.1405199999995</v>
      </c>
      <c r="M28" s="137">
        <v>2327.3946799999981</v>
      </c>
      <c r="N28" s="137">
        <v>1645.8598599999998</v>
      </c>
      <c r="O28" s="137">
        <v>1237.0188499999997</v>
      </c>
      <c r="P28" s="137">
        <v>1654.3516599999996</v>
      </c>
      <c r="Q28" s="137">
        <v>3845.7696300000016</v>
      </c>
      <c r="R28" s="137">
        <v>1605</v>
      </c>
      <c r="S28" s="137">
        <v>-194</v>
      </c>
      <c r="T28" s="137">
        <v>1666</v>
      </c>
      <c r="U28" s="137">
        <v>2107</v>
      </c>
      <c r="V28" s="137">
        <v>1852</v>
      </c>
      <c r="W28" s="137">
        <v>2096</v>
      </c>
      <c r="X28" s="137">
        <v>1862</v>
      </c>
      <c r="Y28" s="137">
        <v>1987</v>
      </c>
      <c r="Z28" s="137">
        <v>1953</v>
      </c>
      <c r="AA28" s="137">
        <v>3374</v>
      </c>
      <c r="AB28" s="137">
        <v>1617</v>
      </c>
      <c r="AC28" s="137">
        <v>1469</v>
      </c>
      <c r="AD28" s="137">
        <v>1593</v>
      </c>
      <c r="AE28" s="137">
        <v>1703</v>
      </c>
      <c r="AF28" s="137">
        <v>1217</v>
      </c>
      <c r="AG28" s="137">
        <v>1867</v>
      </c>
      <c r="AH28" s="137">
        <v>1539</v>
      </c>
      <c r="AI28" s="137">
        <v>1635</v>
      </c>
      <c r="AJ28" s="137">
        <v>1678</v>
      </c>
      <c r="AK28" s="137">
        <v>1923</v>
      </c>
      <c r="AL28" s="137">
        <v>1670</v>
      </c>
      <c r="AM28" s="137">
        <v>1879</v>
      </c>
      <c r="AN28" s="137">
        <v>2326</v>
      </c>
      <c r="AO28" s="137">
        <v>1872</v>
      </c>
      <c r="AP28" s="137">
        <v>2009</v>
      </c>
      <c r="AQ28" s="137">
        <v>2091</v>
      </c>
      <c r="AR28" s="137">
        <v>2299</v>
      </c>
      <c r="AS28" s="137">
        <v>2354</v>
      </c>
    </row>
    <row r="29" spans="1:45" x14ac:dyDescent="0.2">
      <c r="B29" s="196" t="s">
        <v>339</v>
      </c>
      <c r="C29" s="197">
        <f>+SUM(C30:C32)</f>
        <v>276536</v>
      </c>
      <c r="D29" s="197">
        <f t="shared" ref="D29:I29" si="27">+SUM(D30:D32)</f>
        <v>242469</v>
      </c>
      <c r="E29" s="243">
        <f t="shared" si="27"/>
        <v>78518</v>
      </c>
      <c r="F29" s="197">
        <f t="shared" si="27"/>
        <v>37840</v>
      </c>
      <c r="G29" s="197">
        <f t="shared" si="27"/>
        <v>36747</v>
      </c>
      <c r="H29" s="197">
        <f t="shared" si="27"/>
        <v>39413</v>
      </c>
      <c r="I29" s="197">
        <f t="shared" si="27"/>
        <v>24615</v>
      </c>
      <c r="J29" s="197">
        <f t="shared" ref="J29:O29" si="28">+SUM(J30:J32)</f>
        <v>25798</v>
      </c>
      <c r="K29" s="197">
        <f t="shared" si="28"/>
        <v>30051</v>
      </c>
      <c r="L29" s="197">
        <f t="shared" si="28"/>
        <v>32623</v>
      </c>
      <c r="M29" s="197">
        <f t="shared" si="28"/>
        <v>37990</v>
      </c>
      <c r="N29" s="197">
        <f t="shared" si="28"/>
        <v>31454</v>
      </c>
      <c r="O29" s="197">
        <f t="shared" si="28"/>
        <v>13536</v>
      </c>
      <c r="P29" s="197">
        <f t="shared" ref="P29:Z29" si="29">+SUM(P30:P32)</f>
        <v>42768</v>
      </c>
      <c r="Q29" s="197">
        <f t="shared" si="29"/>
        <v>16455</v>
      </c>
      <c r="R29" s="197">
        <f t="shared" si="29"/>
        <v>37006</v>
      </c>
      <c r="S29" s="197">
        <f t="shared" si="29"/>
        <v>40165</v>
      </c>
      <c r="T29" s="197">
        <f t="shared" si="29"/>
        <v>53565</v>
      </c>
      <c r="U29" s="197">
        <f t="shared" si="29"/>
        <v>43480</v>
      </c>
      <c r="V29" s="197">
        <f t="shared" si="29"/>
        <v>48774</v>
      </c>
      <c r="W29" s="197">
        <f t="shared" si="29"/>
        <v>48249</v>
      </c>
      <c r="X29" s="197">
        <f t="shared" si="29"/>
        <v>79604</v>
      </c>
      <c r="Y29" s="197">
        <f t="shared" si="29"/>
        <v>51970</v>
      </c>
      <c r="Z29" s="197">
        <f t="shared" si="29"/>
        <v>42161</v>
      </c>
      <c r="AA29" s="197">
        <f t="shared" ref="AA29:AF29" si="30">+SUM(AA30:AA32)</f>
        <v>14309</v>
      </c>
      <c r="AB29" s="197">
        <f t="shared" si="30"/>
        <v>47361</v>
      </c>
      <c r="AC29" s="197">
        <f t="shared" si="30"/>
        <v>46997</v>
      </c>
      <c r="AD29" s="197">
        <f t="shared" si="30"/>
        <v>37763</v>
      </c>
      <c r="AE29" s="197">
        <f t="shared" si="30"/>
        <v>34163</v>
      </c>
      <c r="AF29" s="197">
        <f t="shared" si="30"/>
        <v>20752</v>
      </c>
      <c r="AG29" s="197">
        <f t="shared" ref="AG29:AL29" si="31">+SUM(AG30:AG32)</f>
        <v>48009</v>
      </c>
      <c r="AH29" s="197">
        <f t="shared" si="31"/>
        <v>36105</v>
      </c>
      <c r="AI29" s="197">
        <f t="shared" si="31"/>
        <v>45556</v>
      </c>
      <c r="AJ29" s="197">
        <f t="shared" si="31"/>
        <v>67469</v>
      </c>
      <c r="AK29" s="197">
        <f>+SUM(AK30:AK32)</f>
        <v>67457</v>
      </c>
      <c r="AL29" s="197">
        <f t="shared" si="31"/>
        <v>52343</v>
      </c>
      <c r="AM29" s="197">
        <f t="shared" ref="AM29:AS29" si="32">+SUM(AM30:AM32)</f>
        <v>58312</v>
      </c>
      <c r="AN29" s="197">
        <f t="shared" si="32"/>
        <v>72159</v>
      </c>
      <c r="AO29" s="197">
        <f t="shared" si="32"/>
        <v>73898</v>
      </c>
      <c r="AP29" s="197">
        <f t="shared" si="32"/>
        <v>68078</v>
      </c>
      <c r="AQ29" s="197">
        <f t="shared" si="32"/>
        <v>81953</v>
      </c>
      <c r="AR29" s="197">
        <f t="shared" si="32"/>
        <v>113644</v>
      </c>
      <c r="AS29" s="197">
        <f t="shared" si="32"/>
        <v>116684</v>
      </c>
    </row>
    <row r="30" spans="1:45" x14ac:dyDescent="0.2">
      <c r="B30" s="136" t="s">
        <v>340</v>
      </c>
      <c r="C30" s="137">
        <v>151047</v>
      </c>
      <c r="D30" s="137">
        <v>118191</v>
      </c>
      <c r="E30" s="242">
        <v>49525</v>
      </c>
      <c r="F30" s="137">
        <v>16109</v>
      </c>
      <c r="G30" s="137">
        <v>15028</v>
      </c>
      <c r="H30" s="137">
        <v>17348</v>
      </c>
      <c r="I30" s="137">
        <v>4534</v>
      </c>
      <c r="J30" s="137">
        <v>12808</v>
      </c>
      <c r="K30" s="137">
        <v>16038</v>
      </c>
      <c r="L30" s="137">
        <v>18428</v>
      </c>
      <c r="M30" s="137">
        <v>24713</v>
      </c>
      <c r="N30" s="137">
        <v>17923</v>
      </c>
      <c r="O30" s="137">
        <v>8435</v>
      </c>
      <c r="P30" s="137">
        <v>25711</v>
      </c>
      <c r="Q30" s="137">
        <v>-2563</v>
      </c>
      <c r="R30" s="137">
        <v>21578</v>
      </c>
      <c r="S30" s="137">
        <v>23387</v>
      </c>
      <c r="T30" s="137">
        <v>28550</v>
      </c>
      <c r="U30" s="137">
        <v>22292</v>
      </c>
      <c r="V30" s="137">
        <v>26985</v>
      </c>
      <c r="W30" s="137">
        <v>28011</v>
      </c>
      <c r="X30" s="137">
        <v>59570</v>
      </c>
      <c r="Y30" s="137">
        <v>27879</v>
      </c>
      <c r="Z30" s="137">
        <v>22468</v>
      </c>
      <c r="AA30" s="137">
        <v>4527</v>
      </c>
      <c r="AB30" s="137">
        <v>26986</v>
      </c>
      <c r="AC30" s="137">
        <v>25211</v>
      </c>
      <c r="AD30" s="137">
        <v>20054</v>
      </c>
      <c r="AE30" s="137">
        <v>16643</v>
      </c>
      <c r="AF30" s="137">
        <v>2684</v>
      </c>
      <c r="AG30" s="137">
        <v>24499</v>
      </c>
      <c r="AH30" s="137">
        <v>17774</v>
      </c>
      <c r="AI30" s="137">
        <v>22841</v>
      </c>
      <c r="AJ30" s="137">
        <v>35979</v>
      </c>
      <c r="AK30" s="137">
        <v>36157</v>
      </c>
      <c r="AL30" s="137">
        <v>26730</v>
      </c>
      <c r="AM30" s="137">
        <v>29373</v>
      </c>
      <c r="AN30" s="137">
        <v>38244</v>
      </c>
      <c r="AO30" s="137">
        <v>37474</v>
      </c>
      <c r="AP30" s="137">
        <v>35520</v>
      </c>
      <c r="AQ30" s="137">
        <v>44173</v>
      </c>
      <c r="AR30" s="137">
        <v>65355</v>
      </c>
      <c r="AS30" s="137">
        <v>66449</v>
      </c>
    </row>
    <row r="31" spans="1:45" x14ac:dyDescent="0.2">
      <c r="B31" s="136" t="s">
        <v>341</v>
      </c>
      <c r="C31" s="137">
        <v>117202</v>
      </c>
      <c r="D31" s="137">
        <v>116549</v>
      </c>
      <c r="E31" s="242">
        <v>26995</v>
      </c>
      <c r="F31" s="137">
        <v>20055</v>
      </c>
      <c r="G31" s="137">
        <v>20139</v>
      </c>
      <c r="H31" s="137">
        <v>20334</v>
      </c>
      <c r="I31" s="137">
        <v>18426</v>
      </c>
      <c r="J31" s="137">
        <v>11419</v>
      </c>
      <c r="K31" s="137">
        <v>12510</v>
      </c>
      <c r="L31" s="137">
        <v>12855</v>
      </c>
      <c r="M31" s="137">
        <v>11732</v>
      </c>
      <c r="N31" s="137">
        <v>12007</v>
      </c>
      <c r="O31" s="137">
        <v>3625</v>
      </c>
      <c r="P31" s="137">
        <v>15493</v>
      </c>
      <c r="Q31" s="137">
        <v>17301</v>
      </c>
      <c r="R31" s="137">
        <v>14084</v>
      </c>
      <c r="S31" s="137">
        <v>15366</v>
      </c>
      <c r="T31" s="137">
        <v>23610</v>
      </c>
      <c r="U31" s="137">
        <v>19719</v>
      </c>
      <c r="V31" s="137">
        <v>20522</v>
      </c>
      <c r="W31" s="137">
        <v>18854</v>
      </c>
      <c r="X31" s="137">
        <v>18609</v>
      </c>
      <c r="Y31" s="137">
        <v>22469</v>
      </c>
      <c r="Z31" s="137">
        <v>18031</v>
      </c>
      <c r="AA31" s="137">
        <v>8428</v>
      </c>
      <c r="AB31" s="137">
        <v>19010</v>
      </c>
      <c r="AC31" s="137">
        <v>20560</v>
      </c>
      <c r="AD31" s="137">
        <v>16645</v>
      </c>
      <c r="AE31" s="137">
        <v>16401</v>
      </c>
      <c r="AF31" s="137">
        <v>16811</v>
      </c>
      <c r="AG31" s="137">
        <v>22366</v>
      </c>
      <c r="AH31" s="137">
        <v>16745</v>
      </c>
      <c r="AI31" s="137">
        <v>21501</v>
      </c>
      <c r="AJ31" s="137">
        <v>29883</v>
      </c>
      <c r="AK31" s="137">
        <v>29853</v>
      </c>
      <c r="AL31" s="137">
        <v>23967</v>
      </c>
      <c r="AM31" s="137">
        <v>27547</v>
      </c>
      <c r="AN31" s="137">
        <v>32167</v>
      </c>
      <c r="AO31" s="137">
        <v>34646</v>
      </c>
      <c r="AP31" s="137">
        <v>30930</v>
      </c>
      <c r="AQ31" s="137">
        <v>35819</v>
      </c>
      <c r="AR31" s="137">
        <v>45760</v>
      </c>
      <c r="AS31" s="137">
        <v>47898</v>
      </c>
    </row>
    <row r="32" spans="1:45" x14ac:dyDescent="0.2">
      <c r="B32" s="136" t="s">
        <v>342</v>
      </c>
      <c r="C32" s="137">
        <v>8287</v>
      </c>
      <c r="D32" s="137">
        <v>7729</v>
      </c>
      <c r="E32" s="242">
        <v>1998</v>
      </c>
      <c r="F32" s="137">
        <v>1676</v>
      </c>
      <c r="G32" s="137">
        <v>1580</v>
      </c>
      <c r="H32" s="137">
        <v>1731</v>
      </c>
      <c r="I32" s="137">
        <v>1655</v>
      </c>
      <c r="J32" s="137">
        <v>1571</v>
      </c>
      <c r="K32" s="137">
        <v>1503</v>
      </c>
      <c r="L32" s="137">
        <v>1340</v>
      </c>
      <c r="M32" s="137">
        <v>1545</v>
      </c>
      <c r="N32" s="137">
        <v>1524</v>
      </c>
      <c r="O32" s="137">
        <v>1476</v>
      </c>
      <c r="P32" s="137">
        <v>1564</v>
      </c>
      <c r="Q32" s="137">
        <v>1717</v>
      </c>
      <c r="R32" s="137">
        <v>1344</v>
      </c>
      <c r="S32" s="137">
        <v>1412</v>
      </c>
      <c r="T32" s="137">
        <v>1405</v>
      </c>
      <c r="U32" s="137">
        <v>1469</v>
      </c>
      <c r="V32" s="137">
        <v>1267</v>
      </c>
      <c r="W32" s="137">
        <v>1384</v>
      </c>
      <c r="X32" s="137">
        <v>1425</v>
      </c>
      <c r="Y32" s="137">
        <v>1622</v>
      </c>
      <c r="Z32" s="137">
        <v>1662</v>
      </c>
      <c r="AA32" s="137">
        <v>1354</v>
      </c>
      <c r="AB32" s="137">
        <v>1365</v>
      </c>
      <c r="AC32" s="137">
        <v>1226</v>
      </c>
      <c r="AD32" s="137">
        <v>1064</v>
      </c>
      <c r="AE32" s="137">
        <v>1119</v>
      </c>
      <c r="AF32" s="137">
        <v>1257</v>
      </c>
      <c r="AG32" s="137">
        <v>1144</v>
      </c>
      <c r="AH32" s="137">
        <v>1586</v>
      </c>
      <c r="AI32" s="137">
        <v>1214</v>
      </c>
      <c r="AJ32" s="137">
        <v>1607</v>
      </c>
      <c r="AK32" s="137">
        <v>1447</v>
      </c>
      <c r="AL32" s="137">
        <v>1646</v>
      </c>
      <c r="AM32" s="137">
        <v>1392</v>
      </c>
      <c r="AN32" s="137">
        <v>1748</v>
      </c>
      <c r="AO32" s="137">
        <v>1778</v>
      </c>
      <c r="AP32" s="137">
        <v>1628</v>
      </c>
      <c r="AQ32" s="137">
        <v>1961</v>
      </c>
      <c r="AR32" s="137">
        <v>2529</v>
      </c>
      <c r="AS32" s="137">
        <v>2337</v>
      </c>
    </row>
    <row r="33" spans="2:45" x14ac:dyDescent="0.2">
      <c r="B33" s="196" t="s">
        <v>343</v>
      </c>
      <c r="C33" s="197">
        <f>+SUM(C34:C37)</f>
        <v>276165</v>
      </c>
      <c r="D33" s="197">
        <f t="shared" ref="D33:I33" si="33">+SUM(D34:D37)</f>
        <v>174352</v>
      </c>
      <c r="E33" s="243">
        <f t="shared" si="33"/>
        <v>55549</v>
      </c>
      <c r="F33" s="197">
        <f t="shared" si="33"/>
        <v>43139</v>
      </c>
      <c r="G33" s="197">
        <f t="shared" si="33"/>
        <v>36567</v>
      </c>
      <c r="H33" s="197">
        <f t="shared" si="33"/>
        <v>35462</v>
      </c>
      <c r="I33" s="197">
        <f t="shared" si="33"/>
        <v>28868</v>
      </c>
      <c r="J33" s="197">
        <f t="shared" ref="J33:O33" si="34">+SUM(J34:J37)</f>
        <v>27609</v>
      </c>
      <c r="K33" s="197">
        <f t="shared" si="34"/>
        <v>24192</v>
      </c>
      <c r="L33" s="197">
        <f t="shared" si="34"/>
        <v>33243</v>
      </c>
      <c r="M33" s="197">
        <f t="shared" si="34"/>
        <v>35949</v>
      </c>
      <c r="N33" s="197">
        <f t="shared" si="34"/>
        <v>25341</v>
      </c>
      <c r="O33" s="197">
        <f t="shared" si="34"/>
        <v>42206</v>
      </c>
      <c r="P33" s="197">
        <f t="shared" ref="P33:Z33" si="35">+SUM(P34:P37)</f>
        <v>33877</v>
      </c>
      <c r="Q33" s="197">
        <f t="shared" si="35"/>
        <v>75254</v>
      </c>
      <c r="R33" s="197">
        <f t="shared" si="35"/>
        <v>28032</v>
      </c>
      <c r="S33" s="197">
        <f t="shared" si="35"/>
        <v>41123</v>
      </c>
      <c r="T33" s="197">
        <f t="shared" si="35"/>
        <v>55291</v>
      </c>
      <c r="U33" s="197">
        <f t="shared" si="35"/>
        <v>56111</v>
      </c>
      <c r="V33" s="197">
        <f t="shared" si="35"/>
        <v>34173</v>
      </c>
      <c r="W33" s="197">
        <f t="shared" si="35"/>
        <v>34801</v>
      </c>
      <c r="X33" s="197">
        <f t="shared" si="35"/>
        <v>102951</v>
      </c>
      <c r="Y33" s="197">
        <f t="shared" si="35"/>
        <v>50127</v>
      </c>
      <c r="Z33" s="197">
        <f t="shared" si="35"/>
        <v>40465</v>
      </c>
      <c r="AA33" s="197">
        <f>+SUM(AA34:AA37)</f>
        <v>5643</v>
      </c>
      <c r="AB33" s="197">
        <f>+SUM(AB34:AB37)</f>
        <v>32595</v>
      </c>
      <c r="AC33" s="197">
        <f>+SUM(AC34:AC37)</f>
        <v>34828</v>
      </c>
      <c r="AD33" s="197">
        <f t="shared" ref="AD33:AI33" si="36">+SUM(AD34:AD38)</f>
        <v>24751</v>
      </c>
      <c r="AE33" s="197">
        <f t="shared" si="36"/>
        <v>28773</v>
      </c>
      <c r="AF33" s="197">
        <f t="shared" si="36"/>
        <v>39365</v>
      </c>
      <c r="AG33" s="197">
        <f t="shared" si="36"/>
        <v>38665</v>
      </c>
      <c r="AH33" s="197">
        <f t="shared" si="36"/>
        <v>26524</v>
      </c>
      <c r="AI33" s="197">
        <f t="shared" si="36"/>
        <v>39274</v>
      </c>
      <c r="AJ33" s="197">
        <f t="shared" ref="AJ33:AO33" si="37">+SUM(AJ34:AJ38)</f>
        <v>58960</v>
      </c>
      <c r="AK33" s="197">
        <f t="shared" si="37"/>
        <v>62628</v>
      </c>
      <c r="AL33" s="197">
        <f t="shared" si="37"/>
        <v>43011</v>
      </c>
      <c r="AM33" s="197">
        <f t="shared" si="37"/>
        <v>49131</v>
      </c>
      <c r="AN33" s="197">
        <f t="shared" si="37"/>
        <v>63416</v>
      </c>
      <c r="AO33" s="197">
        <f t="shared" si="37"/>
        <v>61481</v>
      </c>
      <c r="AP33" s="197">
        <f>+SUM(AP34:AP38)</f>
        <v>46365</v>
      </c>
      <c r="AQ33" s="197">
        <f>+SUM(AQ34:AQ38)</f>
        <v>75145</v>
      </c>
      <c r="AR33" s="197">
        <f>+SUM(AR34:AR38)</f>
        <v>101981</v>
      </c>
      <c r="AS33" s="197">
        <f>+SUM(AS34:AS38)</f>
        <v>101032</v>
      </c>
    </row>
    <row r="34" spans="2:45" x14ac:dyDescent="0.2">
      <c r="B34" s="136" t="s">
        <v>344</v>
      </c>
      <c r="C34" s="137">
        <v>151385</v>
      </c>
      <c r="D34" s="137">
        <v>119133</v>
      </c>
      <c r="E34" s="242">
        <v>24653</v>
      </c>
      <c r="F34" s="137">
        <v>17705</v>
      </c>
      <c r="G34" s="137">
        <v>16495</v>
      </c>
      <c r="H34" s="137">
        <v>14912</v>
      </c>
      <c r="I34" s="137">
        <v>19635</v>
      </c>
      <c r="J34" s="137">
        <v>16295</v>
      </c>
      <c r="K34" s="137">
        <v>13908</v>
      </c>
      <c r="L34" s="137">
        <v>18995</v>
      </c>
      <c r="M34" s="137">
        <v>13159</v>
      </c>
      <c r="N34" s="137">
        <v>9594</v>
      </c>
      <c r="O34" s="137">
        <v>8091</v>
      </c>
      <c r="P34" s="137">
        <v>8692</v>
      </c>
      <c r="Q34" s="137">
        <v>5435</v>
      </c>
      <c r="R34" s="137">
        <v>4564</v>
      </c>
      <c r="S34" s="137">
        <v>3829</v>
      </c>
      <c r="T34" s="137">
        <v>15150</v>
      </c>
      <c r="U34" s="137">
        <v>10293</v>
      </c>
      <c r="V34" s="137">
        <v>5694</v>
      </c>
      <c r="W34" s="137">
        <v>-361</v>
      </c>
      <c r="X34" s="137">
        <v>9818</v>
      </c>
      <c r="Y34" s="137">
        <v>4272</v>
      </c>
      <c r="Z34" s="137">
        <v>19057</v>
      </c>
      <c r="AA34" s="137">
        <v>8867</v>
      </c>
      <c r="AB34" s="137">
        <v>1296</v>
      </c>
      <c r="AC34" s="137">
        <v>4019</v>
      </c>
      <c r="AD34" s="137">
        <v>4417</v>
      </c>
      <c r="AE34" s="137">
        <v>3983</v>
      </c>
      <c r="AF34" s="137">
        <v>4347</v>
      </c>
      <c r="AG34" s="137">
        <v>8536</v>
      </c>
      <c r="AH34" s="137">
        <v>6814</v>
      </c>
      <c r="AI34" s="137">
        <v>6934</v>
      </c>
      <c r="AJ34" s="137">
        <v>3763</v>
      </c>
      <c r="AK34" s="137">
        <v>4479</v>
      </c>
      <c r="AL34" s="137">
        <v>6870</v>
      </c>
      <c r="AM34" s="137">
        <v>7580</v>
      </c>
      <c r="AN34" s="137">
        <v>6026</v>
      </c>
      <c r="AO34" s="137">
        <v>7171</v>
      </c>
      <c r="AP34" s="137">
        <v>6622</v>
      </c>
      <c r="AQ34" s="137">
        <v>6460</v>
      </c>
      <c r="AR34" s="137">
        <v>6644</v>
      </c>
      <c r="AS34" s="137">
        <v>6786</v>
      </c>
    </row>
    <row r="35" spans="2:45" x14ac:dyDescent="0.2">
      <c r="B35" s="136" t="s">
        <v>345</v>
      </c>
      <c r="C35" s="137">
        <v>85304</v>
      </c>
      <c r="D35" s="137">
        <v>78164</v>
      </c>
      <c r="E35" s="242">
        <v>17499</v>
      </c>
      <c r="F35" s="137">
        <v>17934</v>
      </c>
      <c r="G35" s="137">
        <v>18889</v>
      </c>
      <c r="H35" s="137">
        <v>15449</v>
      </c>
      <c r="I35" s="137">
        <v>13087</v>
      </c>
      <c r="J35" s="137">
        <v>13217</v>
      </c>
      <c r="K35" s="137">
        <v>10972</v>
      </c>
      <c r="L35" s="137">
        <v>10407</v>
      </c>
      <c r="M35" s="137">
        <v>10214</v>
      </c>
      <c r="N35" s="137">
        <v>10295</v>
      </c>
      <c r="O35" s="137">
        <v>10058</v>
      </c>
      <c r="P35" s="137">
        <v>9899</v>
      </c>
      <c r="Q35" s="137">
        <v>10851</v>
      </c>
      <c r="R35" s="137">
        <v>9472</v>
      </c>
      <c r="S35" s="137">
        <v>9109</v>
      </c>
      <c r="T35" s="137">
        <v>9034</v>
      </c>
      <c r="U35" s="137">
        <v>10857</v>
      </c>
      <c r="V35" s="137">
        <v>1858</v>
      </c>
      <c r="W35" s="137">
        <v>2648</v>
      </c>
      <c r="X35" s="137">
        <v>1741</v>
      </c>
      <c r="Y35" s="137">
        <v>2410</v>
      </c>
      <c r="Z35" s="137">
        <v>2122</v>
      </c>
      <c r="AA35" s="137">
        <v>1139</v>
      </c>
      <c r="AB35" s="137">
        <v>1360</v>
      </c>
      <c r="AC35" s="137">
        <v>2045</v>
      </c>
      <c r="AD35" s="137">
        <v>176</v>
      </c>
      <c r="AE35" s="137">
        <v>634</v>
      </c>
      <c r="AF35" s="137">
        <v>825</v>
      </c>
      <c r="AG35" s="137">
        <v>851</v>
      </c>
      <c r="AH35" s="137">
        <v>927</v>
      </c>
      <c r="AI35" s="137">
        <v>1760</v>
      </c>
      <c r="AJ35" s="137">
        <v>1728</v>
      </c>
      <c r="AK35" s="137">
        <v>1317</v>
      </c>
      <c r="AL35" s="137">
        <v>1418</v>
      </c>
      <c r="AM35" s="137">
        <v>1695</v>
      </c>
      <c r="AN35" s="137">
        <v>1078</v>
      </c>
      <c r="AO35" s="137">
        <v>3289</v>
      </c>
      <c r="AP35" s="137">
        <v>2228</v>
      </c>
      <c r="AQ35" s="137">
        <v>5170</v>
      </c>
      <c r="AR35" s="137">
        <v>10892</v>
      </c>
      <c r="AS35" s="137">
        <v>9109</v>
      </c>
    </row>
    <row r="36" spans="2:45" x14ac:dyDescent="0.2">
      <c r="B36" s="136" t="s">
        <v>175</v>
      </c>
      <c r="C36" s="137">
        <v>60000</v>
      </c>
      <c r="D36" s="137">
        <v>0</v>
      </c>
      <c r="E36" s="242">
        <v>0</v>
      </c>
      <c r="F36" s="137">
        <v>0</v>
      </c>
      <c r="G36" s="137">
        <v>0</v>
      </c>
      <c r="H36" s="137">
        <v>5000</v>
      </c>
      <c r="I36" s="137">
        <v>0</v>
      </c>
      <c r="J36" s="137">
        <v>0</v>
      </c>
      <c r="K36" s="137">
        <v>0</v>
      </c>
      <c r="L36" s="137">
        <v>0</v>
      </c>
      <c r="M36" s="137">
        <v>8000</v>
      </c>
      <c r="N36" s="137">
        <v>0</v>
      </c>
      <c r="O36" s="137">
        <v>14750</v>
      </c>
      <c r="P36" s="137">
        <v>0</v>
      </c>
      <c r="Q36" s="137">
        <v>46499</v>
      </c>
      <c r="R36" s="137">
        <v>0</v>
      </c>
      <c r="S36" s="137">
        <v>0</v>
      </c>
      <c r="T36" s="137">
        <v>21090</v>
      </c>
      <c r="U36" s="137">
        <v>43860</v>
      </c>
      <c r="V36" s="137">
        <v>0</v>
      </c>
      <c r="W36" s="137">
        <v>0</v>
      </c>
      <c r="X36" s="137">
        <v>29568</v>
      </c>
      <c r="Y36" s="137">
        <v>45696</v>
      </c>
      <c r="Z36" s="137">
        <v>0</v>
      </c>
      <c r="AA36" s="137">
        <v>0</v>
      </c>
      <c r="AB36" s="137">
        <v>0</v>
      </c>
      <c r="AC36" s="137">
        <v>34972</v>
      </c>
      <c r="AD36" s="137">
        <v>0</v>
      </c>
      <c r="AE36" s="137">
        <v>0</v>
      </c>
      <c r="AF36" s="137">
        <v>22157</v>
      </c>
      <c r="AG36" s="137">
        <v>39275</v>
      </c>
      <c r="AH36" s="137">
        <v>0</v>
      </c>
      <c r="AI36" s="137">
        <v>0</v>
      </c>
      <c r="AJ36" s="137">
        <v>24589</v>
      </c>
      <c r="AK36" s="137">
        <v>27035</v>
      </c>
      <c r="AL36" s="137">
        <v>0</v>
      </c>
      <c r="AM36" s="137">
        <v>0</v>
      </c>
      <c r="AN36" s="137">
        <v>37585</v>
      </c>
      <c r="AO36" s="137">
        <v>35606</v>
      </c>
      <c r="AP36" s="137">
        <v>0</v>
      </c>
      <c r="AQ36" s="137">
        <v>0</v>
      </c>
      <c r="AR36" s="137">
        <v>80444</v>
      </c>
      <c r="AS36" s="137">
        <v>50772</v>
      </c>
    </row>
    <row r="37" spans="2:45" x14ac:dyDescent="0.2">
      <c r="B37" s="136" t="s">
        <v>346</v>
      </c>
      <c r="C37" s="137">
        <v>-20524</v>
      </c>
      <c r="D37" s="137">
        <v>-22945</v>
      </c>
      <c r="E37" s="242">
        <v>13397</v>
      </c>
      <c r="F37" s="137">
        <v>7500</v>
      </c>
      <c r="G37" s="137">
        <v>1183</v>
      </c>
      <c r="H37" s="137">
        <f>5101-H36</f>
        <v>101</v>
      </c>
      <c r="I37" s="137">
        <v>-3854</v>
      </c>
      <c r="J37" s="137">
        <v>-1903</v>
      </c>
      <c r="K37" s="137">
        <v>-688</v>
      </c>
      <c r="L37" s="137">
        <v>3841</v>
      </c>
      <c r="M37" s="137">
        <v>4576</v>
      </c>
      <c r="N37" s="137">
        <v>5452</v>
      </c>
      <c r="O37" s="137">
        <f>24057-O36</f>
        <v>9307</v>
      </c>
      <c r="P37" s="137">
        <v>15286</v>
      </c>
      <c r="Q37" s="137">
        <v>12469</v>
      </c>
      <c r="R37" s="137">
        <v>13996</v>
      </c>
      <c r="S37" s="137">
        <v>28185</v>
      </c>
      <c r="T37" s="137">
        <v>10017</v>
      </c>
      <c r="U37" s="137">
        <v>-8899</v>
      </c>
      <c r="V37" s="137">
        <v>26621</v>
      </c>
      <c r="W37" s="137">
        <v>32514</v>
      </c>
      <c r="X37" s="137">
        <v>61824</v>
      </c>
      <c r="Y37" s="137">
        <v>-2251</v>
      </c>
      <c r="Z37" s="137">
        <v>19286</v>
      </c>
      <c r="AA37" s="137">
        <v>-4363</v>
      </c>
      <c r="AB37" s="137">
        <v>29939</v>
      </c>
      <c r="AC37" s="137">
        <v>-6208</v>
      </c>
      <c r="AD37" s="137">
        <v>20248</v>
      </c>
      <c r="AE37" s="137">
        <v>24184</v>
      </c>
      <c r="AF37" s="137">
        <v>12080</v>
      </c>
      <c r="AG37" s="137">
        <v>-9851</v>
      </c>
      <c r="AH37" s="137">
        <v>18708</v>
      </c>
      <c r="AI37" s="137">
        <v>30471</v>
      </c>
      <c r="AJ37" s="137">
        <v>28806</v>
      </c>
      <c r="AK37" s="137">
        <v>29687</v>
      </c>
      <c r="AL37" s="137">
        <v>34499</v>
      </c>
      <c r="AM37" s="137">
        <v>39660</v>
      </c>
      <c r="AN37" s="137">
        <v>18591</v>
      </c>
      <c r="AO37" s="137">
        <v>15471</v>
      </c>
      <c r="AP37" s="137">
        <v>37283</v>
      </c>
      <c r="AQ37" s="137">
        <v>63252</v>
      </c>
      <c r="AR37" s="137">
        <v>3777</v>
      </c>
      <c r="AS37" s="137">
        <v>34289</v>
      </c>
    </row>
    <row r="38" spans="2:45" x14ac:dyDescent="0.2">
      <c r="B38" s="136">
        <v>0</v>
      </c>
      <c r="C38" s="137" t="s">
        <v>47</v>
      </c>
      <c r="D38" s="137" t="s">
        <v>47</v>
      </c>
      <c r="E38" s="242" t="s">
        <v>47</v>
      </c>
      <c r="F38" s="137" t="s">
        <v>47</v>
      </c>
      <c r="G38" s="137" t="s">
        <v>47</v>
      </c>
      <c r="H38" s="137" t="s">
        <v>47</v>
      </c>
      <c r="I38" s="137" t="s">
        <v>47</v>
      </c>
      <c r="J38" s="137" t="s">
        <v>47</v>
      </c>
      <c r="K38" s="137" t="s">
        <v>47</v>
      </c>
      <c r="L38" s="137" t="s">
        <v>47</v>
      </c>
      <c r="M38" s="137" t="s">
        <v>47</v>
      </c>
      <c r="N38" s="137" t="s">
        <v>47</v>
      </c>
      <c r="O38" s="137" t="s">
        <v>47</v>
      </c>
      <c r="P38" s="137" t="s">
        <v>47</v>
      </c>
      <c r="Q38" s="137" t="s">
        <v>47</v>
      </c>
      <c r="R38" s="137" t="s">
        <v>47</v>
      </c>
      <c r="S38" s="137" t="s">
        <v>47</v>
      </c>
      <c r="T38" s="137" t="s">
        <v>47</v>
      </c>
      <c r="U38" s="137" t="s">
        <v>47</v>
      </c>
      <c r="V38" s="137" t="s">
        <v>47</v>
      </c>
      <c r="W38" s="137" t="s">
        <v>47</v>
      </c>
      <c r="X38" s="137" t="s">
        <v>47</v>
      </c>
      <c r="Y38" s="137" t="s">
        <v>47</v>
      </c>
      <c r="Z38" s="137">
        <v>0</v>
      </c>
      <c r="AA38" s="137">
        <v>0</v>
      </c>
      <c r="AB38" s="137">
        <v>0</v>
      </c>
      <c r="AC38" s="137">
        <v>-117</v>
      </c>
      <c r="AD38" s="137">
        <v>-90</v>
      </c>
      <c r="AE38" s="137">
        <v>-28</v>
      </c>
      <c r="AF38" s="137">
        <v>-44</v>
      </c>
      <c r="AG38" s="137">
        <v>-146</v>
      </c>
      <c r="AH38" s="137">
        <v>75</v>
      </c>
      <c r="AI38" s="137">
        <v>109</v>
      </c>
      <c r="AJ38" s="137">
        <v>74</v>
      </c>
      <c r="AK38" s="137">
        <v>110</v>
      </c>
      <c r="AL38" s="137">
        <v>224</v>
      </c>
      <c r="AM38" s="137">
        <v>196</v>
      </c>
      <c r="AN38" s="137">
        <v>136</v>
      </c>
      <c r="AO38" s="137">
        <v>-56</v>
      </c>
      <c r="AP38" s="137">
        <v>232</v>
      </c>
      <c r="AQ38" s="137">
        <v>263</v>
      </c>
      <c r="AR38" s="137">
        <v>224</v>
      </c>
      <c r="AS38" s="137">
        <v>76</v>
      </c>
    </row>
    <row r="39" spans="2:45" x14ac:dyDescent="0.2">
      <c r="B39" s="240" t="s">
        <v>347</v>
      </c>
      <c r="C39" s="241">
        <f t="shared" ref="C39:Z39" si="38">+SUM(C33,C29,C22)</f>
        <v>830685</v>
      </c>
      <c r="D39" s="241">
        <f t="shared" si="38"/>
        <v>619752</v>
      </c>
      <c r="E39" s="244">
        <f t="shared" si="38"/>
        <v>179928</v>
      </c>
      <c r="F39" s="241">
        <f t="shared" si="38"/>
        <v>121259</v>
      </c>
      <c r="G39" s="241">
        <f t="shared" si="38"/>
        <v>114366</v>
      </c>
      <c r="H39" s="241">
        <f t="shared" si="38"/>
        <v>115374</v>
      </c>
      <c r="I39" s="241">
        <f t="shared" si="38"/>
        <v>90776</v>
      </c>
      <c r="J39" s="241">
        <f t="shared" si="38"/>
        <v>87583.659289999996</v>
      </c>
      <c r="K39" s="241">
        <f t="shared" si="38"/>
        <v>88712.41657000003</v>
      </c>
      <c r="L39" s="241">
        <f t="shared" si="38"/>
        <v>99025.293279999983</v>
      </c>
      <c r="M39" s="241">
        <f t="shared" si="38"/>
        <v>106179.52832999999</v>
      </c>
      <c r="N39" s="241">
        <f t="shared" si="38"/>
        <v>88189.059510000006</v>
      </c>
      <c r="O39" s="241">
        <f t="shared" si="38"/>
        <v>88835.008000000016</v>
      </c>
      <c r="P39" s="241">
        <f t="shared" si="38"/>
        <v>111638.30072999997</v>
      </c>
      <c r="Q39" s="241">
        <f t="shared" si="38"/>
        <v>130899.63176000002</v>
      </c>
      <c r="R39" s="241">
        <f t="shared" si="38"/>
        <v>97949</v>
      </c>
      <c r="S39" s="241">
        <f t="shared" si="38"/>
        <v>114011</v>
      </c>
      <c r="T39" s="241">
        <f t="shared" si="38"/>
        <v>144530</v>
      </c>
      <c r="U39" s="241">
        <f t="shared" si="38"/>
        <v>138368</v>
      </c>
      <c r="V39" s="241">
        <f t="shared" si="38"/>
        <v>116575</v>
      </c>
      <c r="W39" s="241">
        <f t="shared" si="38"/>
        <v>123308</v>
      </c>
      <c r="X39" s="241">
        <f t="shared" si="38"/>
        <v>222165</v>
      </c>
      <c r="Y39" s="241">
        <f t="shared" si="38"/>
        <v>143942</v>
      </c>
      <c r="Z39" s="241">
        <f t="shared" si="38"/>
        <v>121094</v>
      </c>
      <c r="AA39" s="241">
        <f t="shared" ref="AA39:AF39" si="39">+SUM(AA33,AA29,AA22)</f>
        <v>52631</v>
      </c>
      <c r="AB39" s="241">
        <f t="shared" si="39"/>
        <v>110283</v>
      </c>
      <c r="AC39" s="241">
        <f t="shared" si="39"/>
        <v>113177</v>
      </c>
      <c r="AD39" s="241">
        <f t="shared" si="39"/>
        <v>92793</v>
      </c>
      <c r="AE39" s="241">
        <f t="shared" si="39"/>
        <v>94624</v>
      </c>
      <c r="AF39" s="241">
        <f t="shared" si="39"/>
        <v>89307</v>
      </c>
      <c r="AG39" s="241">
        <f t="shared" ref="AG39:AL39" si="40">+SUM(AG33,AG29,AG22)</f>
        <v>121773</v>
      </c>
      <c r="AH39" s="241">
        <f t="shared" si="40"/>
        <v>94377</v>
      </c>
      <c r="AI39" s="241">
        <f t="shared" si="40"/>
        <v>121287</v>
      </c>
      <c r="AJ39" s="241">
        <f t="shared" si="40"/>
        <v>163776</v>
      </c>
      <c r="AK39" s="241">
        <f>+SUM(AK33,AK29,AK22)</f>
        <v>171175</v>
      </c>
      <c r="AL39" s="241">
        <f t="shared" si="40"/>
        <v>133069</v>
      </c>
      <c r="AM39" s="241">
        <f t="shared" ref="AM39:AS39" si="41">+SUM(AM33,AM29,AM22)</f>
        <v>149723</v>
      </c>
      <c r="AN39" s="241">
        <f t="shared" si="41"/>
        <v>180092</v>
      </c>
      <c r="AO39" s="241">
        <f t="shared" si="41"/>
        <v>182361</v>
      </c>
      <c r="AP39" s="241">
        <f t="shared" si="41"/>
        <v>157497</v>
      </c>
      <c r="AQ39" s="241">
        <f t="shared" si="41"/>
        <v>203456</v>
      </c>
      <c r="AR39" s="241">
        <f t="shared" si="41"/>
        <v>267969</v>
      </c>
      <c r="AS39" s="241">
        <f t="shared" si="41"/>
        <v>273590</v>
      </c>
    </row>
    <row r="40" spans="2:45" x14ac:dyDescent="0.2">
      <c r="C40" s="42"/>
      <c r="D40" s="42"/>
      <c r="E40" s="42"/>
    </row>
    <row r="41" spans="2:45" x14ac:dyDescent="0.2">
      <c r="C41" s="42"/>
      <c r="D41" s="42"/>
      <c r="E41" s="42"/>
    </row>
    <row r="42" spans="2:45" x14ac:dyDescent="0.2">
      <c r="C42" s="42"/>
      <c r="D42" s="42"/>
      <c r="E42" s="42"/>
    </row>
    <row r="43" spans="2:45" x14ac:dyDescent="0.2">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5">
    <tabColor theme="9"/>
    <pageSetUpPr autoPageBreaks="0"/>
  </sheetPr>
  <dimension ref="A1:Q349"/>
  <sheetViews>
    <sheetView showGridLines="0" zoomScaleNormal="100" workbookViewId="0">
      <pane xSplit="2" ySplit="5" topLeftCell="C336" activePane="bottomRight" state="frozen"/>
      <selection pane="topRight" activeCell="C1" sqref="C1"/>
      <selection pane="bottomLeft" activeCell="A6" sqref="A6"/>
      <selection pane="bottomRight" activeCell="C98" sqref="C98"/>
    </sheetView>
  </sheetViews>
  <sheetFormatPr defaultColWidth="9.28515625" defaultRowHeight="12.75" outlineLevelRow="1" outlineLevelCol="1" x14ac:dyDescent="0.2"/>
  <cols>
    <col min="1" max="1" width="1.5703125" customWidth="1"/>
    <col min="2" max="2" width="40.7109375" bestFit="1" customWidth="1"/>
    <col min="3" max="6" width="10.7109375" customWidth="1"/>
    <col min="7" max="8" width="11.7109375" customWidth="1"/>
    <col min="9" max="12" width="10.7109375" customWidth="1"/>
    <col min="13" max="13" width="11.5703125" customWidth="1"/>
    <col min="14" max="14" width="10.7109375" customWidth="1"/>
    <col min="15" max="15" width="10.7109375" customWidth="1" outlineLevel="1"/>
    <col min="16" max="16" width="11.42578125" customWidth="1" outlineLevel="1"/>
    <col min="17" max="17" width="10.7109375" customWidth="1"/>
    <col min="18" max="16384" width="9.28515625" style="536"/>
  </cols>
  <sheetData>
    <row r="1" spans="1:17" s="612" customFormat="1" ht="7.5" customHeight="1" x14ac:dyDescent="0.2">
      <c r="A1" s="551"/>
      <c r="B1" s="551"/>
      <c r="C1" s="557"/>
      <c r="D1" s="557"/>
      <c r="E1" s="557"/>
      <c r="F1" s="557"/>
      <c r="G1" s="557"/>
      <c r="H1" s="557"/>
      <c r="I1" s="557"/>
      <c r="J1" s="557"/>
      <c r="K1" s="557"/>
      <c r="L1" s="557"/>
      <c r="M1" s="557"/>
      <c r="N1" s="557"/>
      <c r="O1" s="557"/>
      <c r="P1" s="557"/>
      <c r="Q1" s="557"/>
    </row>
    <row r="2" spans="1:17" s="612" customFormat="1" ht="12.75" customHeight="1" x14ac:dyDescent="0.2">
      <c r="A2" s="551"/>
      <c r="B2" s="551"/>
      <c r="C2" s="557"/>
      <c r="D2" s="557"/>
      <c r="E2" s="557"/>
      <c r="F2" s="557"/>
      <c r="G2" s="557"/>
      <c r="H2" s="557"/>
      <c r="I2" s="557"/>
      <c r="J2" s="557"/>
      <c r="K2" s="557"/>
      <c r="L2" s="557"/>
      <c r="M2" s="557"/>
      <c r="N2" s="557"/>
      <c r="O2" s="557"/>
      <c r="P2" s="557"/>
      <c r="Q2" s="557"/>
    </row>
    <row r="3" spans="1:17" ht="12.75" customHeight="1" x14ac:dyDescent="0.2">
      <c r="C3" s="28"/>
      <c r="D3" s="28"/>
      <c r="E3" s="28"/>
      <c r="F3" s="28"/>
      <c r="G3" s="28"/>
      <c r="H3" s="28"/>
      <c r="I3" s="28"/>
      <c r="J3" s="28"/>
      <c r="K3" s="28"/>
      <c r="L3" s="28"/>
      <c r="M3" s="28"/>
      <c r="N3" s="28"/>
      <c r="O3" s="28"/>
      <c r="P3" s="28"/>
      <c r="Q3" s="28"/>
    </row>
    <row r="4" spans="1:17" ht="13.5" thickBot="1" x14ac:dyDescent="0.25">
      <c r="C4" s="1248"/>
      <c r="D4" s="1248"/>
      <c r="E4" s="1248"/>
      <c r="F4" s="1248"/>
      <c r="G4" s="1248"/>
      <c r="H4" s="1249" t="s">
        <v>1438</v>
      </c>
      <c r="I4" s="1249"/>
      <c r="J4" s="1249"/>
      <c r="K4" s="28"/>
      <c r="L4" s="28"/>
      <c r="M4" s="28"/>
      <c r="N4" s="28"/>
      <c r="O4" s="28"/>
      <c r="P4" s="28"/>
      <c r="Q4" s="28"/>
    </row>
    <row r="5" spans="1:17" ht="45.75" customHeight="1" x14ac:dyDescent="0.2">
      <c r="B5" s="142" t="s">
        <v>397</v>
      </c>
      <c r="C5" s="140" t="s">
        <v>708</v>
      </c>
      <c r="D5" s="140" t="s">
        <v>208</v>
      </c>
      <c r="E5" s="140" t="s">
        <v>1384</v>
      </c>
      <c r="F5" s="140" t="s">
        <v>709</v>
      </c>
      <c r="G5" s="140" t="s">
        <v>976</v>
      </c>
      <c r="H5" s="140" t="s">
        <v>977</v>
      </c>
      <c r="I5" s="140" t="s">
        <v>710</v>
      </c>
      <c r="J5" s="140" t="s">
        <v>711</v>
      </c>
      <c r="K5" s="140" t="s">
        <v>1286</v>
      </c>
      <c r="L5" s="140" t="s">
        <v>712</v>
      </c>
      <c r="M5" s="140" t="s">
        <v>1287</v>
      </c>
      <c r="N5" s="140" t="s">
        <v>713</v>
      </c>
      <c r="O5" s="140" t="s">
        <v>707</v>
      </c>
      <c r="P5" s="140" t="s">
        <v>714</v>
      </c>
      <c r="Q5" s="140" t="s">
        <v>404</v>
      </c>
    </row>
    <row r="6" spans="1:17" x14ac:dyDescent="0.2">
      <c r="B6" s="127" t="s">
        <v>623</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x14ac:dyDescent="0.2">
      <c r="B7" s="154"/>
      <c r="C7" s="155"/>
      <c r="D7" s="155"/>
      <c r="E7" s="155"/>
      <c r="F7" s="155"/>
      <c r="G7" s="155"/>
      <c r="H7" s="155"/>
      <c r="I7" s="155"/>
      <c r="J7" s="155"/>
      <c r="K7" s="155"/>
      <c r="L7" s="155"/>
      <c r="M7" s="155"/>
      <c r="N7" s="155"/>
      <c r="O7" s="155"/>
      <c r="P7" s="155"/>
      <c r="Q7" s="155"/>
    </row>
    <row r="8" spans="1:17" outlineLevel="1" x14ac:dyDescent="0.2">
      <c r="B8" s="130" t="s">
        <v>715</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outlineLevel="1" x14ac:dyDescent="0.2">
      <c r="B9" s="130" t="s">
        <v>716</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outlineLevel="1" x14ac:dyDescent="0.2">
      <c r="B10" s="130" t="s">
        <v>627</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outlineLevel="1" x14ac:dyDescent="0.2">
      <c r="B11" s="130" t="s">
        <v>717</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outlineLevel="1" x14ac:dyDescent="0.2">
      <c r="B12" s="130" t="s">
        <v>626</v>
      </c>
      <c r="C12" s="118"/>
      <c r="D12" s="118"/>
      <c r="E12" s="118"/>
      <c r="F12" s="118"/>
      <c r="G12" s="118"/>
      <c r="H12" s="118"/>
      <c r="I12" s="118"/>
      <c r="J12" s="118"/>
      <c r="K12" s="118">
        <v>0</v>
      </c>
      <c r="L12" s="118"/>
      <c r="M12" s="118"/>
      <c r="N12" s="118"/>
      <c r="O12" s="118">
        <f t="shared" si="0"/>
        <v>0</v>
      </c>
      <c r="P12" s="118"/>
      <c r="Q12" s="118">
        <f t="shared" si="1"/>
        <v>0</v>
      </c>
    </row>
    <row r="13" spans="1:17" outlineLevel="1" x14ac:dyDescent="0.2">
      <c r="B13" s="130" t="s">
        <v>718</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outlineLevel="1" x14ac:dyDescent="0.2">
      <c r="B14" s="130" t="s">
        <v>719</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25.5" outlineLevel="1" x14ac:dyDescent="0.2">
      <c r="B15" s="130" t="s">
        <v>720</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outlineLevel="1" x14ac:dyDescent="0.2">
      <c r="B16" s="130" t="s">
        <v>721</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x14ac:dyDescent="0.2">
      <c r="B17" s="127" t="s">
        <v>628</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x14ac:dyDescent="0.2">
      <c r="B18" s="154"/>
      <c r="C18" s="155"/>
      <c r="D18" s="155"/>
      <c r="E18" s="155"/>
      <c r="F18" s="155"/>
      <c r="G18" s="155"/>
      <c r="H18" s="155"/>
      <c r="I18" s="155"/>
      <c r="J18" s="155"/>
      <c r="K18" s="155"/>
      <c r="L18" s="155"/>
      <c r="M18" s="155"/>
      <c r="N18" s="155"/>
      <c r="O18" s="155"/>
      <c r="P18" s="155"/>
      <c r="Q18" s="155"/>
    </row>
    <row r="19" spans="2:17" outlineLevel="1" x14ac:dyDescent="0.2">
      <c r="B19" s="130" t="s">
        <v>722</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outlineLevel="1" x14ac:dyDescent="0.2">
      <c r="B20" s="130" t="s">
        <v>716</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outlineLevel="1" x14ac:dyDescent="0.2">
      <c r="B21" s="130" t="s">
        <v>723</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25.5" outlineLevel="1" x14ac:dyDescent="0.2">
      <c r="B22" s="130" t="s">
        <v>720</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outlineLevel="1" x14ac:dyDescent="0.2">
      <c r="B23" s="130" t="s">
        <v>721</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x14ac:dyDescent="0.2">
      <c r="B24" s="127" t="s">
        <v>631</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x14ac:dyDescent="0.2">
      <c r="B25" s="154"/>
      <c r="C25" s="155"/>
      <c r="D25" s="155"/>
      <c r="E25" s="155"/>
      <c r="F25" s="155"/>
      <c r="G25" s="155"/>
      <c r="H25" s="155"/>
      <c r="I25" s="155"/>
      <c r="J25" s="155"/>
      <c r="K25" s="155"/>
      <c r="L25" s="155"/>
      <c r="M25" s="155"/>
      <c r="N25" s="155"/>
      <c r="O25" s="155"/>
      <c r="P25" s="155"/>
      <c r="Q25" s="155"/>
    </row>
    <row r="26" spans="2:17" outlineLevel="1" x14ac:dyDescent="0.2">
      <c r="B26" s="130" t="s">
        <v>715</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outlineLevel="1" x14ac:dyDescent="0.2">
      <c r="B27" s="130" t="s">
        <v>175</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outlineLevel="1" x14ac:dyDescent="0.2">
      <c r="B28" s="130" t="s">
        <v>717</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25.5" outlineLevel="1" x14ac:dyDescent="0.2">
      <c r="B29" s="130" t="s">
        <v>720</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outlineLevel="1" x14ac:dyDescent="0.2">
      <c r="B30" s="130" t="s">
        <v>721</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outlineLevel="1" x14ac:dyDescent="0.2">
      <c r="B31" s="130" t="s">
        <v>724</v>
      </c>
      <c r="C31" s="118"/>
      <c r="D31" s="118"/>
      <c r="E31" s="118"/>
      <c r="F31" s="118"/>
      <c r="G31" s="118"/>
      <c r="H31" s="118"/>
      <c r="I31" s="118"/>
      <c r="J31" s="118"/>
      <c r="K31" s="118"/>
      <c r="L31" s="118"/>
      <c r="M31" s="118"/>
      <c r="N31" s="118"/>
      <c r="O31" s="118">
        <f t="shared" si="7"/>
        <v>0</v>
      </c>
      <c r="P31" s="118"/>
      <c r="Q31" s="118">
        <f t="shared" si="6"/>
        <v>0</v>
      </c>
    </row>
    <row r="32" spans="2:17" outlineLevel="1" x14ac:dyDescent="0.2">
      <c r="B32" s="130" t="s">
        <v>718</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outlineLevel="1" x14ac:dyDescent="0.2">
      <c r="B33" s="130" t="s">
        <v>719</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x14ac:dyDescent="0.2">
      <c r="B34" s="127" t="s">
        <v>632</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outlineLevel="1" x14ac:dyDescent="0.2">
      <c r="B36" s="130" t="s">
        <v>725</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25.5" outlineLevel="1" x14ac:dyDescent="0.2">
      <c r="B37" s="130" t="s">
        <v>720</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x14ac:dyDescent="0.2">
      <c r="B38" s="127" t="s">
        <v>633</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outlineLevel="1" x14ac:dyDescent="0.2">
      <c r="B40" s="130" t="s">
        <v>725</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25.5" outlineLevel="1" x14ac:dyDescent="0.2">
      <c r="B41" s="130" t="s">
        <v>720</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outlineLevel="1" x14ac:dyDescent="0.2">
      <c r="B42" s="130" t="s">
        <v>721</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x14ac:dyDescent="0.2">
      <c r="B43" s="127" t="s">
        <v>634</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outlineLevel="1" x14ac:dyDescent="0.2">
      <c r="B45" s="130" t="s">
        <v>725</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25.5" outlineLevel="1" x14ac:dyDescent="0.2">
      <c r="B46" s="130" t="s">
        <v>720</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outlineLevel="1" x14ac:dyDescent="0.2">
      <c r="B47" s="130" t="s">
        <v>721</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x14ac:dyDescent="0.2">
      <c r="B48" s="127" t="s">
        <v>635</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x14ac:dyDescent="0.2">
      <c r="F49" s="155"/>
      <c r="G49" s="155"/>
      <c r="H49" s="155"/>
    </row>
    <row r="50" spans="1:17" outlineLevel="1" x14ac:dyDescent="0.2">
      <c r="B50" s="130" t="s">
        <v>725</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outlineLevel="1" x14ac:dyDescent="0.2">
      <c r="B51" s="130"/>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outlineLevel="1" x14ac:dyDescent="0.2">
      <c r="B52" s="130" t="s">
        <v>727</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outlineLevel="1" x14ac:dyDescent="0.2">
      <c r="B53" s="130" t="s">
        <v>728</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outlineLevel="1" x14ac:dyDescent="0.2">
      <c r="B54" s="130" t="s">
        <v>729</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outlineLevel="1" x14ac:dyDescent="0.2">
      <c r="B55" s="130" t="s">
        <v>730</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outlineLevel="1" x14ac:dyDescent="0.2">
      <c r="B56" s="130" t="s">
        <v>175</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x14ac:dyDescent="0.2">
      <c r="B57" s="127" t="s">
        <v>637</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outlineLevel="1" x14ac:dyDescent="0.2">
      <c r="B59" s="130" t="s">
        <v>725</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outlineLevel="1" x14ac:dyDescent="0.2">
      <c r="B60" s="130" t="s">
        <v>726</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x14ac:dyDescent="0.2">
      <c r="B61" s="127" t="s">
        <v>638</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7" customFormat="1" x14ac:dyDescent="0.2">
      <c r="A62"/>
      <c r="B62" s="608"/>
      <c r="C62" s="609"/>
      <c r="D62" s="609"/>
      <c r="E62" s="609"/>
      <c r="F62" s="609"/>
      <c r="G62" s="609"/>
      <c r="H62" s="609"/>
      <c r="I62" s="609"/>
      <c r="J62" s="609"/>
      <c r="K62" s="609"/>
      <c r="L62" s="609"/>
      <c r="M62" s="609"/>
      <c r="N62" s="609"/>
      <c r="O62" s="609"/>
      <c r="P62" s="609"/>
      <c r="Q62" s="609"/>
    </row>
    <row r="63" spans="1:17" outlineLevel="1" x14ac:dyDescent="0.2">
      <c r="B63" s="130" t="s">
        <v>725</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outlineLevel="1" x14ac:dyDescent="0.2">
      <c r="B64" s="130" t="s">
        <v>726</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outlineLevel="1" x14ac:dyDescent="0.2">
      <c r="B65" s="130" t="s">
        <v>175</v>
      </c>
      <c r="C65" s="118">
        <v>0</v>
      </c>
      <c r="D65" s="118">
        <v>0</v>
      </c>
      <c r="E65" s="118"/>
      <c r="F65" s="118">
        <v>0</v>
      </c>
      <c r="G65" s="118">
        <v>0</v>
      </c>
      <c r="H65" s="118">
        <v>0</v>
      </c>
      <c r="I65" s="118">
        <v>0</v>
      </c>
      <c r="J65" s="118">
        <v>0</v>
      </c>
      <c r="K65" s="118">
        <v>-4716</v>
      </c>
      <c r="L65" s="118">
        <v>0</v>
      </c>
      <c r="M65" s="118">
        <v>0</v>
      </c>
      <c r="N65" s="118">
        <v>0</v>
      </c>
      <c r="O65" s="118">
        <f>SUM(C65:N65)</f>
        <v>-4716</v>
      </c>
      <c r="P65" s="118" t="s">
        <v>47</v>
      </c>
      <c r="Q65" s="118">
        <f>SUM(O65:P65)</f>
        <v>-4716</v>
      </c>
    </row>
    <row r="66" spans="1:17" x14ac:dyDescent="0.2">
      <c r="A66" s="154"/>
      <c r="B66" s="127" t="s">
        <v>639</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7" customFormat="1" x14ac:dyDescent="0.2">
      <c r="A67" s="150"/>
      <c r="B67" s="608"/>
      <c r="C67" s="608"/>
      <c r="D67" s="608"/>
      <c r="E67" s="608"/>
      <c r="F67" s="608"/>
      <c r="G67" s="608"/>
      <c r="H67" s="608"/>
      <c r="I67" s="608"/>
      <c r="J67" s="608"/>
      <c r="K67" s="608"/>
      <c r="L67" s="608"/>
      <c r="M67" s="608"/>
      <c r="N67" s="608"/>
      <c r="O67" s="608"/>
      <c r="P67" s="608"/>
      <c r="Q67" s="608"/>
    </row>
    <row r="68" spans="1:17" outlineLevel="1" x14ac:dyDescent="0.2">
      <c r="B68" s="130" t="s">
        <v>725</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outlineLevel="1" x14ac:dyDescent="0.2">
      <c r="A69" s="154"/>
      <c r="B69" s="130" t="s">
        <v>726</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outlineLevel="1" x14ac:dyDescent="0.2">
      <c r="A70" s="154"/>
      <c r="B70" s="130" t="s">
        <v>727</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outlineLevel="1" x14ac:dyDescent="0.2">
      <c r="A71" s="154"/>
      <c r="B71" s="130" t="s">
        <v>728</v>
      </c>
      <c r="C71" s="118" t="s">
        <v>47</v>
      </c>
      <c r="D71" s="118" t="s">
        <v>47</v>
      </c>
      <c r="E71" s="118"/>
      <c r="F71" s="118" t="s">
        <v>47</v>
      </c>
      <c r="G71" s="118" t="s">
        <v>47</v>
      </c>
      <c r="H71" s="118">
        <v>0</v>
      </c>
      <c r="I71" s="118" t="s">
        <v>47</v>
      </c>
      <c r="J71" s="118" t="s">
        <v>47</v>
      </c>
      <c r="K71" s="118" t="s">
        <v>47</v>
      </c>
      <c r="L71" s="118" t="s">
        <v>47</v>
      </c>
      <c r="M71" s="118" t="s">
        <v>47</v>
      </c>
      <c r="N71" s="118" t="s">
        <v>47</v>
      </c>
      <c r="O71" s="118" t="s">
        <v>47</v>
      </c>
      <c r="P71" s="118" t="s">
        <v>47</v>
      </c>
      <c r="Q71" s="118" t="s">
        <v>47</v>
      </c>
    </row>
    <row r="72" spans="1:17" outlineLevel="1" x14ac:dyDescent="0.2">
      <c r="A72" s="154"/>
      <c r="B72" s="130" t="s">
        <v>729</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outlineLevel="1" x14ac:dyDescent="0.2">
      <c r="A73" s="154"/>
      <c r="B73" s="130" t="s">
        <v>730</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outlineLevel="1" x14ac:dyDescent="0.2">
      <c r="A74" s="154"/>
      <c r="B74" s="130" t="s">
        <v>175</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x14ac:dyDescent="0.2">
      <c r="A75" s="154"/>
      <c r="B75" s="127" t="s">
        <v>640</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outlineLevel="1" x14ac:dyDescent="0.2">
      <c r="B77" s="130" t="s">
        <v>725</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outlineLevel="1" x14ac:dyDescent="0.2">
      <c r="B78" s="130" t="s">
        <v>726</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outlineLevel="1" x14ac:dyDescent="0.2">
      <c r="B79" s="130" t="s">
        <v>727</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outlineLevel="1" x14ac:dyDescent="0.2">
      <c r="B80" s="130" t="s">
        <v>978</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outlineLevel="1" x14ac:dyDescent="0.2">
      <c r="B81" s="193" t="s">
        <v>728</v>
      </c>
      <c r="C81" s="118"/>
      <c r="D81" s="118"/>
      <c r="E81" s="118"/>
      <c r="F81" s="118"/>
      <c r="G81" s="118"/>
      <c r="H81" s="118"/>
      <c r="I81" s="118"/>
      <c r="J81" s="118"/>
      <c r="K81" s="118"/>
      <c r="L81" s="118"/>
      <c r="M81" s="118"/>
      <c r="N81" s="118"/>
      <c r="O81" s="118"/>
      <c r="P81" s="118">
        <v>0</v>
      </c>
      <c r="Q81" s="118"/>
    </row>
    <row r="82" spans="2:17" outlineLevel="1" x14ac:dyDescent="0.2">
      <c r="B82" s="130" t="s">
        <v>729</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outlineLevel="1" x14ac:dyDescent="0.2">
      <c r="B83" s="130" t="s">
        <v>730</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
      <c r="B84" s="130" t="s">
        <v>753</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x14ac:dyDescent="0.2">
      <c r="B85" s="127" t="s">
        <v>693</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outlineLevel="1" x14ac:dyDescent="0.2">
      <c r="B87" s="130" t="s">
        <v>725</v>
      </c>
      <c r="C87" s="118">
        <v>0</v>
      </c>
      <c r="D87" s="118">
        <v>0</v>
      </c>
      <c r="E87" s="118"/>
      <c r="F87" s="118">
        <v>0</v>
      </c>
      <c r="G87" s="118">
        <v>0</v>
      </c>
      <c r="H87" s="118" t="s">
        <v>47</v>
      </c>
      <c r="I87" s="118" t="s">
        <v>47</v>
      </c>
      <c r="J87" s="118" t="s">
        <v>47</v>
      </c>
      <c r="K87" s="118" t="s">
        <v>47</v>
      </c>
      <c r="L87" s="118" t="s">
        <v>47</v>
      </c>
      <c r="M87" s="118" t="s">
        <v>47</v>
      </c>
      <c r="N87" s="118">
        <v>13996</v>
      </c>
      <c r="O87" s="118">
        <f>N87</f>
        <v>13996</v>
      </c>
      <c r="P87" s="118">
        <v>0</v>
      </c>
      <c r="Q87" s="118">
        <f>SUM(O87:P87)</f>
        <v>13996</v>
      </c>
    </row>
    <row r="88" spans="2:17" outlineLevel="1" x14ac:dyDescent="0.2">
      <c r="B88" s="130" t="s">
        <v>726</v>
      </c>
      <c r="C88" s="118">
        <v>0</v>
      </c>
      <c r="D88" s="118">
        <v>0</v>
      </c>
      <c r="E88" s="118"/>
      <c r="F88" s="118">
        <v>0</v>
      </c>
      <c r="G88" s="118">
        <v>0</v>
      </c>
      <c r="H88" s="118" t="s">
        <v>47</v>
      </c>
      <c r="I88" s="118" t="s">
        <v>47</v>
      </c>
      <c r="J88" s="118" t="s">
        <v>47</v>
      </c>
      <c r="K88" s="118" t="s">
        <v>47</v>
      </c>
      <c r="L88" s="118" t="s">
        <v>47</v>
      </c>
      <c r="M88" s="118" t="s">
        <v>47</v>
      </c>
      <c r="N88" s="118" t="s">
        <v>47</v>
      </c>
      <c r="O88" s="118" t="s">
        <v>47</v>
      </c>
      <c r="P88" s="118">
        <v>0</v>
      </c>
      <c r="Q88" s="118">
        <f>SUM(O88:P88)</f>
        <v>0</v>
      </c>
    </row>
    <row r="89" spans="2:17" outlineLevel="1" x14ac:dyDescent="0.2">
      <c r="B89" s="130" t="s">
        <v>727</v>
      </c>
      <c r="C89" s="118">
        <v>0</v>
      </c>
      <c r="D89" s="118">
        <v>0</v>
      </c>
      <c r="E89" s="118"/>
      <c r="F89" s="118">
        <v>0</v>
      </c>
      <c r="G89" s="118">
        <v>0</v>
      </c>
      <c r="H89" s="118" t="s">
        <v>47</v>
      </c>
      <c r="I89" s="118" t="s">
        <v>47</v>
      </c>
      <c r="J89" s="118" t="s">
        <v>47</v>
      </c>
      <c r="K89" s="118" t="s">
        <v>47</v>
      </c>
      <c r="L89" s="118" t="s">
        <v>47</v>
      </c>
      <c r="M89" s="118" t="s">
        <v>47</v>
      </c>
      <c r="N89" s="118" t="s">
        <v>47</v>
      </c>
      <c r="O89" s="118" t="s">
        <v>47</v>
      </c>
      <c r="P89" s="118">
        <v>0</v>
      </c>
      <c r="Q89" s="118">
        <f>SUM(O89:P89)</f>
        <v>0</v>
      </c>
    </row>
    <row r="90" spans="2:17" outlineLevel="1" x14ac:dyDescent="0.2">
      <c r="B90" s="130" t="s">
        <v>978</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outlineLevel="1" x14ac:dyDescent="0.2">
      <c r="B91" s="193" t="s">
        <v>728</v>
      </c>
      <c r="C91" s="118"/>
      <c r="D91" s="118"/>
      <c r="E91" s="118"/>
      <c r="F91" s="118"/>
      <c r="G91" s="118"/>
      <c r="H91" s="118"/>
      <c r="I91" s="118"/>
      <c r="J91" s="118"/>
      <c r="K91" s="118"/>
      <c r="L91" s="118"/>
      <c r="M91" s="118"/>
      <c r="N91" s="118"/>
      <c r="O91" s="118"/>
      <c r="P91" s="118"/>
      <c r="Q91" s="118"/>
    </row>
    <row r="92" spans="2:17" outlineLevel="1" x14ac:dyDescent="0.2">
      <c r="B92" s="130" t="s">
        <v>729</v>
      </c>
      <c r="C92" s="118">
        <v>0</v>
      </c>
      <c r="D92" s="118">
        <v>0</v>
      </c>
      <c r="E92" s="118"/>
      <c r="F92" s="118">
        <v>0</v>
      </c>
      <c r="G92" s="118">
        <v>0</v>
      </c>
      <c r="H92" s="118" t="s">
        <v>47</v>
      </c>
      <c r="I92" s="118">
        <v>0</v>
      </c>
      <c r="J92" s="118" t="s">
        <v>47</v>
      </c>
      <c r="K92" s="118" t="s">
        <v>47</v>
      </c>
      <c r="L92" s="118" t="s">
        <v>47</v>
      </c>
      <c r="M92" s="118" t="s">
        <v>47</v>
      </c>
      <c r="N92" s="118" t="s">
        <v>47</v>
      </c>
      <c r="O92" s="118" t="s">
        <v>47</v>
      </c>
      <c r="P92" s="118">
        <v>0</v>
      </c>
      <c r="Q92" s="118">
        <f>SUM(O92:P92)</f>
        <v>0</v>
      </c>
    </row>
    <row r="93" spans="2:17" outlineLevel="1" x14ac:dyDescent="0.2">
      <c r="B93" s="130" t="s">
        <v>730</v>
      </c>
      <c r="C93" s="118">
        <v>0</v>
      </c>
      <c r="D93" s="118">
        <v>0</v>
      </c>
      <c r="E93" s="118"/>
      <c r="F93" s="118">
        <v>0</v>
      </c>
      <c r="G93" s="118">
        <v>0</v>
      </c>
      <c r="H93" s="118" t="s">
        <v>47</v>
      </c>
      <c r="I93" s="118">
        <v>0</v>
      </c>
      <c r="J93" s="118" t="s">
        <v>47</v>
      </c>
      <c r="K93" s="118" t="s">
        <v>47</v>
      </c>
      <c r="L93" s="118" t="s">
        <v>47</v>
      </c>
      <c r="M93" s="118" t="s">
        <v>47</v>
      </c>
      <c r="N93" s="118" t="s">
        <v>47</v>
      </c>
      <c r="O93" s="118" t="s">
        <v>47</v>
      </c>
      <c r="P93" s="118">
        <v>0</v>
      </c>
      <c r="Q93" s="118">
        <f>SUM(O93:P93)</f>
        <v>0</v>
      </c>
    </row>
    <row r="94" spans="2:17" ht="14.25" customHeight="1" outlineLevel="1" x14ac:dyDescent="0.2">
      <c r="B94" s="130" t="s">
        <v>753</v>
      </c>
      <c r="C94" s="118">
        <v>0</v>
      </c>
      <c r="D94" s="118">
        <v>0</v>
      </c>
      <c r="E94" s="118"/>
      <c r="F94" s="118">
        <v>0</v>
      </c>
      <c r="G94" s="118">
        <v>0</v>
      </c>
      <c r="H94" s="118">
        <v>0</v>
      </c>
      <c r="I94" s="118">
        <v>0</v>
      </c>
      <c r="J94" s="118" t="s">
        <v>47</v>
      </c>
      <c r="K94" s="118" t="s">
        <v>47</v>
      </c>
      <c r="L94" s="118" t="s">
        <v>47</v>
      </c>
      <c r="M94" s="118" t="s">
        <v>47</v>
      </c>
      <c r="N94" s="118" t="s">
        <v>47</v>
      </c>
      <c r="O94" s="118" t="s">
        <v>47</v>
      </c>
      <c r="P94" s="118">
        <v>0</v>
      </c>
      <c r="Q94" s="118">
        <f>SUM(O94:P94)</f>
        <v>0</v>
      </c>
    </row>
    <row r="95" spans="2:17" x14ac:dyDescent="0.2">
      <c r="B95" s="127" t="s">
        <v>757</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
    <row r="97" spans="2:17" outlineLevel="1" x14ac:dyDescent="0.2">
      <c r="B97" s="130" t="s">
        <v>725</v>
      </c>
      <c r="C97" s="118" t="s">
        <v>47</v>
      </c>
      <c r="D97" s="118" t="s">
        <v>47</v>
      </c>
      <c r="E97" s="118"/>
      <c r="F97" s="118" t="s">
        <v>47</v>
      </c>
      <c r="G97" s="118" t="s">
        <v>47</v>
      </c>
      <c r="H97" s="118" t="s">
        <v>47</v>
      </c>
      <c r="I97" s="118" t="s">
        <v>47</v>
      </c>
      <c r="J97" s="118" t="s">
        <v>47</v>
      </c>
      <c r="K97" s="118" t="s">
        <v>47</v>
      </c>
      <c r="L97" s="118" t="s">
        <v>47</v>
      </c>
      <c r="M97" s="118" t="s">
        <v>47</v>
      </c>
      <c r="N97" s="118">
        <v>28185</v>
      </c>
      <c r="O97" s="118">
        <f>N97</f>
        <v>28185</v>
      </c>
      <c r="P97" s="118">
        <v>0</v>
      </c>
      <c r="Q97" s="118">
        <f>SUM(O97:P97)</f>
        <v>28185</v>
      </c>
    </row>
    <row r="98" spans="2:17" outlineLevel="1" x14ac:dyDescent="0.2">
      <c r="B98" s="130" t="s">
        <v>726</v>
      </c>
      <c r="C98" s="118" t="s">
        <v>47</v>
      </c>
      <c r="D98" s="118" t="s">
        <v>47</v>
      </c>
      <c r="E98" s="118"/>
      <c r="F98" s="118" t="s">
        <v>47</v>
      </c>
      <c r="G98" s="118" t="s">
        <v>47</v>
      </c>
      <c r="H98" s="118" t="s">
        <v>47</v>
      </c>
      <c r="I98" s="118" t="s">
        <v>47</v>
      </c>
      <c r="J98" s="118" t="s">
        <v>47</v>
      </c>
      <c r="K98" s="118" t="s">
        <v>47</v>
      </c>
      <c r="L98" s="118" t="s">
        <v>47</v>
      </c>
      <c r="M98" s="118" t="s">
        <v>47</v>
      </c>
      <c r="N98" s="118" t="s">
        <v>47</v>
      </c>
      <c r="O98" s="118" t="s">
        <v>47</v>
      </c>
      <c r="P98" s="118">
        <v>0</v>
      </c>
      <c r="Q98" s="118">
        <f>SUM(O98:P98)</f>
        <v>0</v>
      </c>
    </row>
    <row r="99" spans="2:17" outlineLevel="1" x14ac:dyDescent="0.2">
      <c r="B99" s="130" t="s">
        <v>727</v>
      </c>
      <c r="C99" s="118" t="s">
        <v>47</v>
      </c>
      <c r="D99" s="118" t="s">
        <v>47</v>
      </c>
      <c r="E99" s="118"/>
      <c r="F99" s="118" t="s">
        <v>47</v>
      </c>
      <c r="G99" s="118" t="s">
        <v>47</v>
      </c>
      <c r="H99" s="118" t="s">
        <v>47</v>
      </c>
      <c r="I99" s="118" t="s">
        <v>47</v>
      </c>
      <c r="J99" s="118" t="s">
        <v>47</v>
      </c>
      <c r="K99" s="118" t="s">
        <v>47</v>
      </c>
      <c r="L99" s="118" t="s">
        <v>47</v>
      </c>
      <c r="M99" s="118" t="s">
        <v>47</v>
      </c>
      <c r="N99" s="118" t="s">
        <v>47</v>
      </c>
      <c r="O99" s="118" t="s">
        <v>47</v>
      </c>
      <c r="P99" s="118">
        <v>0</v>
      </c>
      <c r="Q99" s="118">
        <f>SUM(O99:P99)</f>
        <v>0</v>
      </c>
    </row>
    <row r="100" spans="2:17" outlineLevel="1" x14ac:dyDescent="0.2">
      <c r="B100" s="130" t="s">
        <v>979</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outlineLevel="1" x14ac:dyDescent="0.2">
      <c r="B101" s="130" t="s">
        <v>728</v>
      </c>
      <c r="C101" s="118"/>
      <c r="D101" s="118"/>
      <c r="E101" s="118"/>
      <c r="F101" s="118"/>
      <c r="G101" s="118"/>
      <c r="H101" s="118"/>
      <c r="I101" s="118"/>
      <c r="J101" s="118"/>
      <c r="K101" s="118"/>
      <c r="L101" s="118"/>
      <c r="M101" s="118"/>
      <c r="N101" s="118"/>
      <c r="O101" s="118"/>
      <c r="P101" s="118"/>
      <c r="Q101" s="118"/>
    </row>
    <row r="102" spans="2:17" outlineLevel="1" x14ac:dyDescent="0.2">
      <c r="B102" s="130" t="s">
        <v>729</v>
      </c>
      <c r="C102" s="118" t="s">
        <v>47</v>
      </c>
      <c r="D102" s="118" t="s">
        <v>47</v>
      </c>
      <c r="E102" s="118"/>
      <c r="F102" s="118" t="s">
        <v>47</v>
      </c>
      <c r="G102" s="118" t="s">
        <v>47</v>
      </c>
      <c r="H102" s="118" t="s">
        <v>47</v>
      </c>
      <c r="I102" s="118" t="s">
        <v>47</v>
      </c>
      <c r="J102" s="118" t="s">
        <v>47</v>
      </c>
      <c r="K102" s="118" t="s">
        <v>47</v>
      </c>
      <c r="L102" s="118" t="s">
        <v>47</v>
      </c>
      <c r="M102" s="118" t="s">
        <v>47</v>
      </c>
      <c r="N102" s="118" t="s">
        <v>47</v>
      </c>
      <c r="O102" s="118" t="s">
        <v>47</v>
      </c>
      <c r="P102" s="118">
        <v>0</v>
      </c>
      <c r="Q102" s="118">
        <f>SUM(O102:P102)</f>
        <v>0</v>
      </c>
    </row>
    <row r="103" spans="2:17" outlineLevel="1" x14ac:dyDescent="0.2">
      <c r="B103" s="130" t="s">
        <v>730</v>
      </c>
      <c r="C103" s="118" t="s">
        <v>47</v>
      </c>
      <c r="D103" s="118" t="s">
        <v>47</v>
      </c>
      <c r="E103" s="118"/>
      <c r="F103" s="118" t="s">
        <v>47</v>
      </c>
      <c r="G103" s="118" t="s">
        <v>47</v>
      </c>
      <c r="H103" s="118" t="s">
        <v>47</v>
      </c>
      <c r="I103" s="118" t="s">
        <v>47</v>
      </c>
      <c r="J103" s="118" t="s">
        <v>47</v>
      </c>
      <c r="K103" s="118" t="s">
        <v>47</v>
      </c>
      <c r="L103" s="118" t="s">
        <v>47</v>
      </c>
      <c r="M103" s="118" t="s">
        <v>47</v>
      </c>
      <c r="N103" s="118" t="s">
        <v>47</v>
      </c>
      <c r="O103" s="118" t="s">
        <v>47</v>
      </c>
      <c r="P103" s="118">
        <v>0</v>
      </c>
      <c r="Q103" s="118">
        <f>SUM(O103:P103)</f>
        <v>0</v>
      </c>
    </row>
    <row r="104" spans="2:17" ht="14.25" customHeight="1" outlineLevel="1" x14ac:dyDescent="0.2">
      <c r="B104" s="130" t="s">
        <v>753</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x14ac:dyDescent="0.2">
      <c r="B105" s="127" t="s">
        <v>767</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
    <row r="107" spans="2:17" ht="12.75" customHeight="1" outlineLevel="1" x14ac:dyDescent="0.2">
      <c r="B107" s="130" t="s">
        <v>725</v>
      </c>
      <c r="C107" s="118" t="s">
        <v>47</v>
      </c>
      <c r="D107" s="118" t="s">
        <v>47</v>
      </c>
      <c r="E107" s="118"/>
      <c r="F107" s="118" t="s">
        <v>47</v>
      </c>
      <c r="G107" s="118" t="s">
        <v>47</v>
      </c>
      <c r="H107" s="118" t="s">
        <v>47</v>
      </c>
      <c r="I107" s="118" t="s">
        <v>47</v>
      </c>
      <c r="J107" s="118" t="s">
        <v>47</v>
      </c>
      <c r="K107" s="118" t="s">
        <v>47</v>
      </c>
      <c r="L107" s="118" t="s">
        <v>47</v>
      </c>
      <c r="M107" s="118" t="s">
        <v>47</v>
      </c>
      <c r="N107" s="118">
        <v>31107</v>
      </c>
      <c r="O107" s="118">
        <f>+N107</f>
        <v>31107</v>
      </c>
      <c r="P107" s="118">
        <v>0</v>
      </c>
      <c r="Q107" s="118">
        <v>31107</v>
      </c>
    </row>
    <row r="108" spans="2:17" ht="12.75" customHeight="1" outlineLevel="1" x14ac:dyDescent="0.2">
      <c r="B108" s="130" t="s">
        <v>726</v>
      </c>
      <c r="C108" s="118" t="s">
        <v>47</v>
      </c>
      <c r="D108" s="118" t="s">
        <v>47</v>
      </c>
      <c r="E108" s="118"/>
      <c r="F108" s="118" t="s">
        <v>47</v>
      </c>
      <c r="G108" s="118" t="s">
        <v>47</v>
      </c>
      <c r="H108" s="118" t="s">
        <v>47</v>
      </c>
      <c r="I108" s="118" t="s">
        <v>47</v>
      </c>
      <c r="J108" s="118" t="s">
        <v>47</v>
      </c>
      <c r="K108" s="118" t="s">
        <v>47</v>
      </c>
      <c r="L108" s="118" t="s">
        <v>47</v>
      </c>
      <c r="M108" s="118" t="s">
        <v>47</v>
      </c>
      <c r="N108" s="118" t="s">
        <v>47</v>
      </c>
      <c r="O108" s="118">
        <v>0</v>
      </c>
      <c r="P108" s="118">
        <v>0</v>
      </c>
      <c r="Q108" s="118">
        <v>0</v>
      </c>
    </row>
    <row r="109" spans="2:17" ht="12.75" customHeight="1" outlineLevel="1" x14ac:dyDescent="0.2">
      <c r="B109" s="130" t="s">
        <v>727</v>
      </c>
      <c r="C109" s="118" t="s">
        <v>47</v>
      </c>
      <c r="D109" s="118" t="s">
        <v>47</v>
      </c>
      <c r="E109" s="118"/>
      <c r="F109" s="118" t="s">
        <v>47</v>
      </c>
      <c r="G109" s="118" t="s">
        <v>47</v>
      </c>
      <c r="H109" s="118" t="s">
        <v>47</v>
      </c>
      <c r="I109" s="118" t="s">
        <v>47</v>
      </c>
      <c r="J109" s="118" t="s">
        <v>47</v>
      </c>
      <c r="K109" s="118" t="s">
        <v>47</v>
      </c>
      <c r="L109" s="118" t="s">
        <v>47</v>
      </c>
      <c r="M109" s="118" t="s">
        <v>47</v>
      </c>
      <c r="N109" s="118" t="s">
        <v>47</v>
      </c>
      <c r="O109" s="118">
        <v>0</v>
      </c>
      <c r="P109" s="118">
        <v>0</v>
      </c>
      <c r="Q109" s="118">
        <v>0</v>
      </c>
    </row>
    <row r="110" spans="2:17" ht="25.5" outlineLevel="1" x14ac:dyDescent="0.2">
      <c r="B110" s="130" t="s">
        <v>838</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outlineLevel="1" x14ac:dyDescent="0.2">
      <c r="B111" s="130" t="s">
        <v>979</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
      <c r="B112" s="130" t="s">
        <v>728</v>
      </c>
      <c r="C112" s="118"/>
      <c r="D112" s="118"/>
      <c r="E112" s="118"/>
      <c r="F112" s="118"/>
      <c r="G112" s="118"/>
      <c r="H112" s="118"/>
      <c r="I112" s="118"/>
      <c r="J112" s="118"/>
      <c r="K112" s="118"/>
      <c r="L112" s="118"/>
      <c r="M112" s="118"/>
      <c r="N112" s="118"/>
      <c r="O112" s="118"/>
      <c r="P112" s="118"/>
      <c r="Q112" s="118"/>
    </row>
    <row r="113" spans="2:17" ht="12.75" customHeight="1" outlineLevel="1" x14ac:dyDescent="0.2">
      <c r="B113" s="130" t="s">
        <v>729</v>
      </c>
      <c r="C113" s="118" t="s">
        <v>47</v>
      </c>
      <c r="D113" s="118" t="s">
        <v>47</v>
      </c>
      <c r="E113" s="118"/>
      <c r="F113" s="118" t="s">
        <v>47</v>
      </c>
      <c r="G113" s="118" t="s">
        <v>47</v>
      </c>
      <c r="H113" s="118" t="s">
        <v>47</v>
      </c>
      <c r="I113" s="118" t="s">
        <v>47</v>
      </c>
      <c r="J113" s="118" t="s">
        <v>47</v>
      </c>
      <c r="K113" s="118" t="s">
        <v>47</v>
      </c>
      <c r="L113" s="118" t="s">
        <v>47</v>
      </c>
      <c r="M113" s="118" t="s">
        <v>47</v>
      </c>
      <c r="N113" s="118" t="s">
        <v>47</v>
      </c>
      <c r="O113" s="118">
        <v>0</v>
      </c>
      <c r="P113" s="118">
        <v>0</v>
      </c>
      <c r="Q113" s="118">
        <v>0</v>
      </c>
    </row>
    <row r="114" spans="2:17" ht="12.75" customHeight="1" outlineLevel="1" x14ac:dyDescent="0.2">
      <c r="B114" s="130" t="s">
        <v>730</v>
      </c>
      <c r="C114" s="118" t="s">
        <v>47</v>
      </c>
      <c r="D114" s="118" t="s">
        <v>47</v>
      </c>
      <c r="E114" s="118"/>
      <c r="F114" s="118" t="s">
        <v>47</v>
      </c>
      <c r="G114" s="118" t="s">
        <v>47</v>
      </c>
      <c r="H114" s="118" t="s">
        <v>47</v>
      </c>
      <c r="I114" s="118" t="s">
        <v>47</v>
      </c>
      <c r="J114" s="118" t="s">
        <v>47</v>
      </c>
      <c r="K114" s="118" t="s">
        <v>47</v>
      </c>
      <c r="L114" s="118" t="s">
        <v>47</v>
      </c>
      <c r="M114" s="118" t="s">
        <v>47</v>
      </c>
      <c r="N114" s="118" t="s">
        <v>47</v>
      </c>
      <c r="O114" s="118">
        <v>0</v>
      </c>
      <c r="P114" s="118">
        <v>0</v>
      </c>
      <c r="Q114" s="118">
        <v>0</v>
      </c>
    </row>
    <row r="115" spans="2:17" ht="14.25" customHeight="1" outlineLevel="1" x14ac:dyDescent="0.2">
      <c r="B115" s="130" t="s">
        <v>753</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x14ac:dyDescent="0.2">
      <c r="B116" s="127" t="s">
        <v>790</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
    <row r="118" spans="2:17" outlineLevel="1" x14ac:dyDescent="0.2">
      <c r="B118" s="130" t="s">
        <v>725</v>
      </c>
      <c r="C118" s="118" t="s">
        <v>47</v>
      </c>
      <c r="D118" s="118" t="s">
        <v>47</v>
      </c>
      <c r="E118" s="118"/>
      <c r="F118" s="118" t="s">
        <v>47</v>
      </c>
      <c r="G118" s="118" t="s">
        <v>47</v>
      </c>
      <c r="H118" s="118">
        <v>0</v>
      </c>
      <c r="I118" s="118" t="s">
        <v>47</v>
      </c>
      <c r="J118" s="118" t="s">
        <v>47</v>
      </c>
      <c r="K118" s="118" t="s">
        <v>47</v>
      </c>
      <c r="L118" s="118" t="s">
        <v>47</v>
      </c>
      <c r="M118" s="118" t="s">
        <v>47</v>
      </c>
      <c r="N118" s="118">
        <v>34961</v>
      </c>
      <c r="O118" s="118">
        <f t="shared" ref="O118:O127" si="23">+SUM(C118:N118)</f>
        <v>34961</v>
      </c>
      <c r="P118" s="118">
        <v>0</v>
      </c>
      <c r="Q118" s="118">
        <f t="shared" ref="Q118:Q126" si="24">+SUM(O118:P118)</f>
        <v>34961</v>
      </c>
    </row>
    <row r="119" spans="2:17" outlineLevel="1" x14ac:dyDescent="0.2">
      <c r="B119" s="130" t="s">
        <v>726</v>
      </c>
      <c r="C119" s="118" t="s">
        <v>47</v>
      </c>
      <c r="D119" s="118" t="s">
        <v>47</v>
      </c>
      <c r="E119" s="118"/>
      <c r="F119" s="118" t="s">
        <v>47</v>
      </c>
      <c r="G119" s="118" t="s">
        <v>47</v>
      </c>
      <c r="H119" s="118">
        <v>0</v>
      </c>
      <c r="I119" s="118" t="s">
        <v>47</v>
      </c>
      <c r="J119" s="118" t="s">
        <v>47</v>
      </c>
      <c r="K119" s="118" t="s">
        <v>47</v>
      </c>
      <c r="L119" s="118" t="s">
        <v>47</v>
      </c>
      <c r="M119" s="118" t="s">
        <v>47</v>
      </c>
      <c r="N119" s="118" t="s">
        <v>47</v>
      </c>
      <c r="O119" s="118">
        <f t="shared" si="23"/>
        <v>0</v>
      </c>
      <c r="P119" s="118">
        <v>0</v>
      </c>
      <c r="Q119" s="118">
        <f t="shared" si="24"/>
        <v>0</v>
      </c>
    </row>
    <row r="120" spans="2:17" outlineLevel="1" x14ac:dyDescent="0.2">
      <c r="B120" s="130" t="s">
        <v>727</v>
      </c>
      <c r="C120" s="118" t="s">
        <v>47</v>
      </c>
      <c r="D120" s="118" t="s">
        <v>47</v>
      </c>
      <c r="E120" s="118"/>
      <c r="F120" s="118" t="s">
        <v>47</v>
      </c>
      <c r="G120" s="118" t="s">
        <v>47</v>
      </c>
      <c r="H120" s="118">
        <v>0</v>
      </c>
      <c r="I120" s="118" t="s">
        <v>47</v>
      </c>
      <c r="J120" s="118" t="s">
        <v>47</v>
      </c>
      <c r="K120" s="118" t="s">
        <v>47</v>
      </c>
      <c r="L120" s="118" t="s">
        <v>47</v>
      </c>
      <c r="M120" s="118" t="s">
        <v>47</v>
      </c>
      <c r="N120" s="118" t="s">
        <v>47</v>
      </c>
      <c r="O120" s="118">
        <f t="shared" si="23"/>
        <v>0</v>
      </c>
      <c r="P120" s="118">
        <v>0</v>
      </c>
      <c r="Q120" s="118">
        <f t="shared" si="24"/>
        <v>0</v>
      </c>
    </row>
    <row r="121" spans="2:17" ht="25.5" outlineLevel="1" x14ac:dyDescent="0.2">
      <c r="B121" s="130" t="s">
        <v>838</v>
      </c>
      <c r="C121" s="118" t="s">
        <v>47</v>
      </c>
      <c r="D121" s="118" t="s">
        <v>47</v>
      </c>
      <c r="E121" s="118"/>
      <c r="F121" s="118" t="s">
        <v>47</v>
      </c>
      <c r="G121" s="118" t="s">
        <v>47</v>
      </c>
      <c r="H121" s="118">
        <v>0</v>
      </c>
      <c r="I121" s="118" t="s">
        <v>47</v>
      </c>
      <c r="J121" s="118" t="s">
        <v>47</v>
      </c>
      <c r="K121" s="118" t="s">
        <v>47</v>
      </c>
      <c r="L121" s="118" t="s">
        <v>47</v>
      </c>
      <c r="M121" s="118">
        <v>-450</v>
      </c>
      <c r="N121" s="118" t="s">
        <v>47</v>
      </c>
      <c r="O121" s="118">
        <f t="shared" si="23"/>
        <v>-450</v>
      </c>
      <c r="P121" s="118">
        <v>0</v>
      </c>
      <c r="Q121" s="118">
        <f t="shared" si="24"/>
        <v>-450</v>
      </c>
    </row>
    <row r="122" spans="2:17" outlineLevel="1" x14ac:dyDescent="0.2">
      <c r="B122" s="130" t="s">
        <v>990</v>
      </c>
      <c r="C122" s="118" t="s">
        <v>47</v>
      </c>
      <c r="D122" s="118" t="s">
        <v>47</v>
      </c>
      <c r="E122" s="118"/>
      <c r="F122" s="118"/>
      <c r="G122" s="118"/>
      <c r="H122" s="118">
        <v>0</v>
      </c>
      <c r="I122" s="118" t="s">
        <v>47</v>
      </c>
      <c r="J122" s="118" t="s">
        <v>47</v>
      </c>
      <c r="K122" s="118" t="s">
        <v>47</v>
      </c>
      <c r="L122" s="118" t="s">
        <v>47</v>
      </c>
      <c r="M122" s="118" t="s">
        <v>47</v>
      </c>
      <c r="N122" s="118" t="s">
        <v>47</v>
      </c>
      <c r="O122" s="118">
        <f t="shared" si="23"/>
        <v>0</v>
      </c>
      <c r="P122" s="118">
        <v>0</v>
      </c>
      <c r="Q122" s="118">
        <f t="shared" si="24"/>
        <v>0</v>
      </c>
    </row>
    <row r="123" spans="2:17" outlineLevel="1" x14ac:dyDescent="0.2">
      <c r="B123" s="130" t="s">
        <v>979</v>
      </c>
      <c r="C123" s="118" t="s">
        <v>47</v>
      </c>
      <c r="D123" s="118" t="s">
        <v>47</v>
      </c>
      <c r="E123" s="118"/>
      <c r="F123" s="118"/>
      <c r="G123" s="118"/>
      <c r="H123" s="118">
        <v>4145</v>
      </c>
      <c r="I123" s="118" t="s">
        <v>47</v>
      </c>
      <c r="J123" s="118" t="s">
        <v>47</v>
      </c>
      <c r="K123" s="118" t="s">
        <v>47</v>
      </c>
      <c r="L123" s="118" t="s">
        <v>47</v>
      </c>
      <c r="M123" s="118" t="s">
        <v>47</v>
      </c>
      <c r="N123" s="118">
        <v>-4145</v>
      </c>
      <c r="O123" s="118">
        <f>+SUM(C123:N123)</f>
        <v>0</v>
      </c>
      <c r="P123" s="118">
        <v>0</v>
      </c>
      <c r="Q123" s="118">
        <f t="shared" si="24"/>
        <v>0</v>
      </c>
    </row>
    <row r="124" spans="2:17" outlineLevel="1" x14ac:dyDescent="0.2">
      <c r="B124" s="130" t="s">
        <v>728</v>
      </c>
      <c r="C124" s="118"/>
      <c r="D124" s="118"/>
      <c r="E124" s="118"/>
      <c r="F124" s="118"/>
      <c r="G124" s="118"/>
      <c r="H124" s="118"/>
      <c r="I124" s="118"/>
      <c r="J124" s="118"/>
      <c r="K124" s="118"/>
      <c r="L124" s="118"/>
      <c r="M124" s="118"/>
      <c r="N124" s="118"/>
      <c r="O124" s="118"/>
      <c r="P124" s="118"/>
      <c r="Q124" s="118"/>
    </row>
    <row r="125" spans="2:17" outlineLevel="1" x14ac:dyDescent="0.2">
      <c r="B125" s="130" t="s">
        <v>729</v>
      </c>
      <c r="C125" s="118" t="s">
        <v>47</v>
      </c>
      <c r="D125" s="118" t="s">
        <v>47</v>
      </c>
      <c r="E125" s="118"/>
      <c r="F125" s="118" t="s">
        <v>47</v>
      </c>
      <c r="G125" s="118" t="s">
        <v>47</v>
      </c>
      <c r="H125" s="118">
        <v>0</v>
      </c>
      <c r="I125" s="118" t="s">
        <v>47</v>
      </c>
      <c r="J125" s="118">
        <v>94243</v>
      </c>
      <c r="K125" s="118" t="s">
        <v>47</v>
      </c>
      <c r="L125" s="118" t="s">
        <v>47</v>
      </c>
      <c r="M125" s="118" t="s">
        <v>47</v>
      </c>
      <c r="N125" s="118">
        <v>-94243</v>
      </c>
      <c r="O125" s="118">
        <f t="shared" si="23"/>
        <v>0</v>
      </c>
      <c r="P125" s="118">
        <v>0</v>
      </c>
      <c r="Q125" s="118">
        <f t="shared" si="24"/>
        <v>0</v>
      </c>
    </row>
    <row r="126" spans="2:17" outlineLevel="1" x14ac:dyDescent="0.2">
      <c r="B126" s="130" t="s">
        <v>730</v>
      </c>
      <c r="C126" s="118" t="s">
        <v>47</v>
      </c>
      <c r="D126" s="118" t="s">
        <v>47</v>
      </c>
      <c r="E126" s="118"/>
      <c r="F126" s="118" t="s">
        <v>47</v>
      </c>
      <c r="G126" s="118" t="s">
        <v>47</v>
      </c>
      <c r="H126" s="118">
        <v>0</v>
      </c>
      <c r="I126" s="118" t="s">
        <v>47</v>
      </c>
      <c r="J126" s="118" t="s">
        <v>47</v>
      </c>
      <c r="K126" s="118" t="s">
        <v>47</v>
      </c>
      <c r="L126" s="118" t="s">
        <v>47</v>
      </c>
      <c r="M126" s="118" t="s">
        <v>47</v>
      </c>
      <c r="N126" s="118" t="s">
        <v>47</v>
      </c>
      <c r="O126" s="118">
        <f t="shared" si="23"/>
        <v>0</v>
      </c>
      <c r="P126" s="118">
        <v>0</v>
      </c>
      <c r="Q126" s="118">
        <f t="shared" si="24"/>
        <v>0</v>
      </c>
    </row>
    <row r="127" spans="2:17" ht="14.25" customHeight="1" outlineLevel="1" x14ac:dyDescent="0.2">
      <c r="B127" s="130" t="s">
        <v>753</v>
      </c>
      <c r="C127" s="118" t="s">
        <v>47</v>
      </c>
      <c r="D127" s="118" t="s">
        <v>47</v>
      </c>
      <c r="E127" s="118"/>
      <c r="F127" s="118" t="s">
        <v>47</v>
      </c>
      <c r="G127" s="118" t="s">
        <v>47</v>
      </c>
      <c r="H127" s="118">
        <v>0</v>
      </c>
      <c r="I127" s="118" t="s">
        <v>47</v>
      </c>
      <c r="J127" s="118">
        <v>-64950</v>
      </c>
      <c r="K127" s="118">
        <v>28306</v>
      </c>
      <c r="L127" s="118" t="s">
        <v>47</v>
      </c>
      <c r="M127" s="118" t="s">
        <v>47</v>
      </c>
      <c r="N127" s="118">
        <v>21090</v>
      </c>
      <c r="O127" s="118">
        <f t="shared" si="23"/>
        <v>-15554</v>
      </c>
      <c r="P127" s="118">
        <v>0</v>
      </c>
      <c r="Q127" s="118">
        <f>+SUM(O127:P127)</f>
        <v>-15554</v>
      </c>
    </row>
    <row r="128" spans="2:17" x14ac:dyDescent="0.2">
      <c r="B128" s="127" t="s">
        <v>845</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
    <row r="130" spans="1:17" outlineLevel="1" x14ac:dyDescent="0.2">
      <c r="B130" s="130" t="s">
        <v>725</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outlineLevel="1" x14ac:dyDescent="0.2">
      <c r="B131" s="130" t="s">
        <v>726</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outlineLevel="1" x14ac:dyDescent="0.2">
      <c r="B132" s="130" t="s">
        <v>727</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5.5" outlineLevel="1" x14ac:dyDescent="0.2">
      <c r="B133" s="130" t="s">
        <v>838</v>
      </c>
      <c r="C133" s="118" t="s">
        <v>47</v>
      </c>
      <c r="D133" s="118" t="s">
        <v>47</v>
      </c>
      <c r="E133" s="118"/>
      <c r="F133" s="118">
        <v>0</v>
      </c>
      <c r="G133" s="118">
        <v>0</v>
      </c>
      <c r="H133" s="118">
        <v>0</v>
      </c>
      <c r="I133" s="118" t="s">
        <v>47</v>
      </c>
      <c r="J133" s="118" t="s">
        <v>47</v>
      </c>
      <c r="K133" s="118" t="s">
        <v>47</v>
      </c>
      <c r="L133" s="118" t="s">
        <v>47</v>
      </c>
      <c r="M133" s="118">
        <v>19</v>
      </c>
      <c r="N133" s="118">
        <v>0</v>
      </c>
      <c r="O133" s="118">
        <f>+SUM(C133:N133)</f>
        <v>19</v>
      </c>
      <c r="P133" s="118">
        <v>0</v>
      </c>
      <c r="Q133" s="118">
        <f t="shared" si="26"/>
        <v>19</v>
      </c>
    </row>
    <row r="134" spans="1:17" outlineLevel="1" x14ac:dyDescent="0.2">
      <c r="B134" s="130" t="s">
        <v>990</v>
      </c>
      <c r="C134" s="118" t="s">
        <v>47</v>
      </c>
      <c r="D134" s="118" t="s">
        <v>47</v>
      </c>
      <c r="E134" s="118"/>
      <c r="F134" s="118"/>
      <c r="G134" s="118"/>
      <c r="H134" s="118" t="s">
        <v>47</v>
      </c>
      <c r="I134" s="118" t="s">
        <v>47</v>
      </c>
      <c r="J134" s="118" t="s">
        <v>47</v>
      </c>
      <c r="K134" s="118" t="s">
        <v>47</v>
      </c>
      <c r="L134" s="118" t="s">
        <v>47</v>
      </c>
      <c r="M134" s="118">
        <v>-7</v>
      </c>
      <c r="N134" s="118" t="s">
        <v>47</v>
      </c>
      <c r="O134" s="118">
        <f>+SUM(C134:N134)</f>
        <v>-7</v>
      </c>
      <c r="P134" s="118" t="s">
        <v>47</v>
      </c>
      <c r="Q134" s="118">
        <f t="shared" si="26"/>
        <v>-7</v>
      </c>
    </row>
    <row r="135" spans="1:17" outlineLevel="1" x14ac:dyDescent="0.2">
      <c r="B135" s="130" t="s">
        <v>979</v>
      </c>
      <c r="C135" s="118" t="s">
        <v>47</v>
      </c>
      <c r="D135" s="118" t="s">
        <v>47</v>
      </c>
      <c r="E135" s="118"/>
      <c r="F135" s="118"/>
      <c r="G135" s="118"/>
      <c r="H135" s="118">
        <v>4559</v>
      </c>
      <c r="I135" s="118" t="s">
        <v>47</v>
      </c>
      <c r="J135" s="118" t="s">
        <v>47</v>
      </c>
      <c r="K135" s="118" t="s">
        <v>47</v>
      </c>
      <c r="L135" s="118" t="s">
        <v>47</v>
      </c>
      <c r="M135" s="118" t="s">
        <v>47</v>
      </c>
      <c r="N135" s="118">
        <v>-4559</v>
      </c>
      <c r="O135" s="118">
        <f>+SUM(C135:N135)</f>
        <v>0</v>
      </c>
      <c r="P135" s="118" t="s">
        <v>47</v>
      </c>
      <c r="Q135" s="118">
        <f t="shared" si="26"/>
        <v>0</v>
      </c>
    </row>
    <row r="136" spans="1:17" outlineLevel="1" x14ac:dyDescent="0.2">
      <c r="B136" s="130" t="s">
        <v>728</v>
      </c>
      <c r="C136" s="118"/>
      <c r="D136" s="118"/>
      <c r="E136" s="118"/>
      <c r="F136" s="118"/>
      <c r="G136" s="118"/>
      <c r="H136" s="118"/>
      <c r="I136" s="118"/>
      <c r="J136" s="118"/>
      <c r="K136" s="118"/>
      <c r="L136" s="118"/>
      <c r="M136" s="118"/>
      <c r="N136" s="118"/>
      <c r="O136" s="118"/>
      <c r="P136" s="118"/>
      <c r="Q136" s="118"/>
    </row>
    <row r="137" spans="1:17" outlineLevel="1" x14ac:dyDescent="0.2">
      <c r="B137" s="130" t="s">
        <v>729</v>
      </c>
      <c r="C137" s="118" t="s">
        <v>47</v>
      </c>
      <c r="D137" s="118" t="s">
        <v>47</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outlineLevel="1" x14ac:dyDescent="0.2">
      <c r="B138" s="130" t="s">
        <v>730</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
      <c r="B139" s="130" t="s">
        <v>753</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x14ac:dyDescent="0.2">
      <c r="B140" s="127" t="s">
        <v>864</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7" customFormat="1" x14ac:dyDescent="0.2">
      <c r="A141"/>
      <c r="B141" s="150"/>
      <c r="C141" s="151"/>
      <c r="D141" s="151"/>
      <c r="E141" s="151"/>
      <c r="F141" s="151"/>
      <c r="G141" s="151"/>
      <c r="H141" s="151"/>
      <c r="I141" s="151"/>
      <c r="J141" s="151"/>
      <c r="K141" s="151"/>
      <c r="L141" s="151"/>
      <c r="M141" s="151"/>
      <c r="N141" s="151"/>
      <c r="O141" s="151"/>
      <c r="P141" s="151"/>
      <c r="Q141" s="151"/>
    </row>
    <row r="142" spans="1:17" outlineLevel="1" x14ac:dyDescent="0.2">
      <c r="B142" s="130" t="s">
        <v>725</v>
      </c>
      <c r="C142" s="118" t="s">
        <v>47</v>
      </c>
      <c r="D142" s="118" t="s">
        <v>47</v>
      </c>
      <c r="E142" s="118"/>
      <c r="F142" s="118" t="s">
        <v>47</v>
      </c>
      <c r="G142" s="118" t="s">
        <v>47</v>
      </c>
      <c r="H142" s="118" t="s">
        <v>47</v>
      </c>
      <c r="I142" s="118" t="s">
        <v>47</v>
      </c>
      <c r="J142" s="118" t="s">
        <v>47</v>
      </c>
      <c r="K142" s="118" t="s">
        <v>47</v>
      </c>
      <c r="L142" s="118" t="s">
        <v>47</v>
      </c>
      <c r="M142" s="118">
        <v>0</v>
      </c>
      <c r="N142" s="118">
        <v>32514</v>
      </c>
      <c r="O142" s="118">
        <f t="shared" ref="O142:O151" si="28">+SUM(C142:N142)</f>
        <v>32514</v>
      </c>
      <c r="P142" s="118">
        <v>0</v>
      </c>
      <c r="Q142" s="118">
        <f t="shared" ref="Q142:Q151" si="29">+SUM(O142:P142)</f>
        <v>32514</v>
      </c>
    </row>
    <row r="143" spans="1:17" outlineLevel="1" x14ac:dyDescent="0.2">
      <c r="B143" s="130" t="s">
        <v>726</v>
      </c>
      <c r="C143" s="118" t="s">
        <v>47</v>
      </c>
      <c r="D143" s="118" t="s">
        <v>47</v>
      </c>
      <c r="E143" s="118"/>
      <c r="F143" s="118" t="s">
        <v>47</v>
      </c>
      <c r="G143" s="118" t="s">
        <v>47</v>
      </c>
      <c r="H143" s="118" t="s">
        <v>47</v>
      </c>
      <c r="I143" s="118" t="s">
        <v>47</v>
      </c>
      <c r="J143" s="118" t="s">
        <v>47</v>
      </c>
      <c r="K143" s="118" t="s">
        <v>47</v>
      </c>
      <c r="L143" s="118" t="s">
        <v>47</v>
      </c>
      <c r="M143" s="118" t="s">
        <v>47</v>
      </c>
      <c r="N143" s="118" t="s">
        <v>47</v>
      </c>
      <c r="O143" s="118">
        <f t="shared" si="28"/>
        <v>0</v>
      </c>
      <c r="P143" s="118">
        <v>0</v>
      </c>
      <c r="Q143" s="118">
        <f t="shared" si="29"/>
        <v>0</v>
      </c>
    </row>
    <row r="144" spans="1:17" outlineLevel="1" x14ac:dyDescent="0.2">
      <c r="B144" s="130" t="s">
        <v>727</v>
      </c>
      <c r="C144" s="118" t="s">
        <v>47</v>
      </c>
      <c r="D144" s="118" t="s">
        <v>47</v>
      </c>
      <c r="E144" s="118"/>
      <c r="F144" s="118" t="s">
        <v>47</v>
      </c>
      <c r="G144" s="118" t="s">
        <v>47</v>
      </c>
      <c r="H144" s="118" t="s">
        <v>47</v>
      </c>
      <c r="I144" s="118" t="s">
        <v>47</v>
      </c>
      <c r="J144" s="118" t="s">
        <v>47</v>
      </c>
      <c r="K144" s="118" t="s">
        <v>47</v>
      </c>
      <c r="L144" s="118" t="s">
        <v>47</v>
      </c>
      <c r="M144" s="118" t="s">
        <v>47</v>
      </c>
      <c r="N144" s="118" t="s">
        <v>47</v>
      </c>
      <c r="O144" s="118">
        <f t="shared" si="28"/>
        <v>0</v>
      </c>
      <c r="P144" s="118">
        <v>0</v>
      </c>
      <c r="Q144" s="118">
        <f t="shared" si="29"/>
        <v>0</v>
      </c>
    </row>
    <row r="145" spans="1:17" ht="25.5" outlineLevel="1" x14ac:dyDescent="0.2">
      <c r="B145" s="130" t="s">
        <v>838</v>
      </c>
      <c r="C145" s="118" t="s">
        <v>47</v>
      </c>
      <c r="D145" s="118" t="s">
        <v>47</v>
      </c>
      <c r="E145" s="118"/>
      <c r="F145" s="118" t="s">
        <v>47</v>
      </c>
      <c r="G145" s="118" t="s">
        <v>47</v>
      </c>
      <c r="H145" s="118" t="s">
        <v>47</v>
      </c>
      <c r="I145" s="118" t="s">
        <v>47</v>
      </c>
      <c r="J145" s="118" t="s">
        <v>47</v>
      </c>
      <c r="K145" s="118" t="s">
        <v>47</v>
      </c>
      <c r="L145" s="118" t="s">
        <v>47</v>
      </c>
      <c r="M145" s="118">
        <v>969</v>
      </c>
      <c r="N145" s="118" t="s">
        <v>47</v>
      </c>
      <c r="O145" s="118">
        <f t="shared" si="28"/>
        <v>969</v>
      </c>
      <c r="P145" s="118">
        <v>0</v>
      </c>
      <c r="Q145" s="118">
        <f t="shared" si="29"/>
        <v>969</v>
      </c>
    </row>
    <row r="146" spans="1:17" outlineLevel="1" x14ac:dyDescent="0.2">
      <c r="B146" s="130" t="s">
        <v>990</v>
      </c>
      <c r="C146" s="118" t="s">
        <v>47</v>
      </c>
      <c r="D146" s="118" t="s">
        <v>47</v>
      </c>
      <c r="E146" s="118"/>
      <c r="F146" s="118"/>
      <c r="G146" s="118"/>
      <c r="H146" s="118" t="s">
        <v>47</v>
      </c>
      <c r="I146" s="118" t="s">
        <v>47</v>
      </c>
      <c r="J146" s="118" t="s">
        <v>47</v>
      </c>
      <c r="K146" s="118" t="s">
        <v>47</v>
      </c>
      <c r="L146" s="118" t="s">
        <v>47</v>
      </c>
      <c r="M146" s="118">
        <v>-330</v>
      </c>
      <c r="N146" s="118" t="s">
        <v>47</v>
      </c>
      <c r="O146" s="118">
        <f t="shared" si="28"/>
        <v>-330</v>
      </c>
      <c r="P146" s="118">
        <v>0</v>
      </c>
      <c r="Q146" s="118">
        <f t="shared" si="29"/>
        <v>-330</v>
      </c>
    </row>
    <row r="147" spans="1:17" outlineLevel="1" x14ac:dyDescent="0.2">
      <c r="B147" s="130" t="s">
        <v>979</v>
      </c>
      <c r="C147" s="118" t="s">
        <v>47</v>
      </c>
      <c r="D147" s="118" t="s">
        <v>47</v>
      </c>
      <c r="E147" s="118"/>
      <c r="F147" s="118"/>
      <c r="G147" s="118"/>
      <c r="H147" s="118">
        <v>4048</v>
      </c>
      <c r="I147" s="118" t="s">
        <v>47</v>
      </c>
      <c r="J147" s="118" t="s">
        <v>47</v>
      </c>
      <c r="K147" s="118" t="s">
        <v>47</v>
      </c>
      <c r="L147" s="118" t="s">
        <v>47</v>
      </c>
      <c r="M147" s="118" t="s">
        <v>47</v>
      </c>
      <c r="N147" s="118">
        <v>-4048</v>
      </c>
      <c r="O147" s="118">
        <f t="shared" si="28"/>
        <v>0</v>
      </c>
      <c r="P147" s="118">
        <v>0</v>
      </c>
      <c r="Q147" s="118">
        <f t="shared" si="29"/>
        <v>0</v>
      </c>
    </row>
    <row r="148" spans="1:17" outlineLevel="1" x14ac:dyDescent="0.2">
      <c r="B148" s="130" t="s">
        <v>728</v>
      </c>
      <c r="C148" s="118"/>
      <c r="D148" s="118"/>
      <c r="E148" s="118"/>
      <c r="F148" s="118"/>
      <c r="G148" s="118"/>
      <c r="H148" s="118"/>
      <c r="I148" s="118"/>
      <c r="J148" s="118"/>
      <c r="K148" s="118"/>
      <c r="L148" s="118"/>
      <c r="M148" s="118"/>
      <c r="N148" s="118"/>
      <c r="O148" s="118"/>
      <c r="P148" s="118"/>
      <c r="Q148" s="118"/>
    </row>
    <row r="149" spans="1:17" outlineLevel="1" x14ac:dyDescent="0.2">
      <c r="B149" s="130" t="s">
        <v>729</v>
      </c>
      <c r="C149" s="118" t="s">
        <v>47</v>
      </c>
      <c r="D149" s="118" t="s">
        <v>47</v>
      </c>
      <c r="E149" s="118"/>
      <c r="F149" s="118" t="s">
        <v>47</v>
      </c>
      <c r="G149" s="118" t="s">
        <v>47</v>
      </c>
      <c r="H149" s="118" t="s">
        <v>47</v>
      </c>
      <c r="I149" s="118" t="s">
        <v>47</v>
      </c>
      <c r="J149" s="118" t="s">
        <v>47</v>
      </c>
      <c r="K149" s="118" t="s">
        <v>47</v>
      </c>
      <c r="L149" s="118" t="s">
        <v>47</v>
      </c>
      <c r="M149" s="118" t="s">
        <v>47</v>
      </c>
      <c r="N149" s="118" t="s">
        <v>47</v>
      </c>
      <c r="O149" s="118">
        <f t="shared" si="28"/>
        <v>0</v>
      </c>
      <c r="P149" s="118">
        <v>0</v>
      </c>
      <c r="Q149" s="118">
        <f t="shared" si="29"/>
        <v>0</v>
      </c>
    </row>
    <row r="150" spans="1:17" outlineLevel="1" x14ac:dyDescent="0.2">
      <c r="B150" s="130" t="s">
        <v>730</v>
      </c>
      <c r="C150" s="118" t="s">
        <v>47</v>
      </c>
      <c r="D150" s="118" t="s">
        <v>47</v>
      </c>
      <c r="E150" s="118"/>
      <c r="F150" s="118" t="s">
        <v>47</v>
      </c>
      <c r="G150" s="118" t="s">
        <v>47</v>
      </c>
      <c r="H150" s="118" t="s">
        <v>47</v>
      </c>
      <c r="I150" s="118" t="s">
        <v>47</v>
      </c>
      <c r="J150" s="118" t="s">
        <v>47</v>
      </c>
      <c r="K150" s="118" t="s">
        <v>47</v>
      </c>
      <c r="L150" s="118" t="s">
        <v>47</v>
      </c>
      <c r="M150" s="118" t="s">
        <v>47</v>
      </c>
      <c r="N150" s="118" t="s">
        <v>47</v>
      </c>
      <c r="O150" s="118">
        <f t="shared" si="28"/>
        <v>0</v>
      </c>
      <c r="P150" s="118">
        <v>0</v>
      </c>
      <c r="Q150" s="118">
        <f t="shared" si="29"/>
        <v>0</v>
      </c>
    </row>
    <row r="151" spans="1:17" ht="14.25" customHeight="1" outlineLevel="1" x14ac:dyDescent="0.2">
      <c r="B151" s="130" t="s">
        <v>753</v>
      </c>
      <c r="C151" s="118" t="s">
        <v>47</v>
      </c>
      <c r="D151" s="118" t="s">
        <v>47</v>
      </c>
      <c r="E151" s="118"/>
      <c r="F151" s="118" t="s">
        <v>47</v>
      </c>
      <c r="G151" s="118" t="s">
        <v>47</v>
      </c>
      <c r="H151" s="118" t="s">
        <v>47</v>
      </c>
      <c r="I151" s="118">
        <v>0</v>
      </c>
      <c r="J151" s="118" t="s">
        <v>47</v>
      </c>
      <c r="K151" s="118">
        <v>-28306</v>
      </c>
      <c r="L151" s="118" t="s">
        <v>47</v>
      </c>
      <c r="M151" s="118" t="s">
        <v>47</v>
      </c>
      <c r="N151" s="118" t="s">
        <v>47</v>
      </c>
      <c r="O151" s="118">
        <f t="shared" si="28"/>
        <v>-28306</v>
      </c>
      <c r="P151" s="118">
        <v>0</v>
      </c>
      <c r="Q151" s="118">
        <f t="shared" si="29"/>
        <v>-28306</v>
      </c>
    </row>
    <row r="152" spans="1:17" x14ac:dyDescent="0.2">
      <c r="B152" s="127" t="s">
        <v>925</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7" customFormat="1" x14ac:dyDescent="0.2">
      <c r="A153"/>
      <c r="B153" s="150"/>
      <c r="C153" s="151"/>
      <c r="D153" s="151"/>
      <c r="E153" s="151"/>
      <c r="F153" s="151"/>
      <c r="G153" s="151"/>
      <c r="H153" s="151"/>
      <c r="I153" s="151"/>
      <c r="J153" s="151"/>
      <c r="K153" s="151"/>
      <c r="L153" s="151"/>
      <c r="M153" s="151"/>
      <c r="N153" s="151"/>
      <c r="O153" s="151"/>
      <c r="P153" s="151"/>
      <c r="Q153" s="151"/>
    </row>
    <row r="154" spans="1:17" outlineLevel="1" x14ac:dyDescent="0.2">
      <c r="B154" s="130" t="s">
        <v>725</v>
      </c>
      <c r="C154" s="118" t="s">
        <v>47</v>
      </c>
      <c r="D154" s="118" t="s">
        <v>47</v>
      </c>
      <c r="E154" s="118"/>
      <c r="F154" s="118" t="s">
        <v>47</v>
      </c>
      <c r="G154" s="118" t="s">
        <v>47</v>
      </c>
      <c r="H154" s="118" t="s">
        <v>47</v>
      </c>
      <c r="I154" s="118" t="s">
        <v>47</v>
      </c>
      <c r="J154" s="118" t="s">
        <v>47</v>
      </c>
      <c r="K154" s="118" t="s">
        <v>47</v>
      </c>
      <c r="L154" s="118" t="s">
        <v>47</v>
      </c>
      <c r="M154" s="118">
        <v>0</v>
      </c>
      <c r="N154" s="118">
        <v>91392</v>
      </c>
      <c r="O154" s="118">
        <v>91392</v>
      </c>
      <c r="P154" s="118">
        <v>0</v>
      </c>
      <c r="Q154" s="118">
        <f t="shared" ref="Q154:Q163" si="32">+SUM(O154:P154)</f>
        <v>91392</v>
      </c>
    </row>
    <row r="155" spans="1:17" outlineLevel="1" x14ac:dyDescent="0.2">
      <c r="B155" s="130" t="s">
        <v>726</v>
      </c>
      <c r="C155" s="118" t="s">
        <v>47</v>
      </c>
      <c r="D155" s="118" t="s">
        <v>47</v>
      </c>
      <c r="E155" s="118"/>
      <c r="F155" s="118" t="s">
        <v>47</v>
      </c>
      <c r="G155" s="118" t="s">
        <v>47</v>
      </c>
      <c r="H155" s="118" t="s">
        <v>47</v>
      </c>
      <c r="I155" s="118" t="s">
        <v>47</v>
      </c>
      <c r="J155" s="118" t="s">
        <v>47</v>
      </c>
      <c r="K155" s="118" t="s">
        <v>47</v>
      </c>
      <c r="L155" s="118" t="s">
        <v>47</v>
      </c>
      <c r="M155" s="118" t="s">
        <v>47</v>
      </c>
      <c r="N155" s="118" t="s">
        <v>47</v>
      </c>
      <c r="O155" s="118">
        <v>0</v>
      </c>
      <c r="P155" s="118">
        <v>0</v>
      </c>
      <c r="Q155" s="118">
        <f t="shared" si="32"/>
        <v>0</v>
      </c>
    </row>
    <row r="156" spans="1:17" outlineLevel="1" x14ac:dyDescent="0.2">
      <c r="B156" s="130" t="s">
        <v>727</v>
      </c>
      <c r="C156" s="118" t="s">
        <v>47</v>
      </c>
      <c r="D156" s="118" t="s">
        <v>47</v>
      </c>
      <c r="E156" s="118"/>
      <c r="F156" s="118" t="s">
        <v>47</v>
      </c>
      <c r="G156" s="118" t="s">
        <v>47</v>
      </c>
      <c r="H156" s="118" t="s">
        <v>47</v>
      </c>
      <c r="I156" s="118" t="s">
        <v>47</v>
      </c>
      <c r="J156" s="118" t="s">
        <v>47</v>
      </c>
      <c r="K156" s="118" t="s">
        <v>47</v>
      </c>
      <c r="L156" s="118" t="s">
        <v>47</v>
      </c>
      <c r="M156" s="118" t="s">
        <v>47</v>
      </c>
      <c r="N156" s="118" t="s">
        <v>47</v>
      </c>
      <c r="O156" s="118">
        <v>0</v>
      </c>
      <c r="P156" s="118">
        <v>0</v>
      </c>
      <c r="Q156" s="118">
        <f t="shared" si="32"/>
        <v>0</v>
      </c>
    </row>
    <row r="157" spans="1:17" ht="25.5" outlineLevel="1" x14ac:dyDescent="0.2">
      <c r="B157" s="130" t="s">
        <v>838</v>
      </c>
      <c r="C157" s="118" t="s">
        <v>47</v>
      </c>
      <c r="D157" s="118" t="s">
        <v>47</v>
      </c>
      <c r="E157" s="118"/>
      <c r="F157" s="118" t="s">
        <v>47</v>
      </c>
      <c r="G157" s="118" t="s">
        <v>47</v>
      </c>
      <c r="H157" s="118" t="s">
        <v>47</v>
      </c>
      <c r="I157" s="118" t="s">
        <v>47</v>
      </c>
      <c r="J157" s="118" t="s">
        <v>47</v>
      </c>
      <c r="K157" s="118" t="s">
        <v>47</v>
      </c>
      <c r="L157" s="118" t="s">
        <v>47</v>
      </c>
      <c r="M157" s="118">
        <v>1077</v>
      </c>
      <c r="N157" s="118" t="s">
        <v>47</v>
      </c>
      <c r="O157" s="118">
        <f>+SUM(C157:N157)</f>
        <v>1077</v>
      </c>
      <c r="P157" s="118">
        <v>0</v>
      </c>
      <c r="Q157" s="118">
        <f t="shared" si="32"/>
        <v>1077</v>
      </c>
    </row>
    <row r="158" spans="1:17" outlineLevel="1" x14ac:dyDescent="0.2">
      <c r="B158" s="130" t="s">
        <v>990</v>
      </c>
      <c r="C158" s="118" t="s">
        <v>47</v>
      </c>
      <c r="D158" s="118" t="s">
        <v>47</v>
      </c>
      <c r="E158" s="118"/>
      <c r="F158" s="118"/>
      <c r="G158" s="118"/>
      <c r="H158" s="118" t="s">
        <v>47</v>
      </c>
      <c r="I158" s="118" t="s">
        <v>47</v>
      </c>
      <c r="J158" s="118" t="s">
        <v>47</v>
      </c>
      <c r="K158" s="118" t="s">
        <v>47</v>
      </c>
      <c r="L158" s="118" t="s">
        <v>47</v>
      </c>
      <c r="M158" s="118">
        <v>-367</v>
      </c>
      <c r="N158" s="118">
        <v>0</v>
      </c>
      <c r="O158" s="118">
        <f>+SUM(C158:N158)</f>
        <v>-367</v>
      </c>
      <c r="P158" s="118">
        <v>0</v>
      </c>
      <c r="Q158" s="118">
        <f t="shared" si="32"/>
        <v>-367</v>
      </c>
    </row>
    <row r="159" spans="1:17" outlineLevel="1" x14ac:dyDescent="0.2">
      <c r="B159" s="130" t="s">
        <v>979</v>
      </c>
      <c r="C159" s="118" t="s">
        <v>47</v>
      </c>
      <c r="D159" s="118" t="s">
        <v>47</v>
      </c>
      <c r="E159" s="118"/>
      <c r="F159" s="118"/>
      <c r="G159" s="118"/>
      <c r="H159" s="118">
        <v>4145</v>
      </c>
      <c r="I159" s="118" t="s">
        <v>47</v>
      </c>
      <c r="J159" s="118" t="s">
        <v>47</v>
      </c>
      <c r="K159" s="118" t="s">
        <v>47</v>
      </c>
      <c r="L159" s="118" t="s">
        <v>47</v>
      </c>
      <c r="M159" s="118" t="s">
        <v>47</v>
      </c>
      <c r="N159" s="118">
        <v>-4145</v>
      </c>
      <c r="O159" s="118">
        <v>0</v>
      </c>
      <c r="P159" s="118">
        <v>0</v>
      </c>
      <c r="Q159" s="118">
        <f t="shared" si="32"/>
        <v>0</v>
      </c>
    </row>
    <row r="160" spans="1:17" outlineLevel="1" x14ac:dyDescent="0.2">
      <c r="B160" s="130" t="s">
        <v>728</v>
      </c>
      <c r="C160" s="118"/>
      <c r="D160" s="118"/>
      <c r="E160" s="118"/>
      <c r="F160" s="118"/>
      <c r="G160" s="118"/>
      <c r="H160" s="118"/>
      <c r="I160" s="118"/>
      <c r="J160" s="118"/>
      <c r="K160" s="118"/>
      <c r="L160" s="118"/>
      <c r="M160" s="118"/>
      <c r="N160" s="118"/>
      <c r="O160" s="118"/>
      <c r="P160" s="118"/>
      <c r="Q160" s="118"/>
    </row>
    <row r="161" spans="2:17" outlineLevel="1" x14ac:dyDescent="0.2">
      <c r="B161" s="130" t="s">
        <v>729</v>
      </c>
      <c r="C161" s="118" t="s">
        <v>47</v>
      </c>
      <c r="D161" s="118" t="s">
        <v>47</v>
      </c>
      <c r="E161" s="118"/>
      <c r="F161" s="118" t="s">
        <v>47</v>
      </c>
      <c r="G161" s="118" t="s">
        <v>47</v>
      </c>
      <c r="H161" s="118" t="s">
        <v>47</v>
      </c>
      <c r="I161" s="118" t="s">
        <v>47</v>
      </c>
      <c r="J161" s="118" t="s">
        <v>47</v>
      </c>
      <c r="K161" s="118" t="s">
        <v>47</v>
      </c>
      <c r="L161" s="118" t="s">
        <v>47</v>
      </c>
      <c r="M161" s="118" t="s">
        <v>47</v>
      </c>
      <c r="N161" s="118" t="s">
        <v>47</v>
      </c>
      <c r="O161" s="118">
        <v>0</v>
      </c>
      <c r="P161" s="118">
        <v>0</v>
      </c>
      <c r="Q161" s="118">
        <f t="shared" si="32"/>
        <v>0</v>
      </c>
    </row>
    <row r="162" spans="2:17" outlineLevel="1" x14ac:dyDescent="0.2">
      <c r="B162" s="130" t="s">
        <v>730</v>
      </c>
      <c r="C162" s="118" t="s">
        <v>47</v>
      </c>
      <c r="D162" s="118" t="s">
        <v>47</v>
      </c>
      <c r="E162" s="118"/>
      <c r="F162" s="118" t="s">
        <v>47</v>
      </c>
      <c r="G162" s="118" t="s">
        <v>47</v>
      </c>
      <c r="H162" s="118" t="s">
        <v>47</v>
      </c>
      <c r="I162" s="118" t="s">
        <v>47</v>
      </c>
      <c r="J162" s="118" t="s">
        <v>47</v>
      </c>
      <c r="K162" s="118" t="s">
        <v>47</v>
      </c>
      <c r="L162" s="118" t="s">
        <v>47</v>
      </c>
      <c r="M162" s="118" t="s">
        <v>47</v>
      </c>
      <c r="N162" s="118" t="s">
        <v>47</v>
      </c>
      <c r="O162" s="118">
        <v>0</v>
      </c>
      <c r="P162" s="118">
        <v>0</v>
      </c>
      <c r="Q162" s="118">
        <f t="shared" si="32"/>
        <v>0</v>
      </c>
    </row>
    <row r="163" spans="2:17" ht="14.25" customHeight="1" outlineLevel="1" x14ac:dyDescent="0.2">
      <c r="B163" s="130" t="s">
        <v>753</v>
      </c>
      <c r="C163" s="118" t="s">
        <v>47</v>
      </c>
      <c r="D163" s="118" t="s">
        <v>47</v>
      </c>
      <c r="E163" s="118"/>
      <c r="F163" s="118" t="s">
        <v>47</v>
      </c>
      <c r="G163" s="118" t="s">
        <v>47</v>
      </c>
      <c r="H163" s="118" t="s">
        <v>47</v>
      </c>
      <c r="I163" s="118">
        <v>0</v>
      </c>
      <c r="J163" s="118" t="s">
        <v>47</v>
      </c>
      <c r="K163" s="118">
        <v>-29568</v>
      </c>
      <c r="L163" s="118" t="s">
        <v>47</v>
      </c>
      <c r="M163" s="118" t="s">
        <v>47</v>
      </c>
      <c r="N163" s="118" t="s">
        <v>47</v>
      </c>
      <c r="O163" s="118">
        <v>-29568</v>
      </c>
      <c r="P163" s="118">
        <v>0</v>
      </c>
      <c r="Q163" s="118">
        <f t="shared" si="32"/>
        <v>-29568</v>
      </c>
    </row>
    <row r="164" spans="2:17" x14ac:dyDescent="0.2">
      <c r="B164" s="127" t="s">
        <v>943</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
      <c r="K165" s="703"/>
    </row>
    <row r="166" spans="2:17" outlineLevel="1" x14ac:dyDescent="0.2">
      <c r="B166" s="130" t="s">
        <v>725</v>
      </c>
      <c r="C166" s="118" t="s">
        <v>47</v>
      </c>
      <c r="D166" s="118" t="s">
        <v>47</v>
      </c>
      <c r="E166" s="118"/>
      <c r="F166" s="118" t="s">
        <v>47</v>
      </c>
      <c r="G166" s="118" t="s">
        <v>47</v>
      </c>
      <c r="H166" s="118" t="s">
        <v>47</v>
      </c>
      <c r="I166" s="118" t="s">
        <v>47</v>
      </c>
      <c r="J166" s="118" t="s">
        <v>47</v>
      </c>
      <c r="K166" s="118" t="s">
        <v>47</v>
      </c>
      <c r="L166" s="118" t="s">
        <v>47</v>
      </c>
      <c r="M166" s="118">
        <v>0</v>
      </c>
      <c r="N166" s="118">
        <v>43445</v>
      </c>
      <c r="O166" s="118">
        <f t="shared" ref="O166:O171" si="35">+SUM(C166:N166)</f>
        <v>43445</v>
      </c>
      <c r="P166" s="118">
        <v>0</v>
      </c>
      <c r="Q166" s="118">
        <f t="shared" ref="Q166:Q172" si="36">+SUM(O166:P166)</f>
        <v>43445</v>
      </c>
    </row>
    <row r="167" spans="2:17" ht="25.5" outlineLevel="1" x14ac:dyDescent="0.2">
      <c r="B167" s="130" t="s">
        <v>838</v>
      </c>
      <c r="C167" s="118" t="s">
        <v>47</v>
      </c>
      <c r="D167" s="118" t="s">
        <v>47</v>
      </c>
      <c r="E167" s="118"/>
      <c r="F167" s="118" t="s">
        <v>47</v>
      </c>
      <c r="G167" s="118" t="s">
        <v>47</v>
      </c>
      <c r="H167" s="118" t="s">
        <v>47</v>
      </c>
      <c r="I167" s="118" t="s">
        <v>47</v>
      </c>
      <c r="J167" s="118" t="s">
        <v>47</v>
      </c>
      <c r="K167" s="118" t="s">
        <v>47</v>
      </c>
      <c r="L167" s="118" t="s">
        <v>47</v>
      </c>
      <c r="M167" s="118">
        <v>-1602</v>
      </c>
      <c r="N167" s="118" t="s">
        <v>47</v>
      </c>
      <c r="O167" s="118">
        <f t="shared" si="35"/>
        <v>-1602</v>
      </c>
      <c r="P167" s="118">
        <v>0</v>
      </c>
      <c r="Q167" s="118">
        <f t="shared" si="36"/>
        <v>-1602</v>
      </c>
    </row>
    <row r="168" spans="2:17" outlineLevel="1" x14ac:dyDescent="0.2">
      <c r="B168" s="130" t="s">
        <v>990</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outlineLevel="1" x14ac:dyDescent="0.2">
      <c r="B169" s="130" t="s">
        <v>979</v>
      </c>
      <c r="C169" s="118" t="s">
        <v>47</v>
      </c>
      <c r="D169" s="118" t="s">
        <v>47</v>
      </c>
      <c r="E169" s="118"/>
      <c r="F169" s="118"/>
      <c r="G169" s="118"/>
      <c r="H169" s="118">
        <v>4987</v>
      </c>
      <c r="I169" s="118" t="s">
        <v>47</v>
      </c>
      <c r="J169" s="118" t="s">
        <v>47</v>
      </c>
      <c r="K169" s="118" t="s">
        <v>47</v>
      </c>
      <c r="L169" s="118" t="s">
        <v>47</v>
      </c>
      <c r="M169" s="118">
        <v>0</v>
      </c>
      <c r="N169" s="118">
        <v>-4987</v>
      </c>
      <c r="O169" s="118">
        <v>0</v>
      </c>
      <c r="P169" s="118">
        <v>0</v>
      </c>
      <c r="Q169" s="118">
        <f t="shared" si="36"/>
        <v>0</v>
      </c>
    </row>
    <row r="170" spans="2:17" outlineLevel="1" x14ac:dyDescent="0.2">
      <c r="B170" s="130" t="s">
        <v>728</v>
      </c>
      <c r="C170" s="118"/>
      <c r="D170" s="118"/>
      <c r="E170" s="118"/>
      <c r="F170" s="118"/>
      <c r="G170" s="118"/>
      <c r="H170" s="118"/>
      <c r="I170" s="118"/>
      <c r="J170" s="118"/>
      <c r="K170" s="118"/>
      <c r="L170" s="118"/>
      <c r="M170" s="118"/>
      <c r="N170" s="118"/>
      <c r="O170" s="118"/>
      <c r="P170" s="118"/>
      <c r="Q170" s="118"/>
    </row>
    <row r="171" spans="2:17" outlineLevel="1" x14ac:dyDescent="0.2">
      <c r="B171" s="130" t="s">
        <v>729</v>
      </c>
      <c r="C171" s="118" t="s">
        <v>47</v>
      </c>
      <c r="D171" s="118" t="s">
        <v>47</v>
      </c>
      <c r="E171" s="118"/>
      <c r="F171" s="118" t="s">
        <v>47</v>
      </c>
      <c r="G171" s="118" t="s">
        <v>47</v>
      </c>
      <c r="H171" s="118" t="s">
        <v>47</v>
      </c>
      <c r="I171" s="118" t="s">
        <v>47</v>
      </c>
      <c r="J171" s="118">
        <v>176232</v>
      </c>
      <c r="K171" s="118">
        <v>0</v>
      </c>
      <c r="L171" s="118" t="s">
        <v>47</v>
      </c>
      <c r="M171" s="118" t="s">
        <v>47</v>
      </c>
      <c r="N171" s="118">
        <v>-176233</v>
      </c>
      <c r="O171" s="118">
        <f t="shared" si="35"/>
        <v>-1</v>
      </c>
      <c r="P171" s="118">
        <v>0</v>
      </c>
      <c r="Q171" s="118">
        <f t="shared" si="36"/>
        <v>-1</v>
      </c>
    </row>
    <row r="172" spans="2:17" outlineLevel="1" x14ac:dyDescent="0.2">
      <c r="B172" s="130" t="s">
        <v>753</v>
      </c>
      <c r="C172" s="118" t="s">
        <v>47</v>
      </c>
      <c r="D172" s="118" t="s">
        <v>47</v>
      </c>
      <c r="E172" s="118"/>
      <c r="F172" s="118" t="s">
        <v>47</v>
      </c>
      <c r="G172" s="118" t="s">
        <v>47</v>
      </c>
      <c r="H172" s="118" t="s">
        <v>47</v>
      </c>
      <c r="I172" s="118">
        <v>0</v>
      </c>
      <c r="J172" s="118">
        <v>-75264</v>
      </c>
      <c r="K172" s="118">
        <v>29568</v>
      </c>
      <c r="L172" s="118" t="s">
        <v>47</v>
      </c>
      <c r="M172" s="118" t="s">
        <v>47</v>
      </c>
      <c r="N172" s="118" t="s">
        <v>47</v>
      </c>
      <c r="O172" s="118">
        <f>+SUM(C172:M172)</f>
        <v>-45696</v>
      </c>
      <c r="P172" s="118">
        <v>0</v>
      </c>
      <c r="Q172" s="118">
        <f t="shared" si="36"/>
        <v>-45696</v>
      </c>
    </row>
    <row r="173" spans="2:17" x14ac:dyDescent="0.2">
      <c r="B173" s="127" t="s">
        <v>971</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outlineLevel="1" x14ac:dyDescent="0.2">
      <c r="B175" s="130" t="s">
        <v>725</v>
      </c>
      <c r="C175" s="118" t="s">
        <v>47</v>
      </c>
      <c r="D175" s="118" t="s">
        <v>47</v>
      </c>
      <c r="E175" s="118"/>
      <c r="F175" s="118" t="s">
        <v>47</v>
      </c>
      <c r="G175" s="118" t="s">
        <v>47</v>
      </c>
      <c r="H175" s="118" t="s">
        <v>47</v>
      </c>
      <c r="I175" s="118" t="s">
        <v>47</v>
      </c>
      <c r="J175" s="118" t="s">
        <v>47</v>
      </c>
      <c r="K175" s="118" t="s">
        <v>47</v>
      </c>
      <c r="L175" s="118" t="s">
        <v>47</v>
      </c>
      <c r="M175" s="118">
        <v>0</v>
      </c>
      <c r="N175" s="118">
        <v>19286</v>
      </c>
      <c r="O175" s="118">
        <f t="shared" ref="O175:O181" si="38">+SUM(C175:N175)</f>
        <v>19286</v>
      </c>
      <c r="P175" s="118">
        <v>0</v>
      </c>
      <c r="Q175" s="118">
        <f t="shared" ref="Q175:Q181" si="39">+SUM(O175:P175)</f>
        <v>19286</v>
      </c>
    </row>
    <row r="176" spans="2:17" ht="25.5" outlineLevel="1" x14ac:dyDescent="0.2">
      <c r="B176" s="130" t="s">
        <v>838</v>
      </c>
      <c r="C176" s="118" t="s">
        <v>47</v>
      </c>
      <c r="D176" s="118" t="s">
        <v>47</v>
      </c>
      <c r="E176" s="118"/>
      <c r="F176" s="118" t="s">
        <v>47</v>
      </c>
      <c r="G176" s="118" t="s">
        <v>47</v>
      </c>
      <c r="H176" s="118" t="s">
        <v>47</v>
      </c>
      <c r="I176" s="118" t="s">
        <v>47</v>
      </c>
      <c r="J176" s="118" t="s">
        <v>47</v>
      </c>
      <c r="K176" s="118" t="s">
        <v>47</v>
      </c>
      <c r="L176" s="118" t="s">
        <v>47</v>
      </c>
      <c r="M176" s="118">
        <v>1161</v>
      </c>
      <c r="N176" s="118" t="s">
        <v>47</v>
      </c>
      <c r="O176" s="118">
        <f t="shared" si="38"/>
        <v>1161</v>
      </c>
      <c r="P176" s="118">
        <v>0</v>
      </c>
      <c r="Q176" s="118">
        <f t="shared" si="39"/>
        <v>1161</v>
      </c>
    </row>
    <row r="177" spans="2:17" outlineLevel="1" x14ac:dyDescent="0.2">
      <c r="B177" s="130" t="s">
        <v>990</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outlineLevel="1" x14ac:dyDescent="0.2">
      <c r="B178" s="130" t="s">
        <v>979</v>
      </c>
      <c r="C178" s="118" t="s">
        <v>47</v>
      </c>
      <c r="D178" s="118" t="s">
        <v>47</v>
      </c>
      <c r="E178" s="118"/>
      <c r="F178" s="118"/>
      <c r="G178" s="118"/>
      <c r="H178" s="118">
        <v>4043</v>
      </c>
      <c r="I178" s="118" t="s">
        <v>47</v>
      </c>
      <c r="J178" s="118" t="s">
        <v>47</v>
      </c>
      <c r="K178" s="118" t="s">
        <v>47</v>
      </c>
      <c r="L178" s="118" t="s">
        <v>47</v>
      </c>
      <c r="M178" s="118">
        <v>0</v>
      </c>
      <c r="N178" s="118">
        <v>-4043</v>
      </c>
      <c r="O178" s="118">
        <f t="shared" si="38"/>
        <v>0</v>
      </c>
      <c r="P178" s="118">
        <v>0</v>
      </c>
      <c r="Q178" s="118">
        <f t="shared" si="39"/>
        <v>0</v>
      </c>
    </row>
    <row r="179" spans="2:17" outlineLevel="1" x14ac:dyDescent="0.2">
      <c r="B179" s="130" t="s">
        <v>728</v>
      </c>
      <c r="C179" s="118"/>
      <c r="D179" s="118"/>
      <c r="E179" s="118"/>
      <c r="F179" s="118"/>
      <c r="G179" s="118"/>
      <c r="H179" s="118"/>
      <c r="I179" s="118"/>
      <c r="J179" s="118"/>
      <c r="K179" s="118"/>
      <c r="L179" s="118"/>
      <c r="M179" s="118"/>
      <c r="N179" s="118"/>
      <c r="O179" s="118"/>
      <c r="P179" s="118"/>
      <c r="Q179" s="118"/>
    </row>
    <row r="180" spans="2:17" outlineLevel="1" x14ac:dyDescent="0.2">
      <c r="B180" s="130" t="s">
        <v>729</v>
      </c>
      <c r="C180" s="118" t="s">
        <v>47</v>
      </c>
      <c r="D180" s="118" t="s">
        <v>47</v>
      </c>
      <c r="E180" s="118"/>
      <c r="F180" s="118" t="s">
        <v>47</v>
      </c>
      <c r="G180" s="118" t="s">
        <v>47</v>
      </c>
      <c r="H180" s="118" t="s">
        <v>47</v>
      </c>
      <c r="I180" s="118" t="s">
        <v>47</v>
      </c>
      <c r="J180" s="118">
        <v>0</v>
      </c>
      <c r="K180" s="118">
        <v>0</v>
      </c>
      <c r="L180" s="118" t="s">
        <v>47</v>
      </c>
      <c r="M180" s="118" t="s">
        <v>47</v>
      </c>
      <c r="N180" s="118">
        <v>0</v>
      </c>
      <c r="O180" s="118">
        <f t="shared" si="38"/>
        <v>0</v>
      </c>
      <c r="P180" s="118">
        <v>0</v>
      </c>
      <c r="Q180" s="118">
        <f t="shared" si="39"/>
        <v>0</v>
      </c>
    </row>
    <row r="181" spans="2:17" outlineLevel="1" x14ac:dyDescent="0.2">
      <c r="B181" s="130" t="s">
        <v>753</v>
      </c>
      <c r="C181" s="118" t="s">
        <v>47</v>
      </c>
      <c r="D181" s="118" t="s">
        <v>47</v>
      </c>
      <c r="E181" s="118"/>
      <c r="F181" s="118" t="s">
        <v>47</v>
      </c>
      <c r="G181" s="118" t="s">
        <v>47</v>
      </c>
      <c r="H181" s="118" t="s">
        <v>47</v>
      </c>
      <c r="I181" s="118">
        <v>0</v>
      </c>
      <c r="J181" s="118">
        <v>0</v>
      </c>
      <c r="K181" s="118">
        <v>0</v>
      </c>
      <c r="L181" s="118" t="s">
        <v>47</v>
      </c>
      <c r="M181" s="118" t="s">
        <v>47</v>
      </c>
      <c r="N181" s="118" t="s">
        <v>47</v>
      </c>
      <c r="O181" s="118">
        <f t="shared" si="38"/>
        <v>0</v>
      </c>
      <c r="P181" s="118">
        <v>0</v>
      </c>
      <c r="Q181" s="118">
        <f t="shared" si="39"/>
        <v>0</v>
      </c>
    </row>
    <row r="182" spans="2:17" x14ac:dyDescent="0.2">
      <c r="B182" s="127" t="s">
        <v>994</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outlineLevel="1" x14ac:dyDescent="0.2">
      <c r="B184" s="130" t="s">
        <v>725</v>
      </c>
      <c r="C184" s="118" t="s">
        <v>47</v>
      </c>
      <c r="D184" s="118" t="s">
        <v>47</v>
      </c>
      <c r="E184" s="118"/>
      <c r="F184" s="118" t="s">
        <v>47</v>
      </c>
      <c r="G184" s="118" t="s">
        <v>47</v>
      </c>
      <c r="H184" s="118" t="s">
        <v>47</v>
      </c>
      <c r="I184" s="118" t="s">
        <v>47</v>
      </c>
      <c r="J184" s="118" t="s">
        <v>47</v>
      </c>
      <c r="K184" s="118" t="s">
        <v>47</v>
      </c>
      <c r="L184" s="118" t="s">
        <v>47</v>
      </c>
      <c r="M184" s="118">
        <v>0</v>
      </c>
      <c r="N184" s="118">
        <v>-4363</v>
      </c>
      <c r="O184" s="118">
        <f>+SUM(C184:N184)</f>
        <v>-4363</v>
      </c>
      <c r="P184" s="118">
        <v>0</v>
      </c>
      <c r="Q184" s="118">
        <f>+SUM(O184:P184)</f>
        <v>-4363</v>
      </c>
    </row>
    <row r="185" spans="2:17" outlineLevel="1" x14ac:dyDescent="0.2">
      <c r="B185" s="130">
        <v>0</v>
      </c>
      <c r="C185" s="118">
        <v>174055</v>
      </c>
      <c r="D185" s="118">
        <v>-174055</v>
      </c>
      <c r="E185" s="118"/>
      <c r="F185" s="118" t="s">
        <v>47</v>
      </c>
      <c r="G185" s="118" t="s">
        <v>47</v>
      </c>
      <c r="H185" s="118" t="s">
        <v>47</v>
      </c>
      <c r="I185" s="118" t="s">
        <v>47</v>
      </c>
      <c r="J185" s="118" t="s">
        <v>47</v>
      </c>
      <c r="K185" s="118" t="s">
        <v>47</v>
      </c>
      <c r="L185" s="118" t="s">
        <v>47</v>
      </c>
      <c r="M185" s="118">
        <v>0</v>
      </c>
      <c r="N185" s="118">
        <v>0</v>
      </c>
      <c r="O185" s="118">
        <f>+SUM(C185:N185)</f>
        <v>0</v>
      </c>
      <c r="P185" s="118">
        <v>0</v>
      </c>
      <c r="Q185" s="118">
        <f>+SUM(O185:P185)</f>
        <v>0</v>
      </c>
    </row>
    <row r="186" spans="2:17" ht="25.5" outlineLevel="1" x14ac:dyDescent="0.2">
      <c r="B186" s="130" t="s">
        <v>838</v>
      </c>
      <c r="C186" s="118" t="s">
        <v>47</v>
      </c>
      <c r="D186" s="118" t="s">
        <v>47</v>
      </c>
      <c r="E186" s="118"/>
      <c r="F186" s="118" t="s">
        <v>47</v>
      </c>
      <c r="G186" s="118" t="s">
        <v>47</v>
      </c>
      <c r="H186" s="118" t="s">
        <v>47</v>
      </c>
      <c r="I186" s="118" t="s">
        <v>47</v>
      </c>
      <c r="J186" s="118" t="s">
        <v>47</v>
      </c>
      <c r="K186" s="118" t="s">
        <v>47</v>
      </c>
      <c r="L186" s="118" t="s">
        <v>47</v>
      </c>
      <c r="M186" s="118">
        <v>-1030</v>
      </c>
      <c r="N186" s="118" t="s">
        <v>47</v>
      </c>
      <c r="O186" s="118">
        <f>+SUM(C186:N186)</f>
        <v>-1030</v>
      </c>
      <c r="P186" s="118">
        <v>0</v>
      </c>
      <c r="Q186" s="118">
        <f>+SUM(O186:P186)</f>
        <v>-1030</v>
      </c>
    </row>
    <row r="187" spans="2:17" outlineLevel="1" x14ac:dyDescent="0.2">
      <c r="B187" s="130" t="s">
        <v>990</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outlineLevel="1" x14ac:dyDescent="0.2">
      <c r="B188" s="130" t="s">
        <v>979</v>
      </c>
      <c r="C188" s="118" t="s">
        <v>47</v>
      </c>
      <c r="D188" s="118" t="s">
        <v>47</v>
      </c>
      <c r="E188" s="118"/>
      <c r="F188" s="118"/>
      <c r="G188" s="118"/>
      <c r="H188" s="118">
        <v>1607</v>
      </c>
      <c r="I188" s="118" t="s">
        <v>47</v>
      </c>
      <c r="J188" s="118" t="s">
        <v>47</v>
      </c>
      <c r="K188" s="118" t="s">
        <v>47</v>
      </c>
      <c r="L188" s="118" t="s">
        <v>47</v>
      </c>
      <c r="M188" s="118">
        <v>0</v>
      </c>
      <c r="N188" s="118">
        <v>-1607</v>
      </c>
      <c r="O188" s="118">
        <f>+SUM(C188:N188)</f>
        <v>0</v>
      </c>
      <c r="P188" s="118">
        <v>0</v>
      </c>
      <c r="Q188" s="118">
        <f>+SUM(O188:P188)</f>
        <v>0</v>
      </c>
    </row>
    <row r="189" spans="2:17" outlineLevel="1" x14ac:dyDescent="0.2">
      <c r="B189" s="130" t="s">
        <v>728</v>
      </c>
      <c r="C189" s="118"/>
      <c r="D189" s="118"/>
      <c r="E189" s="118"/>
      <c r="F189" s="118"/>
      <c r="G189" s="118"/>
      <c r="H189" s="118"/>
      <c r="I189" s="118"/>
      <c r="J189" s="118"/>
      <c r="K189" s="118"/>
      <c r="L189" s="118"/>
      <c r="M189" s="118"/>
      <c r="N189" s="118"/>
      <c r="O189" s="118"/>
      <c r="P189" s="118"/>
      <c r="Q189" s="118"/>
    </row>
    <row r="190" spans="2:17" outlineLevel="1" x14ac:dyDescent="0.2">
      <c r="B190" s="130" t="s">
        <v>729</v>
      </c>
      <c r="C190" s="118" t="s">
        <v>47</v>
      </c>
      <c r="D190" s="118" t="s">
        <v>47</v>
      </c>
      <c r="E190" s="118"/>
      <c r="F190" s="118" t="s">
        <v>47</v>
      </c>
      <c r="G190" s="118" t="s">
        <v>47</v>
      </c>
      <c r="H190" s="118" t="s">
        <v>47</v>
      </c>
      <c r="I190" s="118" t="s">
        <v>47</v>
      </c>
      <c r="J190" s="118">
        <v>0</v>
      </c>
      <c r="K190" s="118">
        <v>0</v>
      </c>
      <c r="L190" s="118" t="s">
        <v>47</v>
      </c>
      <c r="M190" s="118" t="s">
        <v>47</v>
      </c>
      <c r="N190" s="118">
        <v>0</v>
      </c>
      <c r="O190" s="118">
        <f>+SUM(C190:N190)</f>
        <v>0</v>
      </c>
      <c r="P190" s="118">
        <v>0</v>
      </c>
      <c r="Q190" s="118">
        <f>+SUM(O190:P190)</f>
        <v>0</v>
      </c>
    </row>
    <row r="191" spans="2:17" outlineLevel="1" x14ac:dyDescent="0.2">
      <c r="B191" s="130" t="s">
        <v>753</v>
      </c>
      <c r="C191" s="118" t="s">
        <v>47</v>
      </c>
      <c r="D191" s="118" t="s">
        <v>47</v>
      </c>
      <c r="E191" s="118"/>
      <c r="F191" s="118" t="s">
        <v>47</v>
      </c>
      <c r="G191" s="118" t="s">
        <v>47</v>
      </c>
      <c r="H191" s="118" t="s">
        <v>47</v>
      </c>
      <c r="I191" s="118">
        <v>0</v>
      </c>
      <c r="J191" s="118">
        <v>0</v>
      </c>
      <c r="K191" s="118">
        <v>0</v>
      </c>
      <c r="L191" s="118" t="s">
        <v>47</v>
      </c>
      <c r="M191" s="118" t="s">
        <v>47</v>
      </c>
      <c r="N191" s="118" t="s">
        <v>47</v>
      </c>
      <c r="O191" s="118">
        <f>+SUM(C191:N191)</f>
        <v>0</v>
      </c>
      <c r="P191" s="118">
        <v>0</v>
      </c>
      <c r="Q191" s="118">
        <f>+SUM(O191:P191)</f>
        <v>0</v>
      </c>
    </row>
    <row r="192" spans="2:17" x14ac:dyDescent="0.2">
      <c r="B192" s="127" t="s">
        <v>1030</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outlineLevel="1" x14ac:dyDescent="0.2">
      <c r="B194" s="130" t="s">
        <v>725</v>
      </c>
      <c r="C194" s="118" t="s">
        <v>47</v>
      </c>
      <c r="D194" s="118" t="s">
        <v>47</v>
      </c>
      <c r="E194" s="118"/>
      <c r="F194" s="118" t="s">
        <v>47</v>
      </c>
      <c r="G194" s="118" t="s">
        <v>47</v>
      </c>
      <c r="H194" s="118" t="s">
        <v>47</v>
      </c>
      <c r="I194" s="118" t="s">
        <v>47</v>
      </c>
      <c r="J194" s="118" t="s">
        <v>47</v>
      </c>
      <c r="K194" s="118" t="s">
        <v>47</v>
      </c>
      <c r="L194" s="118" t="s">
        <v>47</v>
      </c>
      <c r="M194" s="118">
        <v>0</v>
      </c>
      <c r="N194" s="118">
        <v>29939</v>
      </c>
      <c r="O194" s="118">
        <f>+SUM(C194:N194)</f>
        <v>29939</v>
      </c>
      <c r="P194" s="118">
        <v>0</v>
      </c>
      <c r="Q194" s="118">
        <f>+SUM(O194:P194)</f>
        <v>29939</v>
      </c>
    </row>
    <row r="195" spans="2:17" outlineLevel="1" x14ac:dyDescent="0.2">
      <c r="B195" s="130">
        <v>0</v>
      </c>
      <c r="C195" s="118">
        <v>0</v>
      </c>
      <c r="D195" s="118">
        <v>0</v>
      </c>
      <c r="E195" s="118"/>
      <c r="F195" s="118" t="s">
        <v>47</v>
      </c>
      <c r="G195" s="118" t="s">
        <v>47</v>
      </c>
      <c r="H195" s="118" t="s">
        <v>47</v>
      </c>
      <c r="I195" s="118" t="s">
        <v>47</v>
      </c>
      <c r="J195" s="118" t="s">
        <v>47</v>
      </c>
      <c r="K195" s="118" t="s">
        <v>47</v>
      </c>
      <c r="L195" s="118" t="s">
        <v>47</v>
      </c>
      <c r="M195" s="118">
        <v>0</v>
      </c>
      <c r="N195" s="118">
        <v>0</v>
      </c>
      <c r="O195" s="118">
        <f>+SUM(C195:N195)</f>
        <v>0</v>
      </c>
      <c r="P195" s="118">
        <v>0</v>
      </c>
      <c r="Q195" s="118">
        <f>+SUM(O195:P195)</f>
        <v>0</v>
      </c>
    </row>
    <row r="196" spans="2:17" ht="25.5" outlineLevel="1" x14ac:dyDescent="0.2">
      <c r="B196" s="130" t="s">
        <v>838</v>
      </c>
      <c r="C196" s="118" t="s">
        <v>47</v>
      </c>
      <c r="D196" s="118" t="s">
        <v>47</v>
      </c>
      <c r="E196" s="118"/>
      <c r="F196" s="118" t="s">
        <v>47</v>
      </c>
      <c r="G196" s="118" t="s">
        <v>47</v>
      </c>
      <c r="H196" s="118" t="s">
        <v>47</v>
      </c>
      <c r="I196" s="118" t="s">
        <v>47</v>
      </c>
      <c r="J196" s="118" t="s">
        <v>47</v>
      </c>
      <c r="K196" s="118" t="s">
        <v>47</v>
      </c>
      <c r="L196" s="118" t="s">
        <v>47</v>
      </c>
      <c r="M196" s="118">
        <v>-122</v>
      </c>
      <c r="N196" s="118" t="s">
        <v>47</v>
      </c>
      <c r="O196" s="118">
        <f>+SUM(C196:N196)</f>
        <v>-122</v>
      </c>
      <c r="P196" s="118">
        <v>0</v>
      </c>
      <c r="Q196" s="118">
        <f>+SUM(O196:P196)</f>
        <v>-122</v>
      </c>
    </row>
    <row r="197" spans="2:17" outlineLevel="1" x14ac:dyDescent="0.2">
      <c r="B197" s="130" t="s">
        <v>990</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outlineLevel="1" x14ac:dyDescent="0.2">
      <c r="B198" s="130" t="s">
        <v>979</v>
      </c>
      <c r="C198" s="118" t="s">
        <v>47</v>
      </c>
      <c r="D198" s="118" t="s">
        <v>47</v>
      </c>
      <c r="E198" s="118"/>
      <c r="F198" s="118"/>
      <c r="G198" s="118"/>
      <c r="H198" s="118">
        <v>4268</v>
      </c>
      <c r="I198" s="118" t="s">
        <v>47</v>
      </c>
      <c r="J198" s="118" t="s">
        <v>47</v>
      </c>
      <c r="K198" s="118" t="s">
        <v>47</v>
      </c>
      <c r="L198" s="118" t="s">
        <v>47</v>
      </c>
      <c r="M198" s="118">
        <v>0</v>
      </c>
      <c r="N198" s="118">
        <v>-4268</v>
      </c>
      <c r="O198" s="118">
        <f>+SUM(C198:N198)</f>
        <v>0</v>
      </c>
      <c r="P198" s="118">
        <v>0</v>
      </c>
      <c r="Q198" s="118">
        <f>+SUM(O198:P198)</f>
        <v>0</v>
      </c>
    </row>
    <row r="199" spans="2:17" outlineLevel="1" x14ac:dyDescent="0.2">
      <c r="B199" s="130" t="s">
        <v>728</v>
      </c>
      <c r="C199" s="118"/>
      <c r="D199" s="118"/>
      <c r="E199" s="118"/>
      <c r="F199" s="118"/>
      <c r="G199" s="118"/>
      <c r="H199" s="118"/>
      <c r="I199" s="118"/>
      <c r="J199" s="118"/>
      <c r="K199" s="118"/>
      <c r="L199" s="118"/>
      <c r="M199" s="118"/>
      <c r="N199" s="118"/>
      <c r="O199" s="118"/>
      <c r="P199" s="118"/>
      <c r="Q199" s="118"/>
    </row>
    <row r="200" spans="2:17" outlineLevel="1" x14ac:dyDescent="0.2">
      <c r="B200" s="130" t="s">
        <v>729</v>
      </c>
      <c r="C200" s="118" t="s">
        <v>47</v>
      </c>
      <c r="D200" s="118" t="s">
        <v>47</v>
      </c>
      <c r="E200" s="118"/>
      <c r="F200" s="118" t="s">
        <v>47</v>
      </c>
      <c r="G200" s="118" t="s">
        <v>47</v>
      </c>
      <c r="H200" s="118" t="s">
        <v>47</v>
      </c>
      <c r="I200" s="118" t="s">
        <v>47</v>
      </c>
      <c r="J200" s="118">
        <v>0</v>
      </c>
      <c r="K200" s="118">
        <v>0</v>
      </c>
      <c r="L200" s="118" t="s">
        <v>47</v>
      </c>
      <c r="M200" s="118" t="s">
        <v>47</v>
      </c>
      <c r="N200" s="118">
        <v>0</v>
      </c>
      <c r="O200" s="118">
        <f>+SUM(C200:N200)</f>
        <v>0</v>
      </c>
      <c r="P200" s="118">
        <v>0</v>
      </c>
      <c r="Q200" s="118">
        <f>+SUM(O200:P200)</f>
        <v>0</v>
      </c>
    </row>
    <row r="201" spans="2:17" outlineLevel="1" x14ac:dyDescent="0.2">
      <c r="B201" s="130" t="s">
        <v>753</v>
      </c>
      <c r="C201" s="118" t="s">
        <v>47</v>
      </c>
      <c r="D201" s="118" t="s">
        <v>47</v>
      </c>
      <c r="E201" s="118"/>
      <c r="F201" s="118" t="s">
        <v>47</v>
      </c>
      <c r="G201" s="118" t="s">
        <v>47</v>
      </c>
      <c r="H201" s="118" t="s">
        <v>47</v>
      </c>
      <c r="I201" s="118">
        <v>0</v>
      </c>
      <c r="J201" s="118">
        <v>0</v>
      </c>
      <c r="K201" s="118">
        <v>0</v>
      </c>
      <c r="L201" s="118" t="s">
        <v>47</v>
      </c>
      <c r="M201" s="118" t="s">
        <v>47</v>
      </c>
      <c r="N201" s="118" t="s">
        <v>47</v>
      </c>
      <c r="O201" s="118">
        <f>+SUM(C201:N201)</f>
        <v>0</v>
      </c>
      <c r="P201" s="118">
        <v>0</v>
      </c>
      <c r="Q201" s="118">
        <f>+SUM(O201:P201)</f>
        <v>0</v>
      </c>
    </row>
    <row r="202" spans="2:17" x14ac:dyDescent="0.2">
      <c r="B202" s="127" t="s">
        <v>1094</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outlineLevel="1" x14ac:dyDescent="0.2">
      <c r="B204" s="130" t="s">
        <v>725</v>
      </c>
      <c r="C204" s="118" t="s">
        <v>47</v>
      </c>
      <c r="D204" s="118" t="s">
        <v>47</v>
      </c>
      <c r="E204" s="118"/>
      <c r="F204" s="118" t="s">
        <v>47</v>
      </c>
      <c r="G204" s="118" t="s">
        <v>47</v>
      </c>
      <c r="H204" s="118" t="s">
        <v>47</v>
      </c>
      <c r="I204" s="118" t="s">
        <v>47</v>
      </c>
      <c r="J204" s="118" t="s">
        <v>47</v>
      </c>
      <c r="K204" s="118" t="s">
        <v>47</v>
      </c>
      <c r="L204" s="118" t="s">
        <v>47</v>
      </c>
      <c r="M204" s="118">
        <v>0</v>
      </c>
      <c r="N204" s="118">
        <v>28764</v>
      </c>
      <c r="O204" s="118">
        <f t="shared" ref="O204:O213" si="43">+SUM(C204:N204)</f>
        <v>28764</v>
      </c>
      <c r="P204" s="118">
        <v>0</v>
      </c>
      <c r="Q204" s="118">
        <f t="shared" ref="Q204:Q213" si="44">+SUM(O204:P204)</f>
        <v>28764</v>
      </c>
    </row>
    <row r="205" spans="2:17" outlineLevel="1" x14ac:dyDescent="0.2">
      <c r="B205" s="130">
        <v>0</v>
      </c>
      <c r="C205" s="118">
        <v>0</v>
      </c>
      <c r="D205" s="118">
        <v>0</v>
      </c>
      <c r="E205" s="118"/>
      <c r="F205" s="118" t="s">
        <v>47</v>
      </c>
      <c r="G205" s="118" t="s">
        <v>47</v>
      </c>
      <c r="H205" s="118" t="s">
        <v>47</v>
      </c>
      <c r="I205" s="118" t="s">
        <v>47</v>
      </c>
      <c r="J205" s="118" t="s">
        <v>47</v>
      </c>
      <c r="K205" s="118" t="s">
        <v>47</v>
      </c>
      <c r="L205" s="118" t="s">
        <v>47</v>
      </c>
      <c r="M205" s="118">
        <v>0</v>
      </c>
      <c r="N205" s="118">
        <v>0</v>
      </c>
      <c r="O205" s="118">
        <f t="shared" si="43"/>
        <v>0</v>
      </c>
      <c r="P205" s="118">
        <v>0</v>
      </c>
      <c r="Q205" s="118">
        <f t="shared" si="44"/>
        <v>0</v>
      </c>
    </row>
    <row r="206" spans="2:17" ht="25.5" outlineLevel="1" x14ac:dyDescent="0.2">
      <c r="B206" s="130" t="s">
        <v>838</v>
      </c>
      <c r="C206" s="118" t="s">
        <v>47</v>
      </c>
      <c r="D206" s="118" t="s">
        <v>47</v>
      </c>
      <c r="E206" s="118"/>
      <c r="F206" s="118" t="s">
        <v>47</v>
      </c>
      <c r="G206" s="118" t="s">
        <v>47</v>
      </c>
      <c r="H206" s="118" t="s">
        <v>47</v>
      </c>
      <c r="I206" s="118" t="s">
        <v>47</v>
      </c>
      <c r="J206" s="118" t="s">
        <v>47</v>
      </c>
      <c r="K206" s="118" t="s">
        <v>47</v>
      </c>
      <c r="L206" s="118" t="s">
        <v>47</v>
      </c>
      <c r="M206" s="118">
        <v>9</v>
      </c>
      <c r="N206" s="118" t="s">
        <v>47</v>
      </c>
      <c r="O206" s="118">
        <f t="shared" si="43"/>
        <v>9</v>
      </c>
      <c r="P206" s="118">
        <v>0</v>
      </c>
      <c r="Q206" s="118">
        <f t="shared" si="44"/>
        <v>9</v>
      </c>
    </row>
    <row r="207" spans="2:17" outlineLevel="1" x14ac:dyDescent="0.2">
      <c r="B207" s="130" t="s">
        <v>990</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outlineLevel="1" x14ac:dyDescent="0.2">
      <c r="B208" s="130" t="s">
        <v>1136</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outlineLevel="1" x14ac:dyDescent="0.2">
      <c r="B209" s="130" t="s">
        <v>1137</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outlineLevel="1" x14ac:dyDescent="0.2">
      <c r="B210" s="130" t="s">
        <v>979</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outlineLevel="1" x14ac:dyDescent="0.2">
      <c r="B211" s="130" t="s">
        <v>714</v>
      </c>
      <c r="C211" s="118" t="s">
        <v>47</v>
      </c>
      <c r="D211" s="118" t="s">
        <v>47</v>
      </c>
      <c r="E211" s="118"/>
      <c r="F211" s="118" t="s">
        <v>47</v>
      </c>
      <c r="G211" s="118" t="s">
        <v>47</v>
      </c>
      <c r="H211" s="118" t="s">
        <v>47</v>
      </c>
      <c r="I211" s="118" t="s">
        <v>47</v>
      </c>
      <c r="J211" s="118" t="s">
        <v>47</v>
      </c>
      <c r="K211" s="118" t="s">
        <v>47</v>
      </c>
      <c r="L211" s="118" t="s">
        <v>47</v>
      </c>
      <c r="M211" s="118">
        <v>0</v>
      </c>
      <c r="N211" s="118">
        <v>0</v>
      </c>
      <c r="O211" s="118">
        <f t="shared" si="43"/>
        <v>0</v>
      </c>
      <c r="P211" s="118">
        <v>976</v>
      </c>
      <c r="Q211" s="118">
        <f t="shared" si="44"/>
        <v>976</v>
      </c>
    </row>
    <row r="212" spans="2:17" outlineLevel="1" x14ac:dyDescent="0.2">
      <c r="B212" s="130" t="s">
        <v>729</v>
      </c>
      <c r="C212" s="118" t="s">
        <v>47</v>
      </c>
      <c r="D212" s="118" t="s">
        <v>47</v>
      </c>
      <c r="E212" s="118"/>
      <c r="F212" s="118" t="s">
        <v>47</v>
      </c>
      <c r="G212" s="118" t="s">
        <v>47</v>
      </c>
      <c r="H212" s="118" t="s">
        <v>47</v>
      </c>
      <c r="I212" s="118">
        <v>3681.3</v>
      </c>
      <c r="J212" s="118">
        <v>55412.7</v>
      </c>
      <c r="K212" s="118">
        <v>0</v>
      </c>
      <c r="L212" s="118" t="s">
        <v>47</v>
      </c>
      <c r="M212" s="118" t="s">
        <v>47</v>
      </c>
      <c r="N212" s="118">
        <v>-59093</v>
      </c>
      <c r="O212" s="118">
        <f t="shared" si="43"/>
        <v>1</v>
      </c>
      <c r="P212" s="118">
        <v>0</v>
      </c>
      <c r="Q212" s="118">
        <f t="shared" si="44"/>
        <v>1</v>
      </c>
    </row>
    <row r="213" spans="2:17" outlineLevel="1" x14ac:dyDescent="0.2">
      <c r="B213" s="130" t="s">
        <v>753</v>
      </c>
      <c r="C213" s="118" t="s">
        <v>47</v>
      </c>
      <c r="D213" s="118" t="s">
        <v>47</v>
      </c>
      <c r="E213" s="118"/>
      <c r="F213" s="118" t="s">
        <v>47</v>
      </c>
      <c r="G213" s="118" t="s">
        <v>47</v>
      </c>
      <c r="H213" s="118" t="s">
        <v>47</v>
      </c>
      <c r="I213" s="118">
        <v>0</v>
      </c>
      <c r="J213" s="118">
        <v>-34972</v>
      </c>
      <c r="K213" s="118">
        <v>12541</v>
      </c>
      <c r="L213" s="118" t="s">
        <v>47</v>
      </c>
      <c r="M213" s="118" t="s">
        <v>47</v>
      </c>
      <c r="N213" s="118" t="s">
        <v>47</v>
      </c>
      <c r="O213" s="118">
        <f t="shared" si="43"/>
        <v>-22431</v>
      </c>
      <c r="P213" s="118">
        <v>0</v>
      </c>
      <c r="Q213" s="118">
        <f t="shared" si="44"/>
        <v>-22431</v>
      </c>
    </row>
    <row r="214" spans="2:17" x14ac:dyDescent="0.2">
      <c r="B214" s="127" t="s">
        <v>1119</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outlineLevel="1" x14ac:dyDescent="0.2">
      <c r="B216" s="130" t="s">
        <v>725</v>
      </c>
      <c r="C216" s="118" t="s">
        <v>47</v>
      </c>
      <c r="D216" s="118" t="s">
        <v>47</v>
      </c>
      <c r="E216" s="118"/>
      <c r="F216" s="118" t="s">
        <v>47</v>
      </c>
      <c r="G216" s="118" t="s">
        <v>47</v>
      </c>
      <c r="H216" s="118" t="s">
        <v>47</v>
      </c>
      <c r="I216" s="118" t="s">
        <v>47</v>
      </c>
      <c r="J216" s="118" t="s">
        <v>47</v>
      </c>
      <c r="K216" s="118" t="s">
        <v>47</v>
      </c>
      <c r="L216" s="118" t="s">
        <v>47</v>
      </c>
      <c r="M216" s="118">
        <v>0</v>
      </c>
      <c r="N216" s="118">
        <v>20248</v>
      </c>
      <c r="O216" s="118">
        <f>+SUM(C216:N216)</f>
        <v>20248</v>
      </c>
      <c r="P216" s="118">
        <v>0</v>
      </c>
      <c r="Q216" s="118">
        <f>+SUM(O216:P216)</f>
        <v>20248</v>
      </c>
    </row>
    <row r="217" spans="2:17" outlineLevel="1" x14ac:dyDescent="0.2">
      <c r="B217" s="130" t="s">
        <v>979</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outlineLevel="1" x14ac:dyDescent="0.2">
      <c r="B218" s="130" t="s">
        <v>714</v>
      </c>
      <c r="C218" s="118" t="s">
        <v>47</v>
      </c>
      <c r="D218" s="118" t="s">
        <v>47</v>
      </c>
      <c r="E218" s="118"/>
      <c r="F218" s="118" t="s">
        <v>47</v>
      </c>
      <c r="G218" s="118" t="s">
        <v>47</v>
      </c>
      <c r="H218" s="118" t="s">
        <v>47</v>
      </c>
      <c r="I218" s="118" t="s">
        <v>47</v>
      </c>
      <c r="J218" s="118" t="s">
        <v>47</v>
      </c>
      <c r="K218" s="118" t="s">
        <v>47</v>
      </c>
      <c r="L218" s="118" t="s">
        <v>47</v>
      </c>
      <c r="M218" s="118">
        <v>0</v>
      </c>
      <c r="N218" s="118">
        <v>0</v>
      </c>
      <c r="O218" s="118">
        <f>+SUM(C218:N218)</f>
        <v>0</v>
      </c>
      <c r="P218" s="118">
        <v>-90</v>
      </c>
      <c r="Q218" s="118">
        <f>+SUM(O218:P218)</f>
        <v>-90</v>
      </c>
    </row>
    <row r="219" spans="2:17" x14ac:dyDescent="0.2">
      <c r="B219" s="127" t="s">
        <v>1138</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outlineLevel="1" x14ac:dyDescent="0.2">
      <c r="B221" s="130" t="s">
        <v>725</v>
      </c>
      <c r="C221" s="118" t="s">
        <v>47</v>
      </c>
      <c r="D221" s="118" t="s">
        <v>47</v>
      </c>
      <c r="E221" s="118"/>
      <c r="F221" s="118" t="s">
        <v>47</v>
      </c>
      <c r="G221" s="118" t="s">
        <v>47</v>
      </c>
      <c r="H221" s="118" t="s">
        <v>47</v>
      </c>
      <c r="I221" s="118" t="s">
        <v>47</v>
      </c>
      <c r="J221" s="118" t="s">
        <v>47</v>
      </c>
      <c r="K221" s="118" t="s">
        <v>47</v>
      </c>
      <c r="L221" s="118" t="s">
        <v>47</v>
      </c>
      <c r="M221" s="118">
        <v>0</v>
      </c>
      <c r="N221" s="118">
        <v>24184</v>
      </c>
      <c r="O221" s="118">
        <f>+SUM(C221:N221)</f>
        <v>24184</v>
      </c>
      <c r="P221" s="118">
        <v>0</v>
      </c>
      <c r="Q221" s="118">
        <f>+SUM(O221:P221)</f>
        <v>24184</v>
      </c>
    </row>
    <row r="222" spans="2:17" outlineLevel="1" x14ac:dyDescent="0.2">
      <c r="B222" s="130" t="s">
        <v>979</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outlineLevel="1" x14ac:dyDescent="0.2">
      <c r="B223" s="130" t="s">
        <v>714</v>
      </c>
      <c r="C223" s="118" t="s">
        <v>47</v>
      </c>
      <c r="D223" s="118" t="s">
        <v>47</v>
      </c>
      <c r="E223" s="118"/>
      <c r="F223" s="118" t="s">
        <v>47</v>
      </c>
      <c r="G223" s="118" t="s">
        <v>47</v>
      </c>
      <c r="H223" s="118" t="s">
        <v>47</v>
      </c>
      <c r="I223" s="118" t="s">
        <v>47</v>
      </c>
      <c r="J223" s="118" t="s">
        <v>47</v>
      </c>
      <c r="K223" s="118">
        <v>0</v>
      </c>
      <c r="L223" s="118" t="s">
        <v>47</v>
      </c>
      <c r="M223" s="118">
        <v>0</v>
      </c>
      <c r="N223" s="118">
        <v>0</v>
      </c>
      <c r="O223" s="118">
        <f>+SUM(C223:N223)</f>
        <v>0</v>
      </c>
      <c r="P223" s="118">
        <v>-28</v>
      </c>
      <c r="Q223" s="118">
        <f>+SUM(O223:P223)</f>
        <v>-28</v>
      </c>
    </row>
    <row r="224" spans="2:17" outlineLevel="1" x14ac:dyDescent="0.2">
      <c r="B224" s="130" t="s">
        <v>753</v>
      </c>
      <c r="C224" s="118" t="s">
        <v>47</v>
      </c>
      <c r="D224" s="118" t="s">
        <v>47</v>
      </c>
      <c r="E224" s="118"/>
      <c r="F224" s="118" t="s">
        <v>47</v>
      </c>
      <c r="G224" s="118" t="s">
        <v>47</v>
      </c>
      <c r="H224" s="118" t="s">
        <v>47</v>
      </c>
      <c r="I224" s="118">
        <v>0</v>
      </c>
      <c r="J224" s="118">
        <v>0</v>
      </c>
      <c r="K224" s="118">
        <v>-12541</v>
      </c>
      <c r="L224" s="118" t="s">
        <v>47</v>
      </c>
      <c r="M224" s="118" t="s">
        <v>47</v>
      </c>
      <c r="N224" s="118">
        <v>0</v>
      </c>
      <c r="O224" s="118">
        <f>+SUM(C224:N224)</f>
        <v>-12541</v>
      </c>
      <c r="P224" s="118">
        <v>0</v>
      </c>
      <c r="Q224" s="118">
        <f>+SUM(O224:P224)</f>
        <v>-12541</v>
      </c>
    </row>
    <row r="225" spans="2:17" x14ac:dyDescent="0.2">
      <c r="B225" s="127" t="s">
        <v>1143</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outlineLevel="1" x14ac:dyDescent="0.2">
      <c r="B227" s="130" t="s">
        <v>725</v>
      </c>
      <c r="C227" s="118" t="s">
        <v>47</v>
      </c>
      <c r="D227" s="118" t="s">
        <v>47</v>
      </c>
      <c r="E227" s="118"/>
      <c r="F227" s="118" t="s">
        <v>47</v>
      </c>
      <c r="G227" s="118" t="s">
        <v>47</v>
      </c>
      <c r="H227" s="118" t="s">
        <v>47</v>
      </c>
      <c r="I227" s="118" t="s">
        <v>47</v>
      </c>
      <c r="J227" s="118" t="s">
        <v>47</v>
      </c>
      <c r="K227" s="118" t="s">
        <v>47</v>
      </c>
      <c r="L227" s="118" t="s">
        <v>47</v>
      </c>
      <c r="M227" s="118">
        <v>0</v>
      </c>
      <c r="N227" s="118">
        <v>34237</v>
      </c>
      <c r="O227" s="118">
        <v>34237</v>
      </c>
      <c r="P227" s="118">
        <v>-162</v>
      </c>
      <c r="Q227" s="118">
        <f>+SUM(O227:P227)</f>
        <v>34075</v>
      </c>
    </row>
    <row r="228" spans="2:17" outlineLevel="1" x14ac:dyDescent="0.2">
      <c r="B228" s="130" t="s">
        <v>979</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outlineLevel="1" x14ac:dyDescent="0.2">
      <c r="B229" s="130" t="s">
        <v>714</v>
      </c>
      <c r="C229" s="118" t="s">
        <v>47</v>
      </c>
      <c r="D229" s="118" t="s">
        <v>47</v>
      </c>
      <c r="E229" s="118"/>
      <c r="F229" s="118" t="s">
        <v>47</v>
      </c>
      <c r="G229" s="118" t="s">
        <v>47</v>
      </c>
      <c r="H229" s="118" t="s">
        <v>47</v>
      </c>
      <c r="I229" s="118" t="s">
        <v>47</v>
      </c>
      <c r="J229" s="118" t="s">
        <v>47</v>
      </c>
      <c r="K229" s="118">
        <v>0</v>
      </c>
      <c r="L229" s="118" t="s">
        <v>47</v>
      </c>
      <c r="M229" s="118">
        <v>0</v>
      </c>
      <c r="N229" s="118">
        <v>0</v>
      </c>
      <c r="O229" s="118">
        <v>0</v>
      </c>
      <c r="P229" s="118">
        <v>118</v>
      </c>
      <c r="Q229" s="118">
        <f>+SUM(O229:P229)</f>
        <v>118</v>
      </c>
    </row>
    <row r="230" spans="2:17" outlineLevel="1" x14ac:dyDescent="0.2">
      <c r="B230" s="130" t="s">
        <v>753</v>
      </c>
      <c r="C230" s="118" t="s">
        <v>47</v>
      </c>
      <c r="D230" s="118" t="s">
        <v>47</v>
      </c>
      <c r="E230" s="118"/>
      <c r="F230" s="118" t="s">
        <v>47</v>
      </c>
      <c r="G230" s="118" t="s">
        <v>47</v>
      </c>
      <c r="H230" s="118" t="s">
        <v>47</v>
      </c>
      <c r="I230" s="118">
        <v>0</v>
      </c>
      <c r="J230" s="118">
        <v>0</v>
      </c>
      <c r="K230" s="118">
        <v>0</v>
      </c>
      <c r="L230" s="118" t="s">
        <v>47</v>
      </c>
      <c r="M230" s="118" t="s">
        <v>47</v>
      </c>
      <c r="N230" s="118">
        <v>-22157</v>
      </c>
      <c r="O230" s="118">
        <v>-22157</v>
      </c>
      <c r="P230" s="118">
        <v>0</v>
      </c>
      <c r="Q230" s="118">
        <f>+SUM(O230:P230)</f>
        <v>-22157</v>
      </c>
    </row>
    <row r="231" spans="2:17" x14ac:dyDescent="0.2">
      <c r="B231" s="127" t="s">
        <v>1165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outlineLevel="1" x14ac:dyDescent="0.2">
      <c r="B233" s="130" t="s">
        <v>725</v>
      </c>
      <c r="C233" s="118" t="s">
        <v>47</v>
      </c>
      <c r="D233" s="118" t="s">
        <v>47</v>
      </c>
      <c r="E233" s="122" t="s">
        <v>47</v>
      </c>
      <c r="F233" s="118" t="s">
        <v>47</v>
      </c>
      <c r="G233" s="118" t="s">
        <v>47</v>
      </c>
      <c r="H233" s="118" t="s">
        <v>47</v>
      </c>
      <c r="I233" s="118" t="s">
        <v>47</v>
      </c>
      <c r="J233" s="118" t="s">
        <v>47</v>
      </c>
      <c r="K233" s="118" t="s">
        <v>47</v>
      </c>
      <c r="L233" s="118" t="s">
        <v>47</v>
      </c>
      <c r="M233" s="118">
        <v>0</v>
      </c>
      <c r="N233" s="118">
        <v>29424</v>
      </c>
      <c r="O233" s="118">
        <f t="shared" ref="O233:O241" si="49">+SUM(C233:N233)</f>
        <v>29424</v>
      </c>
      <c r="P233" s="118">
        <v>-146</v>
      </c>
      <c r="Q233" s="118">
        <f>+SUM(O233:P233)</f>
        <v>29278</v>
      </c>
    </row>
    <row r="234" spans="2:17" outlineLevel="1" x14ac:dyDescent="0.2">
      <c r="B234" s="130" t="s">
        <v>979</v>
      </c>
      <c r="C234" s="118">
        <v>0</v>
      </c>
      <c r="D234" s="118">
        <v>0</v>
      </c>
      <c r="E234" s="122" t="s">
        <v>47</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outlineLevel="1" x14ac:dyDescent="0.2">
      <c r="B235" s="130" t="s">
        <v>714</v>
      </c>
      <c r="C235" s="118" t="s">
        <v>47</v>
      </c>
      <c r="D235" s="118" t="s">
        <v>47</v>
      </c>
      <c r="E235" s="122" t="s">
        <v>47</v>
      </c>
      <c r="F235" s="118" t="s">
        <v>47</v>
      </c>
      <c r="G235" s="118" t="s">
        <v>47</v>
      </c>
      <c r="H235" s="118" t="s">
        <v>47</v>
      </c>
      <c r="I235" s="118" t="s">
        <v>47</v>
      </c>
      <c r="J235" s="118" t="s">
        <v>47</v>
      </c>
      <c r="K235" s="118">
        <v>0</v>
      </c>
      <c r="L235" s="118" t="s">
        <v>47</v>
      </c>
      <c r="M235" s="118">
        <v>0</v>
      </c>
      <c r="N235" s="118">
        <v>0</v>
      </c>
      <c r="O235" s="118">
        <f t="shared" si="49"/>
        <v>0</v>
      </c>
      <c r="P235" s="118">
        <v>0</v>
      </c>
      <c r="Q235" s="118">
        <f>+SUM(O235:P235)</f>
        <v>0</v>
      </c>
    </row>
    <row r="236" spans="2:17" outlineLevel="1" x14ac:dyDescent="0.2">
      <c r="B236" s="130" t="s">
        <v>1136</v>
      </c>
      <c r="C236" s="118">
        <v>0</v>
      </c>
      <c r="D236" s="118">
        <v>0</v>
      </c>
      <c r="E236" s="122" t="s">
        <v>47</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outlineLevel="1" x14ac:dyDescent="0.2">
      <c r="B237" s="130" t="s">
        <v>1137</v>
      </c>
      <c r="C237" s="118">
        <v>0</v>
      </c>
      <c r="D237" s="118">
        <v>0</v>
      </c>
      <c r="E237" s="122" t="s">
        <v>47</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outlineLevel="1" x14ac:dyDescent="0.2">
      <c r="B238" s="130" t="s">
        <v>1187</v>
      </c>
      <c r="C238" s="118">
        <v>0</v>
      </c>
      <c r="D238" s="118">
        <v>0</v>
      </c>
      <c r="E238" s="122" t="s">
        <v>47</v>
      </c>
      <c r="F238" s="118">
        <v>0</v>
      </c>
      <c r="G238" s="118">
        <v>0</v>
      </c>
      <c r="H238" s="118">
        <v>0</v>
      </c>
      <c r="I238" s="118">
        <v>0</v>
      </c>
      <c r="J238" s="118">
        <v>0</v>
      </c>
      <c r="K238" s="118">
        <v>0</v>
      </c>
      <c r="L238" s="118">
        <v>0</v>
      </c>
      <c r="M238" s="118">
        <v>0</v>
      </c>
      <c r="N238" s="118">
        <v>0</v>
      </c>
      <c r="O238" s="118">
        <f t="shared" si="49"/>
        <v>0</v>
      </c>
      <c r="P238" s="118">
        <v>0</v>
      </c>
      <c r="Q238" s="118">
        <v>0</v>
      </c>
    </row>
    <row r="239" spans="2:17" outlineLevel="1" x14ac:dyDescent="0.2">
      <c r="B239" s="130" t="s">
        <v>256</v>
      </c>
      <c r="C239" s="118">
        <v>0</v>
      </c>
      <c r="D239" s="118">
        <v>0</v>
      </c>
      <c r="E239" s="122" t="s">
        <v>47</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outlineLevel="1" x14ac:dyDescent="0.2">
      <c r="B240" s="130" t="s">
        <v>729</v>
      </c>
      <c r="C240" s="118" t="s">
        <v>47</v>
      </c>
      <c r="D240" s="118" t="s">
        <v>47</v>
      </c>
      <c r="E240" s="122" t="s">
        <v>47</v>
      </c>
      <c r="F240" s="118" t="s">
        <v>47</v>
      </c>
      <c r="G240" s="118" t="s">
        <v>47</v>
      </c>
      <c r="H240" s="118" t="s">
        <v>47</v>
      </c>
      <c r="I240" s="118">
        <v>5405</v>
      </c>
      <c r="J240" s="118">
        <v>64864</v>
      </c>
      <c r="K240" s="118">
        <v>0</v>
      </c>
      <c r="L240" s="118" t="s">
        <v>47</v>
      </c>
      <c r="M240" s="118" t="s">
        <v>47</v>
      </c>
      <c r="N240" s="118">
        <v>-70269</v>
      </c>
      <c r="O240" s="118">
        <f t="shared" si="49"/>
        <v>0</v>
      </c>
      <c r="P240" s="118">
        <v>0</v>
      </c>
      <c r="Q240" s="118">
        <f>+SUM(O240:P240)</f>
        <v>0</v>
      </c>
    </row>
    <row r="241" spans="2:17" outlineLevel="1" x14ac:dyDescent="0.2">
      <c r="B241" s="130" t="s">
        <v>753</v>
      </c>
      <c r="C241" s="118" t="s">
        <v>47</v>
      </c>
      <c r="D241" s="118" t="s">
        <v>47</v>
      </c>
      <c r="E241" s="122" t="s">
        <v>47</v>
      </c>
      <c r="F241" s="118" t="s">
        <v>47</v>
      </c>
      <c r="G241" s="118" t="s">
        <v>47</v>
      </c>
      <c r="H241" s="118" t="s">
        <v>47</v>
      </c>
      <c r="I241" s="118">
        <v>0</v>
      </c>
      <c r="J241" s="118">
        <v>-39275</v>
      </c>
      <c r="K241" s="118">
        <v>22339</v>
      </c>
      <c r="L241" s="118" t="s">
        <v>47</v>
      </c>
      <c r="M241" s="118" t="s">
        <v>47</v>
      </c>
      <c r="N241" s="118">
        <v>-182</v>
      </c>
      <c r="O241" s="118">
        <f t="shared" si="49"/>
        <v>-17118</v>
      </c>
      <c r="P241" s="118">
        <v>0</v>
      </c>
      <c r="Q241" s="118">
        <f>+SUM(O241:P241)</f>
        <v>-17118</v>
      </c>
    </row>
    <row r="242" spans="2:17" x14ac:dyDescent="0.2">
      <c r="B242" s="127" t="s">
        <v>1173</v>
      </c>
      <c r="C242" s="120">
        <f t="shared" ref="C242:N242" si="50">SUM(C231:C241)</f>
        <v>318524</v>
      </c>
      <c r="D242" s="120">
        <f t="shared" si="50"/>
        <v>0</v>
      </c>
      <c r="E242" s="120" t="s">
        <v>47</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x14ac:dyDescent="0.2">
      <c r="E243" s="901"/>
    </row>
    <row r="244" spans="2:17" x14ac:dyDescent="0.2">
      <c r="B244" s="130" t="s">
        <v>725</v>
      </c>
      <c r="C244" s="118" t="s">
        <v>47</v>
      </c>
      <c r="D244" s="118" t="s">
        <v>47</v>
      </c>
      <c r="E244" s="122" t="s">
        <v>47</v>
      </c>
      <c r="F244" s="118" t="s">
        <v>47</v>
      </c>
      <c r="G244" s="118" t="s">
        <v>47</v>
      </c>
      <c r="H244" s="118" t="s">
        <v>47</v>
      </c>
      <c r="I244" s="118" t="s">
        <v>47</v>
      </c>
      <c r="J244" s="118" t="s">
        <v>47</v>
      </c>
      <c r="K244" s="118" t="s">
        <v>47</v>
      </c>
      <c r="L244" s="118" t="s">
        <v>47</v>
      </c>
      <c r="M244" s="118">
        <v>0</v>
      </c>
      <c r="N244" s="118">
        <v>18708</v>
      </c>
      <c r="O244" s="118">
        <f>+SUM(C244:N244)</f>
        <v>18708</v>
      </c>
      <c r="P244" s="118">
        <v>75</v>
      </c>
      <c r="Q244" s="118">
        <f>+SUM(O244:P244)</f>
        <v>18783</v>
      </c>
    </row>
    <row r="245" spans="2:17" x14ac:dyDescent="0.2">
      <c r="B245" s="130" t="s">
        <v>979</v>
      </c>
      <c r="C245" s="118">
        <v>0</v>
      </c>
      <c r="D245" s="118">
        <v>0</v>
      </c>
      <c r="E245" s="122" t="s">
        <v>47</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x14ac:dyDescent="0.2">
      <c r="B246" s="127" t="s">
        <v>1198</v>
      </c>
      <c r="C246" s="120">
        <f>SUM(C242:C245)</f>
        <v>318524</v>
      </c>
      <c r="D246" s="120">
        <f>SUM(D231:D245)</f>
        <v>0</v>
      </c>
      <c r="E246" s="120" t="s">
        <v>47</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x14ac:dyDescent="0.2">
      <c r="E247" s="901"/>
    </row>
    <row r="248" spans="2:17" outlineLevel="1" x14ac:dyDescent="0.2">
      <c r="B248" s="130" t="s">
        <v>1288</v>
      </c>
      <c r="C248" s="118" t="s">
        <v>47</v>
      </c>
      <c r="D248" s="118" t="s">
        <v>47</v>
      </c>
      <c r="E248" s="122" t="s">
        <v>47</v>
      </c>
      <c r="F248" s="118" t="s">
        <v>47</v>
      </c>
      <c r="G248" s="118" t="s">
        <v>47</v>
      </c>
      <c r="H248" s="118" t="s">
        <v>47</v>
      </c>
      <c r="I248" s="118" t="s">
        <v>47</v>
      </c>
      <c r="J248" s="118" t="s">
        <v>47</v>
      </c>
      <c r="K248" s="118" t="s">
        <v>47</v>
      </c>
      <c r="L248" s="118" t="s">
        <v>47</v>
      </c>
      <c r="M248" s="118">
        <v>0</v>
      </c>
      <c r="N248" s="118">
        <v>30471</v>
      </c>
      <c r="O248" s="118">
        <v>30471</v>
      </c>
      <c r="P248" s="118">
        <v>109</v>
      </c>
      <c r="Q248" s="118">
        <v>30580</v>
      </c>
    </row>
    <row r="249" spans="2:17" outlineLevel="1" x14ac:dyDescent="0.2">
      <c r="B249" s="130" t="s">
        <v>979</v>
      </c>
      <c r="C249" s="118">
        <v>0</v>
      </c>
      <c r="D249" s="118">
        <v>0</v>
      </c>
      <c r="E249" s="122" t="s">
        <v>47</v>
      </c>
      <c r="F249" s="118">
        <v>0</v>
      </c>
      <c r="G249" s="118">
        <v>0</v>
      </c>
      <c r="H249" s="118">
        <v>4701</v>
      </c>
      <c r="I249" s="118">
        <v>0</v>
      </c>
      <c r="J249" s="118">
        <v>0</v>
      </c>
      <c r="K249" s="118">
        <v>0</v>
      </c>
      <c r="L249" s="118">
        <v>0</v>
      </c>
      <c r="M249" s="118">
        <v>0</v>
      </c>
      <c r="N249" s="118">
        <v>-4701</v>
      </c>
      <c r="O249" s="118">
        <v>0</v>
      </c>
      <c r="P249" s="118">
        <v>0</v>
      </c>
      <c r="Q249" s="118">
        <v>0</v>
      </c>
    </row>
    <row r="250" spans="2:17" outlineLevel="1" x14ac:dyDescent="0.2">
      <c r="B250" s="130" t="s">
        <v>753</v>
      </c>
      <c r="C250" s="118">
        <v>0</v>
      </c>
      <c r="D250" s="118">
        <v>0</v>
      </c>
      <c r="E250" s="122" t="s">
        <v>47</v>
      </c>
      <c r="F250" s="118">
        <v>0</v>
      </c>
      <c r="G250" s="118">
        <v>0</v>
      </c>
      <c r="H250" s="118">
        <v>0</v>
      </c>
      <c r="I250" s="118">
        <v>0</v>
      </c>
      <c r="J250" s="118">
        <v>0</v>
      </c>
      <c r="K250" s="118">
        <v>-22339</v>
      </c>
      <c r="L250" s="118">
        <v>0</v>
      </c>
      <c r="M250" s="118">
        <v>0</v>
      </c>
      <c r="N250" s="118">
        <v>0</v>
      </c>
      <c r="O250" s="118">
        <v>-22339</v>
      </c>
      <c r="P250" s="118">
        <v>0</v>
      </c>
      <c r="Q250" s="118">
        <v>-22339</v>
      </c>
    </row>
    <row r="251" spans="2:17" outlineLevel="1" x14ac:dyDescent="0.2">
      <c r="B251" s="130" t="s">
        <v>989</v>
      </c>
      <c r="C251" s="118">
        <v>0</v>
      </c>
      <c r="D251" s="118">
        <v>0</v>
      </c>
      <c r="E251" s="122" t="s">
        <v>47</v>
      </c>
      <c r="F251" s="118">
        <v>0</v>
      </c>
      <c r="G251" s="118">
        <v>0</v>
      </c>
      <c r="H251" s="118">
        <v>0</v>
      </c>
      <c r="I251" s="118">
        <v>0</v>
      </c>
      <c r="J251" s="118">
        <v>0</v>
      </c>
      <c r="K251" s="118">
        <v>0</v>
      </c>
      <c r="L251" s="118">
        <v>-1</v>
      </c>
      <c r="M251" s="118">
        <v>-3</v>
      </c>
      <c r="N251" s="118">
        <v>3</v>
      </c>
      <c r="O251" s="118">
        <v>-1</v>
      </c>
      <c r="P251" s="118">
        <v>3</v>
      </c>
      <c r="Q251" s="118">
        <v>2</v>
      </c>
    </row>
    <row r="252" spans="2:17" x14ac:dyDescent="0.2">
      <c r="B252" s="127" t="s">
        <v>1205</v>
      </c>
      <c r="C252" s="120">
        <f t="shared" ref="C252:Q252" si="52">SUM(C246:C251)</f>
        <v>318524</v>
      </c>
      <c r="D252" s="120">
        <f t="shared" si="52"/>
        <v>0</v>
      </c>
      <c r="E252" s="120" t="s">
        <v>47</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x14ac:dyDescent="0.2">
      <c r="E253" s="901"/>
    </row>
    <row r="254" spans="2:17" outlineLevel="1" x14ac:dyDescent="0.2">
      <c r="B254" s="130" t="s">
        <v>1288</v>
      </c>
      <c r="C254" s="118" t="s">
        <v>47</v>
      </c>
      <c r="D254" s="118" t="s">
        <v>47</v>
      </c>
      <c r="E254" s="122" t="s">
        <v>47</v>
      </c>
      <c r="F254" s="118" t="s">
        <v>47</v>
      </c>
      <c r="G254" s="118" t="s">
        <v>47</v>
      </c>
      <c r="H254" s="118" t="s">
        <v>47</v>
      </c>
      <c r="I254" s="118" t="s">
        <v>47</v>
      </c>
      <c r="J254" s="118" t="s">
        <v>47</v>
      </c>
      <c r="K254" s="118" t="s">
        <v>47</v>
      </c>
      <c r="L254" s="118" t="s">
        <v>47</v>
      </c>
      <c r="M254" s="118">
        <v>0</v>
      </c>
      <c r="N254" s="118">
        <v>53395</v>
      </c>
      <c r="O254" s="118">
        <v>53395</v>
      </c>
      <c r="P254" s="118">
        <v>74</v>
      </c>
      <c r="Q254" s="118">
        <v>53469</v>
      </c>
    </row>
    <row r="255" spans="2:17" outlineLevel="1" x14ac:dyDescent="0.2">
      <c r="B255" s="130" t="s">
        <v>979</v>
      </c>
      <c r="C255" s="118">
        <v>0</v>
      </c>
      <c r="D255" s="118">
        <v>0</v>
      </c>
      <c r="E255" s="122" t="s">
        <v>47</v>
      </c>
      <c r="F255" s="118">
        <v>0</v>
      </c>
      <c r="G255" s="118">
        <v>0</v>
      </c>
      <c r="H255" s="118">
        <v>6665</v>
      </c>
      <c r="I255" s="118">
        <v>0</v>
      </c>
      <c r="J255" s="118">
        <v>0</v>
      </c>
      <c r="K255" s="118">
        <v>0</v>
      </c>
      <c r="L255" s="118">
        <v>0</v>
      </c>
      <c r="M255" s="118">
        <v>0</v>
      </c>
      <c r="N255" s="118">
        <v>-6665</v>
      </c>
      <c r="O255" s="118">
        <v>0</v>
      </c>
      <c r="P255" s="118">
        <v>0</v>
      </c>
      <c r="Q255" s="118">
        <v>0</v>
      </c>
    </row>
    <row r="256" spans="2:17" outlineLevel="1" x14ac:dyDescent="0.2">
      <c r="B256" s="130" t="s">
        <v>753</v>
      </c>
      <c r="C256" s="118">
        <v>0</v>
      </c>
      <c r="D256" s="118">
        <v>0</v>
      </c>
      <c r="E256" s="122" t="s">
        <v>47</v>
      </c>
      <c r="F256" s="118">
        <v>0</v>
      </c>
      <c r="G256" s="118">
        <v>0</v>
      </c>
      <c r="H256" s="118">
        <v>0</v>
      </c>
      <c r="I256" s="118">
        <v>0</v>
      </c>
      <c r="J256" s="118">
        <v>0</v>
      </c>
      <c r="K256" s="118">
        <v>0</v>
      </c>
      <c r="L256" s="118">
        <v>0</v>
      </c>
      <c r="M256" s="118">
        <v>0</v>
      </c>
      <c r="N256" s="118">
        <v>-24589</v>
      </c>
      <c r="O256" s="118">
        <v>-24589</v>
      </c>
      <c r="P256" s="118">
        <v>0</v>
      </c>
      <c r="Q256" s="118">
        <v>-24589</v>
      </c>
    </row>
    <row r="257" spans="2:17" outlineLevel="1" x14ac:dyDescent="0.2">
      <c r="B257" s="130" t="s">
        <v>989</v>
      </c>
      <c r="C257" s="118">
        <v>0</v>
      </c>
      <c r="D257" s="118">
        <v>0</v>
      </c>
      <c r="E257" s="122" t="s">
        <v>47</v>
      </c>
      <c r="F257" s="118">
        <v>0</v>
      </c>
      <c r="G257" s="118">
        <v>0</v>
      </c>
      <c r="H257" s="118">
        <v>0</v>
      </c>
      <c r="I257" s="118">
        <v>0</v>
      </c>
      <c r="J257" s="118">
        <v>0</v>
      </c>
      <c r="K257" s="118">
        <v>0</v>
      </c>
      <c r="L257" s="118">
        <v>0</v>
      </c>
      <c r="M257" s="118">
        <v>0</v>
      </c>
      <c r="N257" s="118">
        <v>0</v>
      </c>
      <c r="O257" s="118">
        <v>0</v>
      </c>
      <c r="P257" s="118">
        <v>0</v>
      </c>
      <c r="Q257" s="118">
        <v>0</v>
      </c>
    </row>
    <row r="258" spans="2:17" x14ac:dyDescent="0.2">
      <c r="B258" s="127" t="s">
        <v>1219</v>
      </c>
      <c r="C258" s="120">
        <f t="shared" ref="C258:Q258" si="53">SUM(C252:C257)</f>
        <v>318524</v>
      </c>
      <c r="D258" s="120">
        <f t="shared" si="53"/>
        <v>0</v>
      </c>
      <c r="E258" s="120" t="s">
        <v>47</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x14ac:dyDescent="0.2">
      <c r="E259" s="901"/>
    </row>
    <row r="260" spans="2:17" outlineLevel="1" x14ac:dyDescent="0.2">
      <c r="B260" s="130" t="s">
        <v>1288</v>
      </c>
      <c r="C260" s="118" t="s">
        <v>47</v>
      </c>
      <c r="D260" s="118" t="s">
        <v>47</v>
      </c>
      <c r="E260" s="122" t="s">
        <v>47</v>
      </c>
      <c r="F260" s="118" t="s">
        <v>47</v>
      </c>
      <c r="G260" s="118" t="s">
        <v>47</v>
      </c>
      <c r="H260" s="118" t="s">
        <v>47</v>
      </c>
      <c r="I260" s="118" t="s">
        <v>47</v>
      </c>
      <c r="J260" s="118" t="s">
        <v>47</v>
      </c>
      <c r="K260" s="118" t="s">
        <v>47</v>
      </c>
      <c r="L260" s="118" t="s">
        <v>47</v>
      </c>
      <c r="M260" s="118">
        <v>0</v>
      </c>
      <c r="N260" s="118">
        <v>56722</v>
      </c>
      <c r="O260" s="118">
        <f t="shared" ref="O260:O267" si="54">+SUM(C260:N260)</f>
        <v>56722</v>
      </c>
      <c r="P260" s="118">
        <v>110</v>
      </c>
      <c r="Q260" s="118">
        <f t="shared" ref="Q260:Q267" si="55">+SUM(O260:P260)</f>
        <v>56832</v>
      </c>
    </row>
    <row r="261" spans="2:17" outlineLevel="1" x14ac:dyDescent="0.2">
      <c r="B261" s="130" t="s">
        <v>979</v>
      </c>
      <c r="C261" s="118">
        <v>0</v>
      </c>
      <c r="D261" s="118">
        <v>0</v>
      </c>
      <c r="E261" s="122" t="s">
        <v>47</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outlineLevel="1" x14ac:dyDescent="0.2">
      <c r="B262" s="130" t="s">
        <v>753</v>
      </c>
      <c r="C262" s="118">
        <v>0</v>
      </c>
      <c r="D262" s="118">
        <v>0</v>
      </c>
      <c r="E262" s="122" t="s">
        <v>47</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outlineLevel="1" x14ac:dyDescent="0.2">
      <c r="B263" s="130" t="s">
        <v>729</v>
      </c>
      <c r="C263" s="118" t="s">
        <v>47</v>
      </c>
      <c r="D263" s="118" t="s">
        <v>47</v>
      </c>
      <c r="E263" s="122" t="s">
        <v>47</v>
      </c>
      <c r="F263" s="118" t="s">
        <v>47</v>
      </c>
      <c r="G263" s="118" t="s">
        <v>47</v>
      </c>
      <c r="H263" s="118" t="s">
        <v>47</v>
      </c>
      <c r="I263" s="118">
        <v>7965</v>
      </c>
      <c r="J263" s="118">
        <v>90473</v>
      </c>
      <c r="K263" s="118">
        <v>0</v>
      </c>
      <c r="L263" s="118" t="s">
        <v>47</v>
      </c>
      <c r="M263" s="118" t="s">
        <v>47</v>
      </c>
      <c r="N263" s="118">
        <v>-98438</v>
      </c>
      <c r="O263" s="118">
        <f t="shared" si="54"/>
        <v>0</v>
      </c>
      <c r="P263" s="118">
        <v>0</v>
      </c>
      <c r="Q263" s="118">
        <f t="shared" si="55"/>
        <v>0</v>
      </c>
    </row>
    <row r="264" spans="2:17" outlineLevel="1" x14ac:dyDescent="0.2">
      <c r="B264" s="130" t="s">
        <v>1136</v>
      </c>
      <c r="C264" s="118" t="s">
        <v>47</v>
      </c>
      <c r="D264" s="118" t="s">
        <v>47</v>
      </c>
      <c r="E264" s="122" t="s">
        <v>47</v>
      </c>
      <c r="F264" s="118" t="s">
        <v>47</v>
      </c>
      <c r="G264" s="118" t="s">
        <v>47</v>
      </c>
      <c r="H264" s="118" t="s">
        <v>47</v>
      </c>
      <c r="I264" s="118" t="s">
        <v>47</v>
      </c>
      <c r="J264" s="118" t="s">
        <v>47</v>
      </c>
      <c r="K264" s="118" t="s">
        <v>47</v>
      </c>
      <c r="L264" s="118" t="s">
        <v>47</v>
      </c>
      <c r="M264" s="118">
        <v>186</v>
      </c>
      <c r="N264" s="118" t="s">
        <v>47</v>
      </c>
      <c r="O264" s="118">
        <f t="shared" si="54"/>
        <v>186</v>
      </c>
      <c r="P264" s="118">
        <v>0</v>
      </c>
      <c r="Q264" s="118">
        <f t="shared" si="55"/>
        <v>186</v>
      </c>
    </row>
    <row r="265" spans="2:17" outlineLevel="1" x14ac:dyDescent="0.2">
      <c r="B265" s="130" t="s">
        <v>1137</v>
      </c>
      <c r="C265" s="118" t="s">
        <v>47</v>
      </c>
      <c r="D265" s="118" t="s">
        <v>47</v>
      </c>
      <c r="E265" s="122" t="s">
        <v>47</v>
      </c>
      <c r="F265" s="118" t="s">
        <v>47</v>
      </c>
      <c r="G265" s="118" t="s">
        <v>47</v>
      </c>
      <c r="H265" s="118" t="s">
        <v>47</v>
      </c>
      <c r="I265" s="118" t="s">
        <v>47</v>
      </c>
      <c r="J265" s="118" t="s">
        <v>47</v>
      </c>
      <c r="K265" s="118" t="s">
        <v>47</v>
      </c>
      <c r="L265" s="118" t="s">
        <v>47</v>
      </c>
      <c r="M265" s="118">
        <v>-63</v>
      </c>
      <c r="N265" s="118" t="s">
        <v>47</v>
      </c>
      <c r="O265" s="118">
        <f t="shared" si="54"/>
        <v>-63</v>
      </c>
      <c r="P265" s="118" t="s">
        <v>47</v>
      </c>
      <c r="Q265" s="118">
        <f t="shared" si="55"/>
        <v>-63</v>
      </c>
    </row>
    <row r="266" spans="2:17" outlineLevel="1" x14ac:dyDescent="0.2">
      <c r="B266" s="130" t="s">
        <v>1187</v>
      </c>
      <c r="C266" s="118" t="s">
        <v>47</v>
      </c>
      <c r="D266" s="118" t="s">
        <v>47</v>
      </c>
      <c r="E266" s="122" t="s">
        <v>47</v>
      </c>
      <c r="F266" s="118" t="s">
        <v>47</v>
      </c>
      <c r="G266" s="118" t="s">
        <v>47</v>
      </c>
      <c r="H266" s="118" t="s">
        <v>47</v>
      </c>
      <c r="I266" s="118" t="s">
        <v>47</v>
      </c>
      <c r="J266" s="118" t="s">
        <v>47</v>
      </c>
      <c r="K266" s="118">
        <v>-22339</v>
      </c>
      <c r="L266" s="118" t="s">
        <v>47</v>
      </c>
      <c r="M266" s="118" t="s">
        <v>47</v>
      </c>
      <c r="N266" s="118" t="s">
        <v>47</v>
      </c>
      <c r="O266" s="118">
        <f t="shared" si="54"/>
        <v>-22339</v>
      </c>
      <c r="P266" s="118" t="s">
        <v>47</v>
      </c>
      <c r="Q266" s="118">
        <f t="shared" si="55"/>
        <v>-22339</v>
      </c>
    </row>
    <row r="267" spans="2:17" outlineLevel="1" x14ac:dyDescent="0.2">
      <c r="B267" s="130" t="s">
        <v>989</v>
      </c>
      <c r="C267" s="118">
        <v>0</v>
      </c>
      <c r="D267" s="118">
        <v>0</v>
      </c>
      <c r="E267" s="122" t="s">
        <v>47</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x14ac:dyDescent="0.2">
      <c r="B268" s="127" t="s">
        <v>1228</v>
      </c>
      <c r="C268" s="120">
        <f t="shared" ref="C268:Q268" si="56">SUM(C258:C267)</f>
        <v>318524</v>
      </c>
      <c r="D268" s="120">
        <f t="shared" si="56"/>
        <v>0</v>
      </c>
      <c r="E268" s="120" t="s">
        <v>47</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x14ac:dyDescent="0.2">
      <c r="E269" s="901"/>
    </row>
    <row r="270" spans="2:17" x14ac:dyDescent="0.2">
      <c r="B270" s="130" t="s">
        <v>1288</v>
      </c>
      <c r="C270" s="118" t="s">
        <v>47</v>
      </c>
      <c r="D270" s="118" t="s">
        <v>47</v>
      </c>
      <c r="E270" s="122" t="s">
        <v>47</v>
      </c>
      <c r="F270" s="118" t="s">
        <v>47</v>
      </c>
      <c r="G270" s="118" t="s">
        <v>47</v>
      </c>
      <c r="H270" s="118" t="s">
        <v>47</v>
      </c>
      <c r="I270" s="118" t="s">
        <v>47</v>
      </c>
      <c r="J270" s="118" t="s">
        <v>47</v>
      </c>
      <c r="K270" s="118" t="s">
        <v>47</v>
      </c>
      <c r="L270" s="118" t="s">
        <v>47</v>
      </c>
      <c r="M270" s="118">
        <v>0</v>
      </c>
      <c r="N270" s="118">
        <v>34499</v>
      </c>
      <c r="O270" s="118">
        <f t="shared" ref="O270:O277" si="57">+SUM(C270:N270)</f>
        <v>34499</v>
      </c>
      <c r="P270" s="118">
        <v>224</v>
      </c>
      <c r="Q270" s="118">
        <f t="shared" ref="Q270:Q277" si="58">+SUM(O270:P270)</f>
        <v>34723</v>
      </c>
    </row>
    <row r="271" spans="2:17" x14ac:dyDescent="0.2">
      <c r="B271" s="130" t="s">
        <v>979</v>
      </c>
      <c r="C271" s="118">
        <v>0</v>
      </c>
      <c r="D271" s="118">
        <v>0</v>
      </c>
      <c r="E271" s="122" t="s">
        <v>47</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x14ac:dyDescent="0.2">
      <c r="B272" s="130" t="s">
        <v>753</v>
      </c>
      <c r="C272" s="118">
        <v>0</v>
      </c>
      <c r="D272" s="118">
        <v>0</v>
      </c>
      <c r="E272" s="122" t="s">
        <v>47</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x14ac:dyDescent="0.2">
      <c r="B273" s="130" t="s">
        <v>729</v>
      </c>
      <c r="C273" s="118" t="s">
        <v>47</v>
      </c>
      <c r="D273" s="118" t="s">
        <v>47</v>
      </c>
      <c r="E273" s="122" t="s">
        <v>47</v>
      </c>
      <c r="F273" s="118" t="s">
        <v>47</v>
      </c>
      <c r="G273" s="118" t="s">
        <v>47</v>
      </c>
      <c r="H273" s="118" t="s">
        <v>47</v>
      </c>
      <c r="I273" s="118">
        <v>0</v>
      </c>
      <c r="J273" s="118">
        <v>0</v>
      </c>
      <c r="K273" s="118">
        <v>0</v>
      </c>
      <c r="L273" s="118" t="s">
        <v>47</v>
      </c>
      <c r="M273" s="118" t="s">
        <v>47</v>
      </c>
      <c r="N273" s="118">
        <v>0</v>
      </c>
      <c r="O273" s="118">
        <f t="shared" si="57"/>
        <v>0</v>
      </c>
      <c r="P273" s="118">
        <v>0</v>
      </c>
      <c r="Q273" s="118">
        <f t="shared" si="58"/>
        <v>0</v>
      </c>
    </row>
    <row r="274" spans="2:17" x14ac:dyDescent="0.2">
      <c r="B274" s="130" t="s">
        <v>1136</v>
      </c>
      <c r="C274" s="118" t="s">
        <v>47</v>
      </c>
      <c r="D274" s="118" t="s">
        <v>47</v>
      </c>
      <c r="E274" s="122" t="s">
        <v>47</v>
      </c>
      <c r="F274" s="118" t="s">
        <v>47</v>
      </c>
      <c r="G274" s="118" t="s">
        <v>47</v>
      </c>
      <c r="H274" s="118" t="s">
        <v>47</v>
      </c>
      <c r="I274" s="118" t="s">
        <v>47</v>
      </c>
      <c r="J274" s="118" t="s">
        <v>47</v>
      </c>
      <c r="K274" s="118" t="s">
        <v>47</v>
      </c>
      <c r="L274" s="118" t="s">
        <v>47</v>
      </c>
      <c r="M274" s="118">
        <v>0</v>
      </c>
      <c r="N274" s="118" t="s">
        <v>47</v>
      </c>
      <c r="O274" s="118">
        <f t="shared" si="57"/>
        <v>0</v>
      </c>
      <c r="P274" s="118">
        <v>0</v>
      </c>
      <c r="Q274" s="118">
        <f t="shared" si="58"/>
        <v>0</v>
      </c>
    </row>
    <row r="275" spans="2:17" x14ac:dyDescent="0.2">
      <c r="B275" s="130" t="s">
        <v>1137</v>
      </c>
      <c r="C275" s="118" t="s">
        <v>47</v>
      </c>
      <c r="D275" s="118" t="s">
        <v>47</v>
      </c>
      <c r="E275" s="122" t="s">
        <v>47</v>
      </c>
      <c r="F275" s="118" t="s">
        <v>47</v>
      </c>
      <c r="G275" s="118" t="s">
        <v>47</v>
      </c>
      <c r="H275" s="118" t="s">
        <v>47</v>
      </c>
      <c r="I275" s="118" t="s">
        <v>47</v>
      </c>
      <c r="J275" s="118" t="s">
        <v>47</v>
      </c>
      <c r="K275" s="118" t="s">
        <v>47</v>
      </c>
      <c r="L275" s="118" t="s">
        <v>47</v>
      </c>
      <c r="M275" s="118">
        <v>0</v>
      </c>
      <c r="N275" s="118" t="s">
        <v>47</v>
      </c>
      <c r="O275" s="118">
        <f t="shared" si="57"/>
        <v>0</v>
      </c>
      <c r="P275" s="118" t="s">
        <v>47</v>
      </c>
      <c r="Q275" s="118">
        <f t="shared" si="58"/>
        <v>0</v>
      </c>
    </row>
    <row r="276" spans="2:17" x14ac:dyDescent="0.2">
      <c r="B276" s="130" t="s">
        <v>1187</v>
      </c>
      <c r="C276" s="118" t="s">
        <v>47</v>
      </c>
      <c r="D276" s="118" t="s">
        <v>47</v>
      </c>
      <c r="E276" s="122" t="s">
        <v>47</v>
      </c>
      <c r="F276" s="118" t="s">
        <v>47</v>
      </c>
      <c r="G276" s="118" t="s">
        <v>47</v>
      </c>
      <c r="H276" s="118" t="s">
        <v>47</v>
      </c>
      <c r="I276" s="118" t="s">
        <v>47</v>
      </c>
      <c r="J276" s="118" t="s">
        <v>47</v>
      </c>
      <c r="K276" s="118">
        <v>0</v>
      </c>
      <c r="L276" s="118" t="s">
        <v>47</v>
      </c>
      <c r="M276" s="118" t="s">
        <v>47</v>
      </c>
      <c r="N276" s="118" t="s">
        <v>47</v>
      </c>
      <c r="O276" s="118">
        <f t="shared" si="57"/>
        <v>0</v>
      </c>
      <c r="P276" s="118" t="s">
        <v>47</v>
      </c>
      <c r="Q276" s="118">
        <f t="shared" si="58"/>
        <v>0</v>
      </c>
    </row>
    <row r="277" spans="2:17" x14ac:dyDescent="0.2">
      <c r="B277" s="130" t="s">
        <v>989</v>
      </c>
      <c r="C277" s="118">
        <v>0</v>
      </c>
      <c r="D277" s="118">
        <v>0</v>
      </c>
      <c r="E277" s="122" t="s">
        <v>47</v>
      </c>
      <c r="F277" s="118">
        <v>0</v>
      </c>
      <c r="G277" s="118">
        <v>0</v>
      </c>
      <c r="H277" s="118">
        <v>0</v>
      </c>
      <c r="I277" s="118">
        <v>0</v>
      </c>
      <c r="J277" s="118">
        <v>0</v>
      </c>
      <c r="K277" s="118">
        <v>0</v>
      </c>
      <c r="L277" s="118">
        <v>0</v>
      </c>
      <c r="M277" s="118">
        <v>157</v>
      </c>
      <c r="N277" s="118">
        <v>0</v>
      </c>
      <c r="O277" s="118">
        <f t="shared" si="57"/>
        <v>157</v>
      </c>
      <c r="P277" s="1177"/>
      <c r="Q277" s="118">
        <f t="shared" si="58"/>
        <v>157</v>
      </c>
    </row>
    <row r="278" spans="2:17" x14ac:dyDescent="0.2">
      <c r="B278" s="127" t="s">
        <v>1251</v>
      </c>
      <c r="C278" s="120">
        <f t="shared" ref="C278:Q278" si="59">SUM(C268:C277)</f>
        <v>318524</v>
      </c>
      <c r="D278" s="120">
        <f t="shared" si="59"/>
        <v>0</v>
      </c>
      <c r="E278" s="120" t="s">
        <v>47</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x14ac:dyDescent="0.2">
      <c r="E279" s="901"/>
    </row>
    <row r="280" spans="2:17" x14ac:dyDescent="0.2">
      <c r="B280" s="130" t="s">
        <v>1288</v>
      </c>
      <c r="C280" s="118" t="s">
        <v>47</v>
      </c>
      <c r="D280" s="118" t="s">
        <v>47</v>
      </c>
      <c r="E280" s="122" t="s">
        <v>47</v>
      </c>
      <c r="F280" s="118" t="s">
        <v>47</v>
      </c>
      <c r="G280" s="118" t="s">
        <v>47</v>
      </c>
      <c r="H280" s="118" t="s">
        <v>47</v>
      </c>
      <c r="I280" s="118" t="s">
        <v>47</v>
      </c>
      <c r="J280" s="118" t="s">
        <v>47</v>
      </c>
      <c r="K280" s="118" t="s">
        <v>47</v>
      </c>
      <c r="L280" s="118" t="s">
        <v>47</v>
      </c>
      <c r="M280" s="118">
        <v>0</v>
      </c>
      <c r="N280" s="118">
        <v>39660</v>
      </c>
      <c r="O280" s="118">
        <f t="shared" ref="O280:O287" si="60">+SUM(C280:N280)</f>
        <v>39660</v>
      </c>
      <c r="P280" s="118">
        <v>196</v>
      </c>
      <c r="Q280" s="118">
        <f t="shared" ref="Q280:Q287" si="61">+SUM(O280:P280)</f>
        <v>39856</v>
      </c>
    </row>
    <row r="281" spans="2:17" x14ac:dyDescent="0.2">
      <c r="B281" s="130" t="s">
        <v>979</v>
      </c>
      <c r="C281" s="118">
        <v>0</v>
      </c>
      <c r="D281" s="118">
        <v>0</v>
      </c>
      <c r="E281" s="122" t="s">
        <v>47</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x14ac:dyDescent="0.2">
      <c r="B282" s="130" t="s">
        <v>753</v>
      </c>
      <c r="C282" s="118">
        <v>0</v>
      </c>
      <c r="D282" s="118">
        <v>0</v>
      </c>
      <c r="E282" s="122" t="s">
        <v>47</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x14ac:dyDescent="0.2">
      <c r="B283" s="130" t="s">
        <v>729</v>
      </c>
      <c r="C283" s="118" t="s">
        <v>47</v>
      </c>
      <c r="D283" s="118" t="s">
        <v>47</v>
      </c>
      <c r="E283" s="122" t="s">
        <v>47</v>
      </c>
      <c r="F283" s="118" t="s">
        <v>47</v>
      </c>
      <c r="G283" s="118" t="s">
        <v>47</v>
      </c>
      <c r="H283" s="118" t="s">
        <v>47</v>
      </c>
      <c r="I283" s="118">
        <v>0</v>
      </c>
      <c r="J283" s="118">
        <v>0</v>
      </c>
      <c r="K283" s="118">
        <v>0</v>
      </c>
      <c r="L283" s="118" t="s">
        <v>47</v>
      </c>
      <c r="M283" s="118" t="s">
        <v>47</v>
      </c>
      <c r="N283" s="118">
        <v>0</v>
      </c>
      <c r="O283" s="118">
        <f t="shared" si="60"/>
        <v>0</v>
      </c>
      <c r="P283" s="118">
        <v>0</v>
      </c>
      <c r="Q283" s="118">
        <f t="shared" si="61"/>
        <v>0</v>
      </c>
    </row>
    <row r="284" spans="2:17" x14ac:dyDescent="0.2">
      <c r="B284" s="130" t="s">
        <v>1136</v>
      </c>
      <c r="C284" s="118" t="s">
        <v>47</v>
      </c>
      <c r="D284" s="118" t="s">
        <v>47</v>
      </c>
      <c r="E284" s="122" t="s">
        <v>47</v>
      </c>
      <c r="F284" s="118" t="s">
        <v>47</v>
      </c>
      <c r="G284" s="118" t="s">
        <v>47</v>
      </c>
      <c r="H284" s="118" t="s">
        <v>47</v>
      </c>
      <c r="I284" s="118" t="s">
        <v>47</v>
      </c>
      <c r="J284" s="118" t="s">
        <v>47</v>
      </c>
      <c r="K284" s="118" t="s">
        <v>47</v>
      </c>
      <c r="L284" s="118" t="s">
        <v>47</v>
      </c>
      <c r="M284" s="118">
        <v>0</v>
      </c>
      <c r="N284" s="118" t="s">
        <v>47</v>
      </c>
      <c r="O284" s="118">
        <f t="shared" si="60"/>
        <v>0</v>
      </c>
      <c r="P284" s="118">
        <v>0</v>
      </c>
      <c r="Q284" s="118">
        <f t="shared" si="61"/>
        <v>0</v>
      </c>
    </row>
    <row r="285" spans="2:17" x14ac:dyDescent="0.2">
      <c r="B285" s="130" t="s">
        <v>1137</v>
      </c>
      <c r="C285" s="118" t="s">
        <v>47</v>
      </c>
      <c r="D285" s="118" t="s">
        <v>47</v>
      </c>
      <c r="E285" s="122" t="s">
        <v>47</v>
      </c>
      <c r="F285" s="118" t="s">
        <v>47</v>
      </c>
      <c r="G285" s="118" t="s">
        <v>47</v>
      </c>
      <c r="H285" s="118" t="s">
        <v>47</v>
      </c>
      <c r="I285" s="118" t="s">
        <v>47</v>
      </c>
      <c r="J285" s="118" t="s">
        <v>47</v>
      </c>
      <c r="K285" s="118" t="s">
        <v>47</v>
      </c>
      <c r="L285" s="118" t="s">
        <v>47</v>
      </c>
      <c r="M285" s="118">
        <v>0</v>
      </c>
      <c r="N285" s="118" t="s">
        <v>47</v>
      </c>
      <c r="O285" s="118">
        <f t="shared" si="60"/>
        <v>0</v>
      </c>
      <c r="P285" s="118" t="s">
        <v>47</v>
      </c>
      <c r="Q285" s="118">
        <f t="shared" si="61"/>
        <v>0</v>
      </c>
    </row>
    <row r="286" spans="2:17" x14ac:dyDescent="0.2">
      <c r="B286" s="130" t="s">
        <v>1187</v>
      </c>
      <c r="C286" s="118" t="s">
        <v>47</v>
      </c>
      <c r="D286" s="118" t="s">
        <v>47</v>
      </c>
      <c r="E286" s="122" t="s">
        <v>47</v>
      </c>
      <c r="F286" s="118" t="s">
        <v>47</v>
      </c>
      <c r="G286" s="118" t="s">
        <v>47</v>
      </c>
      <c r="H286" s="118" t="s">
        <v>47</v>
      </c>
      <c r="I286" s="118" t="s">
        <v>47</v>
      </c>
      <c r="J286" s="118" t="s">
        <v>47</v>
      </c>
      <c r="K286" s="118">
        <v>0</v>
      </c>
      <c r="L286" s="118" t="s">
        <v>47</v>
      </c>
      <c r="M286" s="118" t="s">
        <v>47</v>
      </c>
      <c r="N286" s="118" t="s">
        <v>47</v>
      </c>
      <c r="O286" s="118">
        <f t="shared" si="60"/>
        <v>0</v>
      </c>
      <c r="P286" s="118" t="s">
        <v>47</v>
      </c>
      <c r="Q286" s="118">
        <f t="shared" si="61"/>
        <v>0</v>
      </c>
    </row>
    <row r="287" spans="2:17" x14ac:dyDescent="0.2">
      <c r="B287" s="130" t="s">
        <v>989</v>
      </c>
      <c r="C287" s="118">
        <v>0</v>
      </c>
      <c r="D287" s="118">
        <v>0</v>
      </c>
      <c r="E287" s="122" t="s">
        <v>47</v>
      </c>
      <c r="F287" s="118">
        <v>0</v>
      </c>
      <c r="G287" s="118">
        <v>0</v>
      </c>
      <c r="H287" s="118">
        <v>0</v>
      </c>
      <c r="I287" s="118">
        <v>0</v>
      </c>
      <c r="J287" s="118">
        <v>0</v>
      </c>
      <c r="K287" s="118">
        <v>0</v>
      </c>
      <c r="L287" s="118">
        <v>0</v>
      </c>
      <c r="M287" s="118">
        <v>0</v>
      </c>
      <c r="N287" s="118">
        <v>0</v>
      </c>
      <c r="O287" s="118">
        <f t="shared" si="60"/>
        <v>0</v>
      </c>
      <c r="P287" s="118" t="s">
        <v>47</v>
      </c>
      <c r="Q287" s="118">
        <f t="shared" si="61"/>
        <v>0</v>
      </c>
    </row>
    <row r="288" spans="2:17" x14ac:dyDescent="0.2">
      <c r="B288" s="127" t="s">
        <v>1273</v>
      </c>
      <c r="C288" s="120">
        <f t="shared" ref="C288:Q288" si="62">SUM(C278:C287)</f>
        <v>318524</v>
      </c>
      <c r="D288" s="120">
        <f t="shared" si="62"/>
        <v>0</v>
      </c>
      <c r="E288" s="120" t="s">
        <v>47</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x14ac:dyDescent="0.2">
      <c r="E289" s="901"/>
    </row>
    <row r="290" spans="2:17" x14ac:dyDescent="0.2">
      <c r="B290" s="130" t="s">
        <v>1288</v>
      </c>
      <c r="C290" s="118" t="s">
        <v>47</v>
      </c>
      <c r="D290" s="118" t="s">
        <v>47</v>
      </c>
      <c r="E290" s="122" t="s">
        <v>47</v>
      </c>
      <c r="F290" s="118" t="s">
        <v>47</v>
      </c>
      <c r="G290" s="118" t="s">
        <v>47</v>
      </c>
      <c r="H290" s="118" t="s">
        <v>47</v>
      </c>
      <c r="I290" s="118" t="s">
        <v>47</v>
      </c>
      <c r="J290" s="118" t="s">
        <v>47</v>
      </c>
      <c r="K290" s="118" t="s">
        <v>47</v>
      </c>
      <c r="L290" s="118" t="s">
        <v>47</v>
      </c>
      <c r="M290" s="118">
        <v>0</v>
      </c>
      <c r="N290" s="118">
        <v>56176</v>
      </c>
      <c r="O290" s="118">
        <f t="shared" ref="O290:O297" si="63">+SUM(C290:N290)</f>
        <v>56176</v>
      </c>
      <c r="P290" s="118">
        <v>136</v>
      </c>
      <c r="Q290" s="118">
        <f t="shared" ref="Q290:Q297" si="64">+SUM(O290:P290)</f>
        <v>56312</v>
      </c>
    </row>
    <row r="291" spans="2:17" x14ac:dyDescent="0.2">
      <c r="B291" s="130" t="s">
        <v>979</v>
      </c>
      <c r="C291" s="118">
        <v>0</v>
      </c>
      <c r="D291" s="118">
        <v>0</v>
      </c>
      <c r="E291" s="122" t="s">
        <v>47</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x14ac:dyDescent="0.2">
      <c r="B292" s="130" t="s">
        <v>753</v>
      </c>
      <c r="C292" s="118">
        <v>0</v>
      </c>
      <c r="D292" s="118">
        <v>0</v>
      </c>
      <c r="E292" s="122" t="s">
        <v>47</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x14ac:dyDescent="0.2">
      <c r="B293" s="130" t="s">
        <v>729</v>
      </c>
      <c r="C293" s="118" t="s">
        <v>47</v>
      </c>
      <c r="D293" s="118" t="s">
        <v>47</v>
      </c>
      <c r="E293" s="122" t="s">
        <v>47</v>
      </c>
      <c r="F293" s="118" t="s">
        <v>47</v>
      </c>
      <c r="G293" s="118" t="s">
        <v>47</v>
      </c>
      <c r="H293" s="118" t="s">
        <v>47</v>
      </c>
      <c r="I293" s="118">
        <v>0</v>
      </c>
      <c r="J293" s="118">
        <v>0</v>
      </c>
      <c r="K293" s="118">
        <v>0</v>
      </c>
      <c r="L293" s="118" t="s">
        <v>47</v>
      </c>
      <c r="M293" s="118" t="s">
        <v>47</v>
      </c>
      <c r="N293" s="118">
        <v>0</v>
      </c>
      <c r="O293" s="118">
        <f t="shared" si="63"/>
        <v>0</v>
      </c>
      <c r="P293" s="118">
        <v>0</v>
      </c>
      <c r="Q293" s="118">
        <f t="shared" si="64"/>
        <v>0</v>
      </c>
    </row>
    <row r="294" spans="2:17" x14ac:dyDescent="0.2">
      <c r="B294" s="130" t="s">
        <v>1136</v>
      </c>
      <c r="C294" s="118" t="s">
        <v>47</v>
      </c>
      <c r="D294" s="118" t="s">
        <v>47</v>
      </c>
      <c r="E294" s="122" t="s">
        <v>47</v>
      </c>
      <c r="F294" s="118" t="s">
        <v>47</v>
      </c>
      <c r="G294" s="118" t="s">
        <v>47</v>
      </c>
      <c r="H294" s="118" t="s">
        <v>47</v>
      </c>
      <c r="I294" s="118" t="s">
        <v>47</v>
      </c>
      <c r="J294" s="118" t="s">
        <v>47</v>
      </c>
      <c r="K294" s="118" t="s">
        <v>47</v>
      </c>
      <c r="L294" s="118" t="s">
        <v>47</v>
      </c>
      <c r="M294" s="118">
        <v>0</v>
      </c>
      <c r="N294" s="118" t="s">
        <v>47</v>
      </c>
      <c r="O294" s="118">
        <f t="shared" si="63"/>
        <v>0</v>
      </c>
      <c r="P294" s="118">
        <v>0</v>
      </c>
      <c r="Q294" s="118">
        <f t="shared" si="64"/>
        <v>0</v>
      </c>
    </row>
    <row r="295" spans="2:17" x14ac:dyDescent="0.2">
      <c r="B295" s="130" t="s">
        <v>1137</v>
      </c>
      <c r="C295" s="118" t="s">
        <v>47</v>
      </c>
      <c r="D295" s="118" t="s">
        <v>47</v>
      </c>
      <c r="E295" s="122" t="s">
        <v>47</v>
      </c>
      <c r="F295" s="118" t="s">
        <v>47</v>
      </c>
      <c r="G295" s="118" t="s">
        <v>47</v>
      </c>
      <c r="H295" s="118" t="s">
        <v>47</v>
      </c>
      <c r="I295" s="118" t="s">
        <v>47</v>
      </c>
      <c r="J295" s="118" t="s">
        <v>47</v>
      </c>
      <c r="K295" s="118" t="s">
        <v>47</v>
      </c>
      <c r="L295" s="118" t="s">
        <v>47</v>
      </c>
      <c r="M295" s="118">
        <v>0</v>
      </c>
      <c r="N295" s="118" t="s">
        <v>47</v>
      </c>
      <c r="O295" s="118">
        <f t="shared" si="63"/>
        <v>0</v>
      </c>
      <c r="P295" s="118" t="s">
        <v>47</v>
      </c>
      <c r="Q295" s="118">
        <f t="shared" si="64"/>
        <v>0</v>
      </c>
    </row>
    <row r="296" spans="2:17" x14ac:dyDescent="0.2">
      <c r="B296" s="130" t="s">
        <v>1187</v>
      </c>
      <c r="C296" s="118" t="s">
        <v>47</v>
      </c>
      <c r="D296" s="118" t="s">
        <v>47</v>
      </c>
      <c r="E296" s="122" t="s">
        <v>47</v>
      </c>
      <c r="F296" s="118" t="s">
        <v>47</v>
      </c>
      <c r="G296" s="118" t="s">
        <v>47</v>
      </c>
      <c r="H296" s="118" t="s">
        <v>47</v>
      </c>
      <c r="I296" s="118" t="s">
        <v>47</v>
      </c>
      <c r="J296" s="118" t="s">
        <v>47</v>
      </c>
      <c r="K296" s="118">
        <v>0</v>
      </c>
      <c r="L296" s="118" t="s">
        <v>47</v>
      </c>
      <c r="M296" s="118" t="s">
        <v>47</v>
      </c>
      <c r="N296" s="118" t="s">
        <v>47</v>
      </c>
      <c r="O296" s="118">
        <f t="shared" si="63"/>
        <v>0</v>
      </c>
      <c r="P296" s="118" t="s">
        <v>47</v>
      </c>
      <c r="Q296" s="118">
        <f t="shared" si="64"/>
        <v>0</v>
      </c>
    </row>
    <row r="297" spans="2:17" x14ac:dyDescent="0.2">
      <c r="B297" s="130" t="s">
        <v>989</v>
      </c>
      <c r="C297" s="118">
        <v>0</v>
      </c>
      <c r="D297" s="118">
        <v>0</v>
      </c>
      <c r="E297" s="122" t="s">
        <v>47</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x14ac:dyDescent="0.2">
      <c r="B298" s="127" t="s">
        <v>1284</v>
      </c>
      <c r="C298" s="120">
        <f t="shared" ref="C298:Q298" si="65">SUM(C288:C297)</f>
        <v>318524</v>
      </c>
      <c r="D298" s="120">
        <f t="shared" si="65"/>
        <v>0</v>
      </c>
      <c r="E298" s="120" t="s">
        <v>47</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x14ac:dyDescent="0.2">
      <c r="E299" s="901"/>
    </row>
    <row r="300" spans="2:17" x14ac:dyDescent="0.2">
      <c r="B300" s="130" t="s">
        <v>1288</v>
      </c>
      <c r="C300" s="118" t="s">
        <v>47</v>
      </c>
      <c r="D300" s="118" t="s">
        <v>47</v>
      </c>
      <c r="E300" s="122" t="s">
        <v>47</v>
      </c>
      <c r="F300" s="118" t="s">
        <v>47</v>
      </c>
      <c r="G300" s="118" t="s">
        <v>47</v>
      </c>
      <c r="H300" s="118" t="s">
        <v>47</v>
      </c>
      <c r="I300" s="118" t="s">
        <v>47</v>
      </c>
      <c r="J300" s="118" t="s">
        <v>47</v>
      </c>
      <c r="K300" s="118" t="s">
        <v>47</v>
      </c>
      <c r="L300" s="118" t="s">
        <v>47</v>
      </c>
      <c r="M300" s="118">
        <v>0</v>
      </c>
      <c r="N300" s="118">
        <v>51077</v>
      </c>
      <c r="O300" s="118">
        <f t="shared" ref="O300:O307" si="66">+SUM(C300:N300)</f>
        <v>51077</v>
      </c>
      <c r="P300" s="118">
        <v>-56</v>
      </c>
      <c r="Q300" s="118">
        <f t="shared" ref="Q300:Q307" si="67">+SUM(O300:P300)</f>
        <v>51021</v>
      </c>
    </row>
    <row r="301" spans="2:17" x14ac:dyDescent="0.2">
      <c r="B301" s="130" t="s">
        <v>979</v>
      </c>
      <c r="C301" s="118">
        <v>0</v>
      </c>
      <c r="D301" s="118">
        <v>0</v>
      </c>
      <c r="E301" s="122" t="s">
        <v>47</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x14ac:dyDescent="0.2">
      <c r="B302" s="130" t="s">
        <v>753</v>
      </c>
      <c r="C302" s="118">
        <v>0</v>
      </c>
      <c r="D302" s="118">
        <v>0</v>
      </c>
      <c r="E302" s="122" t="s">
        <v>47</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x14ac:dyDescent="0.2">
      <c r="B303" s="130" t="s">
        <v>729</v>
      </c>
      <c r="C303" s="118" t="s">
        <v>47</v>
      </c>
      <c r="D303" s="118" t="s">
        <v>47</v>
      </c>
      <c r="E303" s="122" t="s">
        <v>47</v>
      </c>
      <c r="F303" s="118" t="s">
        <v>47</v>
      </c>
      <c r="G303" s="118" t="s">
        <v>47</v>
      </c>
      <c r="H303" s="118" t="s">
        <v>47</v>
      </c>
      <c r="I303" s="118">
        <v>9071</v>
      </c>
      <c r="J303" s="118">
        <v>99572</v>
      </c>
      <c r="K303" s="118">
        <v>0</v>
      </c>
      <c r="L303" s="118" t="s">
        <v>47</v>
      </c>
      <c r="M303" s="118" t="s">
        <v>47</v>
      </c>
      <c r="N303" s="118">
        <v>-108643</v>
      </c>
      <c r="O303" s="118">
        <f t="shared" si="66"/>
        <v>0</v>
      </c>
      <c r="P303" s="118">
        <v>0</v>
      </c>
      <c r="Q303" s="118">
        <f t="shared" si="67"/>
        <v>0</v>
      </c>
    </row>
    <row r="304" spans="2:17" x14ac:dyDescent="0.2">
      <c r="B304" s="130" t="s">
        <v>1136</v>
      </c>
      <c r="C304" s="118" t="s">
        <v>47</v>
      </c>
      <c r="D304" s="118" t="s">
        <v>47</v>
      </c>
      <c r="E304" s="122" t="s">
        <v>47</v>
      </c>
      <c r="F304" s="118" t="s">
        <v>47</v>
      </c>
      <c r="G304" s="118" t="s">
        <v>47</v>
      </c>
      <c r="H304" s="118" t="s">
        <v>47</v>
      </c>
      <c r="I304" s="118" t="s">
        <v>47</v>
      </c>
      <c r="J304" s="118" t="s">
        <v>47</v>
      </c>
      <c r="K304" s="118" t="s">
        <v>47</v>
      </c>
      <c r="L304" s="118" t="s">
        <v>47</v>
      </c>
      <c r="M304" s="118">
        <v>251</v>
      </c>
      <c r="N304" s="118" t="s">
        <v>47</v>
      </c>
      <c r="O304" s="118">
        <f t="shared" si="66"/>
        <v>251</v>
      </c>
      <c r="P304" s="118">
        <v>0</v>
      </c>
      <c r="Q304" s="118">
        <f t="shared" si="67"/>
        <v>251</v>
      </c>
    </row>
    <row r="305" spans="2:17" x14ac:dyDescent="0.2">
      <c r="B305" s="130" t="s">
        <v>1137</v>
      </c>
      <c r="C305" s="118" t="s">
        <v>47</v>
      </c>
      <c r="D305" s="118" t="s">
        <v>47</v>
      </c>
      <c r="E305" s="122" t="s">
        <v>47</v>
      </c>
      <c r="F305" s="118" t="s">
        <v>47</v>
      </c>
      <c r="G305" s="118" t="s">
        <v>47</v>
      </c>
      <c r="H305" s="118" t="s">
        <v>47</v>
      </c>
      <c r="I305" s="118" t="s">
        <v>47</v>
      </c>
      <c r="J305" s="118" t="s">
        <v>47</v>
      </c>
      <c r="K305" s="118" t="s">
        <v>47</v>
      </c>
      <c r="L305" s="118" t="s">
        <v>47</v>
      </c>
      <c r="M305" s="118">
        <v>-85</v>
      </c>
      <c r="N305" s="118" t="s">
        <v>47</v>
      </c>
      <c r="O305" s="118">
        <f t="shared" si="66"/>
        <v>-85</v>
      </c>
      <c r="P305" s="118" t="s">
        <v>47</v>
      </c>
      <c r="Q305" s="118">
        <f t="shared" si="67"/>
        <v>-85</v>
      </c>
    </row>
    <row r="306" spans="2:17" x14ac:dyDescent="0.2">
      <c r="B306" s="130" t="s">
        <v>1187</v>
      </c>
      <c r="C306" s="118" t="s">
        <v>47</v>
      </c>
      <c r="D306" s="118" t="s">
        <v>47</v>
      </c>
      <c r="E306" s="122" t="s">
        <v>47</v>
      </c>
      <c r="F306" s="118" t="s">
        <v>47</v>
      </c>
      <c r="G306" s="118" t="s">
        <v>47</v>
      </c>
      <c r="H306" s="118" t="s">
        <v>47</v>
      </c>
      <c r="I306" s="118" t="s">
        <v>47</v>
      </c>
      <c r="J306" s="118" t="s">
        <v>47</v>
      </c>
      <c r="K306" s="118">
        <v>-39563</v>
      </c>
      <c r="L306" s="118" t="s">
        <v>47</v>
      </c>
      <c r="M306" s="118" t="s">
        <v>47</v>
      </c>
      <c r="N306" s="118" t="s">
        <v>47</v>
      </c>
      <c r="O306" s="118">
        <f t="shared" si="66"/>
        <v>-39563</v>
      </c>
      <c r="P306" s="118" t="s">
        <v>47</v>
      </c>
      <c r="Q306" s="118">
        <f t="shared" si="67"/>
        <v>-39563</v>
      </c>
    </row>
    <row r="307" spans="2:17" x14ac:dyDescent="0.2">
      <c r="B307" s="130" t="s">
        <v>989</v>
      </c>
      <c r="C307" s="118">
        <v>0</v>
      </c>
      <c r="D307" s="118">
        <v>0</v>
      </c>
      <c r="E307" s="122" t="s">
        <v>47</v>
      </c>
      <c r="F307" s="118">
        <v>0</v>
      </c>
      <c r="G307" s="118">
        <v>0</v>
      </c>
      <c r="H307" s="118">
        <v>0</v>
      </c>
      <c r="I307" s="118">
        <v>0</v>
      </c>
      <c r="J307" s="118">
        <v>0</v>
      </c>
      <c r="K307" s="118">
        <v>0</v>
      </c>
      <c r="L307" s="118">
        <v>0</v>
      </c>
      <c r="M307" s="118">
        <v>0</v>
      </c>
      <c r="N307" s="118">
        <v>0</v>
      </c>
      <c r="O307" s="118">
        <f t="shared" si="66"/>
        <v>0</v>
      </c>
      <c r="P307" s="118" t="s">
        <v>47</v>
      </c>
      <c r="Q307" s="118">
        <f t="shared" si="67"/>
        <v>0</v>
      </c>
    </row>
    <row r="308" spans="2:17" x14ac:dyDescent="0.2">
      <c r="B308" s="127" t="s">
        <v>1309</v>
      </c>
      <c r="C308" s="120">
        <f t="shared" ref="C308:Q308" si="68">SUM(C298:C307)</f>
        <v>318524</v>
      </c>
      <c r="D308" s="120">
        <f t="shared" si="68"/>
        <v>0</v>
      </c>
      <c r="E308" s="120" t="s">
        <v>47</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x14ac:dyDescent="0.2">
      <c r="E309" s="901"/>
    </row>
    <row r="310" spans="2:17" x14ac:dyDescent="0.2">
      <c r="B310" s="130" t="s">
        <v>1288</v>
      </c>
      <c r="C310" s="118" t="s">
        <v>47</v>
      </c>
      <c r="D310" s="118" t="s">
        <v>47</v>
      </c>
      <c r="E310" s="122" t="s">
        <v>47</v>
      </c>
      <c r="F310" s="118" t="s">
        <v>47</v>
      </c>
      <c r="G310" s="118" t="s">
        <v>47</v>
      </c>
      <c r="H310" s="118" t="s">
        <v>47</v>
      </c>
      <c r="I310" s="118" t="s">
        <v>47</v>
      </c>
      <c r="J310" s="118" t="s">
        <v>47</v>
      </c>
      <c r="K310" s="118" t="s">
        <v>47</v>
      </c>
      <c r="L310" s="118" t="s">
        <v>47</v>
      </c>
      <c r="M310" s="118">
        <v>0</v>
      </c>
      <c r="N310" s="118">
        <v>37283</v>
      </c>
      <c r="O310" s="118">
        <f t="shared" ref="O310:O318" si="69">+SUM(C310:N310)</f>
        <v>37283</v>
      </c>
      <c r="P310" s="118">
        <v>232</v>
      </c>
      <c r="Q310" s="118">
        <f t="shared" ref="Q310:Q315" si="70">+SUM(O310:P310)</f>
        <v>37515</v>
      </c>
    </row>
    <row r="311" spans="2:17" x14ac:dyDescent="0.2">
      <c r="B311" s="130" t="s">
        <v>1333</v>
      </c>
      <c r="C311" s="118">
        <v>120315</v>
      </c>
      <c r="D311" s="118">
        <v>0</v>
      </c>
      <c r="E311" s="122" t="s">
        <v>47</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x14ac:dyDescent="0.2">
      <c r="B312" s="130" t="s">
        <v>979</v>
      </c>
      <c r="C312" s="118">
        <v>0</v>
      </c>
      <c r="D312" s="118">
        <v>0</v>
      </c>
      <c r="E312" s="122" t="s">
        <v>47</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x14ac:dyDescent="0.2">
      <c r="B313" s="130" t="s">
        <v>753</v>
      </c>
      <c r="C313" s="118">
        <v>0</v>
      </c>
      <c r="D313" s="118">
        <v>0</v>
      </c>
      <c r="E313" s="122" t="s">
        <v>47</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x14ac:dyDescent="0.2">
      <c r="B314" s="130" t="s">
        <v>729</v>
      </c>
      <c r="C314" s="118" t="s">
        <v>47</v>
      </c>
      <c r="D314" s="118" t="s">
        <v>47</v>
      </c>
      <c r="E314" s="122" t="s">
        <v>47</v>
      </c>
      <c r="F314" s="118" t="s">
        <v>47</v>
      </c>
      <c r="G314" s="118" t="s">
        <v>47</v>
      </c>
      <c r="H314" s="118" t="s">
        <v>47</v>
      </c>
      <c r="I314" s="118">
        <v>0</v>
      </c>
      <c r="J314" s="118">
        <v>0</v>
      </c>
      <c r="K314" s="118">
        <v>0</v>
      </c>
      <c r="L314" s="118" t="s">
        <v>47</v>
      </c>
      <c r="M314" s="118" t="s">
        <v>47</v>
      </c>
      <c r="N314" s="118">
        <v>0</v>
      </c>
      <c r="O314" s="118">
        <f t="shared" si="69"/>
        <v>0</v>
      </c>
      <c r="P314" s="118">
        <v>0</v>
      </c>
      <c r="Q314" s="118">
        <f t="shared" si="70"/>
        <v>0</v>
      </c>
    </row>
    <row r="315" spans="2:17" x14ac:dyDescent="0.2">
      <c r="B315" s="130" t="s">
        <v>1136</v>
      </c>
      <c r="C315" s="118" t="s">
        <v>47</v>
      </c>
      <c r="D315" s="118" t="s">
        <v>47</v>
      </c>
      <c r="E315" s="122" t="s">
        <v>47</v>
      </c>
      <c r="F315" s="118" t="s">
        <v>47</v>
      </c>
      <c r="G315" s="118" t="s">
        <v>47</v>
      </c>
      <c r="H315" s="118" t="s">
        <v>47</v>
      </c>
      <c r="I315" s="118" t="s">
        <v>47</v>
      </c>
      <c r="J315" s="118" t="s">
        <v>47</v>
      </c>
      <c r="K315" s="118" t="s">
        <v>47</v>
      </c>
      <c r="L315" s="118" t="s">
        <v>47</v>
      </c>
      <c r="M315" s="118">
        <v>0</v>
      </c>
      <c r="N315" s="118" t="s">
        <v>47</v>
      </c>
      <c r="O315" s="118">
        <f t="shared" si="69"/>
        <v>0</v>
      </c>
      <c r="P315" s="118">
        <v>0</v>
      </c>
      <c r="Q315" s="118">
        <f t="shared" si="70"/>
        <v>0</v>
      </c>
    </row>
    <row r="316" spans="2:17" x14ac:dyDescent="0.2">
      <c r="B316" s="130" t="s">
        <v>1137</v>
      </c>
      <c r="C316" s="118" t="s">
        <v>47</v>
      </c>
      <c r="D316" s="118" t="s">
        <v>47</v>
      </c>
      <c r="E316" s="122" t="s">
        <v>47</v>
      </c>
      <c r="F316" s="118" t="s">
        <v>47</v>
      </c>
      <c r="G316" s="118" t="s">
        <v>47</v>
      </c>
      <c r="H316" s="118" t="s">
        <v>47</v>
      </c>
      <c r="I316" s="118" t="s">
        <v>47</v>
      </c>
      <c r="J316" s="118" t="s">
        <v>47</v>
      </c>
      <c r="K316" s="118" t="s">
        <v>47</v>
      </c>
      <c r="L316" s="118" t="s">
        <v>47</v>
      </c>
      <c r="M316" s="118">
        <v>0</v>
      </c>
      <c r="N316" s="118" t="s">
        <v>47</v>
      </c>
      <c r="O316" s="118">
        <f t="shared" si="69"/>
        <v>0</v>
      </c>
      <c r="P316" s="118" t="s">
        <v>47</v>
      </c>
      <c r="Q316" s="118">
        <f>+SUM(O316:P316)</f>
        <v>0</v>
      </c>
    </row>
    <row r="317" spans="2:17" x14ac:dyDescent="0.2">
      <c r="B317" s="130" t="s">
        <v>1187</v>
      </c>
      <c r="C317" s="118" t="s">
        <v>47</v>
      </c>
      <c r="D317" s="118" t="s">
        <v>47</v>
      </c>
      <c r="E317" s="122" t="s">
        <v>47</v>
      </c>
      <c r="F317" s="118" t="s">
        <v>47</v>
      </c>
      <c r="G317" s="118" t="s">
        <v>47</v>
      </c>
      <c r="H317" s="118" t="s">
        <v>47</v>
      </c>
      <c r="I317" s="118" t="s">
        <v>47</v>
      </c>
      <c r="J317" s="118" t="s">
        <v>47</v>
      </c>
      <c r="K317" s="118">
        <v>0</v>
      </c>
      <c r="L317" s="118" t="s">
        <v>47</v>
      </c>
      <c r="M317" s="118" t="s">
        <v>47</v>
      </c>
      <c r="N317" s="118" t="s">
        <v>47</v>
      </c>
      <c r="O317" s="118">
        <f t="shared" si="69"/>
        <v>0</v>
      </c>
      <c r="P317" s="118" t="s">
        <v>47</v>
      </c>
      <c r="Q317" s="118">
        <f>+SUM(O317:P317)</f>
        <v>0</v>
      </c>
    </row>
    <row r="318" spans="2:17" x14ac:dyDescent="0.2">
      <c r="B318" s="130" t="s">
        <v>989</v>
      </c>
      <c r="C318" s="118">
        <v>0</v>
      </c>
      <c r="D318" s="118">
        <v>0</v>
      </c>
      <c r="E318" s="122" t="s">
        <v>47</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x14ac:dyDescent="0.2">
      <c r="B319" s="127" t="s">
        <v>1330</v>
      </c>
      <c r="C319" s="120">
        <f t="shared" ref="C319:Q319" si="71">SUM(C308:C318)</f>
        <v>438839</v>
      </c>
      <c r="D319" s="120">
        <f t="shared" si="71"/>
        <v>0</v>
      </c>
      <c r="E319" s="120" t="s">
        <v>47</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x14ac:dyDescent="0.2">
      <c r="E320" s="901"/>
    </row>
    <row r="321" spans="2:17" x14ac:dyDescent="0.2">
      <c r="B321" s="130" t="s">
        <v>1288</v>
      </c>
      <c r="C321" s="118" t="s">
        <v>47</v>
      </c>
      <c r="D321" s="118" t="s">
        <v>47</v>
      </c>
      <c r="E321" s="122" t="s">
        <v>47</v>
      </c>
      <c r="F321" s="118" t="s">
        <v>47</v>
      </c>
      <c r="G321" s="118" t="s">
        <v>47</v>
      </c>
      <c r="H321" s="118" t="s">
        <v>47</v>
      </c>
      <c r="I321" s="118" t="s">
        <v>47</v>
      </c>
      <c r="J321" s="118" t="s">
        <v>47</v>
      </c>
      <c r="K321" s="118" t="s">
        <v>47</v>
      </c>
      <c r="L321" s="118" t="s">
        <v>47</v>
      </c>
      <c r="M321" s="118">
        <v>0</v>
      </c>
      <c r="N321" s="118">
        <v>63252</v>
      </c>
      <c r="O321" s="118">
        <f t="shared" ref="O321:O329" si="72">+SUM(C321:N321)</f>
        <v>63252</v>
      </c>
      <c r="P321" s="118">
        <v>263</v>
      </c>
      <c r="Q321" s="118">
        <f t="shared" ref="Q321:Q326" si="73">+SUM(O321:P321)</f>
        <v>63515</v>
      </c>
    </row>
    <row r="322" spans="2:17" x14ac:dyDescent="0.2">
      <c r="B322" s="130" t="s">
        <v>1333</v>
      </c>
      <c r="C322" s="118">
        <v>0</v>
      </c>
      <c r="D322" s="118">
        <v>0</v>
      </c>
      <c r="E322" s="122" t="s">
        <v>47</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x14ac:dyDescent="0.2">
      <c r="B323" s="130" t="s">
        <v>979</v>
      </c>
      <c r="C323" s="118">
        <v>0</v>
      </c>
      <c r="D323" s="118">
        <v>0</v>
      </c>
      <c r="E323" s="122" t="s">
        <v>47</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x14ac:dyDescent="0.2">
      <c r="B324" s="130" t="s">
        <v>753</v>
      </c>
      <c r="C324" s="118">
        <v>0</v>
      </c>
      <c r="D324" s="118">
        <v>0</v>
      </c>
      <c r="E324" s="122" t="s">
        <v>47</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x14ac:dyDescent="0.2">
      <c r="B325" s="130" t="s">
        <v>729</v>
      </c>
      <c r="C325" s="118" t="s">
        <v>47</v>
      </c>
      <c r="D325" s="118" t="s">
        <v>47</v>
      </c>
      <c r="E325" s="122" t="s">
        <v>47</v>
      </c>
      <c r="F325" s="118" t="s">
        <v>47</v>
      </c>
      <c r="G325" s="118" t="s">
        <v>47</v>
      </c>
      <c r="H325" s="118" t="s">
        <v>47</v>
      </c>
      <c r="I325" s="118">
        <v>0</v>
      </c>
      <c r="J325" s="118">
        <v>0</v>
      </c>
      <c r="K325" s="118">
        <v>0</v>
      </c>
      <c r="L325" s="118" t="s">
        <v>47</v>
      </c>
      <c r="M325" s="118" t="s">
        <v>47</v>
      </c>
      <c r="N325" s="118">
        <v>0</v>
      </c>
      <c r="O325" s="118">
        <f t="shared" si="72"/>
        <v>0</v>
      </c>
      <c r="P325" s="118">
        <v>0</v>
      </c>
      <c r="Q325" s="118">
        <f t="shared" si="73"/>
        <v>0</v>
      </c>
    </row>
    <row r="326" spans="2:17" x14ac:dyDescent="0.2">
      <c r="B326" s="130" t="s">
        <v>1136</v>
      </c>
      <c r="C326" s="118" t="s">
        <v>47</v>
      </c>
      <c r="D326" s="118" t="s">
        <v>47</v>
      </c>
      <c r="E326" s="122" t="s">
        <v>47</v>
      </c>
      <c r="F326" s="118" t="s">
        <v>47</v>
      </c>
      <c r="G326" s="118" t="s">
        <v>47</v>
      </c>
      <c r="H326" s="118" t="s">
        <v>47</v>
      </c>
      <c r="I326" s="118" t="s">
        <v>47</v>
      </c>
      <c r="J326" s="118" t="s">
        <v>47</v>
      </c>
      <c r="K326" s="118" t="s">
        <v>47</v>
      </c>
      <c r="L326" s="118" t="s">
        <v>47</v>
      </c>
      <c r="M326" s="118">
        <v>0</v>
      </c>
      <c r="N326" s="118" t="s">
        <v>47</v>
      </c>
      <c r="O326" s="118">
        <f t="shared" si="72"/>
        <v>0</v>
      </c>
      <c r="P326" s="118">
        <v>0</v>
      </c>
      <c r="Q326" s="118">
        <f t="shared" si="73"/>
        <v>0</v>
      </c>
    </row>
    <row r="327" spans="2:17" x14ac:dyDescent="0.2">
      <c r="B327" s="130" t="s">
        <v>1137</v>
      </c>
      <c r="C327" s="118" t="s">
        <v>47</v>
      </c>
      <c r="D327" s="118" t="s">
        <v>47</v>
      </c>
      <c r="E327" s="122" t="s">
        <v>47</v>
      </c>
      <c r="F327" s="118" t="s">
        <v>47</v>
      </c>
      <c r="G327" s="118" t="s">
        <v>47</v>
      </c>
      <c r="H327" s="118" t="s">
        <v>47</v>
      </c>
      <c r="I327" s="118" t="s">
        <v>47</v>
      </c>
      <c r="J327" s="118" t="s">
        <v>47</v>
      </c>
      <c r="K327" s="118" t="s">
        <v>47</v>
      </c>
      <c r="L327" s="118" t="s">
        <v>47</v>
      </c>
      <c r="M327" s="118">
        <v>0</v>
      </c>
      <c r="N327" s="118" t="s">
        <v>47</v>
      </c>
      <c r="O327" s="118">
        <f t="shared" si="72"/>
        <v>0</v>
      </c>
      <c r="P327" s="118" t="s">
        <v>47</v>
      </c>
      <c r="Q327" s="118">
        <f>+SUM(O327:P327)</f>
        <v>0</v>
      </c>
    </row>
    <row r="328" spans="2:17" x14ac:dyDescent="0.2">
      <c r="B328" s="130" t="s">
        <v>1187</v>
      </c>
      <c r="C328" s="118" t="s">
        <v>47</v>
      </c>
      <c r="D328" s="118" t="s">
        <v>47</v>
      </c>
      <c r="E328" s="122" t="s">
        <v>47</v>
      </c>
      <c r="F328" s="118" t="s">
        <v>47</v>
      </c>
      <c r="G328" s="118" t="s">
        <v>47</v>
      </c>
      <c r="H328" s="118" t="s">
        <v>47</v>
      </c>
      <c r="I328" s="118" t="s">
        <v>47</v>
      </c>
      <c r="J328" s="118" t="s">
        <v>47</v>
      </c>
      <c r="K328" s="118">
        <v>0</v>
      </c>
      <c r="L328" s="118" t="s">
        <v>47</v>
      </c>
      <c r="M328" s="118" t="s">
        <v>47</v>
      </c>
      <c r="N328" s="118" t="s">
        <v>47</v>
      </c>
      <c r="O328" s="118">
        <f t="shared" si="72"/>
        <v>0</v>
      </c>
      <c r="P328" s="118" t="s">
        <v>47</v>
      </c>
      <c r="Q328" s="118">
        <f>+SUM(O328:P328)</f>
        <v>0</v>
      </c>
    </row>
    <row r="329" spans="2:17" x14ac:dyDescent="0.2">
      <c r="B329" s="130" t="s">
        <v>989</v>
      </c>
      <c r="C329" s="118">
        <v>0</v>
      </c>
      <c r="D329" s="118">
        <v>0</v>
      </c>
      <c r="E329" s="122" t="s">
        <v>47</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x14ac:dyDescent="0.2">
      <c r="B330" s="127" t="s">
        <v>1340</v>
      </c>
      <c r="C330" s="120">
        <f t="shared" ref="C330:Q330" si="74">SUM(C319:C329)</f>
        <v>438839</v>
      </c>
      <c r="D330" s="120">
        <f t="shared" si="74"/>
        <v>0</v>
      </c>
      <c r="E330" s="120" t="s">
        <v>47</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x14ac:dyDescent="0.2">
      <c r="B332" s="130" t="s">
        <v>1288</v>
      </c>
      <c r="C332" s="118" t="s">
        <v>47</v>
      </c>
      <c r="D332" s="118" t="s">
        <v>47</v>
      </c>
      <c r="E332" s="122" t="s">
        <v>47</v>
      </c>
      <c r="F332" s="118" t="s">
        <v>47</v>
      </c>
      <c r="G332" s="118" t="s">
        <v>47</v>
      </c>
      <c r="H332" s="118" t="s">
        <v>47</v>
      </c>
      <c r="I332" s="118" t="s">
        <v>47</v>
      </c>
      <c r="J332" s="118" t="s">
        <v>47</v>
      </c>
      <c r="K332" s="118" t="s">
        <v>47</v>
      </c>
      <c r="L332" s="118" t="s">
        <v>47</v>
      </c>
      <c r="M332" s="118" t="s">
        <v>47</v>
      </c>
      <c r="N332" s="118">
        <v>84221</v>
      </c>
      <c r="O332" s="118">
        <f t="shared" ref="O332:O340" si="75">+SUM(C332:N332)</f>
        <v>84221</v>
      </c>
      <c r="P332" s="118">
        <v>224</v>
      </c>
      <c r="Q332" s="118">
        <f t="shared" ref="Q332:Q337" si="76">+SUM(O332:P332)</f>
        <v>84445</v>
      </c>
    </row>
    <row r="333" spans="2:17" x14ac:dyDescent="0.2">
      <c r="B333" s="130" t="s">
        <v>1333</v>
      </c>
      <c r="C333" s="118" t="s">
        <v>47</v>
      </c>
      <c r="D333" s="118" t="s">
        <v>47</v>
      </c>
      <c r="E333" s="122" t="s">
        <v>47</v>
      </c>
      <c r="F333" s="118" t="s">
        <v>47</v>
      </c>
      <c r="G333" s="118" t="s">
        <v>47</v>
      </c>
      <c r="H333" s="118" t="s">
        <v>47</v>
      </c>
      <c r="I333" s="118" t="s">
        <v>47</v>
      </c>
      <c r="J333" s="118" t="s">
        <v>47</v>
      </c>
      <c r="K333" s="118" t="s">
        <v>47</v>
      </c>
      <c r="L333" s="118" t="s">
        <v>47</v>
      </c>
      <c r="M333" s="118" t="s">
        <v>47</v>
      </c>
      <c r="N333" s="118" t="s">
        <v>47</v>
      </c>
      <c r="O333" s="118">
        <f t="shared" si="75"/>
        <v>0</v>
      </c>
      <c r="P333" s="118" t="s">
        <v>47</v>
      </c>
      <c r="Q333" s="118">
        <f t="shared" si="76"/>
        <v>0</v>
      </c>
    </row>
    <row r="334" spans="2:17" x14ac:dyDescent="0.2">
      <c r="B334" s="130" t="s">
        <v>979</v>
      </c>
      <c r="C334" s="118" t="s">
        <v>47</v>
      </c>
      <c r="D334" s="118" t="s">
        <v>47</v>
      </c>
      <c r="E334" s="122" t="s">
        <v>47</v>
      </c>
      <c r="F334" s="118" t="s">
        <v>47</v>
      </c>
      <c r="G334" s="118" t="s">
        <v>47</v>
      </c>
      <c r="H334" s="118" t="s">
        <v>47</v>
      </c>
      <c r="I334" s="118" t="s">
        <v>47</v>
      </c>
      <c r="J334" s="118" t="s">
        <v>47</v>
      </c>
      <c r="K334" s="118" t="s">
        <v>47</v>
      </c>
      <c r="L334" s="118" t="s">
        <v>47</v>
      </c>
      <c r="M334" s="118" t="s">
        <v>47</v>
      </c>
      <c r="N334" s="118" t="s">
        <v>47</v>
      </c>
      <c r="O334" s="118">
        <f t="shared" si="75"/>
        <v>0</v>
      </c>
      <c r="P334" s="118" t="s">
        <v>47</v>
      </c>
      <c r="Q334" s="118">
        <f t="shared" si="76"/>
        <v>0</v>
      </c>
    </row>
    <row r="335" spans="2:17" x14ac:dyDescent="0.2">
      <c r="B335" s="130" t="s">
        <v>753</v>
      </c>
      <c r="C335" s="118" t="s">
        <v>47</v>
      </c>
      <c r="D335" s="118" t="s">
        <v>47</v>
      </c>
      <c r="E335" s="122" t="s">
        <v>47</v>
      </c>
      <c r="F335" s="118" t="s">
        <v>47</v>
      </c>
      <c r="G335" s="118" t="s">
        <v>47</v>
      </c>
      <c r="H335" s="118" t="s">
        <v>47</v>
      </c>
      <c r="I335" s="118" t="s">
        <v>47</v>
      </c>
      <c r="J335" s="118">
        <v>-80444</v>
      </c>
      <c r="K335" s="118">
        <v>0</v>
      </c>
      <c r="L335" s="118" t="s">
        <v>47</v>
      </c>
      <c r="M335" s="118" t="s">
        <v>47</v>
      </c>
      <c r="N335" s="118" t="s">
        <v>47</v>
      </c>
      <c r="O335" s="118">
        <f t="shared" si="75"/>
        <v>-80444</v>
      </c>
      <c r="P335" s="118">
        <v>0</v>
      </c>
      <c r="Q335" s="118">
        <f t="shared" si="76"/>
        <v>-80444</v>
      </c>
    </row>
    <row r="336" spans="2:17" x14ac:dyDescent="0.2">
      <c r="B336" s="130" t="s">
        <v>729</v>
      </c>
      <c r="C336" s="118" t="s">
        <v>47</v>
      </c>
      <c r="D336" s="118" t="s">
        <v>47</v>
      </c>
      <c r="E336" s="122" t="s">
        <v>47</v>
      </c>
      <c r="F336" s="118" t="s">
        <v>47</v>
      </c>
      <c r="G336" s="118" t="s">
        <v>47</v>
      </c>
      <c r="H336" s="118" t="s">
        <v>47</v>
      </c>
      <c r="I336" s="118" t="s">
        <v>47</v>
      </c>
      <c r="J336" s="118" t="s">
        <v>47</v>
      </c>
      <c r="K336" s="118" t="s">
        <v>47</v>
      </c>
      <c r="L336" s="118" t="s">
        <v>47</v>
      </c>
      <c r="M336" s="118" t="s">
        <v>47</v>
      </c>
      <c r="N336" s="118" t="s">
        <v>47</v>
      </c>
      <c r="O336" s="118">
        <f t="shared" si="75"/>
        <v>0</v>
      </c>
      <c r="P336" s="118" t="s">
        <v>47</v>
      </c>
      <c r="Q336" s="118">
        <f t="shared" si="76"/>
        <v>0</v>
      </c>
    </row>
    <row r="337" spans="2:17" x14ac:dyDescent="0.2">
      <c r="B337" s="130" t="s">
        <v>1136</v>
      </c>
      <c r="C337" s="118" t="s">
        <v>47</v>
      </c>
      <c r="D337" s="118" t="s">
        <v>47</v>
      </c>
      <c r="E337" s="122" t="s">
        <v>47</v>
      </c>
      <c r="F337" s="118" t="s">
        <v>47</v>
      </c>
      <c r="G337" s="118" t="s">
        <v>47</v>
      </c>
      <c r="H337" s="118" t="s">
        <v>47</v>
      </c>
      <c r="I337" s="118" t="s">
        <v>47</v>
      </c>
      <c r="J337" s="118" t="s">
        <v>47</v>
      </c>
      <c r="K337" s="118" t="s">
        <v>47</v>
      </c>
      <c r="L337" s="118" t="s">
        <v>47</v>
      </c>
      <c r="M337" s="118" t="s">
        <v>47</v>
      </c>
      <c r="N337" s="118" t="s">
        <v>47</v>
      </c>
      <c r="O337" s="118">
        <f t="shared" si="75"/>
        <v>0</v>
      </c>
      <c r="P337" s="118" t="s">
        <v>47</v>
      </c>
      <c r="Q337" s="118">
        <f t="shared" si="76"/>
        <v>0</v>
      </c>
    </row>
    <row r="338" spans="2:17" x14ac:dyDescent="0.2">
      <c r="B338" s="130" t="s">
        <v>1137</v>
      </c>
      <c r="C338" s="118" t="s">
        <v>47</v>
      </c>
      <c r="D338" s="118" t="s">
        <v>47</v>
      </c>
      <c r="E338" s="122" t="s">
        <v>47</v>
      </c>
      <c r="F338" s="118" t="s">
        <v>47</v>
      </c>
      <c r="G338" s="118" t="s">
        <v>47</v>
      </c>
      <c r="H338" s="118" t="s">
        <v>47</v>
      </c>
      <c r="I338" s="118" t="s">
        <v>47</v>
      </c>
      <c r="J338" s="118" t="s">
        <v>47</v>
      </c>
      <c r="K338" s="118" t="s">
        <v>47</v>
      </c>
      <c r="L338" s="118" t="s">
        <v>47</v>
      </c>
      <c r="M338" s="118" t="s">
        <v>47</v>
      </c>
      <c r="N338" s="118" t="s">
        <v>47</v>
      </c>
      <c r="O338" s="118">
        <f t="shared" si="75"/>
        <v>0</v>
      </c>
      <c r="P338" s="118" t="s">
        <v>47</v>
      </c>
      <c r="Q338" s="118">
        <f>+SUM(O338:P338)</f>
        <v>0</v>
      </c>
    </row>
    <row r="339" spans="2:17" x14ac:dyDescent="0.2">
      <c r="B339" s="130" t="s">
        <v>1187</v>
      </c>
      <c r="C339" s="118" t="s">
        <v>47</v>
      </c>
      <c r="D339" s="118" t="s">
        <v>47</v>
      </c>
      <c r="E339" s="122" t="s">
        <v>47</v>
      </c>
      <c r="F339" s="118" t="s">
        <v>47</v>
      </c>
      <c r="G339" s="118" t="s">
        <v>47</v>
      </c>
      <c r="H339" s="118" t="s">
        <v>47</v>
      </c>
      <c r="I339" s="118" t="s">
        <v>47</v>
      </c>
      <c r="J339" s="118" t="s">
        <v>47</v>
      </c>
      <c r="K339" s="118" t="s">
        <v>47</v>
      </c>
      <c r="L339" s="118" t="s">
        <v>47</v>
      </c>
      <c r="M339" s="118" t="s">
        <v>47</v>
      </c>
      <c r="N339" s="118" t="s">
        <v>47</v>
      </c>
      <c r="O339" s="118">
        <f t="shared" si="75"/>
        <v>0</v>
      </c>
      <c r="P339" s="118" t="s">
        <v>47</v>
      </c>
      <c r="Q339" s="118">
        <f>+SUM(O339:P339)</f>
        <v>0</v>
      </c>
    </row>
    <row r="340" spans="2:17" x14ac:dyDescent="0.2">
      <c r="B340" s="130" t="s">
        <v>989</v>
      </c>
      <c r="C340" s="118" t="s">
        <v>47</v>
      </c>
      <c r="D340" s="118" t="s">
        <v>47</v>
      </c>
      <c r="E340" s="122" t="s">
        <v>47</v>
      </c>
      <c r="F340" s="118" t="s">
        <v>47</v>
      </c>
      <c r="G340" s="118" t="s">
        <v>47</v>
      </c>
      <c r="H340" s="118" t="s">
        <v>47</v>
      </c>
      <c r="I340" s="118" t="s">
        <v>47</v>
      </c>
      <c r="J340" s="118" t="s">
        <v>47</v>
      </c>
      <c r="K340" s="118" t="s">
        <v>47</v>
      </c>
      <c r="L340" s="118" t="s">
        <v>47</v>
      </c>
      <c r="M340" s="118" t="s">
        <v>47</v>
      </c>
      <c r="N340" s="118" t="s">
        <v>47</v>
      </c>
      <c r="O340" s="118">
        <f t="shared" si="75"/>
        <v>0</v>
      </c>
      <c r="P340" s="118" t="s">
        <v>47</v>
      </c>
      <c r="Q340" s="118">
        <f>+SUM(O340:P340)</f>
        <v>0</v>
      </c>
    </row>
    <row r="341" spans="2:17" x14ac:dyDescent="0.2">
      <c r="B341" s="127" t="s">
        <v>1357</v>
      </c>
      <c r="C341" s="120">
        <f t="shared" ref="C341:Q341" si="77">SUM(C330:C340)</f>
        <v>438839</v>
      </c>
      <c r="D341" s="120">
        <f t="shared" si="77"/>
        <v>0</v>
      </c>
      <c r="E341" s="120" t="s">
        <v>47</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x14ac:dyDescent="0.2">
      <c r="B343" s="130" t="s">
        <v>1288</v>
      </c>
      <c r="C343" s="118" t="s">
        <v>47</v>
      </c>
      <c r="D343" s="118" t="s">
        <v>47</v>
      </c>
      <c r="E343" s="118" t="s">
        <v>47</v>
      </c>
      <c r="F343" s="118" t="s">
        <v>47</v>
      </c>
      <c r="G343" s="118" t="s">
        <v>47</v>
      </c>
      <c r="H343" s="118" t="s">
        <v>47</v>
      </c>
      <c r="I343" s="118" t="s">
        <v>47</v>
      </c>
      <c r="J343" s="118" t="s">
        <v>47</v>
      </c>
      <c r="K343" s="118" t="s">
        <v>47</v>
      </c>
      <c r="L343" s="118" t="s">
        <v>47</v>
      </c>
      <c r="M343" s="118" t="s">
        <v>47</v>
      </c>
      <c r="N343" s="118">
        <v>85061</v>
      </c>
      <c r="O343" s="118">
        <f t="shared" ref="O343:O348" si="78">+SUM(C343:N343)</f>
        <v>85061</v>
      </c>
      <c r="P343" s="118">
        <v>76</v>
      </c>
      <c r="Q343" s="118">
        <f t="shared" ref="Q343:Q348" si="79">+SUM(O343:P343)</f>
        <v>85137</v>
      </c>
    </row>
    <row r="344" spans="2:17" x14ac:dyDescent="0.2">
      <c r="B344" s="130" t="s">
        <v>753</v>
      </c>
      <c r="C344" s="118" t="s">
        <v>47</v>
      </c>
      <c r="D344" s="118" t="s">
        <v>47</v>
      </c>
      <c r="E344" s="118" t="s">
        <v>47</v>
      </c>
      <c r="F344" s="118" t="s">
        <v>47</v>
      </c>
      <c r="G344" s="118" t="s">
        <v>47</v>
      </c>
      <c r="H344" s="118" t="s">
        <v>47</v>
      </c>
      <c r="I344" s="118" t="s">
        <v>47</v>
      </c>
      <c r="J344" s="118">
        <v>-50772</v>
      </c>
      <c r="K344" s="118">
        <v>38903</v>
      </c>
      <c r="L344" s="118" t="s">
        <v>47</v>
      </c>
      <c r="M344" s="118" t="s">
        <v>47</v>
      </c>
      <c r="N344" s="118">
        <v>-38903</v>
      </c>
      <c r="O344" s="118">
        <f t="shared" si="78"/>
        <v>-50772</v>
      </c>
      <c r="P344" s="118">
        <v>0</v>
      </c>
      <c r="Q344" s="118">
        <f t="shared" si="79"/>
        <v>-50772</v>
      </c>
    </row>
    <row r="345" spans="2:17" x14ac:dyDescent="0.2">
      <c r="B345" s="130" t="s">
        <v>1136</v>
      </c>
      <c r="C345" s="118" t="s">
        <v>47</v>
      </c>
      <c r="D345" s="118" t="s">
        <v>47</v>
      </c>
      <c r="E345" s="122" t="s">
        <v>47</v>
      </c>
      <c r="F345" s="118" t="s">
        <v>47</v>
      </c>
      <c r="G345" s="118" t="s">
        <v>47</v>
      </c>
      <c r="H345" s="118" t="s">
        <v>47</v>
      </c>
      <c r="I345" s="118" t="s">
        <v>47</v>
      </c>
      <c r="J345" s="118" t="s">
        <v>47</v>
      </c>
      <c r="K345" s="118" t="s">
        <v>47</v>
      </c>
      <c r="L345" s="118" t="s">
        <v>47</v>
      </c>
      <c r="M345" s="118">
        <v>619</v>
      </c>
      <c r="N345" s="118" t="s">
        <v>47</v>
      </c>
      <c r="O345" s="118">
        <f t="shared" ref="O345:O346" si="80">+SUM(C345:N345)</f>
        <v>619</v>
      </c>
      <c r="P345" s="118" t="s">
        <v>47</v>
      </c>
      <c r="Q345" s="118">
        <f t="shared" ref="Q345" si="81">+SUM(O345:P345)</f>
        <v>619</v>
      </c>
    </row>
    <row r="346" spans="2:17" x14ac:dyDescent="0.2">
      <c r="B346" s="130" t="s">
        <v>1137</v>
      </c>
      <c r="C346" s="118" t="s">
        <v>47</v>
      </c>
      <c r="D346" s="118" t="s">
        <v>47</v>
      </c>
      <c r="E346" s="122" t="s">
        <v>47</v>
      </c>
      <c r="F346" s="118" t="s">
        <v>47</v>
      </c>
      <c r="G346" s="118" t="s">
        <v>47</v>
      </c>
      <c r="H346" s="118" t="s">
        <v>47</v>
      </c>
      <c r="I346" s="118" t="s">
        <v>47</v>
      </c>
      <c r="J346" s="118" t="s">
        <v>47</v>
      </c>
      <c r="K346" s="118" t="s">
        <v>47</v>
      </c>
      <c r="L346" s="118" t="s">
        <v>47</v>
      </c>
      <c r="M346" s="118">
        <v>-210</v>
      </c>
      <c r="N346" s="118" t="s">
        <v>47</v>
      </c>
      <c r="O346" s="118">
        <f t="shared" si="80"/>
        <v>-210</v>
      </c>
      <c r="P346" s="118" t="s">
        <v>47</v>
      </c>
      <c r="Q346" s="118">
        <f>+SUM(O346:P346)</f>
        <v>-210</v>
      </c>
    </row>
    <row r="347" spans="2:17" x14ac:dyDescent="0.2">
      <c r="B347" s="130" t="s">
        <v>729</v>
      </c>
      <c r="C347" s="118" t="s">
        <v>47</v>
      </c>
      <c r="D347" s="118" t="s">
        <v>47</v>
      </c>
      <c r="E347" s="118" t="s">
        <v>47</v>
      </c>
      <c r="F347" s="118" t="s">
        <v>47</v>
      </c>
      <c r="G347" s="118" t="s">
        <v>47</v>
      </c>
      <c r="H347" s="118" t="s">
        <v>47</v>
      </c>
      <c r="I347" s="118">
        <v>13491</v>
      </c>
      <c r="J347" s="118">
        <v>217423</v>
      </c>
      <c r="K347" s="118" t="s">
        <v>47</v>
      </c>
      <c r="L347" s="118" t="s">
        <v>47</v>
      </c>
      <c r="M347" s="118" t="s">
        <v>47</v>
      </c>
      <c r="N347" s="118">
        <v>-230914</v>
      </c>
      <c r="O347" s="118">
        <f t="shared" ref="O347" si="82">+SUM(C347:N347)</f>
        <v>0</v>
      </c>
      <c r="P347" s="118" t="s">
        <v>47</v>
      </c>
      <c r="Q347" s="118">
        <f t="shared" ref="Q347" si="83">+SUM(O347:P347)</f>
        <v>0</v>
      </c>
    </row>
    <row r="348" spans="2:17" x14ac:dyDescent="0.2">
      <c r="B348" s="130" t="s">
        <v>1384</v>
      </c>
      <c r="C348" s="118" t="s">
        <v>47</v>
      </c>
      <c r="D348" s="118" t="s">
        <v>47</v>
      </c>
      <c r="E348" s="118">
        <v>-5296</v>
      </c>
      <c r="F348" s="118" t="s">
        <v>47</v>
      </c>
      <c r="G348" s="118" t="s">
        <v>47</v>
      </c>
      <c r="H348" s="118" t="s">
        <v>47</v>
      </c>
      <c r="I348" s="118" t="s">
        <v>47</v>
      </c>
      <c r="J348" s="118" t="s">
        <v>47</v>
      </c>
      <c r="K348" s="118" t="s">
        <v>47</v>
      </c>
      <c r="L348" s="118" t="s">
        <v>47</v>
      </c>
      <c r="M348" s="118" t="s">
        <v>47</v>
      </c>
      <c r="N348" s="118" t="s">
        <v>47</v>
      </c>
      <c r="O348" s="118">
        <f t="shared" si="78"/>
        <v>-5296</v>
      </c>
      <c r="P348" s="118">
        <v>-1932</v>
      </c>
      <c r="Q348" s="118">
        <f t="shared" si="79"/>
        <v>-7228</v>
      </c>
    </row>
    <row r="349" spans="2:17" x14ac:dyDescent="0.2">
      <c r="B349" s="127" t="s">
        <v>1370</v>
      </c>
      <c r="C349" s="120">
        <f t="shared" ref="C349:L349" si="84">SUM(C341:C348)</f>
        <v>438839</v>
      </c>
      <c r="D349" s="120">
        <f t="shared" si="84"/>
        <v>0</v>
      </c>
      <c r="E349" s="120">
        <f t="shared" si="84"/>
        <v>-5296</v>
      </c>
      <c r="F349" s="120">
        <f t="shared" si="84"/>
        <v>0</v>
      </c>
      <c r="G349" s="120">
        <f t="shared" si="84"/>
        <v>0</v>
      </c>
      <c r="H349" s="120">
        <f t="shared" si="84"/>
        <v>0</v>
      </c>
      <c r="I349" s="120">
        <f t="shared" si="84"/>
        <v>68507.3</v>
      </c>
      <c r="J349" s="120">
        <f t="shared" si="84"/>
        <v>382223.08600000001</v>
      </c>
      <c r="K349" s="120">
        <f t="shared" si="84"/>
        <v>38903</v>
      </c>
      <c r="L349" s="120">
        <f t="shared" si="84"/>
        <v>-343</v>
      </c>
      <c r="M349" s="120">
        <f>SUM(M341:M346)</f>
        <v>-1424</v>
      </c>
      <c r="N349" s="120">
        <f>SUM(N341:N348)</f>
        <v>0</v>
      </c>
      <c r="O349" s="120">
        <f>SUM(O341:O348)</f>
        <v>921409.38599999994</v>
      </c>
      <c r="P349" s="120">
        <f>SUM(P341:P348)</f>
        <v>0</v>
      </c>
      <c r="Q349" s="120">
        <f>SUM(Q341:Q348)</f>
        <v>921409.38599999994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tabColor theme="0" tint="-0.499984740745262"/>
    <pageSetUpPr autoPageBreaks="0"/>
  </sheetPr>
  <dimension ref="A1:BD145"/>
  <sheetViews>
    <sheetView showGridLines="0" zoomScaleNormal="100" workbookViewId="0">
      <pane xSplit="2" ySplit="3" topLeftCell="AN4" activePane="bottomRight" state="frozen"/>
      <selection activeCell="X6" sqref="X6"/>
      <selection pane="topRight" activeCell="X6" sqref="X6"/>
      <selection pane="bottomLeft" activeCell="X6" sqref="X6"/>
      <selection pane="bottomRight" activeCell="BB5" sqref="BB5"/>
    </sheetView>
  </sheetViews>
  <sheetFormatPr defaultColWidth="9.28515625" defaultRowHeight="12.75" outlineLevelRow="1" x14ac:dyDescent="0.2"/>
  <cols>
    <col min="1" max="1" width="1.42578125" style="2" customWidth="1"/>
    <col min="2" max="2" width="40.28515625" style="2" customWidth="1"/>
    <col min="3" max="3" width="8.5703125" style="38" customWidth="1"/>
    <col min="4" max="15" width="10.7109375" style="38" customWidth="1"/>
    <col min="16" max="16" width="10.7109375" style="2" customWidth="1"/>
    <col min="17" max="17" width="9.28515625" style="2" customWidth="1"/>
    <col min="18" max="29" width="10.7109375" style="2" customWidth="1"/>
    <col min="30" max="30" width="10.42578125" style="2" customWidth="1"/>
    <col min="31" max="31" width="10.7109375" style="2" customWidth="1"/>
    <col min="32" max="33" width="10.42578125" style="2" customWidth="1"/>
    <col min="34" max="41" width="9.28515625" style="2" customWidth="1"/>
    <col min="42" max="43" width="9.42578125" style="2" customWidth="1"/>
    <col min="44" max="50" width="9.28515625" style="2" customWidth="1"/>
    <col min="51" max="54" width="9.28515625" style="2"/>
    <col min="55" max="55" width="10.42578125" style="2" bestFit="1" customWidth="1"/>
    <col min="56" max="61" width="9.28515625" style="2"/>
    <col min="62" max="62" width="10" style="2" bestFit="1" customWidth="1"/>
    <col min="63" max="16384" width="9.28515625" style="2"/>
  </cols>
  <sheetData>
    <row r="1" spans="1:54" s="268" customFormat="1" ht="7.5" customHeight="1" x14ac:dyDescent="0.2">
      <c r="C1" s="554"/>
      <c r="D1" s="554"/>
      <c r="E1" s="554"/>
      <c r="F1" s="554"/>
      <c r="G1" s="554"/>
      <c r="H1" s="554"/>
      <c r="I1" s="554"/>
      <c r="J1" s="554"/>
      <c r="K1" s="554"/>
      <c r="L1" s="554"/>
      <c r="M1" s="554"/>
      <c r="N1" s="554"/>
      <c r="O1" s="554"/>
    </row>
    <row r="2" spans="1:54" s="268" customFormat="1" ht="12.75" customHeight="1" x14ac:dyDescent="0.2">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row>
    <row r="3" spans="1:54" ht="12.75" customHeight="1" x14ac:dyDescent="0.2">
      <c r="A3" s="10"/>
      <c r="B3" s="10"/>
      <c r="C3" s="268" t="s">
        <v>1023</v>
      </c>
      <c r="D3" s="268" t="s">
        <v>1024</v>
      </c>
      <c r="E3" s="268" t="s">
        <v>1025</v>
      </c>
      <c r="F3" s="268" t="s">
        <v>1026</v>
      </c>
      <c r="G3" s="268" t="s">
        <v>467</v>
      </c>
      <c r="H3" s="268" t="s">
        <v>468</v>
      </c>
      <c r="I3" s="268" t="s">
        <v>469</v>
      </c>
      <c r="J3" s="268" t="s">
        <v>470</v>
      </c>
      <c r="K3" s="268" t="s">
        <v>471</v>
      </c>
      <c r="L3" s="268" t="s">
        <v>472</v>
      </c>
      <c r="M3" s="268" t="s">
        <v>473</v>
      </c>
      <c r="N3" s="268" t="s">
        <v>474</v>
      </c>
      <c r="O3" s="268" t="s">
        <v>475</v>
      </c>
      <c r="P3" s="268" t="s">
        <v>476</v>
      </c>
      <c r="Q3" s="268" t="s">
        <v>477</v>
      </c>
      <c r="R3" s="268" t="s">
        <v>478</v>
      </c>
      <c r="S3" s="268" t="s">
        <v>479</v>
      </c>
      <c r="T3" s="268" t="s">
        <v>371</v>
      </c>
      <c r="U3" s="268" t="s">
        <v>372</v>
      </c>
      <c r="V3" s="268" t="s">
        <v>373</v>
      </c>
      <c r="W3" s="268" t="s">
        <v>374</v>
      </c>
      <c r="X3" s="268" t="s">
        <v>375</v>
      </c>
      <c r="Y3" s="268" t="s">
        <v>376</v>
      </c>
      <c r="Z3" s="268" t="s">
        <v>694</v>
      </c>
      <c r="AA3" s="268" t="s">
        <v>758</v>
      </c>
      <c r="AB3" s="268" t="s">
        <v>771</v>
      </c>
      <c r="AC3" s="268" t="s">
        <v>788</v>
      </c>
      <c r="AD3" s="268" t="s">
        <v>844</v>
      </c>
      <c r="AE3" s="268" t="s">
        <v>862</v>
      </c>
      <c r="AF3" s="268" t="s">
        <v>922</v>
      </c>
      <c r="AG3" s="268" t="s">
        <v>923</v>
      </c>
      <c r="AH3" s="268" t="s">
        <v>924</v>
      </c>
      <c r="AI3" s="268" t="s">
        <v>995</v>
      </c>
      <c r="AJ3" s="268" t="s">
        <v>1027</v>
      </c>
      <c r="AK3" s="268" t="s">
        <v>1028</v>
      </c>
      <c r="AL3" s="268" t="s">
        <v>993</v>
      </c>
      <c r="AM3" s="268" t="s">
        <v>1124</v>
      </c>
      <c r="AN3" s="268" t="s">
        <v>1125</v>
      </c>
      <c r="AO3" s="268" t="s">
        <v>1126</v>
      </c>
      <c r="AP3" s="268" t="s">
        <v>1127</v>
      </c>
      <c r="AQ3" s="268" t="s">
        <v>1181</v>
      </c>
      <c r="AR3" s="268" t="s">
        <v>1189</v>
      </c>
      <c r="AS3" s="268" t="s">
        <v>1191</v>
      </c>
      <c r="AT3" s="268" t="s">
        <v>1193</v>
      </c>
      <c r="AU3" s="268" t="s">
        <v>1232</v>
      </c>
      <c r="AV3" s="268" t="s">
        <v>1245</v>
      </c>
      <c r="AW3" s="268" t="s">
        <v>1247</v>
      </c>
      <c r="AX3" s="268" t="s">
        <v>1249</v>
      </c>
      <c r="AY3" s="268" t="s">
        <v>1306</v>
      </c>
      <c r="AZ3" s="268" t="s">
        <v>1316</v>
      </c>
      <c r="BA3" s="268" t="s">
        <v>1317</v>
      </c>
      <c r="BB3" s="268" t="s">
        <v>1318</v>
      </c>
    </row>
    <row r="4" spans="1:54" x14ac:dyDescent="0.2">
      <c r="A4" s="10"/>
      <c r="B4" s="10" t="s">
        <v>350</v>
      </c>
      <c r="C4" s="11"/>
      <c r="D4" s="11"/>
      <c r="E4" s="11"/>
      <c r="F4" s="11"/>
      <c r="G4" s="11"/>
      <c r="H4" s="11"/>
      <c r="I4" s="11"/>
      <c r="J4" s="11"/>
      <c r="K4" s="11"/>
      <c r="L4" s="11"/>
      <c r="M4" s="11"/>
      <c r="N4" s="11"/>
      <c r="O4" s="267"/>
      <c r="P4" s="267"/>
      <c r="Q4" s="267"/>
      <c r="R4" s="267"/>
      <c r="S4" s="267"/>
      <c r="T4" s="267"/>
      <c r="U4" s="267"/>
      <c r="V4" s="267"/>
      <c r="W4" s="267"/>
      <c r="X4" s="267"/>
      <c r="Y4" s="267"/>
      <c r="Z4" s="267"/>
      <c r="AA4" s="267"/>
      <c r="AB4" s="267"/>
      <c r="AC4" s="267"/>
      <c r="AE4" s="188"/>
      <c r="AF4" s="188"/>
      <c r="AG4" s="188"/>
      <c r="AH4" s="188"/>
      <c r="AI4" s="188"/>
      <c r="AJ4" s="188"/>
      <c r="AK4" s="188"/>
      <c r="AL4" s="188"/>
      <c r="AM4" s="188"/>
      <c r="AN4" s="188"/>
      <c r="AO4" s="188"/>
      <c r="AP4" s="188"/>
      <c r="AQ4" s="188"/>
    </row>
    <row r="5" spans="1:54" x14ac:dyDescent="0.2">
      <c r="A5" s="10"/>
      <c r="B5" s="128" t="s">
        <v>351</v>
      </c>
      <c r="C5" s="142" t="str">
        <f t="shared" ref="C5:AE5" si="0">+C$3</f>
        <v>1Q12</v>
      </c>
      <c r="D5" s="142" t="str">
        <f t="shared" si="0"/>
        <v>2Q12</v>
      </c>
      <c r="E5" s="142" t="str">
        <f t="shared" si="0"/>
        <v>3Q12</v>
      </c>
      <c r="F5" s="142" t="str">
        <f t="shared" si="0"/>
        <v>4Q12</v>
      </c>
      <c r="G5" s="142" t="str">
        <f t="shared" si="0"/>
        <v>1Q13</v>
      </c>
      <c r="H5" s="142" t="str">
        <f t="shared" si="0"/>
        <v>2Q13</v>
      </c>
      <c r="I5" s="142" t="str">
        <f t="shared" si="0"/>
        <v>3Q13</v>
      </c>
      <c r="J5" s="142" t="str">
        <f t="shared" si="0"/>
        <v>4Q13</v>
      </c>
      <c r="K5" s="142" t="str">
        <f t="shared" si="0"/>
        <v>1Q14</v>
      </c>
      <c r="L5" s="142" t="str">
        <f t="shared" si="0"/>
        <v>2Q14</v>
      </c>
      <c r="M5" s="142" t="str">
        <f t="shared" si="0"/>
        <v>3Q14</v>
      </c>
      <c r="N5" s="142" t="str">
        <f t="shared" si="0"/>
        <v>4Q14</v>
      </c>
      <c r="O5" s="142" t="str">
        <f t="shared" si="0"/>
        <v>1Q15</v>
      </c>
      <c r="P5" s="142" t="str">
        <f t="shared" si="0"/>
        <v>2Q15</v>
      </c>
      <c r="Q5" s="142" t="str">
        <f t="shared" si="0"/>
        <v>3Q15</v>
      </c>
      <c r="R5" s="142" t="str">
        <f t="shared" si="0"/>
        <v>4Q15</v>
      </c>
      <c r="S5" s="142" t="str">
        <f t="shared" si="0"/>
        <v>1Q16</v>
      </c>
      <c r="T5" s="142" t="str">
        <f t="shared" si="0"/>
        <v>2Q16</v>
      </c>
      <c r="U5" s="142" t="str">
        <f t="shared" si="0"/>
        <v>3Q16</v>
      </c>
      <c r="V5" s="142" t="str">
        <f t="shared" si="0"/>
        <v>4Q16</v>
      </c>
      <c r="W5" s="142" t="str">
        <f t="shared" si="0"/>
        <v>1Q17</v>
      </c>
      <c r="X5" s="142" t="str">
        <f t="shared" si="0"/>
        <v>2Q17</v>
      </c>
      <c r="Y5" s="142" t="str">
        <f t="shared" si="0"/>
        <v>3Q17</v>
      </c>
      <c r="Z5" s="142" t="str">
        <f t="shared" si="0"/>
        <v>4Q17</v>
      </c>
      <c r="AA5" s="142" t="str">
        <f t="shared" si="0"/>
        <v>1Q18</v>
      </c>
      <c r="AB5" s="142" t="str">
        <f t="shared" si="0"/>
        <v>2Q18</v>
      </c>
      <c r="AC5" s="142" t="str">
        <f t="shared" si="0"/>
        <v>3Q18</v>
      </c>
      <c r="AD5" s="142" t="str">
        <f t="shared" si="0"/>
        <v>4Q18</v>
      </c>
      <c r="AE5" s="142" t="str">
        <f t="shared" si="0"/>
        <v>1Q19</v>
      </c>
      <c r="AF5" s="142" t="str">
        <f t="shared" ref="AF5:BB5" si="1">+AF$3</f>
        <v>2Q19</v>
      </c>
      <c r="AG5" s="142" t="str">
        <f t="shared" si="1"/>
        <v>3Q19</v>
      </c>
      <c r="AH5" s="142" t="str">
        <f t="shared" si="1"/>
        <v>4Q19</v>
      </c>
      <c r="AI5" s="142" t="str">
        <f t="shared" si="1"/>
        <v>1Q20</v>
      </c>
      <c r="AJ5" s="142" t="str">
        <f t="shared" si="1"/>
        <v>2Q20</v>
      </c>
      <c r="AK5" s="142" t="str">
        <f t="shared" si="1"/>
        <v>3Q20</v>
      </c>
      <c r="AL5" s="142" t="str">
        <f t="shared" si="1"/>
        <v>4Q20</v>
      </c>
      <c r="AM5" s="142" t="str">
        <f t="shared" si="1"/>
        <v>1Q21</v>
      </c>
      <c r="AN5" s="142" t="str">
        <f t="shared" si="1"/>
        <v>2Q21</v>
      </c>
      <c r="AO5" s="142" t="str">
        <f t="shared" si="1"/>
        <v>3Q21</v>
      </c>
      <c r="AP5" s="142" t="str">
        <f t="shared" si="1"/>
        <v>4Q21</v>
      </c>
      <c r="AQ5" s="142" t="str">
        <f t="shared" si="1"/>
        <v>1Q22</v>
      </c>
      <c r="AR5" s="142" t="str">
        <f t="shared" si="1"/>
        <v>2Q22</v>
      </c>
      <c r="AS5" s="142" t="str">
        <f t="shared" si="1"/>
        <v>3Q22</v>
      </c>
      <c r="AT5" s="142" t="str">
        <f t="shared" si="1"/>
        <v>4Q22</v>
      </c>
      <c r="AU5" s="142" t="str">
        <f t="shared" si="1"/>
        <v>1Q23</v>
      </c>
      <c r="AV5" s="142" t="str">
        <f t="shared" si="1"/>
        <v>2Q23</v>
      </c>
      <c r="AW5" s="142" t="str">
        <f t="shared" si="1"/>
        <v>3Q23</v>
      </c>
      <c r="AX5" s="142" t="str">
        <f t="shared" si="1"/>
        <v>4Q23</v>
      </c>
      <c r="AY5" s="142" t="str">
        <f t="shared" si="1"/>
        <v>1Q24</v>
      </c>
      <c r="AZ5" s="142" t="str">
        <f t="shared" si="1"/>
        <v>2Q24</v>
      </c>
      <c r="BA5" s="142" t="str">
        <f t="shared" si="1"/>
        <v>3Q24</v>
      </c>
      <c r="BB5" s="142" t="str">
        <f t="shared" si="1"/>
        <v>4Q24</v>
      </c>
    </row>
    <row r="6" spans="1:54" x14ac:dyDescent="0.2">
      <c r="A6" s="10"/>
      <c r="B6" s="117" t="s">
        <v>352</v>
      </c>
      <c r="C6" s="210">
        <f>BalSheet!K6/BalSheet!K42</f>
        <v>2.2364955715599977</v>
      </c>
      <c r="D6" s="210">
        <f>BalSheet!L6/BalSheet!L42</f>
        <v>1.1627723824826701</v>
      </c>
      <c r="E6" s="210">
        <f>BalSheet!M6/BalSheet!M42</f>
        <v>1.3313881674598933</v>
      </c>
      <c r="F6" s="210">
        <f>BalSheet!N6/BalSheet!N42</f>
        <v>1.3311960183728813</v>
      </c>
      <c r="G6" s="210">
        <f>BalSheet!O6/BalSheet!O42</f>
        <v>1.7787891963663736</v>
      </c>
      <c r="H6" s="210">
        <f>BalSheet!P6/BalSheet!P42</f>
        <v>1.679611827917687</v>
      </c>
      <c r="I6" s="210">
        <f>BalSheet!Q6/BalSheet!Q42</f>
        <v>1.6426202518620536</v>
      </c>
      <c r="J6" s="210">
        <f>BalSheet!R6/BalSheet!R42</f>
        <v>2.288819059632683</v>
      </c>
      <c r="K6" s="210">
        <f>BalSheet!S6/BalSheet!S42</f>
        <v>2.4164946316793103</v>
      </c>
      <c r="L6" s="210">
        <f>BalSheet!T6/BalSheet!T42</f>
        <v>2.5371847111466641</v>
      </c>
      <c r="M6" s="210">
        <f>BalSheet!U6/BalSheet!U42</f>
        <v>3.6846806140133697</v>
      </c>
      <c r="N6" s="210">
        <f>BalSheet!V6/BalSheet!V42</f>
        <v>3.5697091216196806</v>
      </c>
      <c r="O6" s="210">
        <f>BalSheet!W6/BalSheet!W42</f>
        <v>2.5214870204290993</v>
      </c>
      <c r="P6" s="210">
        <f>BalSheet!X6/BalSheet!X42</f>
        <v>3.158675608875559</v>
      </c>
      <c r="Q6" s="210">
        <f>BalSheet!Y6/BalSheet!Y42</f>
        <v>3.0543052429774109</v>
      </c>
      <c r="R6" s="210">
        <f>BalSheet!Z6/BalSheet!Z42</f>
        <v>2.1445947492940549</v>
      </c>
      <c r="S6" s="210">
        <f>BalSheet!AA6/BalSheet!AA42</f>
        <v>1.6166125820195656</v>
      </c>
      <c r="T6" s="210">
        <f>BalSheet!AB6/BalSheet!AB42</f>
        <v>1.6186253045367749</v>
      </c>
      <c r="U6" s="210">
        <f>BalSheet!AC6/BalSheet!AC42</f>
        <v>1.6568172662826577</v>
      </c>
      <c r="V6" s="210">
        <f>BalSheet!AD6/BalSheet!AD42</f>
        <v>1.498823989029213</v>
      </c>
      <c r="W6" s="210">
        <f>BalSheet!AE6/BalSheet!AE42</f>
        <v>1.2533849403156763</v>
      </c>
      <c r="X6" s="210">
        <v>1.668093304024185</v>
      </c>
      <c r="Y6" s="210">
        <f>BalSheet!AG6/BalSheet!AG42</f>
        <v>1.8680480228078</v>
      </c>
      <c r="Z6" s="210">
        <f>BalSheet!AH6/BalSheet!AH42</f>
        <v>2.0028009707180963</v>
      </c>
      <c r="AA6" s="210">
        <f>BalSheet!AI6/BalSheet!AI42</f>
        <v>2.0712162905888829</v>
      </c>
      <c r="AB6" s="210">
        <f>BalSheet!AJ6/BalSheet!AJ42</f>
        <v>1.5957810202465785</v>
      </c>
      <c r="AC6" s="210">
        <f>BalSheet!AK6/BalSheet!AK42</f>
        <v>2.0035162114467826</v>
      </c>
      <c r="AD6" s="210">
        <f>BalSheet!AL6/BalSheet!AL42</f>
        <v>1.9778893824498072</v>
      </c>
      <c r="AE6" s="210">
        <f>BalSheet!AM6/BalSheet!AM42</f>
        <v>2.5132489874498853</v>
      </c>
      <c r="AF6" s="210">
        <f>BalSheet!AN6/BalSheet!AN42</f>
        <v>2.441727700576457</v>
      </c>
      <c r="AG6" s="210">
        <f>BalSheet!AO6/BalSheet!AO42</f>
        <v>1.6965456103323826</v>
      </c>
      <c r="AH6" s="210">
        <f>BalSheet!AP6/BalSheet!AP42</f>
        <v>1.6711832238617121</v>
      </c>
      <c r="AI6" s="210">
        <f>BalSheet!AQ6/BalSheet!AQ42</f>
        <v>1.8969015617056573</v>
      </c>
      <c r="AJ6" s="210">
        <f>BalSheet!AR6/BalSheet!AR42</f>
        <v>1.8973730141304226</v>
      </c>
      <c r="AK6" s="210">
        <f>BalSheet!AS6/BalSheet!AS42</f>
        <v>2.4206379644228537</v>
      </c>
      <c r="AL6" s="210">
        <f>BalSheet!AT6/BalSheet!AT42</f>
        <v>2.5150331560154484</v>
      </c>
      <c r="AM6" s="210">
        <f>BalSheet!AU6/BalSheet!AU42</f>
        <v>2.5765767996513609</v>
      </c>
      <c r="AN6" s="210">
        <f>BalSheet!AV6/BalSheet!AV42</f>
        <v>2.3061999741205614</v>
      </c>
      <c r="AO6" s="210">
        <f>BalSheet!AW6/BalSheet!AW42</f>
        <v>2.3936354587209272</v>
      </c>
      <c r="AP6" s="210">
        <f>BalSheet!AX6/BalSheet!AX42</f>
        <v>2.3081918718427161</v>
      </c>
      <c r="AQ6" s="210">
        <f>BalSheet!AY6/BalSheet!AY42</f>
        <v>2.5084837004271052</v>
      </c>
      <c r="AR6" s="210">
        <f>BalSheet!AZ6/BalSheet!AZ42</f>
        <v>2.8808165368021124</v>
      </c>
      <c r="AS6" s="210">
        <f>BalSheet!BA6/BalSheet!BA42</f>
        <v>2.260233585542629</v>
      </c>
      <c r="AT6" s="210">
        <f>BalSheet!BB6/BalSheet!BB42</f>
        <v>2.2994903584132467</v>
      </c>
      <c r="AU6" s="210">
        <f>BalSheet!BC6/BalSheet!BC42</f>
        <v>2.6808115291765224</v>
      </c>
      <c r="AV6" s="210">
        <f>BalSheet!BD6/BalSheet!BD42</f>
        <v>2.6167242358057594</v>
      </c>
      <c r="AW6" s="210">
        <f>BalSheet!BE6/BalSheet!BE42</f>
        <v>3.1988518524663601</v>
      </c>
      <c r="AX6" s="210">
        <f>BalSheet!BF6/BalSheet!BF42</f>
        <v>3.0931376013407776</v>
      </c>
      <c r="AY6" s="210">
        <f>BalSheet!BG6/BalSheet!BG42</f>
        <v>3.5492200656607755</v>
      </c>
      <c r="AZ6" s="210">
        <f>BalSheet!BH6/BalSheet!BH42</f>
        <v>3.2573353812614578</v>
      </c>
      <c r="BA6" s="210">
        <f>BalSheet!BI6/BalSheet!BI42</f>
        <v>2.8019919883024356</v>
      </c>
      <c r="BB6" s="210">
        <f>BalSheet!BJ6/BalSheet!BJ42</f>
        <v>2.7108788425112396</v>
      </c>
    </row>
    <row r="7" spans="1:54" x14ac:dyDescent="0.2">
      <c r="A7" s="10"/>
      <c r="B7" s="117" t="s">
        <v>353</v>
      </c>
      <c r="C7" s="210">
        <f>(BalSheet!K7+BalSheet!K19)/BalSheet!K42</f>
        <v>0.33382326523279932</v>
      </c>
      <c r="D7" s="210">
        <f>(BalSheet!L7+BalSheet!L19)/BalSheet!L42</f>
        <v>0.13216021222487448</v>
      </c>
      <c r="E7" s="210">
        <f>(BalSheet!M7+BalSheet!M19)/BalSheet!M42</f>
        <v>0.20020130975606726</v>
      </c>
      <c r="F7" s="210">
        <f>(BalSheet!N7+BalSheet!N19)/BalSheet!N42</f>
        <v>0.16743053099232122</v>
      </c>
      <c r="G7" s="210">
        <f>(BalSheet!O7+BalSheet!O19)/BalSheet!O42</f>
        <v>0.70783483176010209</v>
      </c>
      <c r="H7" s="210">
        <f>(BalSheet!P7+BalSheet!P19)/BalSheet!P42</f>
        <v>0.58335668538892338</v>
      </c>
      <c r="I7" s="210">
        <f>(BalSheet!Q7+BalSheet!Q19)/BalSheet!Q42</f>
        <v>0.48919969288976484</v>
      </c>
      <c r="J7" s="210">
        <f>(BalSheet!R7+BalSheet!R19)/BalSheet!R42</f>
        <v>0.76755117057860667</v>
      </c>
      <c r="K7" s="210">
        <f>(BalSheet!S7+BalSheet!S19)/BalSheet!S42</f>
        <v>0.91810305517555857</v>
      </c>
      <c r="L7" s="210">
        <f>(BalSheet!T7+BalSheet!T19)/BalSheet!T42</f>
        <v>0.64238753522057279</v>
      </c>
      <c r="M7" s="210">
        <f>(BalSheet!U7+BalSheet!U19)/BalSheet!U42</f>
        <v>1.151850705620203</v>
      </c>
      <c r="N7" s="210">
        <f>(BalSheet!V7+BalSheet!V19)/BalSheet!V42</f>
        <v>1.3090791053608259</v>
      </c>
      <c r="O7" s="210">
        <f>(BalSheet!W7+BalSheet!W19)/BalSheet!W42</f>
        <v>1.2300738140463081</v>
      </c>
      <c r="P7" s="210">
        <f>(BalSheet!X7+BalSheet!X19)/BalSheet!X42</f>
        <v>0.91300091643755732</v>
      </c>
      <c r="Q7" s="210">
        <f>(BalSheet!Y7+BalSheet!Y19)/BalSheet!Y42</f>
        <v>1.4361298657997832</v>
      </c>
      <c r="R7" s="210">
        <f>(BalSheet!Z7+BalSheet!Z19)/BalSheet!Z42</f>
        <v>1.0219940090055712</v>
      </c>
      <c r="S7" s="210">
        <f>(BalSheet!AA7+BalSheet!AA19)/BalSheet!AA42</f>
        <v>0.92311384752096604</v>
      </c>
      <c r="T7" s="210">
        <f>(BalSheet!AB7+BalSheet!AB19)/BalSheet!AB42</f>
        <v>0.90215315730559031</v>
      </c>
      <c r="U7" s="210">
        <f>(BalSheet!AC7+BalSheet!AC19)/BalSheet!AC42</f>
        <v>1.0046720627260759</v>
      </c>
      <c r="V7" s="210">
        <f>(BalSheet!AD7+BalSheet!AD19)/BalSheet!AD42</f>
        <v>0.76882414848832759</v>
      </c>
      <c r="W7" s="210">
        <f>(BalSheet!AE7+BalSheet!AE19)/BalSheet!AE42</f>
        <v>0.59407588300741099</v>
      </c>
      <c r="X7" s="210">
        <v>0.88815454267538174</v>
      </c>
      <c r="Y7" s="210">
        <f>(BalSheet!AG7+BalSheet!AG19)/BalSheet!AG42</f>
        <v>0.90009043831611291</v>
      </c>
      <c r="Z7" s="210">
        <f>(BalSheet!AH7+BalSheet!AH19)/BalSheet!AH42</f>
        <v>0.79502667336618948</v>
      </c>
      <c r="AA7" s="210">
        <f>(BalSheet!AI7+BalSheet!AI19)/BalSheet!AI42</f>
        <v>0.86313979086406167</v>
      </c>
      <c r="AB7" s="210">
        <f>(BalSheet!AJ7+BalSheet!AJ19)/BalSheet!AJ42</f>
        <v>0.51288881348263771</v>
      </c>
      <c r="AC7" s="210">
        <f>(BalSheet!AK7+BalSheet!AK19)/BalSheet!AK42</f>
        <v>0.64506018384386443</v>
      </c>
      <c r="AD7" s="210">
        <f>(BalSheet!AL7+BalSheet!AL19)/BalSheet!AL42</f>
        <v>0.48957466508831354</v>
      </c>
      <c r="AE7" s="210">
        <f>(BalSheet!AM7+BalSheet!AM19)/BalSheet!AM42</f>
        <v>0.8019993001402469</v>
      </c>
      <c r="AF7" s="210">
        <f>(BalSheet!AN7+BalSheet!AN19)/BalSheet!AN42</f>
        <v>0.74337213511932942</v>
      </c>
      <c r="AG7" s="210">
        <f>(BalSheet!AO7+BalSheet!AO19)/BalSheet!AO42</f>
        <v>0.41583240293918006</v>
      </c>
      <c r="AH7" s="210">
        <f>(BalSheet!AP7+BalSheet!AP19)/BalSheet!AP42</f>
        <v>0.25057030683065701</v>
      </c>
      <c r="AI7" s="210">
        <f>(BalSheet!AQ7+BalSheet!AQ19)/BalSheet!AQ42</f>
        <v>0.56162538685884</v>
      </c>
      <c r="AJ7" s="210">
        <f>(BalSheet!AR7+BalSheet!AR19)/BalSheet!AR42</f>
        <v>1.0662123991946739</v>
      </c>
      <c r="AK7" s="210">
        <f>(BalSheet!AS7+BalSheet!AS19)/BalSheet!AS42</f>
        <v>1.1732456451849642</v>
      </c>
      <c r="AL7" s="210">
        <f>(BalSheet!AT7+BalSheet!AT19)/BalSheet!AT42</f>
        <v>1.2649663581821273</v>
      </c>
      <c r="AM7" s="210">
        <f>(BalSheet!AU7+BalSheet!AU19)/BalSheet!AU42</f>
        <v>1.5099887088467177</v>
      </c>
      <c r="AN7" s="210">
        <f>(BalSheet!AV7+BalSheet!AV19)/BalSheet!AV42</f>
        <v>1.1300488012274248</v>
      </c>
      <c r="AO7" s="210">
        <f>(BalSheet!AW7+BalSheet!AW19)/BalSheet!AW42</f>
        <v>1.1188020757014587</v>
      </c>
      <c r="AP7" s="210">
        <f>(BalSheet!AX7+BalSheet!AX19)/BalSheet!AX42</f>
        <v>0.6695854002639603</v>
      </c>
      <c r="AQ7" s="210">
        <f>(BalSheet!AY7+BalSheet!AY19)/BalSheet!AY42</f>
        <v>1.0690529031471709</v>
      </c>
      <c r="AR7" s="210">
        <f>(BalSheet!AZ7+BalSheet!AZ19)/BalSheet!AZ42</f>
        <v>0.77096400283340849</v>
      </c>
      <c r="AS7" s="210">
        <f>(BalSheet!BA7+BalSheet!BA19)/BalSheet!BA42</f>
        <v>0.62442047217583974</v>
      </c>
      <c r="AT7" s="210">
        <f>(BalSheet!BB7+BalSheet!BB19)/BalSheet!BB42</f>
        <v>0.79170844340898217</v>
      </c>
      <c r="AU7" s="210">
        <f>(BalSheet!BC7+BalSheet!BC19)/BalSheet!BC42</f>
        <v>1.1804628252334852</v>
      </c>
      <c r="AV7" s="210">
        <f>(BalSheet!BD7+BalSheet!BD19)/BalSheet!BD42</f>
        <v>1.1403404116113265</v>
      </c>
      <c r="AW7" s="210">
        <f>(BalSheet!BE7+BalSheet!BE19)/BalSheet!BE42</f>
        <v>1.4303728161138856</v>
      </c>
      <c r="AX7" s="210">
        <f>(BalSheet!BF7+BalSheet!BF19)/BalSheet!BF42</f>
        <v>1.1738820963784871</v>
      </c>
      <c r="AY7" s="210">
        <f>(BalSheet!BG7+BalSheet!BG19)/BalSheet!BG42</f>
        <v>1.6998996376749962</v>
      </c>
      <c r="AZ7" s="210">
        <f>(BalSheet!BH7+BalSheet!BH19)/BalSheet!BH42</f>
        <v>1.401189119556062</v>
      </c>
      <c r="BA7" s="210">
        <f>(BalSheet!BI7+BalSheet!BI19)/BalSheet!BI42</f>
        <v>1.0698168002624662</v>
      </c>
      <c r="BB7" s="210">
        <f>(BalSheet!BJ7+BalSheet!BJ19)/BalSheet!BJ42</f>
        <v>0.91792373171455299</v>
      </c>
    </row>
    <row r="8" spans="1:54" x14ac:dyDescent="0.2">
      <c r="A8" s="10"/>
      <c r="B8" s="117" t="s">
        <v>354</v>
      </c>
      <c r="C8" s="210">
        <f>(BalSheet!K6+BalSheet!K23)/(BalSheet!K42+BalSheet!K60)</f>
        <v>0.86517859998081292</v>
      </c>
      <c r="D8" s="210">
        <f>(BalSheet!L6+BalSheet!L23)/(BalSheet!L42+BalSheet!L60)</f>
        <v>0.86646852088382087</v>
      </c>
      <c r="E8" s="210">
        <f>(BalSheet!M6+BalSheet!M23)/(BalSheet!M42+BalSheet!M60)</f>
        <v>0.90078514585629299</v>
      </c>
      <c r="F8" s="210">
        <f>(BalSheet!N6+BalSheet!N23)/(BalSheet!N42+BalSheet!N60)</f>
        <v>0.91041411724358323</v>
      </c>
      <c r="G8" s="210">
        <f>(BalSheet!O6+BalSheet!O23)/(BalSheet!O42+BalSheet!O60)</f>
        <v>0.93754285400839255</v>
      </c>
      <c r="H8" s="210">
        <f>(BalSheet!P6+BalSheet!P23)/(BalSheet!P42+BalSheet!P60)</f>
        <v>0.9345572390152177</v>
      </c>
      <c r="I8" s="210">
        <f>(BalSheet!Q6+BalSheet!Q23)/(BalSheet!Q42+BalSheet!Q60)</f>
        <v>0.91350737941877569</v>
      </c>
      <c r="J8" s="210">
        <f>(BalSheet!R6+BalSheet!R23)/(BalSheet!R42+BalSheet!R60)</f>
        <v>0.9092985849027081</v>
      </c>
      <c r="K8" s="210">
        <f>(BalSheet!S6+BalSheet!S23)/(BalSheet!S42+BalSheet!S60)</f>
        <v>0.91109843599954154</v>
      </c>
      <c r="L8" s="210">
        <f>(BalSheet!T6+BalSheet!T23)/(BalSheet!T42+BalSheet!T60)</f>
        <v>1.0448666475878758</v>
      </c>
      <c r="M8" s="210">
        <f>(BalSheet!U6+BalSheet!U23)/(BalSheet!U42+BalSheet!U60)</f>
        <v>1.004819306194936</v>
      </c>
      <c r="N8" s="210">
        <f>(BalSheet!V6+BalSheet!V23)/(BalSheet!V42+BalSheet!V60)</f>
        <v>0.99553021941508568</v>
      </c>
      <c r="O8" s="210">
        <f>(BalSheet!W6+BalSheet!W23)/(BalSheet!W42+BalSheet!W60)</f>
        <v>0.99930463501127309</v>
      </c>
      <c r="P8" s="210">
        <f>(BalSheet!X6+BalSheet!X23)/(BalSheet!X42+BalSheet!X60)</f>
        <v>0.9810099340598798</v>
      </c>
      <c r="Q8" s="210">
        <f>(BalSheet!Y6+BalSheet!Y23)/(BalSheet!Y42+BalSheet!Y60)</f>
        <v>0.94788977641248684</v>
      </c>
      <c r="R8" s="210">
        <f>(BalSheet!Z6+BalSheet!Z23)/(BalSheet!Z42+BalSheet!Z60)</f>
        <v>0.92618133216654008</v>
      </c>
      <c r="S8" s="210">
        <f>(BalSheet!AA6+BalSheet!AA23)/(BalSheet!AA42+BalSheet!AA60)</f>
        <v>0.91311251598210397</v>
      </c>
      <c r="T8" s="210">
        <f>(BalSheet!AB6+BalSheet!AB23)/(BalSheet!AB42+BalSheet!AB60)</f>
        <v>0.90923822996991022</v>
      </c>
      <c r="U8" s="210">
        <f>(BalSheet!AC6+BalSheet!AC23)/(BalSheet!AC42+BalSheet!AC60)</f>
        <v>0.92435622426059549</v>
      </c>
      <c r="V8" s="210">
        <f>(BalSheet!AD6+BalSheet!AD23)/(BalSheet!AD42+BalSheet!AD60)</f>
        <v>0.95831981370504038</v>
      </c>
      <c r="W8" s="210">
        <f>(BalSheet!AE6+BalSheet!AE23)/(BalSheet!AE42+BalSheet!AE60)</f>
        <v>0.96119366115258564</v>
      </c>
      <c r="X8" s="210">
        <v>1.9744449721724939</v>
      </c>
      <c r="Y8" s="210">
        <f>(BalSheet!AG6+BalSheet!AG23)/(BalSheet!AG42+BalSheet!AG60)</f>
        <v>1.0283270830924101</v>
      </c>
      <c r="Z8" s="210">
        <f>(BalSheet!AH6+BalSheet!AH23)/(BalSheet!AH42+BalSheet!AH60)</f>
        <v>1.1765876175880066</v>
      </c>
      <c r="AA8" s="210">
        <f>(BalSheet!AI6+BalSheet!AI23)/(BalSheet!AI42+BalSheet!AI60)</f>
        <v>1.2075054668579088</v>
      </c>
      <c r="AB8" s="210">
        <f>(BalSheet!AJ6+BalSheet!AJ23)/(BalSheet!AJ42+BalSheet!AJ60)</f>
        <v>1.2098263537842104</v>
      </c>
      <c r="AC8" s="210">
        <f>(BalSheet!AK6+BalSheet!AK23)/(BalSheet!AK42+BalSheet!AK60)</f>
        <v>1.1992792008163424</v>
      </c>
      <c r="AD8" s="210">
        <f>(BalSheet!AL6+BalSheet!AL23)/(BalSheet!AL42+BalSheet!AL60)</f>
        <v>1.2270589212486271</v>
      </c>
      <c r="AE8" s="210">
        <f>(BalSheet!AM6+BalSheet!AM23)/(BalSheet!AM42+BalSheet!AM60)</f>
        <v>1.0973444846247797</v>
      </c>
      <c r="AF8" s="210">
        <f>(BalSheet!AN6+BalSheet!AN23)/(BalSheet!AN42+BalSheet!AN60)</f>
        <v>1.0426058767624429</v>
      </c>
      <c r="AG8" s="210">
        <f>(BalSheet!AO6+BalSheet!AO23)/(BalSheet!AO42+BalSheet!AO60)</f>
        <v>1.191324580276983</v>
      </c>
      <c r="AH8" s="210">
        <f>(BalSheet!AP6+BalSheet!AP23)/(BalSheet!AP42+BalSheet!AP60)</f>
        <v>1.2079436177627443</v>
      </c>
      <c r="AI8" s="210">
        <f>(BalSheet!AQ6+BalSheet!AQ23)/(BalSheet!AQ42+BalSheet!AQ60)</f>
        <v>1.2608747932459912</v>
      </c>
      <c r="AJ8" s="210">
        <f>(BalSheet!AR6+BalSheet!AR23)/(BalSheet!AR42+BalSheet!AR60)</f>
        <v>1.2302681882584179</v>
      </c>
      <c r="AK8" s="210">
        <f>(BalSheet!AS6+BalSheet!AS23)/(BalSheet!AS42+BalSheet!AS60)</f>
        <v>1.3547759895395355</v>
      </c>
      <c r="AL8" s="210">
        <f>(BalSheet!AT6+BalSheet!AT23)/(BalSheet!AT42+BalSheet!AT60)</f>
        <v>1.406580727797395</v>
      </c>
      <c r="AM8" s="210">
        <f>(BalSheet!AU6+BalSheet!AU23)/(BalSheet!AU42+BalSheet!AU60)</f>
        <v>1.368460495238832</v>
      </c>
      <c r="AN8" s="210">
        <f>(BalSheet!AV6+BalSheet!AV23)/(BalSheet!AV42+BalSheet!AV60)</f>
        <v>1.4582680858060013</v>
      </c>
      <c r="AO8" s="210">
        <f>(BalSheet!AW6+BalSheet!AW23)/(BalSheet!AW42+BalSheet!AW60)</f>
        <v>1.5345177841753344</v>
      </c>
      <c r="AP8" s="210">
        <f>(BalSheet!AX6+BalSheet!AX23)/(BalSheet!AX42+BalSheet!AX60)</f>
        <v>1.550155855803806</v>
      </c>
      <c r="AQ8" s="210">
        <f>(BalSheet!AY6+BalSheet!AY23)/(BalSheet!AY42+BalSheet!AY60)</f>
        <v>1.6737452970500299</v>
      </c>
      <c r="AR8" s="210">
        <f>(BalSheet!AZ6+BalSheet!AZ23)/(BalSheet!AZ42+BalSheet!AZ60)</f>
        <v>1.7914738036489384</v>
      </c>
      <c r="AS8" s="210">
        <f>(BalSheet!BA6+BalSheet!BA23)/(BalSheet!BA42+BalSheet!BA60)</f>
        <v>1.8280431618973529</v>
      </c>
      <c r="AT8" s="210">
        <f>(BalSheet!BB6+BalSheet!BB23)/(BalSheet!BB42+BalSheet!BB60)</f>
        <v>1.7834006390407993</v>
      </c>
      <c r="AU8" s="210">
        <f>(BalSheet!BC6+BalSheet!BC23)/(BalSheet!BC42+BalSheet!BC60)</f>
        <v>1.8602547181860756</v>
      </c>
      <c r="AV8" s="210">
        <f>(BalSheet!BD6+BalSheet!BD23)/(BalSheet!BD42+BalSheet!BD60)</f>
        <v>1.8532184933515838</v>
      </c>
      <c r="AW8" s="210">
        <f>(BalSheet!BE6+BalSheet!BE23)/(BalSheet!BE42+BalSheet!BE60)</f>
        <v>1.8623838856791854</v>
      </c>
      <c r="AX8" s="210">
        <f>(BalSheet!BF6+BalSheet!BF23)/(BalSheet!BF42+BalSheet!BF60)</f>
        <v>1.8667358728515335</v>
      </c>
      <c r="AY8" s="210">
        <f>(BalSheet!BG6+BalSheet!BG23)/(BalSheet!BG42+BalSheet!BG60)</f>
        <v>1.9817952373834355</v>
      </c>
      <c r="AZ8" s="210">
        <f>(BalSheet!BH6+BalSheet!BH23)/(BalSheet!BH42+BalSheet!BH60)</f>
        <v>1.910756980531918</v>
      </c>
      <c r="BA8" s="210">
        <f>(BalSheet!BI6+BalSheet!BI23)/(BalSheet!BI42+BalSheet!BI60)</f>
        <v>1.891611651175964</v>
      </c>
      <c r="BB8" s="210">
        <f>(BalSheet!BJ6+BalSheet!BJ23)/(BalSheet!BJ42+BalSheet!BJ60)</f>
        <v>1.878409745456328</v>
      </c>
    </row>
    <row r="9" spans="1:54" ht="7.15" customHeight="1" x14ac:dyDescent="0.2">
      <c r="A9" s="10"/>
      <c r="B9" s="10"/>
      <c r="C9" s="11"/>
      <c r="D9" s="11"/>
      <c r="E9" s="11"/>
      <c r="F9" s="11"/>
      <c r="G9" s="11"/>
      <c r="H9" s="11"/>
      <c r="I9" s="11"/>
      <c r="J9" s="11"/>
      <c r="K9" s="11"/>
      <c r="L9" s="11"/>
      <c r="M9" s="11"/>
      <c r="N9" s="11"/>
      <c r="O9" s="11"/>
      <c r="P9" s="11"/>
    </row>
    <row r="10" spans="1:54" x14ac:dyDescent="0.2">
      <c r="A10" s="10"/>
      <c r="B10" s="10" t="s">
        <v>350</v>
      </c>
      <c r="C10" s="11"/>
      <c r="D10" s="11"/>
      <c r="E10" s="11"/>
      <c r="F10" s="11"/>
      <c r="G10" s="11"/>
      <c r="H10" s="11"/>
      <c r="I10" s="11"/>
      <c r="J10" s="1250" t="s">
        <v>1435</v>
      </c>
      <c r="K10" s="1251"/>
      <c r="L10" s="225" t="s">
        <v>1439</v>
      </c>
      <c r="M10" s="224"/>
      <c r="N10" s="11"/>
      <c r="O10" s="11"/>
      <c r="P10" s="11"/>
    </row>
    <row r="11" spans="1:54" x14ac:dyDescent="0.2">
      <c r="A11" s="10"/>
      <c r="B11" s="128" t="s">
        <v>355</v>
      </c>
      <c r="C11" s="142" t="str">
        <f t="shared" ref="C11:BB11" si="2">+C$3</f>
        <v>1Q12</v>
      </c>
      <c r="D11" s="142" t="str">
        <f t="shared" si="2"/>
        <v>2Q12</v>
      </c>
      <c r="E11" s="142" t="str">
        <f t="shared" si="2"/>
        <v>3Q12</v>
      </c>
      <c r="F11" s="142" t="str">
        <f t="shared" si="2"/>
        <v>4Q12</v>
      </c>
      <c r="G11" s="142" t="str">
        <f t="shared" si="2"/>
        <v>1Q13</v>
      </c>
      <c r="H11" s="142" t="str">
        <f t="shared" si="2"/>
        <v>2Q13</v>
      </c>
      <c r="I11" s="142" t="str">
        <f t="shared" si="2"/>
        <v>3Q13</v>
      </c>
      <c r="J11" s="142" t="str">
        <f t="shared" si="2"/>
        <v>4Q13</v>
      </c>
      <c r="K11" s="142" t="str">
        <f t="shared" si="2"/>
        <v>1Q14</v>
      </c>
      <c r="L11" s="142" t="str">
        <f t="shared" si="2"/>
        <v>2Q14</v>
      </c>
      <c r="M11" s="142" t="str">
        <f t="shared" si="2"/>
        <v>3Q14</v>
      </c>
      <c r="N11" s="142" t="str">
        <f t="shared" si="2"/>
        <v>4Q14</v>
      </c>
      <c r="O11" s="142" t="str">
        <f t="shared" si="2"/>
        <v>1Q15</v>
      </c>
      <c r="P11" s="142" t="str">
        <f t="shared" si="2"/>
        <v>2Q15</v>
      </c>
      <c r="Q11" s="142" t="str">
        <f t="shared" si="2"/>
        <v>3Q15</v>
      </c>
      <c r="R11" s="142" t="str">
        <f t="shared" si="2"/>
        <v>4Q15</v>
      </c>
      <c r="S11" s="142" t="str">
        <f t="shared" si="2"/>
        <v>1Q16</v>
      </c>
      <c r="T11" s="142" t="str">
        <f t="shared" si="2"/>
        <v>2Q16</v>
      </c>
      <c r="U11" s="142" t="str">
        <f t="shared" si="2"/>
        <v>3Q16</v>
      </c>
      <c r="V11" s="142" t="str">
        <f t="shared" si="2"/>
        <v>4Q16</v>
      </c>
      <c r="W11" s="142" t="str">
        <f t="shared" si="2"/>
        <v>1Q17</v>
      </c>
      <c r="X11" s="142" t="str">
        <f t="shared" si="2"/>
        <v>2Q17</v>
      </c>
      <c r="Y11" s="142" t="str">
        <f t="shared" si="2"/>
        <v>3Q17</v>
      </c>
      <c r="Z11" s="142" t="str">
        <f t="shared" si="2"/>
        <v>4Q17</v>
      </c>
      <c r="AA11" s="142" t="str">
        <f t="shared" si="2"/>
        <v>1Q18</v>
      </c>
      <c r="AB11" s="142" t="str">
        <f t="shared" si="2"/>
        <v>2Q18</v>
      </c>
      <c r="AC11" s="142" t="str">
        <f t="shared" si="2"/>
        <v>3Q18</v>
      </c>
      <c r="AD11" s="142" t="str">
        <f t="shared" si="2"/>
        <v>4Q18</v>
      </c>
      <c r="AE11" s="142" t="str">
        <f t="shared" si="2"/>
        <v>1Q19</v>
      </c>
      <c r="AF11" s="142" t="str">
        <f t="shared" si="2"/>
        <v>2Q19</v>
      </c>
      <c r="AG11" s="142" t="str">
        <f t="shared" si="2"/>
        <v>3Q19</v>
      </c>
      <c r="AH11" s="142" t="str">
        <f t="shared" si="2"/>
        <v>4Q19</v>
      </c>
      <c r="AI11" s="142" t="str">
        <f t="shared" si="2"/>
        <v>1Q20</v>
      </c>
      <c r="AJ11" s="142" t="str">
        <f t="shared" si="2"/>
        <v>2Q20</v>
      </c>
      <c r="AK11" s="142" t="str">
        <f t="shared" si="2"/>
        <v>3Q20</v>
      </c>
      <c r="AL11" s="142" t="str">
        <f t="shared" si="2"/>
        <v>4Q20</v>
      </c>
      <c r="AM11" s="142" t="str">
        <f t="shared" si="2"/>
        <v>1Q21</v>
      </c>
      <c r="AN11" s="142" t="str">
        <f t="shared" si="2"/>
        <v>2Q21</v>
      </c>
      <c r="AO11" s="142" t="str">
        <f t="shared" si="2"/>
        <v>3Q21</v>
      </c>
      <c r="AP11" s="142" t="str">
        <f t="shared" si="2"/>
        <v>4Q21</v>
      </c>
      <c r="AQ11" s="142" t="str">
        <f t="shared" si="2"/>
        <v>1Q22</v>
      </c>
      <c r="AR11" s="142" t="str">
        <f t="shared" si="2"/>
        <v>2Q22</v>
      </c>
      <c r="AS11" s="142" t="str">
        <f t="shared" si="2"/>
        <v>3Q22</v>
      </c>
      <c r="AT11" s="142" t="str">
        <f t="shared" si="2"/>
        <v>4Q22</v>
      </c>
      <c r="AU11" s="142" t="str">
        <f t="shared" si="2"/>
        <v>1Q23</v>
      </c>
      <c r="AV11" s="142" t="str">
        <f t="shared" si="2"/>
        <v>2Q23</v>
      </c>
      <c r="AW11" s="142" t="str">
        <f t="shared" si="2"/>
        <v>3Q23</v>
      </c>
      <c r="AX11" s="142" t="str">
        <f t="shared" si="2"/>
        <v>4Q23</v>
      </c>
      <c r="AY11" s="142" t="str">
        <f t="shared" si="2"/>
        <v>1Q24</v>
      </c>
      <c r="AZ11" s="142" t="str">
        <f t="shared" si="2"/>
        <v>2Q24</v>
      </c>
      <c r="BA11" s="142" t="str">
        <f t="shared" si="2"/>
        <v>3Q24</v>
      </c>
      <c r="BB11" s="142" t="str">
        <f t="shared" si="2"/>
        <v>4Q24</v>
      </c>
    </row>
    <row r="12" spans="1:54" x14ac:dyDescent="0.2">
      <c r="A12" s="10"/>
      <c r="B12" s="117" t="s">
        <v>356</v>
      </c>
      <c r="C12" s="118">
        <f>+(BalSheet!K43+BalSheet!K44+BalSheet!K61+BalSheet!K73+BalSheet!K63-BalSheet!K16-BalSheet!K30)</f>
        <v>263571</v>
      </c>
      <c r="D12" s="118">
        <f>+(BalSheet!L43+BalSheet!L44+BalSheet!L61+BalSheet!L73+BalSheet!L63-BalSheet!L16-BalSheet!L30)</f>
        <v>280597</v>
      </c>
      <c r="E12" s="118">
        <f>+(BalSheet!M43+BalSheet!M44+BalSheet!M61+BalSheet!M73+BalSheet!M63-BalSheet!M16-BalSheet!M30)</f>
        <v>293629</v>
      </c>
      <c r="F12" s="118">
        <f>+(BalSheet!N43+BalSheet!N44+BalSheet!N61+BalSheet!N73+BalSheet!N63-BalSheet!N16-BalSheet!N30)</f>
        <v>302392</v>
      </c>
      <c r="G12" s="118">
        <f>+(BalSheet!O43+BalSheet!O44+BalSheet!O61+BalSheet!O73+BalSheet!O63-BalSheet!O16-BalSheet!O30)</f>
        <v>534863</v>
      </c>
      <c r="H12" s="118">
        <f>+(BalSheet!P43+BalSheet!P44+BalSheet!P61+BalSheet!P73+BalSheet!P63-BalSheet!P16-BalSheet!P30)</f>
        <v>566387</v>
      </c>
      <c r="I12" s="118">
        <f>+(BalSheet!Q43+BalSheet!Q44+BalSheet!Q61+BalSheet!Q73+BalSheet!Q63-BalSheet!Q16-BalSheet!Q30)</f>
        <v>461495</v>
      </c>
      <c r="J12" s="118">
        <f>+(BalSheet!R43+BalSheet!R44+BalSheet!R61+BalSheet!R73+BalSheet!R63-BalSheet!R16-BalSheet!R30)</f>
        <v>484647</v>
      </c>
      <c r="K12" s="118">
        <f>+(BalSheet!S43+BalSheet!S44+BalSheet!S61+BalSheet!S73+BalSheet!S63-BalSheet!S16-BalSheet!S30)</f>
        <v>495401</v>
      </c>
      <c r="L12" s="161">
        <f>+(BalSheet!T43+BalSheet!T44+BalSheet!T61+BalSheet!T73+BalSheet!T63-BalSheet!T16-BalSheet!T30)</f>
        <v>416441</v>
      </c>
      <c r="M12" s="118">
        <f>+(BalSheet!U43+BalSheet!U44+BalSheet!U61+BalSheet!U73+BalSheet!U63-BalSheet!U16-BalSheet!U30)</f>
        <v>489051</v>
      </c>
      <c r="N12" s="118">
        <f>+(BalSheet!V43+BalSheet!V44+BalSheet!V61+BalSheet!V73+BalSheet!V63-BalSheet!V16-BalSheet!V30)</f>
        <v>493332</v>
      </c>
      <c r="O12" s="118">
        <f>+(BalSheet!W43+BalSheet!W44+BalSheet!W61+BalSheet!W73+BalSheet!W63-BalSheet!W16-BalSheet!W30)</f>
        <v>490649</v>
      </c>
      <c r="P12" s="118">
        <f>+(BalSheet!X43+BalSheet!X44+BalSheet!X61+BalSheet!X73+BalSheet!X63-BalSheet!X16-BalSheet!X30)</f>
        <v>364474</v>
      </c>
      <c r="Q12" s="118">
        <f>+(BalSheet!Y43+BalSheet!Y44+BalSheet!Y61+BalSheet!Y73+BalSheet!Y63-BalSheet!Y16-BalSheet!Y30)</f>
        <v>363556</v>
      </c>
      <c r="R12" s="118">
        <f>+(BalSheet!Z43+BalSheet!Z44+BalSheet!Z61+BalSheet!Z73+BalSheet!Z63-BalSheet!Z16-BalSheet!Z30)</f>
        <v>364297</v>
      </c>
      <c r="S12" s="118">
        <f>+(BalSheet!AA43+BalSheet!AA44+BalSheet!AA61+BalSheet!AA73+BalSheet!AA63-BalSheet!AA16-BalSheet!AA30)</f>
        <v>341865</v>
      </c>
      <c r="T12" s="118">
        <f>+(BalSheet!AB43+BalSheet!AB44+BalSheet!AB61+BalSheet!AB73+BalSheet!AB63-BalSheet!AB16-BalSheet!AB30)</f>
        <v>342593</v>
      </c>
      <c r="U12" s="118">
        <f>+(BalSheet!AC43+BalSheet!AC44+BalSheet!AC61+BalSheet!AC73+BalSheet!AC63)</f>
        <v>341733</v>
      </c>
      <c r="V12" s="118">
        <f>+(BalSheet!AD43+BalSheet!AD44+BalSheet!AD61+BalSheet!AD73+BalSheet!AD63)</f>
        <v>291577</v>
      </c>
      <c r="W12" s="118">
        <f>+(BalSheet!AE43+BalSheet!AE44+BalSheet!AE61+BalSheet!AE73+BalSheet!AE63)</f>
        <v>221452</v>
      </c>
      <c r="X12" s="118">
        <f>+(BalSheet!AF43+BalSheet!AF44+BalSheet!AF61+BalSheet!AF73+BalSheet!AF63)</f>
        <v>273851</v>
      </c>
      <c r="Y12" s="118">
        <f>+(BalSheet!AG43+BalSheet!AG44+BalSheet!AG61+BalSheet!AG73+BalSheet!AG63)</f>
        <v>219975</v>
      </c>
      <c r="Z12" s="118">
        <f>+(BalSheet!AH43+BalSheet!AH44+BalSheet!AH61+BalSheet!AH73+BalSheet!AH63)</f>
        <v>222874</v>
      </c>
      <c r="AA12" s="118">
        <f>+BalSheet!AI40</f>
        <v>154169</v>
      </c>
      <c r="AB12" s="118">
        <f>+BalSheet!AJ40</f>
        <v>148113</v>
      </c>
      <c r="AC12" s="118">
        <f>+BalSheet!AK40</f>
        <v>158913</v>
      </c>
      <c r="AD12" s="118">
        <f>+BalSheet!AL40</f>
        <v>158586</v>
      </c>
      <c r="AE12" s="118">
        <f>+BalSheet!AM40</f>
        <v>142726</v>
      </c>
      <c r="AF12" s="118">
        <f>+BalSheet!AN40</f>
        <v>138647</v>
      </c>
      <c r="AG12" s="118">
        <f>+BalSheet!AO40</f>
        <v>140100</v>
      </c>
      <c r="AH12" s="118">
        <f>+BalSheet!AP40</f>
        <v>137418</v>
      </c>
      <c r="AI12" s="118">
        <f>+BalSheet!AQ40</f>
        <v>133519</v>
      </c>
      <c r="AJ12" s="118">
        <f>+BalSheet!AR40</f>
        <v>223997</v>
      </c>
      <c r="AK12" s="118">
        <f>+BalSheet!AS40</f>
        <v>193443</v>
      </c>
      <c r="AL12" s="118">
        <f>+BalSheet!AT40</f>
        <v>193811</v>
      </c>
      <c r="AM12" s="118">
        <f>+BalSheet!AU40</f>
        <v>194589</v>
      </c>
      <c r="AN12" s="118">
        <f>+BalSheet!AV40</f>
        <v>152313</v>
      </c>
      <c r="AO12" s="118">
        <f>+BalSheet!AW40</f>
        <v>127676</v>
      </c>
      <c r="AP12" s="118">
        <f>+BalSheet!AX40</f>
        <v>128886</v>
      </c>
      <c r="AQ12" s="118">
        <f>+BalSheet!AY40</f>
        <v>119250</v>
      </c>
      <c r="AR12" s="118">
        <f>+BalSheet!AZ40</f>
        <v>68411</v>
      </c>
      <c r="AS12" s="118">
        <f>+BalSheet!BA40</f>
        <v>66432</v>
      </c>
      <c r="AT12" s="118">
        <f>+BalSheet!BB40</f>
        <v>101740</v>
      </c>
      <c r="AU12" s="118">
        <f>+BalSheet!BC40</f>
        <v>90366</v>
      </c>
      <c r="AV12" s="118">
        <f>+BalSheet!BD40</f>
        <v>91267</v>
      </c>
      <c r="AW12" s="118">
        <f>+BalSheet!BE40</f>
        <v>95806</v>
      </c>
      <c r="AX12" s="118">
        <f>+BalSheet!BF40</f>
        <v>101599</v>
      </c>
      <c r="AY12" s="118">
        <f>+BalSheet!BG40</f>
        <v>107217</v>
      </c>
      <c r="AZ12" s="118">
        <f>+BalSheet!BH40</f>
        <v>105966</v>
      </c>
      <c r="BA12" s="118">
        <f>+BalSheet!BI40</f>
        <v>105679</v>
      </c>
      <c r="BB12" s="118">
        <f>+BalSheet!BJ40</f>
        <v>105996</v>
      </c>
    </row>
    <row r="13" spans="1:54" x14ac:dyDescent="0.2">
      <c r="A13" s="10"/>
      <c r="B13" s="117" t="s">
        <v>357</v>
      </c>
      <c r="C13" s="118">
        <f>+BalSheet!K7+BalSheet!K19</f>
        <v>61323</v>
      </c>
      <c r="D13" s="118">
        <f>+BalSheet!L7+BalSheet!L19</f>
        <v>54203</v>
      </c>
      <c r="E13" s="118">
        <f>+BalSheet!M7+BalSheet!M19</f>
        <v>80554</v>
      </c>
      <c r="F13" s="118">
        <f>+BalSheet!N7+BalSheet!N19</f>
        <v>66743</v>
      </c>
      <c r="G13" s="118">
        <f>+BalSheet!O7+BalSheet!O19</f>
        <v>302799</v>
      </c>
      <c r="H13" s="118">
        <f>+BalSheet!P7+BalSheet!P19</f>
        <v>287281</v>
      </c>
      <c r="I13" s="118">
        <f>+BalSheet!Q7+BalSheet!Q19</f>
        <v>185415</v>
      </c>
      <c r="J13" s="118">
        <f>+BalSheet!R7+BalSheet!R19</f>
        <v>204448</v>
      </c>
      <c r="K13" s="118">
        <f>+BalSheet!S7+BalSheet!S19</f>
        <v>221474</v>
      </c>
      <c r="L13" s="161">
        <f>+BalSheet!T7+BalSheet!T19</f>
        <v>179882</v>
      </c>
      <c r="M13" s="118">
        <f>+BalSheet!U7+BalSheet!U19</f>
        <v>186093</v>
      </c>
      <c r="N13" s="118">
        <f>+BalSheet!V7+BalSheet!V19</f>
        <v>227857</v>
      </c>
      <c r="O13" s="118">
        <f>+BalSheet!W7+BalSheet!W19</f>
        <v>306960</v>
      </c>
      <c r="P13" s="118">
        <f>+BalSheet!X7+BalSheet!X19</f>
        <v>131505</v>
      </c>
      <c r="Q13" s="118">
        <f>+BalSheet!Y7+BalSheet!Y19</f>
        <v>206751</v>
      </c>
      <c r="R13" s="118">
        <f>+BalSheet!Z7+BalSheet!Z19</f>
        <v>214259</v>
      </c>
      <c r="S13" s="118">
        <f>+BalSheet!AA7+BalSheet!AA19</f>
        <v>232693</v>
      </c>
      <c r="T13" s="118">
        <f>+BalSheet!AB7+BalSheet!AB19</f>
        <v>219216</v>
      </c>
      <c r="U13" s="118">
        <f>+BalSheet!AC7+BalSheet!AC19</f>
        <v>241918</v>
      </c>
      <c r="V13" s="118">
        <f>+BalSheet!AD7+BalSheet!AD19</f>
        <v>192858</v>
      </c>
      <c r="W13" s="118">
        <f>+BalSheet!AE7+BalSheet!AE19</f>
        <v>126013</v>
      </c>
      <c r="X13" s="118">
        <f>+BalSheet!AF7+BalSheet!AF19</f>
        <v>183030</v>
      </c>
      <c r="Y13" s="118">
        <f>+BalSheet!AG7+BalSheet!AG19</f>
        <v>145307</v>
      </c>
      <c r="Z13" s="118">
        <f>+BalSheet!AH7+BalSheet!AH19</f>
        <v>148732</v>
      </c>
      <c r="AA13" s="118">
        <f>+BalSheet!AI7+BalSheet!AI19</f>
        <v>125466</v>
      </c>
      <c r="AB13" s="118">
        <f>+BalSheet!AJ7+BalSheet!AJ19</f>
        <v>90689</v>
      </c>
      <c r="AC13" s="118">
        <f>+BalSheet!AK7+BalSheet!AK19</f>
        <v>97964</v>
      </c>
      <c r="AD13" s="118">
        <f>+BalSheet!AL7+BalSheet!AL19</f>
        <v>83542</v>
      </c>
      <c r="AE13" s="118">
        <f>+BalSheet!AM7+BalSheet!AM19</f>
        <v>107994</v>
      </c>
      <c r="AF13" s="118">
        <f>+BalSheet!AN7+BalSheet!AN19</f>
        <v>106775</v>
      </c>
      <c r="AG13" s="118">
        <f>+BalSheet!AO7+BalSheet!AO19</f>
        <v>112108</v>
      </c>
      <c r="AH13" s="118">
        <f>+BalSheet!AP7+BalSheet!AP19</f>
        <v>67332</v>
      </c>
      <c r="AI13" s="118">
        <f>+BalSheet!AQ7+BalSheet!AQ19</f>
        <v>125940</v>
      </c>
      <c r="AJ13" s="118">
        <f>+BalSheet!AR7+BalSheet!AR19</f>
        <v>286503</v>
      </c>
      <c r="AK13" s="118">
        <f>+BalSheet!AS7+BalSheet!AS19</f>
        <v>247793</v>
      </c>
      <c r="AL13" s="118">
        <f>+BalSheet!AT7+BalSheet!AT19</f>
        <v>260387</v>
      </c>
      <c r="AM13" s="118">
        <f>+BalSheet!AU7+BalSheet!AU19</f>
        <v>304909</v>
      </c>
      <c r="AN13" s="118">
        <f>+BalSheet!AV7+BalSheet!AV19</f>
        <v>244529</v>
      </c>
      <c r="AO13" s="118">
        <f>+BalSheet!AW7+BalSheet!AW19</f>
        <v>221421</v>
      </c>
      <c r="AP13" s="118">
        <f>+BalSheet!AX7+BalSheet!AX19</f>
        <v>147128</v>
      </c>
      <c r="AQ13" s="118">
        <f>+BalSheet!AY7+BalSheet!AY19</f>
        <v>210504</v>
      </c>
      <c r="AR13" s="118">
        <f>+BalSheet!AZ7+BalSheet!AZ19</f>
        <v>119723</v>
      </c>
      <c r="AS13" s="118">
        <f>+BalSheet!BA7+BalSheet!BA19</f>
        <v>137242</v>
      </c>
      <c r="AT13" s="118">
        <f>+BalSheet!BB7+BalSheet!BB19</f>
        <v>190299</v>
      </c>
      <c r="AU13" s="118">
        <f>+BalSheet!BC7+BalSheet!BC19</f>
        <v>242048</v>
      </c>
      <c r="AV13" s="118">
        <f>+BalSheet!BD7+BalSheet!BD19</f>
        <v>237038</v>
      </c>
      <c r="AW13" s="118">
        <f>+BalSheet!BE7+BalSheet!BE19</f>
        <v>258630</v>
      </c>
      <c r="AX13" s="118">
        <f>+BalSheet!BF7+BalSheet!BF19</f>
        <v>232539</v>
      </c>
      <c r="AY13" s="118">
        <f>+BalSheet!BG7+BalSheet!BG19</f>
        <v>299796</v>
      </c>
      <c r="AZ13" s="118">
        <f>+BalSheet!BH7+BalSheet!BH19</f>
        <v>282802</v>
      </c>
      <c r="BA13" s="118">
        <f>+BalSheet!BI7+BalSheet!BI19</f>
        <v>264126</v>
      </c>
      <c r="BB13" s="118">
        <f>+BalSheet!BJ7+BalSheet!BJ19</f>
        <v>241335</v>
      </c>
    </row>
    <row r="14" spans="1:54" x14ac:dyDescent="0.2">
      <c r="A14" s="10"/>
      <c r="B14" s="117" t="s">
        <v>1141</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1">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BB14" si="9">+BA12-BA13</f>
        <v>-158447</v>
      </c>
      <c r="BB14" s="118">
        <f t="shared" si="9"/>
        <v>-135339</v>
      </c>
    </row>
    <row r="15" spans="1:54" s="284" customFormat="1" x14ac:dyDescent="0.2">
      <c r="A15" s="13"/>
      <c r="B15" s="281" t="s">
        <v>359</v>
      </c>
      <c r="C15" s="282">
        <v>0</v>
      </c>
      <c r="D15" s="282">
        <v>0</v>
      </c>
      <c r="E15" s="282">
        <v>0</v>
      </c>
      <c r="F15" s="282">
        <v>0</v>
      </c>
      <c r="G15" s="282">
        <v>0</v>
      </c>
      <c r="H15" s="282">
        <v>0</v>
      </c>
      <c r="I15" s="282">
        <v>0</v>
      </c>
      <c r="J15" s="282">
        <v>0</v>
      </c>
      <c r="K15" s="282">
        <v>0</v>
      </c>
      <c r="L15" s="283">
        <v>0</v>
      </c>
      <c r="M15" s="282">
        <v>0</v>
      </c>
      <c r="N15" s="282">
        <f>SUM(IncSCons!K34:N34)/-SUM('Financial result'!C4:F4)</f>
        <v>3.0640042172616884</v>
      </c>
      <c r="O15" s="282">
        <f>SUM(IncSCons!L34:O34)/-SUM('Financial result'!D4:G4)</f>
        <v>2.664429420066297</v>
      </c>
      <c r="P15" s="282">
        <f>SUM(IncSCons!M34:P34)/-SUM('Financial result'!E4:H4)</f>
        <v>2.2788113547079356</v>
      </c>
      <c r="Q15" s="282">
        <f>SUM(IncSCons!N34:Q34)/-SUM('Financial result'!F4:I4)</f>
        <v>2.0231127629980867</v>
      </c>
      <c r="R15" s="282">
        <f>SUM(IncSCons!O34:R34)/-SUM('Financial result'!G4:J4)</f>
        <v>1.7834746113774824</v>
      </c>
      <c r="S15" s="282">
        <f>SUM(IncSCons!P34:S34)/-SUM('Financial result'!H4:K4)</f>
        <v>1.7150992957529836</v>
      </c>
      <c r="T15" s="282">
        <f>SUM(IncSCons!Q34:T34)/-SUM('Financial result'!I4:L4)</f>
        <v>1.7271654027420733</v>
      </c>
      <c r="U15" s="282">
        <f>SUM(IncSCons!R34:U34)/-SUM('Financial result'!J4:M4)</f>
        <v>1.7948633775226364</v>
      </c>
      <c r="V15" s="282">
        <f>SUM(IncSCons!S34:V34)/-SUM('Financial result'!K4:N4)</f>
        <v>1.8027789331306991</v>
      </c>
      <c r="W15" s="282">
        <f>SUM(IncSCons!T34:W34)/-SUM('Financial result'!L4:O4)</f>
        <v>2.0888886962914208</v>
      </c>
      <c r="X15" s="282">
        <f>SUM(IncSCons!U34:X34)/-SUM('Financial result'!M4:P4)</f>
        <v>2.7012316426922411</v>
      </c>
      <c r="Y15" s="282">
        <f>SUM(IncSCons!V34:Y34)/-SUM('Financial result'!N4:Q4)</f>
        <v>3.6265207421759467</v>
      </c>
      <c r="Z15" s="282">
        <f>SUM(IncSCons!W34:Z34)/-SUM('Financial result'!O4:R4)</f>
        <v>5.0454636577696288</v>
      </c>
      <c r="AA15" s="282">
        <f>SUM(IncSCons!X34:AA34)/-SUM('Financial result'!P4:S4)</f>
        <v>6.537680184771208</v>
      </c>
      <c r="AB15" s="282">
        <f>SUM(IncSCons!Y34:AB34)/-SUM('Financial result'!Q4:T4)</f>
        <v>8.6233145072923953</v>
      </c>
      <c r="AC15" s="282">
        <f>SUM(IncSCons!Z34:AC34)/-SUM('Financial result'!R4:U4)</f>
        <v>16.778615634950718</v>
      </c>
      <c r="AD15" s="282">
        <f>SUM(IncSCons!AA34:AD34)/-SUM('Financial result'!S4:V4)</f>
        <v>18.848052058805699</v>
      </c>
      <c r="AE15" s="282">
        <f>SUM(IncSCons!AB34:AE34)/-SUM('Financial result'!T4:W4)</f>
        <v>27.878201872232008</v>
      </c>
      <c r="AF15" s="282">
        <f>SUM(IncSCons!AC34:AF34)/-SUM('Financial result'!U4:X4)</f>
        <v>26.160977742813827</v>
      </c>
      <c r="AG15" s="282">
        <f>SUM(IncSCons!AD34:AG34)/-SUM('Financial result'!V4:Z4)</f>
        <v>18.034247271352797</v>
      </c>
      <c r="AH15" s="282">
        <f>SUM(IncSCons!AE34:AH34)/-SUM('Financial result'!W4:AA4)</f>
        <v>-57.411186834251659</v>
      </c>
      <c r="AI15" s="282">
        <f>SUM(IncSCons!AF34:AI34)/-SUM('Financial result'!X4:AB4)</f>
        <v>-34.932996053364633</v>
      </c>
      <c r="AJ15" s="282">
        <f>SUM(IncSCons!AG34:AJ34)/-SUM('Financial result'!Y4:AC4)</f>
        <v>-35.635669980578776</v>
      </c>
      <c r="AK15" s="282">
        <f>SUM(IncSCons!AH34:AK34)/-SUM('Financial result'!Z4:AD4)</f>
        <v>-61.430973313359189</v>
      </c>
      <c r="AL15" s="282">
        <f>SUM(IncSCons!AI34:AL34)/-SUM('Financial result'!AA4:AE4)</f>
        <v>-38.94533389887372</v>
      </c>
      <c r="AM15" s="282">
        <f>SUM(IncSCons!AJ34:AM34)/-SUM('Financial result'!AB4:AF4)</f>
        <v>14.239508150956707</v>
      </c>
      <c r="AN15" s="282">
        <f>SUM(IncSCons!AK34:AN34)/-SUM('Financial result'!AC4:AG4)</f>
        <v>12.691328877881251</v>
      </c>
      <c r="AO15" s="282">
        <f>SUM(IncSCons!AL34:AO34)/-SUM('Financial result'!AD4:AH4)</f>
        <v>18.589298845169544</v>
      </c>
      <c r="AP15" s="282">
        <f>SUM(IncSCons!AM34:AP34)/-SUM('Financial result'!AE4:AI4)</f>
        <v>22.907934208887614</v>
      </c>
      <c r="AQ15" s="282">
        <f>SUM(IncSCons!AN34:AQ34)/-SUM('Financial result'!AF4:AJ4)</f>
        <v>21.736622335312386</v>
      </c>
      <c r="AR15" s="282">
        <f>SUM(IncSCons!AO34:AR34)/-SUM('Financial result'!AG4:AK4)</f>
        <v>22.462300254657531</v>
      </c>
      <c r="AS15" s="282">
        <f>SUM(IncSCons!AP34:AS34)/-SUM('Financial result'!AH4:AL4)</f>
        <v>28.602378444182051</v>
      </c>
      <c r="AT15" s="282">
        <f>SUM(IncSCons!AQ34:AT34)/-SUM('Financial result'!AI4:AM4)</f>
        <v>21.662269961260254</v>
      </c>
      <c r="AU15" s="282">
        <f>SUM(IncSCons!AR34:AU34)/-SUM('Financial result'!AJ4:AN4)</f>
        <v>18.047424637076794</v>
      </c>
      <c r="AV15" s="282">
        <f>SUM(IncSCons!AS34:AV34)/-SUM('Financial result'!AK4:AO4)</f>
        <v>18.404973375374912</v>
      </c>
      <c r="AW15" s="282">
        <f>SUM(IncSCons!AT34:AW34)/-SUM('Financial result'!AL4:AP4)</f>
        <v>17.165742236607027</v>
      </c>
      <c r="AX15" s="282">
        <f>SUM(IncSCons!AU34:AX34)/-SUM('Financial result'!AM4:AQ4)</f>
        <v>16.848698416502465</v>
      </c>
      <c r="AY15" s="282">
        <f>SUM(IncSCons!AV34:AY34)/-SUM('Financial result'!AN4:AT4)</f>
        <v>17.703431555628498</v>
      </c>
      <c r="AZ15" s="282">
        <f>SUM(IncSCons!AW34:AZ34)/-SUM('Financial result'!AO4:AU4)</f>
        <v>24.859158576452867</v>
      </c>
      <c r="BA15" s="282">
        <f>SUM(IncSCons!AX34:BB34)/-SUM('Financial result'!AP4:AV4)</f>
        <v>49.786897258064528</v>
      </c>
      <c r="BB15" s="282">
        <f>SUM(IncSCons!AY34:BC34)/-SUM('Financial result'!AQ4:AW4)</f>
        <v>62.738572645704281</v>
      </c>
    </row>
    <row r="16" spans="1:54" s="284" customFormat="1" x14ac:dyDescent="0.2">
      <c r="A16" s="13"/>
      <c r="B16" s="281" t="s">
        <v>360</v>
      </c>
      <c r="C16" s="282">
        <v>0</v>
      </c>
      <c r="D16" s="282">
        <v>0</v>
      </c>
      <c r="E16" s="282">
        <v>0</v>
      </c>
      <c r="F16" s="282">
        <f>F12/SUM(IncSCons!C34:F34)</f>
        <v>1.6975058802395881</v>
      </c>
      <c r="G16" s="282">
        <f>G12/SUM(IncSCons!D34:G34)</f>
        <v>3.4133146988812948</v>
      </c>
      <c r="H16" s="282">
        <f>H12/SUM(IncSCons!E34:H34)</f>
        <v>3.7100962262791413</v>
      </c>
      <c r="I16" s="282">
        <f>I12/SUM(IncSCons!F34:I34)</f>
        <v>3.063541798049668</v>
      </c>
      <c r="J16" s="282">
        <f>J12/SUM(IncSCons!G34:J34)</f>
        <v>3.1545350994239594</v>
      </c>
      <c r="K16" s="282">
        <f>K12/SUM(IncSCons!H34:K34)</f>
        <v>3.0168012471531052</v>
      </c>
      <c r="L16" s="283">
        <f>L12/SUM(IncSCons!I34:L34)</f>
        <v>2.5929193621697686</v>
      </c>
      <c r="M16" s="282">
        <f>M12/SUM(IncSCons!J34:M34)</f>
        <v>3.1767904121601869</v>
      </c>
      <c r="N16" s="282">
        <f>N12/SUM(IncSCons!K34:N34)</f>
        <v>2.9267962766304572</v>
      </c>
      <c r="O16" s="282">
        <f>O12/SUM(IncSCons!L34:O34)</f>
        <v>3.0218889539001634</v>
      </c>
      <c r="P16" s="282">
        <f>P12/SUM(IncSCons!M34:P34)</f>
        <v>2.5730023676751212</v>
      </c>
      <c r="Q16" s="282">
        <f>Q12/SUM(IncSCons!N34:Q34)</f>
        <v>2.9897895879631373</v>
      </c>
      <c r="R16" s="282">
        <f>R12/SUM(IncSCons!O34:R34)</f>
        <v>3.6818650571479714</v>
      </c>
      <c r="S16" s="282">
        <f>S12/SUM(IncSCons!P34:S34)</f>
        <v>3.8322467791891133</v>
      </c>
      <c r="T16" s="282">
        <f>T12/SUM(IncSCons!Q34:T34)</f>
        <v>3.8629672171789702</v>
      </c>
      <c r="U16" s="282">
        <f>U12/SUM(IncSCons!R34:U34)</f>
        <v>3.7559920476794115</v>
      </c>
      <c r="V16" s="282">
        <f>V12/SUM(IncSCons!S34:V34)</f>
        <v>3.2773560985879211</v>
      </c>
      <c r="W16" s="282">
        <f>W12/SUM(IncSCons!T34:W34)</f>
        <v>2.3264047639622829</v>
      </c>
      <c r="X16" s="282">
        <f>X12/SUM(IncSCons!U34:X34)</f>
        <v>2.5719879841450388</v>
      </c>
      <c r="Y16" s="282">
        <f>Y12/SUM(IncSCons!V34:Y34)</f>
        <v>1.7942765178792393</v>
      </c>
      <c r="Z16" s="282">
        <f>Z12/SUM(IncSCons!W34:Z34)</f>
        <v>1.6536197898611871</v>
      </c>
      <c r="AA16" s="282">
        <f>AA12/SUM(IncSCons!X34:AA34)</f>
        <v>1.0758522863462654</v>
      </c>
      <c r="AB16" s="282">
        <f>AB12/SUM(IncSCons!Y34:AB34)</f>
        <v>0.92437857164374537</v>
      </c>
      <c r="AC16" s="282">
        <f>AC12/SUM(IncSCons!Z34:AC34)</f>
        <v>0.89757039289806284</v>
      </c>
      <c r="AD16" s="282">
        <f>AD12/SUM(IncSCons!AA34:AD34)</f>
        <v>0.79107934227257004</v>
      </c>
      <c r="AE16" s="282">
        <f>AE12/SUM(IncSCons!AB34:AE34)</f>
        <v>0.62863791487704768</v>
      </c>
      <c r="AF16" s="282">
        <f>AF12/SUM(IncSCons!AC34:AF34)</f>
        <v>0.57450012926139227</v>
      </c>
      <c r="AG16" s="282">
        <f>AG12/SUM(IncSCons!AC34:AG34)</f>
        <v>0.45806339770214599</v>
      </c>
      <c r="AH16" s="282">
        <f>AH12/SUM(IncSCons!AD34:AH34)</f>
        <v>0.43191815021840085</v>
      </c>
      <c r="AI16" s="282">
        <f>AI12/SUM(IncSCons!AE34:AI34)</f>
        <v>0.4536779603387161</v>
      </c>
      <c r="AJ16" s="282">
        <f>AJ12/SUM(IncSCons!AF34:AJ34)</f>
        <v>0.92205859804280876</v>
      </c>
      <c r="AK16" s="282">
        <f>AK12/SUM(IncSCons!AG34:AK34)</f>
        <v>0.81007125716354267</v>
      </c>
      <c r="AL16" s="282">
        <f>AL12/SUM(IncSCons!AH34:AL34)</f>
        <v>0.83318247718358429</v>
      </c>
      <c r="AM16" s="282">
        <f>AM12/SUM(IncSCons!AI34:AM34)</f>
        <v>0.94593566803314666</v>
      </c>
      <c r="AN16" s="282">
        <f>AN12/SUM(IncSCons!AJ34:AN34)</f>
        <v>0.77389760183217637</v>
      </c>
      <c r="AO16" s="282">
        <f>AO12/SUM(IncSCons!AK34:AO34)</f>
        <v>0.55598354229334879</v>
      </c>
      <c r="AP16" s="282">
        <f>AP12/SUM(IncSCons!AL34:AP34)</f>
        <v>0.58530510733532382</v>
      </c>
      <c r="AQ16" s="282">
        <f>AQ12/SUM(IncSCons!AM34:AQ34)</f>
        <v>0.60546335230056125</v>
      </c>
      <c r="AR16" s="282">
        <f>AR12/SUM(IncSCons!AN34:AR34)</f>
        <v>0.33714312840199911</v>
      </c>
      <c r="AS16" s="282">
        <f>AS12/SUM(IncSCons!AO34:AS34)</f>
        <v>0.25999112806496905</v>
      </c>
      <c r="AT16" s="282">
        <f>AT12/SUM(IncSCons!AP34:AT34)</f>
        <v>0.34990502070258822</v>
      </c>
      <c r="AU16" s="282">
        <f>AU12/SUM(IncSCons!AQ34:AU34)</f>
        <v>0.30268759463333744</v>
      </c>
      <c r="AV16" s="282">
        <f>AV12/SUM(IncSCons!AR34:AV34)</f>
        <v>0.28390612217642919</v>
      </c>
      <c r="AW16" s="282">
        <f>AW12/SUM(IncSCons!AS34:AW34)</f>
        <v>0.27250606684271167</v>
      </c>
      <c r="AX16" s="282">
        <f>AX12/SUM(IncSCons!AT34:AX34)</f>
        <v>0.30078848555875559</v>
      </c>
      <c r="AY16" s="282">
        <f>AY12/SUM(IncSCons!AU34:AY34)</f>
        <v>0.33156623548953212</v>
      </c>
      <c r="AZ16" s="282">
        <f>AZ12/SUM(IncSCons!AV34:AZ34)</f>
        <v>0.29859611444880635</v>
      </c>
      <c r="BA16" s="282">
        <f>BA12/SUM(IncSCons!AW34:BB34)</f>
        <v>0.19268822311483677</v>
      </c>
      <c r="BB16" s="282">
        <f>BB12/SUM(IncSCons!AX34:BC34)</f>
        <v>0.22591191518515891</v>
      </c>
    </row>
    <row r="17" spans="1:55" s="284" customFormat="1" x14ac:dyDescent="0.2">
      <c r="A17" s="13"/>
      <c r="B17" s="281" t="s">
        <v>361</v>
      </c>
      <c r="C17" s="282">
        <f>+(BalSheet!K43+BalSheet!K44+BalSheet!K61+BalSheet!K73+BalSheet!K63)/BalSheet!K76</f>
        <v>0.69584907464970591</v>
      </c>
      <c r="D17" s="282">
        <f>+(BalSheet!L43+BalSheet!L44+BalSheet!L61+BalSheet!L73+BalSheet!L63)/BalSheet!L76</f>
        <v>0.81221317469900212</v>
      </c>
      <c r="E17" s="282">
        <f>+(BalSheet!M43+BalSheet!M44+BalSheet!M61+BalSheet!M73+BalSheet!M63)/BalSheet!M76</f>
        <v>0.83580577517073307</v>
      </c>
      <c r="F17" s="282">
        <f>+(BalSheet!N43+BalSheet!N44+BalSheet!N61+BalSheet!N73+BalSheet!N63)/BalSheet!N76</f>
        <v>0.8494684764563839</v>
      </c>
      <c r="G17" s="282">
        <f>+(BalSheet!O43+BalSheet!O44+BalSheet!O61+BalSheet!O73+BalSheet!O63)/BalSheet!O76</f>
        <v>1.3756140957148728</v>
      </c>
      <c r="H17" s="282">
        <f>+(BalSheet!P43+BalSheet!P44+BalSheet!P61+BalSheet!P73+BalSheet!P63)/BalSheet!P76</f>
        <v>1.5877715394479639</v>
      </c>
      <c r="I17" s="282">
        <f>+(BalSheet!Q43+BalSheet!Q44+BalSheet!Q61+BalSheet!Q73+BalSheet!Q63)/BalSheet!Q76</f>
        <v>1.1759189380371857</v>
      </c>
      <c r="J17" s="282">
        <f>+(BalSheet!R43+BalSheet!R44+BalSheet!R61+BalSheet!R73+BalSheet!R63)/BalSheet!R76</f>
        <v>1.3150371071375206</v>
      </c>
      <c r="K17" s="282">
        <f>+(BalSheet!S43+BalSheet!S44+BalSheet!S61+BalSheet!S73+BalSheet!S63)/BalSheet!S76</f>
        <v>1.281198973641241</v>
      </c>
      <c r="L17" s="283">
        <f>+(BalSheet!T43+BalSheet!T44+BalSheet!T61+BalSheet!T73+BalSheet!T63)/BalSheet!T76</f>
        <v>1.1064464619251442</v>
      </c>
      <c r="M17" s="282">
        <f>+(BalSheet!U43+BalSheet!U44+BalSheet!U61+BalSheet!U73+BalSheet!U63)/BalSheet!U76</f>
        <v>1.4270918209256687</v>
      </c>
      <c r="N17" s="282">
        <f>+(BalSheet!V43+BalSheet!V44+BalSheet!V61+BalSheet!V73+BalSheet!V63)/BalSheet!V76</f>
        <v>1.4066810826933114</v>
      </c>
      <c r="O17" s="282">
        <f>O12/BalSheet!W76</f>
        <v>1.3266879377011058</v>
      </c>
      <c r="P17" s="282">
        <f>+(BalSheet!X43+BalSheet!X44+BalSheet!X61+BalSheet!X73+BalSheet!X63)/BalSheet!X76</f>
        <v>0.98215820746709059</v>
      </c>
      <c r="Q17" s="282">
        <f>+(BalSheet!Y43+BalSheet!Y44+BalSheet!Y61+BalSheet!Y73+BalSheet!Y63)/BalSheet!Y76</f>
        <v>0.97997757315679379</v>
      </c>
      <c r="R17" s="282">
        <f>+(BalSheet!Z43+BalSheet!Z44+BalSheet!Z61+BalSheet!Z73+BalSheet!Z63)/BalSheet!Z76</f>
        <v>0.99708235371397758</v>
      </c>
      <c r="S17" s="282">
        <f>+(BalSheet!AA43+BalSheet!AA44+BalSheet!AA61+BalSheet!AA73+BalSheet!AA63)/BalSheet!AA76</f>
        <v>0.94234278437188168</v>
      </c>
      <c r="T17" s="282">
        <f>+(BalSheet!AB43+BalSheet!AB44+BalSheet!AB61+BalSheet!AB73+BalSheet!AB63)/BalSheet!AB76</f>
        <v>0.94624834969369209</v>
      </c>
      <c r="U17" s="282">
        <f>+(BalSheet!AC43+BalSheet!AC44+BalSheet!AC61+BalSheet!AC73+BalSheet!AC63)/BalSheet!AC76</f>
        <v>0.93396466199319472</v>
      </c>
      <c r="V17" s="282">
        <f>+(BalSheet!AD43+BalSheet!AD44+BalSheet!AD61+BalSheet!AD73+BalSheet!AD63)/BalSheet!AD76</f>
        <v>0.77737904483612696</v>
      </c>
      <c r="W17" s="282">
        <f>+(BalSheet!AE43+BalSheet!AE44+BalSheet!AE61+BalSheet!AE73+BalSheet!AE63)/BalSheet!AE76</f>
        <v>0.581959803220788</v>
      </c>
      <c r="X17" s="282">
        <f>+(BalSheet!AF43+BalSheet!AF44+BalSheet!AF61+BalSheet!AF73+BalSheet!AF63)/BalSheet!AF76</f>
        <v>0.68450257827946404</v>
      </c>
      <c r="Y17" s="282">
        <f>+(BalSheet!AG43+BalSheet!AG44+BalSheet!AG61+BalSheet!AG73+BalSheet!AG63)/BalSheet!AG76</f>
        <v>0.54910149297694255</v>
      </c>
      <c r="Z17" s="282">
        <f>+(BalSheet!AH43+BalSheet!AH44+BalSheet!AH61+BalSheet!AH73+BalSheet!AH63)/BalSheet!AH76</f>
        <v>0.49659318280058645</v>
      </c>
      <c r="AA17" s="282">
        <f>+(BalSheet!AI43+BalSheet!AI44+BalSheet!AI61+BalSheet!AI73+BalSheet!AI63)/BalSheet!AI76</f>
        <v>0.3331208594604172</v>
      </c>
      <c r="AB17" s="282">
        <f>+(BalSheet!AJ43+BalSheet!AJ44+BalSheet!AJ61+BalSheet!AJ73+BalSheet!AJ63)/BalSheet!AJ76</f>
        <v>0.32533788458877255</v>
      </c>
      <c r="AC17" s="282">
        <f>+(BalSheet!AK43+BalSheet!AK44+BalSheet!AK61+BalSheet!AK73+BalSheet!AK63)/BalSheet!AK76</f>
        <v>0.3499199639031832</v>
      </c>
      <c r="AD17" s="282">
        <f>+(BalSheet!AL43+BalSheet!AL44+BalSheet!AL61+BalSheet!AL73+BalSheet!AL63)/BalSheet!AL76</f>
        <v>0.33073753230987751</v>
      </c>
      <c r="AE17" s="282">
        <f>+(BalSheet!AM43+BalSheet!AM44+BalSheet!AM61+BalSheet!AM73+BalSheet!AM63)/BalSheet!AM76</f>
        <v>0.28451189323000753</v>
      </c>
      <c r="AF17" s="282">
        <f>+(BalSheet!AN43+BalSheet!AN44+BalSheet!AN61+BalSheet!AN73+BalSheet!AN63)/BalSheet!AN76</f>
        <v>0.27254381203473943</v>
      </c>
      <c r="AG17" s="282">
        <f>+(BalSheet!AO43+BalSheet!AO44+BalSheet!AO61+BalSheet!AO73+BalSheet!AO63)/BalSheet!AO76</f>
        <v>0.25270928712991253</v>
      </c>
      <c r="AH17" s="282">
        <f>+(BalSheet!AP43+BalSheet!AP44+BalSheet!AP61+BalSheet!AP73+BalSheet!AP63)/BalSheet!AP76</f>
        <v>0.24545671116490081</v>
      </c>
      <c r="AI17" s="282">
        <f>+(BalSheet!AQ43+BalSheet!AQ44+BalSheet!AQ61+BalSheet!AQ73+BalSheet!AQ63)/BalSheet!AQ76</f>
        <v>0.25906397078962445</v>
      </c>
      <c r="AJ17" s="282">
        <f>+(BalSheet!AR43+BalSheet!AR44+BalSheet!AR61+BalSheet!AR73+BalSheet!AR63)/BalSheet!AR76</f>
        <v>0.42005260232372121</v>
      </c>
      <c r="AK17" s="282">
        <f>+(BalSheet!AS43+BalSheet!AS44+BalSheet!AS61+BalSheet!AS73+BalSheet!AS63)/BalSheet!AS76</f>
        <v>0.31203151237121884</v>
      </c>
      <c r="AL17" s="282">
        <f>+(BalSheet!AT43+BalSheet!AT44+BalSheet!AT61+BalSheet!AT73+BalSheet!AT63)/BalSheet!AT76</f>
        <v>0.31026489483129305</v>
      </c>
      <c r="AM17" s="282">
        <f>+(BalSheet!AU43+BalSheet!AU44+BalSheet!AU61+BalSheet!AU73+BalSheet!AU63)/BalSheet!AU76</f>
        <v>0.30173000615588819</v>
      </c>
      <c r="AN17" s="282">
        <f>+(BalSheet!AV43+BalSheet!AV44+BalSheet!AV61+BalSheet!AV73+BalSheet!AV63)/BalSheet!AV76</f>
        <v>0.23198853407335879</v>
      </c>
      <c r="AO17" s="282">
        <f>+(BalSheet!AW43+BalSheet!AW44+BalSheet!AW61+BalSheet!AW73+BalSheet!AW63)/BalSheet!AW76</f>
        <v>0.1909505050595692</v>
      </c>
      <c r="AP17" s="282">
        <f>+(BalSheet!AX43+BalSheet!AX44+BalSheet!AX61+BalSheet!AX73+BalSheet!AX63)/BalSheet!AX76</f>
        <v>0.18933386609160113</v>
      </c>
      <c r="AQ17" s="282">
        <f>+(BalSheet!AY43+BalSheet!AY44+BalSheet!AY61+BalSheet!AY73+BalSheet!AY63)/BalSheet!AY76</f>
        <v>0.17049305017428179</v>
      </c>
      <c r="AR17" s="282">
        <f>+(BalSheet!AZ43+BalSheet!AZ44+BalSheet!AZ61+BalSheet!AZ73+BalSheet!AZ63)/BalSheet!AZ76</f>
        <v>9.6684017055484031E-2</v>
      </c>
      <c r="AS17" s="282">
        <f>+(BalSheet!BA43+BalSheet!BA44+BalSheet!BA61+BalSheet!BA73+BalSheet!BA63)/BalSheet!BA76</f>
        <v>9.0214414044941529E-2</v>
      </c>
      <c r="AT17" s="282">
        <f>+(BalSheet!BB43+BalSheet!BB44+BalSheet!BB61+BalSheet!BB73+BalSheet!BB63)/BalSheet!BB76</f>
        <v>0.13278707995024727</v>
      </c>
      <c r="AU17" s="282">
        <f>+(BalSheet!BC43+BalSheet!BC44+BalSheet!BC61+BalSheet!BC73+BalSheet!BC63)/BalSheet!BC76</f>
        <v>0.11283845542952185</v>
      </c>
      <c r="AV17" s="282">
        <f>+(BalSheet!BD43+BalSheet!BD44+BalSheet!BD61+BalSheet!BD73+BalSheet!BD63)/BalSheet!BD76</f>
        <v>0.11394957437617206</v>
      </c>
      <c r="AW17" s="282">
        <f>+(BalSheet!BE43+BalSheet!BE44+BalSheet!BE61+BalSheet!BE73+BalSheet!BE63)/BalSheet!BE76</f>
        <v>0.11690316314291188</v>
      </c>
      <c r="AX17" s="282">
        <f>+(BalSheet!BF43+BalSheet!BF44+BalSheet!BF61+BalSheet!BF73+BalSheet!BF63)/BalSheet!BF76</f>
        <v>0.12165068189709879</v>
      </c>
      <c r="AY17" s="282">
        <f>+(BalSheet!BG43+BalSheet!BG44+BalSheet!BG61+BalSheet!BG73+BalSheet!BG63)/BalSheet!BG76</f>
        <v>0.12289143369327632</v>
      </c>
      <c r="AZ17" s="282">
        <f>+(BalSheet!BH43+BalSheet!BH44+BalSheet!BH61+BalSheet!BH73+BalSheet!BH63)/BalSheet!BH76</f>
        <v>0.1193001812593585</v>
      </c>
      <c r="BA17" s="282">
        <f>+(BalSheet!BI43+BalSheet!BI44+BalSheet!BI61+BalSheet!BI73+BalSheet!BI63)/BalSheet!BI76</f>
        <v>0.11847328552354409</v>
      </c>
      <c r="BB17" s="282">
        <f>+(BalSheet!BJ43+BalSheet!BJ44+BalSheet!BJ61+BalSheet!BJ73+BalSheet!BJ63)/BalSheet!BJ76</f>
        <v>0.11503686202327087</v>
      </c>
    </row>
    <row r="18" spans="1:55" s="284" customFormat="1" x14ac:dyDescent="0.2">
      <c r="A18" s="13"/>
      <c r="B18" s="281" t="s">
        <v>362</v>
      </c>
      <c r="C18" s="285">
        <f>+(BalSheet!K43+BalSheet!K44+BalSheet!K61+BalSheet!K73+BalSheet!K63)/(C60*C59)</f>
        <v>0.14900874951235682</v>
      </c>
      <c r="D18" s="285">
        <f>+(BalSheet!L43+BalSheet!L44+BalSheet!L61+BalSheet!L73+BalSheet!L63)/(D60*D59)</f>
        <v>0.16902164621539226</v>
      </c>
      <c r="E18" s="285">
        <f>+(BalSheet!M43+BalSheet!M44+BalSheet!M61+BalSheet!M73+BalSheet!M63)/(E60*E59)</f>
        <v>0.16173052106751809</v>
      </c>
      <c r="F18" s="285">
        <f>+(BalSheet!N43+BalSheet!N44+BalSheet!N61+BalSheet!N73+BalSheet!N63)/(F60*F59)</f>
        <v>0.1601302914374301</v>
      </c>
      <c r="G18" s="285">
        <f>+(BalSheet!O43+BalSheet!O44+BalSheet!O61+BalSheet!O73+BalSheet!O63)/(G60*G59)</f>
        <v>0.27748986383969643</v>
      </c>
      <c r="H18" s="285">
        <f>+(BalSheet!P43+BalSheet!P44+BalSheet!P61+BalSheet!P73+BalSheet!P63)/(H60*H59)</f>
        <v>0.38132781894345574</v>
      </c>
      <c r="I18" s="285">
        <f>+(BalSheet!Q43+BalSheet!Q44+BalSheet!Q61+BalSheet!Q73+BalSheet!Q63)/(I60*I59)</f>
        <v>0.34666400324759905</v>
      </c>
      <c r="J18" s="285">
        <f>+(BalSheet!R43+BalSheet!R44+BalSheet!R61+BalSheet!R73+BalSheet!R63)/(J60*J59)</f>
        <v>0.3918491126258497</v>
      </c>
      <c r="K18" s="285">
        <f>+(BalSheet!S43+BalSheet!S44+BalSheet!S61+BalSheet!S73+BalSheet!S63)/(K60*K59)</f>
        <v>0.41763513240622135</v>
      </c>
      <c r="L18" s="286">
        <f>+(BalSheet!T43+BalSheet!T44+BalSheet!T61+BalSheet!T73+BalSheet!T63)/(L60*L59)</f>
        <v>0.32770603122755598</v>
      </c>
      <c r="M18" s="285">
        <f>+(BalSheet!U43+BalSheet!U44+BalSheet!U61+BalSheet!U73+BalSheet!U63)/(M60*M59)</f>
        <v>0.40670168933963385</v>
      </c>
      <c r="N18" s="285">
        <f>+(BalSheet!V43+BalSheet!V44+BalSheet!V61+BalSheet!V73+BalSheet!V63)/(N60*N59)</f>
        <v>0.4453063565380162</v>
      </c>
      <c r="O18" s="285">
        <f>+(BalSheet!W43+BalSheet!W44+BalSheet!W61+BalSheet!W73+BalSheet!W63)/(O60*O59)</f>
        <v>0.57769811622255562</v>
      </c>
      <c r="P18" s="285">
        <f>+(BalSheet!X43+BalSheet!X44+BalSheet!X61+BalSheet!X73+BalSheet!X63)/(P60*P59)</f>
        <v>0.40613553133486302</v>
      </c>
      <c r="Q18" s="285">
        <f>+(BalSheet!Y43+BalSheet!Y44+BalSheet!Y61+BalSheet!Y73+BalSheet!Y63)/(Q60*Q59)</f>
        <v>0.90944099577847792</v>
      </c>
      <c r="R18" s="285">
        <f>+(BalSheet!Z43+BalSheet!Z44+BalSheet!Z61+BalSheet!Z73+BalSheet!Z63)/(R60*R59)</f>
        <v>1.3451034300510822</v>
      </c>
      <c r="S18" s="285">
        <f>+(BalSheet!AA43+BalSheet!AA44+BalSheet!AA61+BalSheet!AA73+BalSheet!AA63)/(S60*S59)</f>
        <v>1.3235631935470991</v>
      </c>
      <c r="T18" s="285">
        <f>+(BalSheet!AB43+BalSheet!AB44+BalSheet!AB61+BalSheet!AB73+BalSheet!AB63)/(T60*T59)</f>
        <v>1.0078784038759383</v>
      </c>
      <c r="U18" s="285">
        <f>+(BalSheet!AC43+BalSheet!AC44+BalSheet!AC61+BalSheet!AC73+BalSheet!AC63)/(U60*U59)</f>
        <v>0.62530725270657161</v>
      </c>
      <c r="V18" s="285">
        <f>+(BalSheet!AD43+BalSheet!AD44+BalSheet!AD61+BalSheet!AD73+BalSheet!AD63)/(V60*V59)</f>
        <v>0.57001783496497727</v>
      </c>
      <c r="W18" s="285">
        <f>+(BalSheet!AE43+BalSheet!AE44+BalSheet!AE61+BalSheet!AE73+BalSheet!AE63)/(W60*W59)</f>
        <v>0.32797508758449517</v>
      </c>
      <c r="X18" s="285">
        <f>+(BalSheet!AF43+BalSheet!AF44+BalSheet!AF61+BalSheet!AF73+BalSheet!AF63)/(X60*X59)</f>
        <v>0.31818054639377991</v>
      </c>
      <c r="Y18" s="285">
        <f>+(BalSheet!AG43+BalSheet!AG44+BalSheet!AG61+BalSheet!AG73+BalSheet!AG63)/(Y60*Y59)</f>
        <v>0.20674983538854902</v>
      </c>
      <c r="Z18" s="285">
        <f>+(BalSheet!AH43+BalSheet!AH44+BalSheet!AH61+BalSheet!AH73+BalSheet!AH63)/(Z60*Z59)</f>
        <v>0.17106026590607692</v>
      </c>
      <c r="AA18" s="285">
        <f>+(BalSheet!AI43+BalSheet!AI44+BalSheet!AI61+BalSheet!AI73+BalSheet!AI63)/(AA60*AA59)</f>
        <v>0.10276246261774588</v>
      </c>
      <c r="AB18" s="285">
        <f>+(BalSheet!AJ43+BalSheet!AJ44+BalSheet!AJ61+BalSheet!AJ73+BalSheet!AJ63)/(AB60*AB59)</f>
        <v>0.11312300708582364</v>
      </c>
      <c r="AC18" s="285">
        <f>+(BalSheet!AK43+BalSheet!AK44+BalSheet!AK61+BalSheet!AK73+BalSheet!AK63)/(AC60*AC59)</f>
        <v>0.12438467040693975</v>
      </c>
      <c r="AD18" s="285">
        <f>+(BalSheet!AL43+BalSheet!AL44+BalSheet!AL61+BalSheet!AL73+BalSheet!AL63)/(AD60*AD59)</f>
        <v>0.10419899740981282</v>
      </c>
      <c r="AE18" s="285">
        <f>+(BalSheet!AM43+BalSheet!AM44+BalSheet!AM61+BalSheet!AM73+BalSheet!AM63)/(AE60*AE59)</f>
        <v>7.8364084308393825E-2</v>
      </c>
      <c r="AF18" s="285">
        <f>+(BalSheet!AN43+BalSheet!AN44+BalSheet!AN61+BalSheet!AN73+BalSheet!AN63)/(AF60*AF59)</f>
        <v>7.9466755189762844E-2</v>
      </c>
      <c r="AG18" s="285">
        <f>+(BalSheet!AO43+BalSheet!AO44+BalSheet!AO61+BalSheet!AO73+BalSheet!AO63)/(AG60*AG59)</f>
        <v>7.0158106533429243E-2</v>
      </c>
      <c r="AH18" s="285">
        <f>+(BalSheet!AP43+BalSheet!AP44+BalSheet!AP61+BalSheet!AP73+BalSheet!AP63)/(AH60*AH59)</f>
        <v>6.5976982712857665E-2</v>
      </c>
      <c r="AI18" s="285">
        <f>+(BalSheet!AQ43+BalSheet!AQ44+BalSheet!AQ61+BalSheet!AQ73+BalSheet!AQ63)/(AI60*AI59)</f>
        <v>6.7839848085465906E-2</v>
      </c>
      <c r="AJ18" s="285">
        <f>+(BalSheet!AR43+BalSheet!AR44+BalSheet!AR61+BalSheet!AR73+BalSheet!AR63)/(AJ60*AJ59)</f>
        <v>0.18880894387324226</v>
      </c>
      <c r="AK18" s="285">
        <f>+(BalSheet!AS43+BalSheet!AS44+BalSheet!AS61+BalSheet!AS73+BalSheet!AS63)/(AK60*AK59)</f>
        <v>0.11634875350056631</v>
      </c>
      <c r="AL18" s="285">
        <f>+(BalSheet!AT43+BalSheet!AT44+BalSheet!AT61+BalSheet!AT73+BalSheet!AT63)/(AL60*AL59)</f>
        <v>0.11769140729472037</v>
      </c>
      <c r="AM18" s="285">
        <f>+(BalSheet!AU43+BalSheet!AU44+BalSheet!AU61+BalSheet!AU73+BalSheet!AU63)/(AM60*AM59)</f>
        <v>0.12918561451040478</v>
      </c>
      <c r="AN18" s="285">
        <f>+(BalSheet!AV43+BalSheet!AV44+BalSheet!AV61+BalSheet!AV73+BalSheet!AV63)/(AN60*AN59)</f>
        <v>0.10084196609766005</v>
      </c>
      <c r="AO18" s="285">
        <f>+(BalSheet!AW43+BalSheet!AW44+BalSheet!AW61+BalSheet!AW73+BalSheet!AW63)/(AO60*AO59)</f>
        <v>9.6024164754778291E-2</v>
      </c>
      <c r="AP18" s="285">
        <f>+(BalSheet!AX43+BalSheet!AX44+BalSheet!AX61+BalSheet!AX73+BalSheet!AX63)/(AP60*AP59)</f>
        <v>0.12390431066990282</v>
      </c>
      <c r="AQ18" s="285">
        <f>+(BalSheet!AY43+BalSheet!AY44+BalSheet!AY61+BalSheet!AY73+BalSheet!AY63)/(AQ60*AQ59)</f>
        <v>0.12307482181241232</v>
      </c>
      <c r="AR18" s="285">
        <f>+(BalSheet!AZ43+BalSheet!AZ44+BalSheet!AZ61+BalSheet!AZ73+BalSheet!AZ63)/(AR60*AR59)</f>
        <v>6.9984688528750519E-2</v>
      </c>
      <c r="AS18" s="285">
        <f>+(BalSheet!BA43+BalSheet!BA44+BalSheet!BA61+BalSheet!BA73+BalSheet!BA63)/(AS60*AS59)</f>
        <v>6.1957293616841609E-2</v>
      </c>
      <c r="AT18" s="285">
        <f>+(BalSheet!BB43+BalSheet!BB44+BalSheet!BB61+BalSheet!BB73+BalSheet!BB63)/(AT60*AT59)</f>
        <v>7.3840906028088252E-2</v>
      </c>
      <c r="AU18" s="285">
        <f>+(BalSheet!BC43+BalSheet!BC44+BalSheet!BC61+BalSheet!BC73+BalSheet!BC63)/(AU60*AU59)</f>
        <v>7.5102652147865392E-2</v>
      </c>
      <c r="AV18" s="285">
        <f>+(BalSheet!BD43+BalSheet!BD44+BalSheet!BD61+BalSheet!BD73+BalSheet!BD63)/(AV60*AV59)</f>
        <v>7.0155873206078675E-2</v>
      </c>
      <c r="AW18" s="285">
        <f>+(BalSheet!BE43+BalSheet!BE44+BalSheet!BE61+BalSheet!BE73+BalSheet!BE63)/(AW60*AW59)</f>
        <v>6.0105256763418866E-2</v>
      </c>
      <c r="AX18" s="285">
        <f>+(BalSheet!BF43+BalSheet!BF44+BalSheet!BF61+BalSheet!BF73+BalSheet!BF63)/(AX60*AX59)</f>
        <v>5.980228444645358E-2</v>
      </c>
      <c r="AY18" s="285">
        <f>+(BalSheet!BG43+BalSheet!BG44+BalSheet!BG61+BalSheet!BG73+BalSheet!BG63)/(AY60*AY59)</f>
        <v>6.0658261927511697E-2</v>
      </c>
      <c r="AZ18" s="285">
        <f>+(BalSheet!BH43+BalSheet!BH44+BalSheet!BH61+BalSheet!BH73+BalSheet!BH63)/(AZ60*AZ59)</f>
        <v>6.4425142298809621E-2</v>
      </c>
      <c r="BA18" s="285">
        <f>+(BalSheet!BI43+BalSheet!BI44+BalSheet!BI61+BalSheet!BI73+BalSheet!BI63)/(BA60*BA59)</f>
        <v>6.1795687120318396E-2</v>
      </c>
      <c r="BB18" s="285">
        <f>+(BalSheet!BJ43+BalSheet!BJ44+BalSheet!BJ61+BalSheet!BJ73+BalSheet!BJ63)/(BB60*BB59)</f>
        <v>5.4396557993551295E-2</v>
      </c>
    </row>
    <row r="19" spans="1:55" s="284" customFormat="1" ht="13.5" x14ac:dyDescent="0.2">
      <c r="A19" s="13"/>
      <c r="B19" s="462" t="s">
        <v>363</v>
      </c>
      <c r="C19" s="287">
        <v>0</v>
      </c>
      <c r="D19" s="287">
        <v>0</v>
      </c>
      <c r="E19" s="287">
        <v>0</v>
      </c>
      <c r="F19" s="287">
        <f>-SUM(IncSCons!C34:F34)/SUM(IncSCons!C40:F40)</f>
        <v>5.3466294495467919</v>
      </c>
      <c r="G19" s="287">
        <f>-SUM(IncSCons!D34:G34)/SUM(IncSCons!D40:G40)</f>
        <v>4.7790112537741312</v>
      </c>
      <c r="H19" s="287">
        <f>-SUM(IncSCons!E34:H34)/SUM(IncSCons!E40:H40)</f>
        <v>6.4544647387113141</v>
      </c>
      <c r="I19" s="287">
        <f>-SUM(IncSCons!F34:I34)/SUM(IncSCons!F40:I40)</f>
        <v>4.6289831914697475</v>
      </c>
      <c r="J19" s="287">
        <f>-SUM(IncSCons!G34:J34)/SUM(IncSCons!G40:J40)</f>
        <v>3.9516191260063271</v>
      </c>
      <c r="K19" s="287">
        <f>-SUM(IncSCons!H34:K34)/SUM(IncSCons!H40:K40)</f>
        <v>3.9746823187704226</v>
      </c>
      <c r="L19" s="288">
        <f>-SUM(IncSCons!I34:L34)/SUM(IncSCons!I40:L40)</f>
        <v>3.1749298224805282</v>
      </c>
      <c r="M19" s="287">
        <f>-SUM(IncSCons!J34:M34)/SUM(IncSCons!J40:M40)</f>
        <v>3.4720781271144392</v>
      </c>
      <c r="N19" s="287">
        <f>-SUM(IncSCons!K34:N34)/SUM(IncSCons!K40:N40)</f>
        <v>3.6469990047167768</v>
      </c>
      <c r="O19" s="287">
        <f>-SUM(IncSCons!L34:O34)/SUM(IncSCons!L40:O40)</f>
        <v>3.718765030576487</v>
      </c>
      <c r="P19" s="287">
        <f>-SUM(IncSCons!M34:P34)/SUM(IncSCons!M40:P40)</f>
        <v>3.5684500357718658</v>
      </c>
      <c r="Q19" s="287">
        <f>-SUM(IncSCons!N34:Q34)/SUM(IncSCons!N40:Q40)</f>
        <v>3.4162834359723551</v>
      </c>
      <c r="R19" s="287">
        <f>-SUM(IncSCons!O34:R34)/SUM(IncSCons!O40:R40)</f>
        <v>3.0024235600135345</v>
      </c>
      <c r="S19" s="287">
        <f>-SUM(IncSCons!P34:S34)/SUM(IncSCons!P40:S40)</f>
        <v>2.6182867027416385</v>
      </c>
      <c r="T19" s="287">
        <f>-SUM(IncSCons!Q34:T34)/SUM(IncSCons!Q40:T40)</f>
        <v>2.528274070723231</v>
      </c>
      <c r="U19" s="287">
        <f>-SUM(IncSCons!R34:U34)/SUM(IncSCons!R40:U40)</f>
        <v>2.4159786148202369</v>
      </c>
      <c r="V19" s="287">
        <f>-SUM(IncSCons!S34:V34)/SUM(IncSCons!S40:V40)</f>
        <v>2.9778116108408499</v>
      </c>
      <c r="W19" s="287">
        <f>-SUM(IncSCons!T34:W34)/SUM(IncSCons!T40:W40)</f>
        <v>3.7521644694408436</v>
      </c>
      <c r="X19" s="287">
        <f>-SUM(IncSCons!U34:X34)/SUM(IncSCons!U40:X40)</f>
        <v>6.8266400981966244</v>
      </c>
      <c r="Y19" s="287">
        <f>-SUM(IncSCons!V34:Y34)/SUM(IncSCons!V40:Y40)</f>
        <v>16.053482023369082</v>
      </c>
      <c r="Z19" s="287" t="s">
        <v>47</v>
      </c>
      <c r="AA19" s="287" t="s">
        <v>47</v>
      </c>
      <c r="AB19" s="287" t="s">
        <v>47</v>
      </c>
      <c r="AC19" s="287" t="s">
        <v>47</v>
      </c>
      <c r="AD19" s="287">
        <f>-SUM(IncSCons!AA34:AD34)/SUM(IncSCons!AA40:AD40)</f>
        <v>21.981576868610489</v>
      </c>
      <c r="AE19" s="287">
        <f>-SUM(IncSCons!AB34:AE34)/SUM(IncSCons!AB40:AE40)</f>
        <v>24.868551478948159</v>
      </c>
      <c r="AF19" s="287">
        <f>-SUM(IncSCons!AC34:AF34)/SUM(IncSCons!AC40:AF40)</f>
        <v>21.956533156783561</v>
      </c>
      <c r="AG19" s="287" t="s">
        <v>47</v>
      </c>
      <c r="AH19" s="287" t="s">
        <v>47</v>
      </c>
      <c r="AI19" s="287" t="s">
        <v>47</v>
      </c>
      <c r="AJ19" s="287" t="s">
        <v>47</v>
      </c>
      <c r="AK19" s="287">
        <f>-SUM(IncSCons!AH34:AK34)/SUM(IncSCons!AH40:AK40)</f>
        <v>17.002103556743851</v>
      </c>
      <c r="AL19" s="287">
        <f>-SUM(IncSCons!AI34:AL34)/SUM(IncSCons!AI40:AL40)</f>
        <v>17.74811044713563</v>
      </c>
      <c r="AM19" s="287">
        <f>-SUM(IncSCons!AJ34:AM34)/SUM(IncSCons!AJ40:AM40)</f>
        <v>16.079585475032609</v>
      </c>
      <c r="AN19" s="287">
        <f>-SUM(IncSCons!AK34:AN34)/SUM(IncSCons!AK40:AN40)</f>
        <v>31.445550506493145</v>
      </c>
      <c r="AO19" s="287">
        <f>-SUM(IncSCons!AL34:AO34)/SUM(IncSCons!AL40:AO40)</f>
        <v>41.290286830477761</v>
      </c>
      <c r="AP19" s="287">
        <f>-SUM(IncSCons!AM34:AP34)/SUM(IncSCons!AM40:AP40)</f>
        <v>53.555773337668619</v>
      </c>
      <c r="AQ19" s="287">
        <f>-SUM(IncSCons!AN34:AQ34)/SUM(IncSCons!AN40:AQ40)</f>
        <v>229.30509319318034</v>
      </c>
      <c r="AR19" s="287">
        <f>-SUM(IncSCons!AO34:AR34)/SUM(IncSCons!AO40:AR40)</f>
        <v>75.311819373384793</v>
      </c>
      <c r="AS19" s="287">
        <f>-SUM(IncSCons!AP34:AS34)/SUM(IncSCons!AP40:AS40)</f>
        <v>157.7690864649191</v>
      </c>
      <c r="AT19" s="287" t="s">
        <v>47</v>
      </c>
      <c r="AU19" s="287" t="s">
        <v>47</v>
      </c>
      <c r="AV19" s="287" t="s">
        <v>47</v>
      </c>
      <c r="AW19" s="287" t="s">
        <v>47</v>
      </c>
      <c r="AX19" s="287" t="s">
        <v>47</v>
      </c>
      <c r="AY19" s="287" t="s">
        <v>47</v>
      </c>
      <c r="AZ19" s="287" t="s">
        <v>47</v>
      </c>
      <c r="BA19" s="287" t="s">
        <v>47</v>
      </c>
      <c r="BB19" s="287" t="s">
        <v>47</v>
      </c>
    </row>
    <row r="20" spans="1:55" s="284" customFormat="1" ht="13.5" x14ac:dyDescent="0.2">
      <c r="A20" s="13"/>
      <c r="B20" s="462" t="s">
        <v>364</v>
      </c>
      <c r="C20" s="287">
        <v>0</v>
      </c>
      <c r="D20" s="287">
        <v>0</v>
      </c>
      <c r="E20" s="287">
        <v>0</v>
      </c>
      <c r="F20" s="287">
        <f>+(F12-F13)/SUM(IncSCons!C34:F34)</f>
        <v>1.3228377839776804</v>
      </c>
      <c r="G20" s="287">
        <f>+(G12-G13)/SUM(IncSCons!D34:G34)</f>
        <v>1.4809539307844977</v>
      </c>
      <c r="H20" s="287">
        <f>+(H12-H13)/SUM(IncSCons!E34:H34)</f>
        <v>1.8282731018400247</v>
      </c>
      <c r="I20" s="287">
        <f>+(I12-I13)/SUM(IncSCons!F34:I34)</f>
        <v>1.8327015885449511</v>
      </c>
      <c r="J20" s="287">
        <f>+(J12-J13)/SUM(IncSCons!G34:J34)</f>
        <v>1.8237966609171088</v>
      </c>
      <c r="K20" s="287">
        <f>+(K12-K13)/SUM(IncSCons!H34:K34)</f>
        <v>1.6681099053673865</v>
      </c>
      <c r="L20" s="288">
        <f>+(L12-L13)/SUM(IncSCons!I34:L34)</f>
        <v>1.4729059131918285</v>
      </c>
      <c r="M20" s="287">
        <f>+(M12-M13)/SUM(IncSCons!J34:M34)</f>
        <v>1.9679625840397545</v>
      </c>
      <c r="N20" s="287">
        <f>+(N12-N13)/SUM(IncSCons!K34:N34)</f>
        <v>1.5749865030820434</v>
      </c>
      <c r="O20" s="287">
        <f>+(O12-O13)/SUM(IncSCons!L34:O34)</f>
        <v>1.1313337234009793</v>
      </c>
      <c r="P20" s="287">
        <f>+(P12-P13)/SUM(IncSCons!M34:P34)</f>
        <v>1.6446434823743405</v>
      </c>
      <c r="Q20" s="287">
        <f>+(Q12-Q13)/SUM(IncSCons!N34:Q34)</f>
        <v>1.2895233646001161</v>
      </c>
      <c r="R20" s="287">
        <f>+(R12-R13)/SUM(IncSCons!O34:R34)</f>
        <v>1.5163991727748714</v>
      </c>
      <c r="S20" s="287">
        <f>+(S12-S13)/SUM(IncSCons!P34:S34)</f>
        <v>1.2237990007097359</v>
      </c>
      <c r="T20" s="287">
        <f>+(T12-T13)/SUM(IncSCons!Q34:T34)</f>
        <v>1.3911589155466977</v>
      </c>
      <c r="U20" s="287">
        <f>+(U12-U13)/SUM(IncSCons!R34:U34)</f>
        <v>1.0970680216400537</v>
      </c>
      <c r="V20" s="287">
        <f>+(V12-V13)/SUM(IncSCons!S34:V34)</f>
        <v>1.1096119265116966</v>
      </c>
      <c r="W20" s="287">
        <f>+(W12-W13)/SUM(IncSCons!T34:W34)</f>
        <v>1.0026088916234503</v>
      </c>
      <c r="X20" s="287">
        <f>+(X12-X13)/SUM(IncSCons!U34:X34)</f>
        <v>0.85298399753163789</v>
      </c>
      <c r="Y20" s="287">
        <f>+(Y12-Y13)/SUM(IncSCons!V34:Y34)</f>
        <v>0.60904666001594288</v>
      </c>
      <c r="Z20" s="287">
        <f>+(Z12-Z13)/SUM(IncSCons!W34:Z34)</f>
        <v>0.55009861383511816</v>
      </c>
      <c r="AA20" s="287">
        <f>+(AA12-AA13)/SUM(IncSCons!X34:AA34)</f>
        <v>0.2003008917162131</v>
      </c>
      <c r="AB20" s="287">
        <f>+(AB12-AB13)/SUM(IncSCons!Y34:AB34)</f>
        <v>0.35838525381344266</v>
      </c>
      <c r="AC20" s="287">
        <f>+(AC12-AC13)/SUM(IncSCons!Z34:AC34)</f>
        <v>0.34425136947099372</v>
      </c>
      <c r="AD20" s="287">
        <f>+(AD12-AD13)/SUM(IncSCons!AA34:AD34)</f>
        <v>0.37434425587064901</v>
      </c>
      <c r="AE20" s="287">
        <f>+(AE12-AE13)/SUM(IncSCons!AB34:AE34)</f>
        <v>0.15297739766762622</v>
      </c>
      <c r="AF20" s="287">
        <f>+(AF12-AF13)/SUM(IncSCons!AC34:AF34)</f>
        <v>0.13206537552070433</v>
      </c>
      <c r="AG20" s="287">
        <f>+(AG12-AG13)/SUM(IncSCons!AD34:AG34)</f>
        <v>0.11284317955501118</v>
      </c>
      <c r="AH20" s="287">
        <f>+(AH12-AH13)/SUM(IncSCons!AE34:AH34)</f>
        <v>0.28025081116842049</v>
      </c>
      <c r="AI20" s="287">
        <f>+(AI12-AI13)/SUM(IncSCons!AE34:AI34)</f>
        <v>2.5752329341944814E-2</v>
      </c>
      <c r="AJ20" s="287" t="s">
        <v>47</v>
      </c>
      <c r="AK20" s="287" t="s">
        <v>47</v>
      </c>
      <c r="AL20" s="287" t="s">
        <v>47</v>
      </c>
      <c r="AM20" s="287" t="s">
        <v>47</v>
      </c>
      <c r="AN20" s="287" t="s">
        <v>47</v>
      </c>
      <c r="AO20" s="287" t="s">
        <v>47</v>
      </c>
      <c r="AP20" s="287" t="s">
        <v>47</v>
      </c>
      <c r="AQ20" s="287" t="s">
        <v>47</v>
      </c>
      <c r="AR20" s="287" t="s">
        <v>47</v>
      </c>
      <c r="AS20" s="287" t="s">
        <v>47</v>
      </c>
      <c r="AT20" s="287" t="s">
        <v>47</v>
      </c>
      <c r="AU20" s="287" t="s">
        <v>47</v>
      </c>
      <c r="AV20" s="287" t="s">
        <v>47</v>
      </c>
      <c r="AW20" s="287" t="s">
        <v>47</v>
      </c>
      <c r="AX20" s="287" t="s">
        <v>47</v>
      </c>
      <c r="AY20" s="287" t="s">
        <v>47</v>
      </c>
      <c r="AZ20" s="287" t="s">
        <v>47</v>
      </c>
      <c r="BA20" s="287" t="s">
        <v>47</v>
      </c>
      <c r="BB20" s="287" t="s">
        <v>47</v>
      </c>
    </row>
    <row r="21" spans="1:55" ht="7.15" customHeight="1" x14ac:dyDescent="0.2">
      <c r="A21" s="10"/>
      <c r="B21" s="10"/>
      <c r="C21" s="11"/>
      <c r="D21" s="11"/>
      <c r="E21" s="11"/>
      <c r="F21" s="11"/>
      <c r="G21" s="11"/>
      <c r="H21" s="11"/>
      <c r="I21" s="11"/>
      <c r="J21" s="11"/>
      <c r="K21" s="11"/>
      <c r="L21" s="11"/>
      <c r="M21" s="11"/>
      <c r="N21" s="11"/>
      <c r="O21" s="11"/>
      <c r="P21" s="11"/>
    </row>
    <row r="22" spans="1:55" x14ac:dyDescent="0.2">
      <c r="A22" s="10"/>
      <c r="B22" s="10" t="s">
        <v>738</v>
      </c>
      <c r="C22" s="11"/>
      <c r="D22" s="11"/>
      <c r="E22" s="11"/>
      <c r="F22" s="11"/>
      <c r="G22" s="11"/>
      <c r="H22" s="11"/>
      <c r="I22" s="11"/>
      <c r="J22" s="1250" t="str">
        <f>J10</f>
        <v>&lt;== with Direct Express</v>
      </c>
      <c r="K22" s="1251"/>
      <c r="L22" s="225" t="str">
        <f>L10</f>
        <v>without Direct Express ==&gt;</v>
      </c>
      <c r="M22" s="224"/>
      <c r="N22" s="11"/>
      <c r="O22" s="11"/>
      <c r="P22" s="11"/>
    </row>
    <row r="23" spans="1:55" x14ac:dyDescent="0.2">
      <c r="A23" s="10"/>
      <c r="B23" s="128" t="s">
        <v>365</v>
      </c>
      <c r="C23" s="142" t="str">
        <f t="shared" ref="C23:AE23" si="10">+C$3</f>
        <v>1Q12</v>
      </c>
      <c r="D23" s="142" t="str">
        <f t="shared" si="10"/>
        <v>2Q12</v>
      </c>
      <c r="E23" s="142" t="str">
        <f t="shared" si="10"/>
        <v>3Q12</v>
      </c>
      <c r="F23" s="142" t="str">
        <f t="shared" si="10"/>
        <v>4Q12</v>
      </c>
      <c r="G23" s="142" t="str">
        <f t="shared" si="10"/>
        <v>1Q13</v>
      </c>
      <c r="H23" s="142" t="str">
        <f t="shared" si="10"/>
        <v>2Q13</v>
      </c>
      <c r="I23" s="142" t="str">
        <f t="shared" si="10"/>
        <v>3Q13</v>
      </c>
      <c r="J23" s="142" t="str">
        <f t="shared" si="10"/>
        <v>4Q13</v>
      </c>
      <c r="K23" s="142" t="str">
        <f t="shared" si="10"/>
        <v>1Q14</v>
      </c>
      <c r="L23" s="142" t="str">
        <f t="shared" si="10"/>
        <v>2Q14</v>
      </c>
      <c r="M23" s="142" t="str">
        <f t="shared" si="10"/>
        <v>3Q14</v>
      </c>
      <c r="N23" s="142" t="str">
        <f t="shared" si="10"/>
        <v>4Q14</v>
      </c>
      <c r="O23" s="142" t="str">
        <f t="shared" si="10"/>
        <v>1Q15</v>
      </c>
      <c r="P23" s="142" t="str">
        <f t="shared" si="10"/>
        <v>2Q15</v>
      </c>
      <c r="Q23" s="142" t="str">
        <f t="shared" si="10"/>
        <v>3Q15</v>
      </c>
      <c r="R23" s="142" t="str">
        <f t="shared" si="10"/>
        <v>4Q15</v>
      </c>
      <c r="S23" s="142" t="str">
        <f t="shared" si="10"/>
        <v>1Q16</v>
      </c>
      <c r="T23" s="142" t="str">
        <f t="shared" si="10"/>
        <v>2Q16</v>
      </c>
      <c r="U23" s="142" t="str">
        <f t="shared" si="10"/>
        <v>3Q16</v>
      </c>
      <c r="V23" s="142" t="str">
        <f t="shared" si="10"/>
        <v>4Q16</v>
      </c>
      <c r="W23" s="142" t="str">
        <f t="shared" si="10"/>
        <v>1Q17</v>
      </c>
      <c r="X23" s="142" t="str">
        <f t="shared" si="10"/>
        <v>2Q17</v>
      </c>
      <c r="Y23" s="142" t="str">
        <f t="shared" si="10"/>
        <v>3Q17</v>
      </c>
      <c r="Z23" s="142" t="str">
        <f t="shared" si="10"/>
        <v>4Q17</v>
      </c>
      <c r="AA23" s="142" t="str">
        <f t="shared" si="10"/>
        <v>1Q18</v>
      </c>
      <c r="AB23" s="142" t="str">
        <f t="shared" si="10"/>
        <v>2Q18</v>
      </c>
      <c r="AC23" s="142" t="str">
        <f t="shared" si="10"/>
        <v>3Q18</v>
      </c>
      <c r="AD23" s="142" t="str">
        <f t="shared" si="10"/>
        <v>4Q18</v>
      </c>
      <c r="AE23" s="142" t="str">
        <f t="shared" si="10"/>
        <v>1Q19</v>
      </c>
      <c r="AF23" s="142" t="str">
        <f t="shared" ref="AF23:BB23" si="11">+AF$3</f>
        <v>2Q19</v>
      </c>
      <c r="AG23" s="142" t="str">
        <f t="shared" si="11"/>
        <v>3Q19</v>
      </c>
      <c r="AH23" s="142" t="str">
        <f t="shared" si="11"/>
        <v>4Q19</v>
      </c>
      <c r="AI23" s="142" t="str">
        <f t="shared" si="11"/>
        <v>1Q20</v>
      </c>
      <c r="AJ23" s="142" t="str">
        <f t="shared" si="11"/>
        <v>2Q20</v>
      </c>
      <c r="AK23" s="142" t="str">
        <f t="shared" si="11"/>
        <v>3Q20</v>
      </c>
      <c r="AL23" s="142" t="str">
        <f t="shared" si="11"/>
        <v>4Q20</v>
      </c>
      <c r="AM23" s="142" t="str">
        <f t="shared" si="11"/>
        <v>1Q21</v>
      </c>
      <c r="AN23" s="142" t="str">
        <f t="shared" si="11"/>
        <v>2Q21</v>
      </c>
      <c r="AO23" s="142" t="str">
        <f t="shared" si="11"/>
        <v>3Q21</v>
      </c>
      <c r="AP23" s="142" t="str">
        <f t="shared" si="11"/>
        <v>4Q21</v>
      </c>
      <c r="AQ23" s="142" t="str">
        <f t="shared" si="11"/>
        <v>1Q22</v>
      </c>
      <c r="AR23" s="142" t="str">
        <f t="shared" si="11"/>
        <v>2Q22</v>
      </c>
      <c r="AS23" s="142" t="str">
        <f t="shared" si="11"/>
        <v>3Q22</v>
      </c>
      <c r="AT23" s="142" t="str">
        <f t="shared" si="11"/>
        <v>4Q22</v>
      </c>
      <c r="AU23" s="142" t="str">
        <f t="shared" si="11"/>
        <v>1Q23</v>
      </c>
      <c r="AV23" s="142" t="str">
        <f t="shared" si="11"/>
        <v>2Q23</v>
      </c>
      <c r="AW23" s="142" t="str">
        <f t="shared" si="11"/>
        <v>3Q23</v>
      </c>
      <c r="AX23" s="142" t="str">
        <f t="shared" si="11"/>
        <v>4Q23</v>
      </c>
      <c r="AY23" s="142" t="str">
        <f t="shared" si="11"/>
        <v>1Q24</v>
      </c>
      <c r="AZ23" s="142" t="str">
        <f t="shared" si="11"/>
        <v>2Q24</v>
      </c>
      <c r="BA23" s="142" t="str">
        <f t="shared" si="11"/>
        <v>3Q24</v>
      </c>
      <c r="BB23" s="142" t="str">
        <f t="shared" si="11"/>
        <v>4Q24</v>
      </c>
    </row>
    <row r="24" spans="1:55" x14ac:dyDescent="0.2">
      <c r="A24" s="10"/>
      <c r="B24" s="619" t="s">
        <v>108</v>
      </c>
      <c r="C24" s="852">
        <v>0</v>
      </c>
      <c r="D24" s="852">
        <v>0</v>
      </c>
      <c r="E24" s="852">
        <v>0</v>
      </c>
      <c r="F24" s="622">
        <f>(SUM(IncSCons!C39:F39)*0.66)/AVERAGE(BalSheet!K39:N39)</f>
        <v>9.7557634888823797E-2</v>
      </c>
      <c r="G24" s="622">
        <f>(SUM(IncSCons!D39:G39)*0.66)/AVERAGE(BalSheet!L39:O39)</f>
        <v>7.888865937069113E-2</v>
      </c>
      <c r="H24" s="622">
        <f>(SUM(IncSCons!E39:H39)*0.66)/AVERAGE(BalSheet!M39:P39)</f>
        <v>6.9673261046188539E-2</v>
      </c>
      <c r="I24" s="622">
        <f>(SUM(IncSCons!F39:I39)*0.66)/AVERAGE(BalSheet!N39:Q39)</f>
        <v>6.3295160608635076E-2</v>
      </c>
      <c r="J24" s="622">
        <f>(SUM(IncSCons!G39:J39)*0.66)/AVERAGE(BalSheet!O39:R39)</f>
        <v>5.7910603145326041E-2</v>
      </c>
      <c r="K24" s="622">
        <f>(SUM(IncSCons!H39:K39)*0.66)/AVERAGE(BalSheet!P39:S39)</f>
        <v>5.9698450664516359E-2</v>
      </c>
      <c r="L24" s="853">
        <f>(SUM(IncSCons!I39:L39)*0.66)/AVERAGE(BalSheet!Q39:T39)</f>
        <v>6.319497982158051E-2</v>
      </c>
      <c r="M24" s="852">
        <f>(SUM(IncSCons!J39:M39)*0.66)/AVERAGE(BalSheet!R39:U39)</f>
        <v>6.2988332342349712E-2</v>
      </c>
      <c r="N24" s="852">
        <f>(SUM(IncSCons!K39:N39)*0.66)/AVERAGE(BalSheet!S39:V39)</f>
        <v>7.9249470248709653E-2</v>
      </c>
      <c r="O24" s="622">
        <f>(SUM(IncSCons!L39:O39)*0.66)/AVERAGE(BalSheet!T39:W39)</f>
        <v>8.5036661593459101E-2</v>
      </c>
      <c r="P24" s="622">
        <f>(SUM(IncSCons!M39:P39)*0.66)/AVERAGE(BalSheet!U39:X39)</f>
        <v>7.4149181122451502E-2</v>
      </c>
      <c r="Q24" s="622">
        <f>(SUM(IncSCons!N39:Q39)*0.66)/AVERAGE(BalSheet!V39:Y39)</f>
        <v>6.3014847008334707E-2</v>
      </c>
      <c r="R24" s="622">
        <f>(SUM(IncSCons!O39:R39)*0.66)/AVERAGE(BalSheet!W39:Z39)</f>
        <v>2.9548600052646586E-2</v>
      </c>
      <c r="S24" s="622">
        <f>(SUM(IncSCons!P39:S39)*0.66)/AVERAGE(BalSheet!X39:AA39)</f>
        <v>2.3464727299654441E-2</v>
      </c>
      <c r="T24" s="622">
        <f>(SUM(IncSCons!Q39:T39)*0.66)/AVERAGE(BalSheet!Y39:AB39)</f>
        <v>2.4449693962648296E-2</v>
      </c>
      <c r="U24" s="622">
        <f>(SUM(IncSCons!R39:U39)*0.66)/AVERAGE(BalSheet!Z39:AC39)</f>
        <v>2.6390698208802597E-2</v>
      </c>
      <c r="V24" s="622">
        <f>(SUM(IncSCons!S39:V39)*0.66)/AVERAGE(BalSheet!AA39:AD39)</f>
        <v>4.5486908259287771E-2</v>
      </c>
      <c r="W24" s="622">
        <f>(SUM(IncSCons!T39:W39)*0.66)/AVERAGE(BalSheet!AB39:AE39)</f>
        <v>5.2981818976474269E-2</v>
      </c>
      <c r="X24" s="622">
        <f>(SUM(IncSCons!U39:X39)*0.66)/AVERAGE(BalSheet!AC39:AF39)</f>
        <v>5.8224092468547359E-2</v>
      </c>
      <c r="Y24" s="622">
        <f>(SUM(IncSCons!V39:Y39)*0.66)/AVERAGE(BalSheet!AD39:AG39)</f>
        <v>6.8296537931184273E-2</v>
      </c>
      <c r="Z24" s="622">
        <f>(SUM(IncSCons!W39:Z39)*0.66)/AVERAGE(BalSheet!AE39:AH39)</f>
        <v>9.200089577374225E-2</v>
      </c>
      <c r="AA24" s="622">
        <f>(SUM(IncSCons!X39:AA39)*0.66)/AVERAGE(BalSheet!AF39:AI39)</f>
        <v>9.7885808307452346E-2</v>
      </c>
      <c r="AB24" s="622">
        <f>(SUM(IncSCons!Y39:AB39)*0.66)/AVERAGE(BalSheet!AG39:AJ39)</f>
        <v>0.11991038037636652</v>
      </c>
      <c r="AC24" s="622">
        <f>(SUM(IncSCons!Z39:AC39)*0.66)/AVERAGE(BalSheet!AH39:AK39)</f>
        <v>0.13463962967768203</v>
      </c>
      <c r="AD24" s="622">
        <f>(SUM(IncSCons!AA39:AD39)*0.66)/AVERAGE(BalSheet!AI39:AL39)</f>
        <v>0.1311713950236687</v>
      </c>
      <c r="AE24" s="622">
        <f>(SUM(IncSCons!AB39:AE39)*0.66)/AVERAGE(BalSheet!AJ39:AM39)</f>
        <v>0.14136886379618624</v>
      </c>
      <c r="AF24" s="622">
        <f>(SUM(IncSCons!AC39:AF39)*0.66)/AVERAGE(BalSheet!AK39:AN39)</f>
        <v>0.1420374430152431</v>
      </c>
      <c r="AG24" s="622">
        <f>(SUM(IncSCons!AD39:AG39)*0.66)/AVERAGE(BalSheet!AL39:AO39)</f>
        <v>0.17308873864841659</v>
      </c>
      <c r="AH24" s="622">
        <f>(SUM(IncSCons!AE39:AH39)*0.66)/AVERAGE(BalSheet!AM39:AP39)</f>
        <v>0.16817225458227569</v>
      </c>
      <c r="AI24" s="622">
        <f>(SUM(IncSCons!AF39:AI39)*0.66)/AVERAGE(BalSheet!AN39:AQ39)</f>
        <v>0.15459625640135943</v>
      </c>
      <c r="AJ24" s="622">
        <f>(SUM(IncSCons!AG39:AJ39)*0.66)/AVERAGE(BalSheet!AO39:AR39)</f>
        <v>0.11272572709644321</v>
      </c>
      <c r="AK24" s="622">
        <f>(SUM(IncSCons!AH39:AK39)*0.66)/AVERAGE(BalSheet!AP39:AS39)</f>
        <v>7.3883477832044436E-2</v>
      </c>
      <c r="AL24" s="622">
        <f>(SUM(IncSCons!AI39:AL39)*0.66)/AVERAGE(BalSheet!AQ39:AT39)</f>
        <v>6.4795237942711664E-2</v>
      </c>
      <c r="AM24" s="622">
        <f>(SUM(IncSCons!AJ39:AM39)*0.66)/AVERAGE(BalSheet!AR39:AU39)</f>
        <v>6.5601363755388456E-2</v>
      </c>
      <c r="AN24" s="622">
        <f>(SUM(IncSCons!AK39:AN39)*0.66)/AVERAGE(BalSheet!AS39:AV39)</f>
        <v>8.9661015720713597E-2</v>
      </c>
      <c r="AO24" s="622">
        <f>(SUM(IncSCons!AL39:AO39)*0.66)/AVERAGE(BalSheet!AT39:AW39)</f>
        <v>7.8282644638369994E-2</v>
      </c>
      <c r="AP24" s="622">
        <f>(SUM(IncSCons!AM39:AP39)*0.66)/AVERAGE(BalSheet!AU39:AX39)</f>
        <v>7.5230633780894743E-2</v>
      </c>
      <c r="AQ24" s="622">
        <f>(SUM(IncSCons!AN39:AQ39)*0.66)/AVERAGE(BalSheet!AV39:AY39)</f>
        <v>7.0254281492732593E-2</v>
      </c>
      <c r="AR24" s="622">
        <f>(SUM(IncSCons!AO39:AR39)*0.66)/AVERAGE(BalSheet!AW39:AZ39)</f>
        <v>7.5680978725645873E-2</v>
      </c>
      <c r="AS24" s="622">
        <f>(SUM(IncSCons!AP39:AS39)*0.66)/AVERAGE(BalSheet!AX39:BA39)</f>
        <v>0.10430033676218257</v>
      </c>
      <c r="AT24" s="622">
        <f>(SUM(IncSCons!AQ39:AT39)*0.66)/AVERAGE(BalSheet!AY39:BB39)</f>
        <v>0.12092536589293773</v>
      </c>
      <c r="AU24" s="622">
        <f>(SUM(IncSCons!AR39:AU39)*0.66)/AVERAGE(BalSheet!AZ39:BC39)</f>
        <v>0.12957405435898742</v>
      </c>
      <c r="AV24" s="622">
        <f>(SUM(IncSCons!AS39:AV39)*0.66)/AVERAGE(BalSheet!BA39:BD39)</f>
        <v>0.13083975558709657</v>
      </c>
      <c r="AW24" s="622">
        <f>(SUM(IncSCons!AT39:AW39)*0.66)/AVERAGE(BalSheet!BB39:BE39)</f>
        <v>0.12517244508290037</v>
      </c>
      <c r="AX24" s="622">
        <f>(SUM(IncSCons!AU39:AX39)*0.66)/AVERAGE(BalSheet!BC39:BF39)</f>
        <v>0.11999963074692341</v>
      </c>
      <c r="AY24" s="622">
        <f>(SUM(IncSCons!AV39:AY39)*0.66)/AVERAGE(BalSheet!BD39:BG39)</f>
        <v>0.12005599382262179</v>
      </c>
      <c r="AZ24" s="622">
        <f>(SUM(IncSCons!AW39:AZ39)*0.66)/AVERAGE(BalSheet!BE39:BH39)</f>
        <v>0.13109560851790447</v>
      </c>
      <c r="BA24" s="622">
        <f>(SUM(IncSCons!AX39:BA39)*0.66)/AVERAGE(BalSheet!BF39:BI39)</f>
        <v>0.15243218041219353</v>
      </c>
      <c r="BB24" s="622">
        <f>(SUM(IncSCons!AY39:BB39)*0.66)/AVERAGE(BalSheet!BG39:BJ39)</f>
        <v>0.17545519295902737</v>
      </c>
    </row>
    <row r="25" spans="1:55" x14ac:dyDescent="0.2">
      <c r="A25" s="10"/>
      <c r="B25" s="619" t="s">
        <v>109</v>
      </c>
      <c r="C25" s="852">
        <v>0</v>
      </c>
      <c r="D25" s="852">
        <v>0</v>
      </c>
      <c r="E25" s="852">
        <v>0</v>
      </c>
      <c r="F25" s="622">
        <f>SUM(IncSCons!C48:F48)/AVERAGE(BalSheet!K76:N76)</f>
        <v>0.19929597246045075</v>
      </c>
      <c r="G25" s="622">
        <f>SUM(IncSCons!D48:G48)/AVERAGE(BalSheet!L76:O76)</f>
        <v>0.1751150431122058</v>
      </c>
      <c r="H25" s="622">
        <f>SUM(IncSCons!E48:H48)/AVERAGE(BalSheet!M76:P76)</f>
        <v>0.17129390518760496</v>
      </c>
      <c r="I25" s="622">
        <f>SUM(IncSCons!F48:I48)/AVERAGE(BalSheet!N76:Q76)</f>
        <v>0.14340147814267901</v>
      </c>
      <c r="J25" s="622">
        <f>SUM(IncSCons!G48:J48)/AVERAGE(BalSheet!O76:R76)</f>
        <v>0.1185315320119622</v>
      </c>
      <c r="K25" s="622">
        <f>SUM(IncSCons!H48:K48)/AVERAGE(BalSheet!P76:S76)</f>
        <v>0.11324210025498455</v>
      </c>
      <c r="L25" s="623">
        <f>SUM(IncSCons!I48:L48)/AVERAGE(BalSheet!Q76:T76)</f>
        <v>4.6520793422733075E-2</v>
      </c>
      <c r="M25" s="622">
        <f>SUM(IncSCons!J48:M48)/AVERAGE(BalSheet!R76:U76)</f>
        <v>-7.8794698462119866E-2</v>
      </c>
      <c r="N25" s="622">
        <f>SUM(IncSCons!K48:N48)/AVERAGE(BalSheet!S76:V76)</f>
        <v>-6.1645637583892618E-2</v>
      </c>
      <c r="O25" s="622">
        <f>SUM(IncSCons!L48:O48)/AVERAGE(BalSheet!T76:W76)</f>
        <v>-4.6022519789244203E-2</v>
      </c>
      <c r="P25" s="622">
        <f>SUM(IncSCons!M48:P48)/AVERAGE(BalSheet!U76:X76)</f>
        <v>-1.5456367932652232E-2</v>
      </c>
      <c r="Q25" s="622">
        <f>SUM(IncSCons!N48:Q48)/AVERAGE(BalSheet!V76:Y76)</f>
        <v>7.3752752702499175E-2</v>
      </c>
      <c r="R25" s="622">
        <f>SUM(IncSCons!O48:R48)/AVERAGE(BalSheet!W76:Z76)</f>
        <v>2.6889882146551133E-2</v>
      </c>
      <c r="S25" s="622">
        <f>SUM(IncSCons!P48:S48)/AVERAGE(BalSheet!X76:AA76)</f>
        <v>1.4363697357680017E-3</v>
      </c>
      <c r="T25" s="622">
        <f>SUM(IncSCons!Q48:T48)/AVERAGE(BalSheet!Y76:AB76)</f>
        <v>-3.6788887234522195E-3</v>
      </c>
      <c r="U25" s="622">
        <f>SUM(IncSCons!R48:U48)/AVERAGE(BalSheet!Z76:AC76)</f>
        <v>-7.1487289567844859E-3</v>
      </c>
      <c r="V25" s="622">
        <f>SUM(IncSCons!S48:V48)/AVERAGE(BalSheet!AA76:AD76)</f>
        <v>3.7734504082390048E-2</v>
      </c>
      <c r="W25" s="622">
        <f>SUM(IncSCons!T48:W48)/AVERAGE(BalSheet!AB76:AE76)</f>
        <v>5.7114439703576818E-2</v>
      </c>
      <c r="X25" s="622">
        <f>SUM(IncSCons!U48:X48)/AVERAGE(BalSheet!AC76:AF76)</f>
        <v>0.12073728327198248</v>
      </c>
      <c r="Y25" s="622">
        <f>SUM(IncSCons!V48:Y48)/AVERAGE(BalSheet!AD76:AG76)</f>
        <v>0.14745848579343029</v>
      </c>
      <c r="Z25" s="622">
        <f>SUM(IncSCons!W48:Z48)/AVERAGE(BalSheet!AE76:AH76)</f>
        <v>0.25462845871451589</v>
      </c>
      <c r="AA25" s="622">
        <f>SUM(IncSCons!X48:AA48)/AVERAGE(BalSheet!AF76:AI76)</f>
        <v>0.26234883925036073</v>
      </c>
      <c r="AB25" s="622">
        <f>SUM(IncSCons!Y48:AB48)/AVERAGE(BalSheet!AG76:AJ76)</f>
        <v>0.26350223131742656</v>
      </c>
      <c r="AC25" s="622">
        <f>SUM(IncSCons!Z48:AC48)/AVERAGE(BalSheet!AH76:AK76)</f>
        <v>0.28871799860501807</v>
      </c>
      <c r="AD25" s="622">
        <f>SUM(IncSCons!AA48:AD48)/AVERAGE(BalSheet!AI76:AL76)</f>
        <v>0.23181309881746254</v>
      </c>
      <c r="AE25" s="622">
        <f>SUM(IncSCons!AB48:AE48)/AVERAGE(BalSheet!AJ76:AM76)</f>
        <v>0.25234109557626594</v>
      </c>
      <c r="AF25" s="622">
        <f>SUM(IncSCons!AC48:AF48)/AVERAGE(BalSheet!AK76:AN76)</f>
        <v>0.25336637878977991</v>
      </c>
      <c r="AG25" s="622">
        <f>SUM(IncSCons!AD48:AG48)/AVERAGE(BalSheet!AL76:AO76)</f>
        <v>0.35517886526832637</v>
      </c>
      <c r="AH25" s="622">
        <f>SUM(IncSCons!AE48:AH48)/AVERAGE(BalSheet!AM76:AP76)</f>
        <v>0.35596734511224037</v>
      </c>
      <c r="AI25" s="622">
        <f>SUM(IncSCons!AF48:AI48)/AVERAGE(BalSheet!AN76:AQ76)</f>
        <v>0.32977874877693797</v>
      </c>
      <c r="AJ25" s="622">
        <f>SUM(IncSCons!AG48:AJ48)/AVERAGE(BalSheet!AO76:AR76)</f>
        <v>0.25621544313531947</v>
      </c>
      <c r="AK25" s="622">
        <f>SUM(IncSCons!AH48:AK48)/AVERAGE(BalSheet!AP76:AS76)</f>
        <v>0.14840028274400327</v>
      </c>
      <c r="AL25" s="622">
        <f>SUM(IncSCons!AI48:AL48)/AVERAGE(BalSheet!AQ76:AT76)</f>
        <v>0.12101064856827377</v>
      </c>
      <c r="AM25" s="622">
        <f>SUM(IncSCons!AJ48:AM48)/AVERAGE(BalSheet!AR76:AU76)</f>
        <v>0.11998781530475172</v>
      </c>
      <c r="AN25" s="622">
        <f>SUM(IncSCons!AK48:AN48)/AVERAGE(BalSheet!AS76:AV76)</f>
        <v>0.16165963472592129</v>
      </c>
      <c r="AO25" s="622">
        <f>SUM(IncSCons!AL48:AO48)/AVERAGE(BalSheet!AT76:AW76)</f>
        <v>0.16518461095268083</v>
      </c>
      <c r="AP25" s="622">
        <f>SUM(IncSCons!AM48:AP48)/AVERAGE(BalSheet!AU76:AX76)</f>
        <v>0.16264423190929023</v>
      </c>
      <c r="AQ25" s="622">
        <f>SUM(IncSCons!AN48:AQ48)/AVERAGE(BalSheet!AV76:AY76)</f>
        <v>0.15733193487962113</v>
      </c>
      <c r="AR25" s="622">
        <f>SUM(IncSCons!AO48:AR48)/AVERAGE(BalSheet!AW76:AZ76)</f>
        <v>0.16374324812305521</v>
      </c>
      <c r="AS25" s="622">
        <f>SUM(IncSCons!AP48:AS48)/AVERAGE(BalSheet!AX76:BA76)</f>
        <v>0.18711728979875242</v>
      </c>
      <c r="AT25" s="622">
        <f>SUM(IncSCons!AQ48:AT48)/AVERAGE(BalSheet!AY76:BB76)</f>
        <v>0.21950179551969173</v>
      </c>
      <c r="AU25" s="622">
        <f>SUM(IncSCons!AR48:AU48)/AVERAGE(BalSheet!AZ76:BC76)</f>
        <v>0.23328566959845332</v>
      </c>
      <c r="AV25" s="622">
        <f>SUM(IncSCons!AS48:AV48)/AVERAGE(BalSheet!BA76:BD76)</f>
        <v>0.23822094072183758</v>
      </c>
      <c r="AW25" s="622">
        <f>SUM(IncSCons!AT48:AW48)/AVERAGE(BalSheet!BB76:BE76)</f>
        <v>0.23557491396413743</v>
      </c>
      <c r="AX25" s="622">
        <f>SUM(IncSCons!AU48:AX48)/AVERAGE(BalSheet!BC76:BF76)</f>
        <v>0.22344624579146463</v>
      </c>
      <c r="AY25" s="622">
        <f>SUM(IncSCons!AV48:AY48)/AVERAGE(BalSheet!BD76:BG76)</f>
        <v>0.22199439826591663</v>
      </c>
      <c r="AZ25" s="622">
        <f>SUM(IncSCons!AW48:AZ48)/AVERAGE(BalSheet!BE76:BH76)</f>
        <v>0.24402877713968504</v>
      </c>
      <c r="BA25" s="622">
        <f>SUM(IncSCons!AX48:BA48)/AVERAGE(BalSheet!BF76:BI76)</f>
        <v>0.27122201410607094</v>
      </c>
      <c r="BB25" s="622">
        <f>SUM(IncSCons!AY48:BB48)/AVERAGE(BalSheet!BG76:BJ76)</f>
        <v>0.30285940514764675</v>
      </c>
    </row>
    <row r="26" spans="1:55" ht="15" x14ac:dyDescent="0.25">
      <c r="A26" s="10"/>
      <c r="B26" s="619" t="s">
        <v>737</v>
      </c>
      <c r="C26" s="210">
        <v>0</v>
      </c>
      <c r="D26" s="210">
        <v>0</v>
      </c>
      <c r="E26" s="210">
        <v>0</v>
      </c>
      <c r="F26" s="210">
        <v>0</v>
      </c>
      <c r="G26" s="622">
        <f t="shared" ref="G26:N26" si="12">G27/G28</f>
        <v>0.18100700445738196</v>
      </c>
      <c r="H26" s="622">
        <f t="shared" si="12"/>
        <v>0.16692073427287987</v>
      </c>
      <c r="I26" s="622">
        <f t="shared" si="12"/>
        <v>0.15080309911835427</v>
      </c>
      <c r="J26" s="622">
        <f t="shared" si="12"/>
        <v>0.14051656288629266</v>
      </c>
      <c r="K26" s="622">
        <f t="shared" si="12"/>
        <v>0.14003708674952139</v>
      </c>
      <c r="L26" s="623">
        <f t="shared" si="12"/>
        <v>0.14594572861927085</v>
      </c>
      <c r="M26" s="622">
        <f t="shared" si="12"/>
        <v>0.14312216693182331</v>
      </c>
      <c r="N26" s="622">
        <f t="shared" si="12"/>
        <v>0.17911685151182064</v>
      </c>
      <c r="O26" s="622">
        <f t="shared" ref="O26:Z26" si="13">O27/O28</f>
        <v>0.20134856973009263</v>
      </c>
      <c r="P26" s="622">
        <f t="shared" si="13"/>
        <v>0.16801313894433623</v>
      </c>
      <c r="Q26" s="622">
        <f t="shared" si="13"/>
        <v>0.14909703500405472</v>
      </c>
      <c r="R26" s="622">
        <f t="shared" si="13"/>
        <v>7.2214162656229819E-2</v>
      </c>
      <c r="S26" s="622">
        <f t="shared" si="13"/>
        <v>5.7244757064376463E-2</v>
      </c>
      <c r="T26" s="622">
        <f t="shared" si="13"/>
        <v>6.4253918370351423E-2</v>
      </c>
      <c r="U26" s="622">
        <f t="shared" si="13"/>
        <v>7.1955554802619212E-2</v>
      </c>
      <c r="V26" s="622">
        <f t="shared" si="13"/>
        <v>0.12520680177989765</v>
      </c>
      <c r="W26" s="622">
        <f t="shared" si="13"/>
        <v>0.13933912238212409</v>
      </c>
      <c r="X26" s="622">
        <f t="shared" si="13"/>
        <v>0.15010863461840857</v>
      </c>
      <c r="Y26" s="622">
        <f t="shared" si="13"/>
        <v>0.16934563700032096</v>
      </c>
      <c r="Z26" s="622">
        <f t="shared" si="13"/>
        <v>0.2200299162295801</v>
      </c>
      <c r="AA26" s="622">
        <f t="shared" ref="AA26:AF26" si="14">AA27/AA28</f>
        <v>0.2359852586972781</v>
      </c>
      <c r="AB26" s="622">
        <f t="shared" si="14"/>
        <v>0.28076190152634428</v>
      </c>
      <c r="AC26" s="622">
        <f t="shared" si="14"/>
        <v>0.30758117395760876</v>
      </c>
      <c r="AD26" s="622">
        <f t="shared" si="14"/>
        <v>0.28864705156894621</v>
      </c>
      <c r="AE26" s="622">
        <f t="shared" si="14"/>
        <v>0.30718476086180174</v>
      </c>
      <c r="AF26" s="622">
        <f t="shared" si="14"/>
        <v>0.31333533474968595</v>
      </c>
      <c r="AG26" s="789">
        <f t="shared" ref="AG26:AL26" si="15">AG27/AG28</f>
        <v>0.38345845384067889</v>
      </c>
      <c r="AH26" s="622">
        <f t="shared" si="15"/>
        <v>0.37118706293121845</v>
      </c>
      <c r="AI26" s="622">
        <f t="shared" si="15"/>
        <v>0.33838149785337857</v>
      </c>
      <c r="AJ26" s="622">
        <f t="shared" si="15"/>
        <v>0.25891184452470239</v>
      </c>
      <c r="AK26" s="622">
        <f t="shared" si="15"/>
        <v>0.17505722453581155</v>
      </c>
      <c r="AL26" s="622">
        <f t="shared" si="15"/>
        <v>0.16347423992643662</v>
      </c>
      <c r="AM26" s="622">
        <f t="shared" ref="AM26:AR26" si="16">AM27/AM28</f>
        <v>0.17662503475525132</v>
      </c>
      <c r="AN26" s="622">
        <f t="shared" si="16"/>
        <v>0.23491928153859268</v>
      </c>
      <c r="AO26" s="622">
        <f t="shared" si="16"/>
        <v>0.20305423590565752</v>
      </c>
      <c r="AP26" s="622">
        <f t="shared" si="16"/>
        <v>0.18391796545700856</v>
      </c>
      <c r="AQ26" s="622">
        <f t="shared" si="16"/>
        <v>0.16339542313520486</v>
      </c>
      <c r="AR26" s="622">
        <f t="shared" si="16"/>
        <v>0.16559831598483518</v>
      </c>
      <c r="AS26" s="622">
        <f t="shared" ref="AS26:AX26" si="17">AS27/AS28</f>
        <v>0.21876444079447549</v>
      </c>
      <c r="AT26" s="622">
        <f t="shared" si="17"/>
        <v>0.25575808306782127</v>
      </c>
      <c r="AU26" s="622">
        <f t="shared" si="17"/>
        <v>0.27503812213449441</v>
      </c>
      <c r="AV26" s="622">
        <f t="shared" si="17"/>
        <v>0.28723870732787221</v>
      </c>
      <c r="AW26" s="622">
        <f t="shared" si="17"/>
        <v>0.28419901649520862</v>
      </c>
      <c r="AX26" s="622">
        <f t="shared" si="17"/>
        <v>0.27412751475687691</v>
      </c>
      <c r="AY26" s="622">
        <f>AY27/AY28</f>
        <v>0.27547895472990364</v>
      </c>
      <c r="AZ26" s="622">
        <f t="shared" ref="AZ26" si="18">AZ27/AZ28</f>
        <v>0.30141700704301322</v>
      </c>
      <c r="BA26" s="622">
        <f t="shared" ref="BA26:BB26" si="19">BA27/BA28</f>
        <v>0.3466265428888089</v>
      </c>
      <c r="BB26" s="622">
        <f t="shared" si="19"/>
        <v>0.39462092540627164</v>
      </c>
      <c r="BC26" s="1242"/>
    </row>
    <row r="27" spans="1:55" x14ac:dyDescent="0.2">
      <c r="A27" s="10"/>
      <c r="B27" s="620" t="s">
        <v>736</v>
      </c>
      <c r="C27" s="210">
        <v>0</v>
      </c>
      <c r="D27" s="210">
        <v>0</v>
      </c>
      <c r="E27" s="210">
        <v>0</v>
      </c>
      <c r="F27" s="210">
        <v>0</v>
      </c>
      <c r="G27" s="118">
        <f>SUM(IncS!I19:L19)*(1-34%)/1000</f>
        <v>87.551639999999992</v>
      </c>
      <c r="H27" s="118">
        <f>SUM(IncS!J19:M19)*(1-34%)/1000</f>
        <v>83.31113999999998</v>
      </c>
      <c r="I27" s="118">
        <f>SUM(IncS!K19:N19)*(1-34%)/1000</f>
        <v>77.612700000000004</v>
      </c>
      <c r="J27" s="118">
        <f>SUM(IncS!L19:O19)*(1-34%)/1000</f>
        <v>73.092359999999985</v>
      </c>
      <c r="K27" s="118">
        <f>SUM(IncS!M19:P19)*(1-34%)/1000</f>
        <v>73.423019999999994</v>
      </c>
      <c r="L27" s="161">
        <f>SUM(IncS!N19:Q19)*(1-34%)/1000</f>
        <v>73.507499999999979</v>
      </c>
      <c r="M27" s="118">
        <f>SUM(IncS!O19:R19)*(1-34%)/1000</f>
        <v>70.394279999999981</v>
      </c>
      <c r="N27" s="118">
        <f>SUM(IncS!P19:S19)*(1-34%)/1000</f>
        <v>85.672619999999995</v>
      </c>
      <c r="O27" s="118">
        <f>SUM(IncS!Q19:T19)*(1-34%)/1000</f>
        <v>90.095279999999974</v>
      </c>
      <c r="P27" s="118">
        <f>SUM(IncS!R19:U19)*(1-34%)/1000</f>
        <v>74.806379999999947</v>
      </c>
      <c r="Q27" s="118">
        <f>SUM(IncS!S19:V19)*(1-34%)/1000</f>
        <v>61.772690766599922</v>
      </c>
      <c r="R27" s="118">
        <f>SUM(IncS!T19:W19)*(1-34%)/1000</f>
        <v>27.894110448599903</v>
      </c>
      <c r="S27" s="118">
        <f>SUM(IncS!U19:X19)*(1-34%)/1000</f>
        <v>20.944597225199935</v>
      </c>
      <c r="T27" s="118">
        <f>SUM(IncS!V19:Y19)*(1-34%)/1000</f>
        <v>21.603436370999962</v>
      </c>
      <c r="U27" s="118">
        <f>SUM(IncS!W19:Z19)*(1-34%)/1000</f>
        <v>23.076146425199983</v>
      </c>
      <c r="V27" s="118">
        <f>SUM(IncS!X19:AA19)*(1-34%)/1000</f>
        <v>38.851514083800019</v>
      </c>
      <c r="W27" s="118">
        <f>SUM(IncS!Y19:AB19)*(1-34%)/1000</f>
        <v>43.376547475799995</v>
      </c>
      <c r="X27" s="118">
        <f>SUM(IncS!Z19:AC19)*(1-34%)/1000</f>
        <v>46.985338553999959</v>
      </c>
      <c r="Y27" s="118">
        <f>SUM(IncS!AA19:AD19)*(1-34%)/1000</f>
        <v>53.469496139400007</v>
      </c>
      <c r="Z27" s="118">
        <f>SUM(IncS!AB19:AE19)*(1-34%)/1000</f>
        <v>72.251454481799954</v>
      </c>
      <c r="AA27" s="118">
        <f>SUM(IncS!AC19:AF19)*(1-34%)/1000</f>
        <v>77.65219994399996</v>
      </c>
      <c r="AB27" s="118">
        <f>SUM(IncS!AD19:AG19)*(1-34%)/1000</f>
        <v>92.921281714799932</v>
      </c>
      <c r="AC27" s="118">
        <f>SUM(IncS!AE19:AH19)*(1-34%)/1000</f>
        <v>104.63650094039987</v>
      </c>
      <c r="AD27" s="118">
        <f>SUM(IncS!AF19:AI19)*(1-34%)/1000</f>
        <v>101.00922138779993</v>
      </c>
      <c r="AE27" s="118">
        <f>SUM(IncS!AG19:AJ19)*(1-34%)/1000</f>
        <v>112.94308180319992</v>
      </c>
      <c r="AF27" s="118">
        <f>SUM(IncS!AH19:AK19)*(1-34%)/1000</f>
        <v>119.25605507639999</v>
      </c>
      <c r="AG27" s="118">
        <f>SUM(IncS!AI19:AL19,)*(1-34%)/1000</f>
        <v>155.15342575920013</v>
      </c>
      <c r="AH27" s="118">
        <f>SUM(IncS!AJ19:AM19,)*(1-34%)/1000</f>
        <v>158.14545451980013</v>
      </c>
      <c r="AI27" s="118">
        <f>SUM(IncS!AK19:AN19)*(1-34%)/1000</f>
        <v>148.98818916960008</v>
      </c>
      <c r="AJ27" s="118">
        <f>(SUM(IncS!AL19:AO19)-Attachments!E42*0)*(1-34%)/1000</f>
        <v>112.69500509520005</v>
      </c>
      <c r="AK27" s="118">
        <f>(SUM(IncS!AM19:AP19))*(1-34%)/1000</f>
        <v>74.439846175199946</v>
      </c>
      <c r="AL27" s="118">
        <f>(SUM(IncS!AN19:AQ19))*(1-34%)/1000</f>
        <v>65.955643789199968</v>
      </c>
      <c r="AM27" s="118">
        <f>(SUM(IncS!AO19:AR19))*(1-34%)/1000</f>
        <v>68.253609586799953</v>
      </c>
      <c r="AN27" s="118">
        <f>(SUM(IncS!AP19:AS19))*(1-34%)/1000</f>
        <v>92.939059811399943</v>
      </c>
      <c r="AO27" s="118">
        <f>(SUM(IncS!AQ19:AT19))*(1-34%)/1000</f>
        <v>80.804265616799952</v>
      </c>
      <c r="AP27" s="118">
        <f>(SUM(IncS!AR19:AU19))*(1-34%)/1000</f>
        <v>77.989585621199907</v>
      </c>
      <c r="AQ27" s="118">
        <f>(SUM(IncS!AS19:AV19))*(1-34%)/1000</f>
        <v>72.29344714019993</v>
      </c>
      <c r="AR27" s="118">
        <f>(SUM(IncS!AT19:AW19))*(1-34%)/1000</f>
        <v>77.073679016399893</v>
      </c>
      <c r="AS27" s="118">
        <f>(SUM(IncS!AU19:AX19))*(1-34%)/1000</f>
        <v>106.77793911179991</v>
      </c>
      <c r="AT27" s="118">
        <f>(SUM(IncS!AV19:AY19))*(1-34%)/1000</f>
        <v>125.80228589939992</v>
      </c>
      <c r="AU27" s="118">
        <f>(SUM(IncS!AW19:AZ19))*(1-34%)/1000</f>
        <v>138.10310451959981</v>
      </c>
      <c r="AV27" s="118">
        <f>(SUM(IncS!AX19:BA19))*(1-34%)/1000</f>
        <v>144.15103251119996</v>
      </c>
      <c r="AW27" s="118">
        <f>(SUM(IncS!AY19:BB19))*(1-34%)/1000</f>
        <v>141.99605980560003</v>
      </c>
      <c r="AX27" s="118">
        <f>(SUM(IncS!AZ19:BC19))*(1-34%)/1000</f>
        <v>138.78692293620017</v>
      </c>
      <c r="AY27" s="118">
        <f>(SUM(IncS!BA19:BD19))*(1-34%)/1000</f>
        <v>141.58626548880017</v>
      </c>
      <c r="AZ27" s="118">
        <f>(SUM(IncS!BB19:BE19))*(1-34%)/1000</f>
        <v>159.15413270460004</v>
      </c>
      <c r="BA27" s="118">
        <f>(SUM(IncS!BC19:BF19))*(1-34%)/1000</f>
        <v>189.68530963140009</v>
      </c>
      <c r="BB27" s="118">
        <f>(SUM(IncS!BD19:BG19))*(1-34%)/1000</f>
        <v>224.02333969619986</v>
      </c>
    </row>
    <row r="28" spans="1:55" x14ac:dyDescent="0.2">
      <c r="A28" s="10"/>
      <c r="B28" s="620" t="s">
        <v>1133</v>
      </c>
      <c r="C28" s="210">
        <v>0</v>
      </c>
      <c r="D28" s="210">
        <v>0</v>
      </c>
      <c r="E28" s="210">
        <v>0</v>
      </c>
      <c r="F28" s="210">
        <v>0</v>
      </c>
      <c r="G28" s="118">
        <f>(G29+G30-G31)</f>
        <v>483.69200000000001</v>
      </c>
      <c r="H28" s="118">
        <f t="shared" ref="H28:Z28" si="20">(H29+H30-H31)</f>
        <v>499.10599999999999</v>
      </c>
      <c r="I28" s="118">
        <f t="shared" si="20"/>
        <v>514.66250000000002</v>
      </c>
      <c r="J28" s="118">
        <f t="shared" si="20"/>
        <v>520.1690000000001</v>
      </c>
      <c r="K28" s="118">
        <f t="shared" si="20"/>
        <v>524.31124999999997</v>
      </c>
      <c r="L28" s="161">
        <f t="shared" si="20"/>
        <v>503.66325000000006</v>
      </c>
      <c r="M28" s="118">
        <f t="shared" si="20"/>
        <v>491.84750000000008</v>
      </c>
      <c r="N28" s="118">
        <f t="shared" si="20"/>
        <v>478.30574999999999</v>
      </c>
      <c r="O28" s="118">
        <f t="shared" si="20"/>
        <v>447.45925000000011</v>
      </c>
      <c r="P28" s="118">
        <f t="shared" si="20"/>
        <v>445.24125000000004</v>
      </c>
      <c r="Q28" s="118">
        <f t="shared" si="20"/>
        <v>414.31200000000001</v>
      </c>
      <c r="R28" s="118">
        <f t="shared" si="20"/>
        <v>386.26925000000006</v>
      </c>
      <c r="S28" s="118">
        <f t="shared" si="20"/>
        <v>365.87800000000004</v>
      </c>
      <c r="T28" s="118">
        <f t="shared" si="20"/>
        <v>336.21974999999998</v>
      </c>
      <c r="U28" s="118">
        <f t="shared" si="20"/>
        <v>320.70000000000005</v>
      </c>
      <c r="V28" s="118">
        <f t="shared" si="20"/>
        <v>310.29875000000004</v>
      </c>
      <c r="W28" s="118">
        <f t="shared" si="20"/>
        <v>311.30200000000002</v>
      </c>
      <c r="X28" s="118">
        <f t="shared" si="20"/>
        <v>313.00889967750004</v>
      </c>
      <c r="Y28" s="118">
        <f t="shared" si="20"/>
        <v>315.74179935500001</v>
      </c>
      <c r="Z28" s="118">
        <f t="shared" si="20"/>
        <v>328.37104935499997</v>
      </c>
      <c r="AA28" s="118">
        <f t="shared" ref="AA28:AF28" si="21">(AA29+AA30-AA31)</f>
        <v>329.05529935499999</v>
      </c>
      <c r="AB28" s="118">
        <f t="shared" si="21"/>
        <v>330.96114967749998</v>
      </c>
      <c r="AC28" s="118">
        <f t="shared" si="21"/>
        <v>340.19150000000002</v>
      </c>
      <c r="AD28" s="118">
        <f t="shared" si="21"/>
        <v>349.94024999999999</v>
      </c>
      <c r="AE28" s="118">
        <f t="shared" si="21"/>
        <v>367.67149999999992</v>
      </c>
      <c r="AF28" s="118">
        <f t="shared" si="21"/>
        <v>380.60200000000009</v>
      </c>
      <c r="AG28" s="118">
        <f t="shared" ref="AG28:AL28" si="22">(AG29+AG30-AG31)</f>
        <v>404.61599999999999</v>
      </c>
      <c r="AH28" s="118">
        <f t="shared" si="22"/>
        <v>426.05324999999993</v>
      </c>
      <c r="AI28" s="118">
        <f t="shared" si="22"/>
        <v>440.29649999999992</v>
      </c>
      <c r="AJ28" s="118">
        <f t="shared" si="22"/>
        <v>435.2639999999999</v>
      </c>
      <c r="AK28" s="118">
        <f t="shared" si="22"/>
        <v>425.23149999999998</v>
      </c>
      <c r="AL28" s="118">
        <f t="shared" si="22"/>
        <v>403.46199999999999</v>
      </c>
      <c r="AM28" s="118">
        <f t="shared" ref="AM28:AR28" si="23">(AM29+AM30-AM31)</f>
        <v>386.43224999999995</v>
      </c>
      <c r="AN28" s="118">
        <f t="shared" si="23"/>
        <v>395.62124999999992</v>
      </c>
      <c r="AO28" s="118">
        <f t="shared" si="23"/>
        <v>397.94425000000001</v>
      </c>
      <c r="AP28" s="118">
        <f t="shared" si="23"/>
        <v>424.04549999999995</v>
      </c>
      <c r="AQ28" s="118">
        <f t="shared" si="23"/>
        <v>442.44475</v>
      </c>
      <c r="AR28" s="118">
        <f t="shared" si="23"/>
        <v>465.42549999999994</v>
      </c>
      <c r="AS28" s="118">
        <f t="shared" ref="AS28:AX28" si="24">(AS29+AS30-AS31)</f>
        <v>488.09550000000002</v>
      </c>
      <c r="AT28" s="118">
        <f t="shared" si="24"/>
        <v>491.88</v>
      </c>
      <c r="AU28" s="118">
        <f t="shared" si="24"/>
        <v>502.12350000000004</v>
      </c>
      <c r="AV28" s="118">
        <f t="shared" si="24"/>
        <v>501.85099999999989</v>
      </c>
      <c r="AW28" s="118">
        <f t="shared" si="24"/>
        <v>499.63599999999985</v>
      </c>
      <c r="AX28" s="118">
        <f t="shared" si="24"/>
        <v>506.28599999999994</v>
      </c>
      <c r="AY28" s="118">
        <f>(AY29+AY30-AY31)</f>
        <v>513.96399999999994</v>
      </c>
      <c r="AZ28" s="118">
        <f t="shared" ref="AZ28" si="25">(AZ29+AZ30-AZ31)</f>
        <v>528.01974999999993</v>
      </c>
      <c r="BA28" s="118">
        <f t="shared" ref="BA28:BB28" si="26">(BA29+BA30-BA31)</f>
        <v>547.23249999999996</v>
      </c>
      <c r="BB28" s="118">
        <f t="shared" si="26"/>
        <v>567.6925</v>
      </c>
    </row>
    <row r="29" spans="1:55" x14ac:dyDescent="0.2">
      <c r="A29" s="10"/>
      <c r="B29" s="621" t="s">
        <v>733</v>
      </c>
      <c r="C29" s="210">
        <v>0</v>
      </c>
      <c r="D29" s="210">
        <v>0</v>
      </c>
      <c r="E29" s="210">
        <v>0</v>
      </c>
      <c r="F29" s="210">
        <v>0</v>
      </c>
      <c r="G29" s="259">
        <f t="shared" ref="G29:AK29" si="27">AVERAGE(D14:G14)/1000</f>
        <v>226.7955</v>
      </c>
      <c r="H29" s="259">
        <f t="shared" si="27"/>
        <v>239.9735</v>
      </c>
      <c r="I29" s="259">
        <f t="shared" si="27"/>
        <v>255.72475</v>
      </c>
      <c r="J29" s="259">
        <f t="shared" si="27"/>
        <v>266.86225000000002</v>
      </c>
      <c r="K29" s="259">
        <f t="shared" si="27"/>
        <v>277.32799999999997</v>
      </c>
      <c r="L29" s="259">
        <f t="shared" si="27"/>
        <v>266.69125000000003</v>
      </c>
      <c r="M29" s="259">
        <f t="shared" si="27"/>
        <v>273.41075000000001</v>
      </c>
      <c r="N29" s="259">
        <f t="shared" si="27"/>
        <v>269.72975000000002</v>
      </c>
      <c r="O29" s="259">
        <f t="shared" si="27"/>
        <v>247.17025000000001</v>
      </c>
      <c r="P29" s="259">
        <f t="shared" si="27"/>
        <v>246.27275</v>
      </c>
      <c r="Q29" s="259">
        <f t="shared" si="27"/>
        <v>209.7345</v>
      </c>
      <c r="R29" s="259">
        <f t="shared" si="27"/>
        <v>180.87524999999999</v>
      </c>
      <c r="S29" s="259">
        <f t="shared" si="27"/>
        <v>162.24600000000001</v>
      </c>
      <c r="T29" s="259">
        <f t="shared" si="27"/>
        <v>134.84800000000001</v>
      </c>
      <c r="U29" s="259">
        <f t="shared" si="27"/>
        <v>120.6005</v>
      </c>
      <c r="V29" s="259">
        <f t="shared" si="27"/>
        <v>107.77075000000001</v>
      </c>
      <c r="W29" s="259">
        <f t="shared" si="27"/>
        <v>104.33750000000001</v>
      </c>
      <c r="X29" s="259">
        <f t="shared" si="27"/>
        <v>96.198499999999996</v>
      </c>
      <c r="Y29" s="259">
        <f t="shared" si="27"/>
        <v>89.911749999999998</v>
      </c>
      <c r="Z29" s="259">
        <f t="shared" si="27"/>
        <v>83.767499999999998</v>
      </c>
      <c r="AA29" s="259">
        <f t="shared" si="27"/>
        <v>67.083500000000001</v>
      </c>
      <c r="AB29" s="259">
        <f t="shared" si="27"/>
        <v>58.734250000000003</v>
      </c>
      <c r="AC29" s="259">
        <f t="shared" si="27"/>
        <v>55.304499999999997</v>
      </c>
      <c r="AD29" s="259">
        <f t="shared" si="27"/>
        <v>55.53</v>
      </c>
      <c r="AE29" s="259">
        <f t="shared" si="27"/>
        <v>57.03725</v>
      </c>
      <c r="AF29" s="259">
        <f t="shared" si="27"/>
        <v>50.649250000000002</v>
      </c>
      <c r="AG29" s="259">
        <f t="shared" si="27"/>
        <v>42.41</v>
      </c>
      <c r="AH29" s="259">
        <f t="shared" si="27"/>
        <v>41.170499999999997</v>
      </c>
      <c r="AI29" s="259">
        <f t="shared" si="27"/>
        <v>34.382249999999999</v>
      </c>
      <c r="AJ29" s="259">
        <f t="shared" si="27"/>
        <v>10.787750000000001</v>
      </c>
      <c r="AK29" s="259">
        <f t="shared" si="27"/>
        <v>-9.7977500000000006</v>
      </c>
      <c r="AL29" s="259">
        <f t="shared" ref="AL29:AX29" si="28">AVERAGE(AI14:AL14)/1000</f>
        <v>-43.963250000000002</v>
      </c>
      <c r="AM29" s="259">
        <f t="shared" si="28"/>
        <v>-73.438000000000002</v>
      </c>
      <c r="AN29" s="259">
        <f t="shared" si="28"/>
        <v>-80.865499999999997</v>
      </c>
      <c r="AO29" s="259">
        <f t="shared" si="28"/>
        <v>-90.714250000000007</v>
      </c>
      <c r="AP29" s="259">
        <f t="shared" si="28"/>
        <v>-78.630750000000006</v>
      </c>
      <c r="AQ29" s="259">
        <f t="shared" si="28"/>
        <v>-73.864249999999998</v>
      </c>
      <c r="AR29" s="259">
        <f t="shared" si="28"/>
        <v>-63.638249999999999</v>
      </c>
      <c r="AS29" s="259">
        <f t="shared" si="28"/>
        <v>-57.904499999999999</v>
      </c>
      <c r="AT29" s="259">
        <f t="shared" si="28"/>
        <v>-75.483750000000001</v>
      </c>
      <c r="AU29" s="259">
        <f t="shared" si="28"/>
        <v>-90.59075</v>
      </c>
      <c r="AV29" s="259">
        <f t="shared" si="28"/>
        <v>-114.2055</v>
      </c>
      <c r="AW29" s="259">
        <f t="shared" si="28"/>
        <v>-137.209</v>
      </c>
      <c r="AX29" s="259">
        <f t="shared" si="28"/>
        <v>-147.80425</v>
      </c>
      <c r="AY29" s="259">
        <f>AVERAGE(AV14:AY14)/1000</f>
        <v>-158.02850000000001</v>
      </c>
      <c r="AZ29" s="259">
        <f t="shared" ref="AZ29" si="29">AVERAGE(AW14:AZ14)/1000</f>
        <v>-165.79474999999999</v>
      </c>
      <c r="BA29" s="259">
        <f t="shared" ref="BA29" si="30">AVERAGE(AX14:BA14)/1000</f>
        <v>-164.70050000000001</v>
      </c>
      <c r="BB29" s="259">
        <f t="shared" ref="BB29" si="31">AVERAGE(AY14:BB14)/1000</f>
        <v>-165.80025000000001</v>
      </c>
    </row>
    <row r="30" spans="1:55" x14ac:dyDescent="0.2">
      <c r="A30" s="10"/>
      <c r="B30" s="621" t="s">
        <v>734</v>
      </c>
      <c r="C30" s="210">
        <v>0</v>
      </c>
      <c r="D30" s="210">
        <v>0</v>
      </c>
      <c r="E30" s="210">
        <v>0</v>
      </c>
      <c r="F30" s="210">
        <v>0</v>
      </c>
      <c r="G30" s="259">
        <f>AVERAGE(BalSheet!L76:'BalSheet'!O76)/1000</f>
        <v>420.82049999999998</v>
      </c>
      <c r="H30" s="259">
        <f>AVERAGE(BalSheet!M76:'BalSheet'!P76)/1000</f>
        <v>423.05650000000003</v>
      </c>
      <c r="I30" s="259">
        <f>AVERAGE(BalSheet!N76:'BalSheet'!Q76)/1000</f>
        <v>422.86174999999997</v>
      </c>
      <c r="J30" s="259">
        <f>AVERAGE(BalSheet!O76:'BalSheet'!R76)/1000</f>
        <v>417.23075</v>
      </c>
      <c r="K30" s="259">
        <f>AVERAGE(BalSheet!P76:'BalSheet'!S76)/1000</f>
        <v>410.90724999999998</v>
      </c>
      <c r="L30" s="259">
        <f>AVERAGE(BalSheet!Q76:'BalSheet'!T76)/1000</f>
        <v>400.89600000000002</v>
      </c>
      <c r="M30" s="259">
        <f>AVERAGE(BalSheet!R76:'BalSheet'!U76)/1000</f>
        <v>382.36075</v>
      </c>
      <c r="N30" s="259">
        <f>AVERAGE(BalSheet!S76:'BalSheet'!V76)/1000</f>
        <v>372.5</v>
      </c>
      <c r="O30" s="259">
        <f>AVERAGE(BalSheet!T76:'BalSheet'!W76)/1000</f>
        <v>364.21300000000002</v>
      </c>
      <c r="P30" s="259">
        <f>AVERAGE(BalSheet!U76:'BalSheet'!X76)/1000</f>
        <v>362.89249999999998</v>
      </c>
      <c r="Q30" s="259">
        <f>AVERAGE(BalSheet!V76:'BalSheet'!Y76)/1000</f>
        <v>368.50150000000002</v>
      </c>
      <c r="R30" s="259">
        <f>AVERAGE(BalSheet!W76:'BalSheet'!Z76)/1000</f>
        <v>369.31799999999998</v>
      </c>
      <c r="S30" s="259">
        <f>AVERAGE(BalSheet!X76:'BalSheet'!AA76)/1000</f>
        <v>367.55599999999998</v>
      </c>
      <c r="T30" s="259">
        <f>AVERAGE(BalSheet!Y76:'BalSheet'!AB76)/1000</f>
        <v>365.29575</v>
      </c>
      <c r="U30" s="259">
        <f>AVERAGE(BalSheet!Z76:'BalSheet'!AC76)/1000</f>
        <v>364.02350000000001</v>
      </c>
      <c r="V30" s="259">
        <f>AVERAGE(BalSheet!AA76:'BalSheet'!AD76)/1000</f>
        <v>366.452</v>
      </c>
      <c r="W30" s="259">
        <f>AVERAGE(BalSheet!AB76:'BalSheet'!AE76)/1000</f>
        <v>370.88850000000002</v>
      </c>
      <c r="X30" s="259">
        <f>AVERAGE(BalSheet!AC76:'BalSheet'!AF76)/1000</f>
        <v>380.39325000000002</v>
      </c>
      <c r="Y30" s="259">
        <f>AVERAGE(BalSheet!AD76:'BalSheet'!AG76)/1000</f>
        <v>389.07175000000001</v>
      </c>
      <c r="Z30" s="259">
        <f>AVERAGE(BalSheet!AE76:'BalSheet'!AH76)/1000</f>
        <v>407.50400000000002</v>
      </c>
      <c r="AA30" s="259">
        <f>AVERAGE(BalSheet!AF76:'BalSheet'!AI76)/1000</f>
        <v>428.07249999999999</v>
      </c>
      <c r="AB30" s="259">
        <f>AVERAGE(BalSheet!AG76:'BalSheet'!AJ76)/1000</f>
        <v>441.86900000000003</v>
      </c>
      <c r="AC30" s="259">
        <f>AVERAGE(BalSheet!AH76:'BalSheet'!AK76)/1000</f>
        <v>458.07049999999998</v>
      </c>
      <c r="AD30" s="259">
        <f>AVERAGE(BalSheet!AI76:'BalSheet'!AL76)/1000</f>
        <v>466.96199999999999</v>
      </c>
      <c r="AE30" s="259">
        <f>AVERAGE(BalSheet!AJ76:'BalSheet'!AM76)/1000</f>
        <v>479.01274999999998</v>
      </c>
      <c r="AF30" s="259">
        <f>AVERAGE(BalSheet!AK76:'BalSheet'!AN76)/1000</f>
        <v>494.15800000000002</v>
      </c>
      <c r="AG30" s="259">
        <f>AVERAGE(BalSheet!AL76:'BalSheet'!AO76)/1000</f>
        <v>522.23800000000006</v>
      </c>
      <c r="AH30" s="259">
        <f>AVERAGE(BalSheet!AM76:'BalSheet'!AP76)/1000</f>
        <v>544.91475000000003</v>
      </c>
      <c r="AI30" s="259">
        <f>AVERAGE(BalSheet!AN76:'BalSheet'!AQ76)/1000</f>
        <v>565.94624999999996</v>
      </c>
      <c r="AJ30" s="259">
        <f>AVERAGE(BalSheet!AO76:'BalSheet'!AR76)/1000</f>
        <v>584.50824999999998</v>
      </c>
      <c r="AK30" s="259">
        <f>AVERAGE(BalSheet!AP76:'BalSheet'!AS76)/1000</f>
        <v>595.06124999999997</v>
      </c>
      <c r="AL30" s="259">
        <f>AVERAGE(BalSheet!AQ76:'BalSheet'!AT76)/1000</f>
        <v>607.45725000000004</v>
      </c>
      <c r="AM30" s="259">
        <f>AVERAGE(BalSheet!AR76:'BalSheet'!AU76)/1000</f>
        <v>619.90224999999998</v>
      </c>
      <c r="AN30" s="259">
        <f>AVERAGE(BalSheet!AS76:'BalSheet'!AV76)/1000</f>
        <v>636.51874999999995</v>
      </c>
      <c r="AO30" s="259">
        <f>AVERAGE(BalSheet!AT76:'BalSheet'!AW76)/1000</f>
        <v>648.69050000000004</v>
      </c>
      <c r="AP30" s="259">
        <f>AVERAGE(BalSheet!AU76:'BalSheet'!AX76)/1000</f>
        <v>662.70825000000002</v>
      </c>
      <c r="AQ30" s="259">
        <f>AVERAGE(BalSheet!AV76:'BalSheet'!AY76)/1000</f>
        <v>676.34100000000001</v>
      </c>
      <c r="AR30" s="259">
        <f>AVERAGE(BalSheet!AW76:'BalSheet'!AZ76)/1000</f>
        <v>689.09574999999995</v>
      </c>
      <c r="AS30" s="259">
        <f>AVERAGE(BalSheet!AX76:'BalSheet'!BA76)/1000</f>
        <v>706.03200000000004</v>
      </c>
      <c r="AT30" s="259">
        <f>AVERAGE(BalSheet!AY76:'BalSheet'!BB76)/1000</f>
        <v>727.39575000000002</v>
      </c>
      <c r="AU30" s="259">
        <f>AVERAGE(BalSheet!AZ76:'BalSheet'!BC76)/1000</f>
        <v>752.74625000000003</v>
      </c>
      <c r="AV30" s="259">
        <f>AVERAGE(BalSheet!BA76:'BalSheet'!BD76)/1000</f>
        <v>776.08849999999995</v>
      </c>
      <c r="AW30" s="259">
        <f>AVERAGE(BalSheet!BB76:'BalSheet'!BE76)/1000</f>
        <v>796.87699999999995</v>
      </c>
      <c r="AX30" s="259">
        <f>AVERAGE(BalSheet!BC76:'BalSheet'!BF76)/1000</f>
        <v>814.12225000000001</v>
      </c>
      <c r="AY30" s="259">
        <f>AVERAGE(BalSheet!BD76:'BalSheet'!BG76)/1000</f>
        <v>832.02449999999999</v>
      </c>
      <c r="AZ30" s="259">
        <f>AVERAGE(BalSheet!BE76:'BalSheet'!BH76)/1000</f>
        <v>853.84649999999999</v>
      </c>
      <c r="BA30" s="259">
        <f>AVERAGE(BalSheet!BF76:'BalSheet'!BI76)/1000</f>
        <v>871.96500000000003</v>
      </c>
      <c r="BB30" s="259">
        <f>AVERAGE(BalSheet!BG76:'BalSheet'!BJ76)/1000</f>
        <v>893.52475000000004</v>
      </c>
    </row>
    <row r="31" spans="1:55" x14ac:dyDescent="0.2">
      <c r="A31" s="10"/>
      <c r="B31" s="621" t="s">
        <v>735</v>
      </c>
      <c r="C31" s="210">
        <v>0</v>
      </c>
      <c r="D31" s="210">
        <v>0</v>
      </c>
      <c r="E31" s="210">
        <v>0</v>
      </c>
      <c r="F31" s="210">
        <v>0</v>
      </c>
      <c r="G31" s="259">
        <f>163924/1000</f>
        <v>163.92400000000001</v>
      </c>
      <c r="H31" s="259">
        <f t="shared" ref="H31:V31" si="32">163924/1000</f>
        <v>163.92400000000001</v>
      </c>
      <c r="I31" s="259">
        <f t="shared" si="32"/>
        <v>163.92400000000001</v>
      </c>
      <c r="J31" s="259">
        <f t="shared" si="32"/>
        <v>163.92400000000001</v>
      </c>
      <c r="K31" s="259">
        <f t="shared" si="32"/>
        <v>163.92400000000001</v>
      </c>
      <c r="L31" s="260">
        <f t="shared" si="32"/>
        <v>163.92400000000001</v>
      </c>
      <c r="M31" s="259">
        <f t="shared" si="32"/>
        <v>163.92400000000001</v>
      </c>
      <c r="N31" s="259">
        <f t="shared" si="32"/>
        <v>163.92400000000001</v>
      </c>
      <c r="O31" s="259">
        <f t="shared" si="32"/>
        <v>163.92400000000001</v>
      </c>
      <c r="P31" s="259">
        <f t="shared" si="32"/>
        <v>163.92400000000001</v>
      </c>
      <c r="Q31" s="259">
        <f t="shared" si="32"/>
        <v>163.92400000000001</v>
      </c>
      <c r="R31" s="259">
        <f t="shared" si="32"/>
        <v>163.92400000000001</v>
      </c>
      <c r="S31" s="259">
        <f t="shared" si="32"/>
        <v>163.92400000000001</v>
      </c>
      <c r="T31" s="259">
        <f t="shared" si="32"/>
        <v>163.92400000000001</v>
      </c>
      <c r="U31" s="259">
        <f t="shared" si="32"/>
        <v>163.92400000000001</v>
      </c>
      <c r="V31" s="259">
        <f t="shared" si="32"/>
        <v>163.92400000000001</v>
      </c>
      <c r="W31" s="259">
        <f>AVERAGE('Intangible Assets'!CR40:CU40)/1000</f>
        <v>163.92400000000001</v>
      </c>
      <c r="X31" s="259">
        <f>AVERAGE('Intangible Assets'!CS40:CV40)/1000</f>
        <v>163.58285032249998</v>
      </c>
      <c r="Y31" s="259">
        <f>AVERAGE('Intangible Assets'!CT40:CW40)/1000</f>
        <v>163.24170064500001</v>
      </c>
      <c r="Z31" s="259">
        <f>AVERAGE('Intangible Assets'!CU40:CX40)/1000</f>
        <v>162.90045064500001</v>
      </c>
      <c r="AA31" s="259">
        <f>AVERAGE('Intangible Assets'!CV40:CY40)/1000</f>
        <v>166.10070064500002</v>
      </c>
      <c r="AB31" s="259">
        <f>AVERAGE('Intangible Assets'!CW40:CZ40)/1000</f>
        <v>169.6421003225</v>
      </c>
      <c r="AC31" s="259">
        <f>AVERAGE('Intangible Assets'!CX40:DA40)/1000</f>
        <v>173.18350000000001</v>
      </c>
      <c r="AD31" s="259">
        <f>AVERAGE('Intangible Assets'!CY40:DB40)/1000</f>
        <v>172.55175</v>
      </c>
      <c r="AE31" s="259">
        <f>AVERAGE('Intangible Assets'!CZ40:DC40)/1000</f>
        <v>168.3785</v>
      </c>
      <c r="AF31" s="259">
        <f>AVERAGE('Intangible Assets'!DA40:DD40)/1000</f>
        <v>164.20525000000001</v>
      </c>
      <c r="AG31" s="259">
        <f>AVERAGE('Intangible Assets'!DE40:DH40)/1000</f>
        <v>160.03200000000001</v>
      </c>
      <c r="AH31" s="259">
        <f>AVERAGE('Intangible Assets'!DF40:DI40)/1000</f>
        <v>160.03200000000001</v>
      </c>
      <c r="AI31" s="259">
        <f>AVERAGE('Intangible Assets'!DG40:DJ40)/1000</f>
        <v>160.03200000000001</v>
      </c>
      <c r="AJ31" s="259">
        <f>AVERAGE('Intangible Assets'!DH40:DK40)/1000</f>
        <v>160.03200000000001</v>
      </c>
      <c r="AK31" s="259">
        <f>AVERAGE('Intangible Assets'!DI40:DL40)/1000</f>
        <v>160.03200000000001</v>
      </c>
      <c r="AL31" s="259">
        <f>AVERAGE('Intangible Assets'!DJ40:DM40)/1000</f>
        <v>160.03200000000001</v>
      </c>
      <c r="AM31" s="259">
        <f>AVERAGE('Intangible Assets'!DK40:DN40)/1000</f>
        <v>160.03200000000001</v>
      </c>
      <c r="AN31" s="259">
        <f>AVERAGE('Intangible Assets'!DL40:DO40)/1000</f>
        <v>160.03200000000001</v>
      </c>
      <c r="AO31" s="259">
        <f>AVERAGE('Intangible Assets'!DM40:DP40)/1000</f>
        <v>160.03200000000001</v>
      </c>
      <c r="AP31" s="259">
        <f>AVERAGE('Intangible Assets'!DN40:DQ40)/1000</f>
        <v>160.03200000000001</v>
      </c>
      <c r="AQ31" s="259">
        <f>AVERAGE('Intangible Assets'!DO40:DR40)/1000</f>
        <v>160.03200000000001</v>
      </c>
      <c r="AR31" s="259">
        <f>AVERAGE('Intangible Assets'!DP40:DS40)/1000</f>
        <v>160.03200000000001</v>
      </c>
      <c r="AS31" s="259">
        <f>AVERAGE('Intangible Assets'!DQ40:DT40)/1000</f>
        <v>160.03200000000001</v>
      </c>
      <c r="AT31" s="259">
        <f>AVERAGE('Intangible Assets'!DR40:DU40)/1000</f>
        <v>160.03200000000001</v>
      </c>
      <c r="AU31" s="259">
        <f>AVERAGE('Intangible Assets'!DS40:DV40)/1000</f>
        <v>160.03200000000001</v>
      </c>
      <c r="AV31" s="259">
        <f>AVERAGE('Intangible Assets'!DT40:DW40)/1000</f>
        <v>160.03200000000001</v>
      </c>
      <c r="AW31" s="259">
        <f>AVERAGE('Intangible Assets'!DU40:DX40)/1000</f>
        <v>160.03200000000001</v>
      </c>
      <c r="AX31" s="259">
        <f>AVERAGE('Intangible Assets'!DV40:DY40)/1000</f>
        <v>160.03200000000001</v>
      </c>
      <c r="AY31" s="259">
        <f>AVERAGE('Intangible Assets'!DW40:DZ40)/1000</f>
        <v>160.03200000000001</v>
      </c>
      <c r="AZ31" s="259">
        <f>AVERAGE('Intangible Assets'!DX40:EA40)/1000</f>
        <v>160.03200000000001</v>
      </c>
      <c r="BA31" s="259">
        <f>+AZ31</f>
        <v>160.03200000000001</v>
      </c>
      <c r="BB31" s="259">
        <f>+AVERAGE('Intangible Assets'!FX36,'Intangible Assets'!FN36,'Intangible Assets'!FJ36)/1000</f>
        <v>160.03200000000001</v>
      </c>
    </row>
    <row r="32" spans="1:55" ht="12" customHeight="1" x14ac:dyDescent="0.2">
      <c r="A32" s="10"/>
      <c r="B32" s="10"/>
      <c r="C32" s="11"/>
      <c r="D32" s="11"/>
      <c r="E32" s="11"/>
      <c r="F32" s="11"/>
      <c r="G32" s="11"/>
      <c r="H32" s="11"/>
      <c r="I32" s="11"/>
      <c r="J32" s="11"/>
      <c r="K32" s="11"/>
      <c r="L32" s="11"/>
      <c r="M32" s="11"/>
      <c r="N32" s="11"/>
      <c r="O32" s="11"/>
      <c r="P32" s="11"/>
    </row>
    <row r="33" spans="1:56" x14ac:dyDescent="0.2">
      <c r="A33" s="10"/>
      <c r="B33" s="10" t="s">
        <v>378</v>
      </c>
      <c r="C33" s="11"/>
      <c r="D33" s="11"/>
      <c r="E33" s="11"/>
      <c r="F33" s="11"/>
      <c r="G33" s="11"/>
      <c r="H33" s="11"/>
      <c r="I33" s="11"/>
      <c r="J33" s="11"/>
      <c r="K33" s="11"/>
      <c r="L33" s="11"/>
      <c r="M33" s="11"/>
      <c r="N33" s="11"/>
      <c r="O33" s="11"/>
      <c r="P33" s="11"/>
    </row>
    <row r="34" spans="1:56" x14ac:dyDescent="0.2">
      <c r="A34" s="10"/>
      <c r="B34" s="128" t="s">
        <v>379</v>
      </c>
      <c r="C34" s="142" t="str">
        <f t="shared" ref="C34:AE34" si="33">+C$3</f>
        <v>1Q12</v>
      </c>
      <c r="D34" s="142" t="str">
        <f t="shared" si="33"/>
        <v>2Q12</v>
      </c>
      <c r="E34" s="142" t="str">
        <f t="shared" si="33"/>
        <v>3Q12</v>
      </c>
      <c r="F34" s="142" t="str">
        <f t="shared" si="33"/>
        <v>4Q12</v>
      </c>
      <c r="G34" s="142" t="str">
        <f t="shared" si="33"/>
        <v>1Q13</v>
      </c>
      <c r="H34" s="142" t="str">
        <f t="shared" si="33"/>
        <v>2Q13</v>
      </c>
      <c r="I34" s="142" t="str">
        <f t="shared" si="33"/>
        <v>3Q13</v>
      </c>
      <c r="J34" s="142" t="str">
        <f t="shared" si="33"/>
        <v>4Q13</v>
      </c>
      <c r="K34" s="142" t="str">
        <f t="shared" si="33"/>
        <v>1Q14</v>
      </c>
      <c r="L34" s="142" t="str">
        <f t="shared" si="33"/>
        <v>2Q14</v>
      </c>
      <c r="M34" s="142" t="str">
        <f t="shared" si="33"/>
        <v>3Q14</v>
      </c>
      <c r="N34" s="142" t="str">
        <f t="shared" si="33"/>
        <v>4Q14</v>
      </c>
      <c r="O34" s="142" t="str">
        <f t="shared" si="33"/>
        <v>1Q15</v>
      </c>
      <c r="P34" s="142" t="str">
        <f t="shared" si="33"/>
        <v>2Q15</v>
      </c>
      <c r="Q34" s="142" t="str">
        <f t="shared" si="33"/>
        <v>3Q15</v>
      </c>
      <c r="R34" s="142" t="str">
        <f t="shared" si="33"/>
        <v>4Q15</v>
      </c>
      <c r="S34" s="142" t="str">
        <f t="shared" si="33"/>
        <v>1Q16</v>
      </c>
      <c r="T34" s="142" t="str">
        <f t="shared" si="33"/>
        <v>2Q16</v>
      </c>
      <c r="U34" s="142" t="str">
        <f t="shared" si="33"/>
        <v>3Q16</v>
      </c>
      <c r="V34" s="142" t="str">
        <f t="shared" si="33"/>
        <v>4Q16</v>
      </c>
      <c r="W34" s="142" t="str">
        <f t="shared" si="33"/>
        <v>1Q17</v>
      </c>
      <c r="X34" s="142" t="str">
        <f t="shared" si="33"/>
        <v>2Q17</v>
      </c>
      <c r="Y34" s="142" t="str">
        <f t="shared" si="33"/>
        <v>3Q17</v>
      </c>
      <c r="Z34" s="142" t="str">
        <f t="shared" si="33"/>
        <v>4Q17</v>
      </c>
      <c r="AA34" s="142" t="str">
        <f t="shared" si="33"/>
        <v>1Q18</v>
      </c>
      <c r="AB34" s="142" t="str">
        <f t="shared" si="33"/>
        <v>2Q18</v>
      </c>
      <c r="AC34" s="142" t="str">
        <f t="shared" si="33"/>
        <v>3Q18</v>
      </c>
      <c r="AD34" s="142" t="str">
        <f t="shared" si="33"/>
        <v>4Q18</v>
      </c>
      <c r="AE34" s="142" t="str">
        <f t="shared" si="33"/>
        <v>1Q19</v>
      </c>
      <c r="AF34" s="142" t="str">
        <f t="shared" ref="AF34:BB34" si="34">+AF$3</f>
        <v>2Q19</v>
      </c>
      <c r="AG34" s="142" t="str">
        <f t="shared" si="34"/>
        <v>3Q19</v>
      </c>
      <c r="AH34" s="142" t="str">
        <f t="shared" si="34"/>
        <v>4Q19</v>
      </c>
      <c r="AI34" s="142" t="str">
        <f t="shared" si="34"/>
        <v>1Q20</v>
      </c>
      <c r="AJ34" s="142" t="str">
        <f t="shared" si="34"/>
        <v>2Q20</v>
      </c>
      <c r="AK34" s="142" t="str">
        <f t="shared" si="34"/>
        <v>3Q20</v>
      </c>
      <c r="AL34" s="142" t="str">
        <f t="shared" si="34"/>
        <v>4Q20</v>
      </c>
      <c r="AM34" s="142" t="str">
        <f t="shared" si="34"/>
        <v>1Q21</v>
      </c>
      <c r="AN34" s="142" t="str">
        <f t="shared" si="34"/>
        <v>2Q21</v>
      </c>
      <c r="AO34" s="142" t="str">
        <f t="shared" si="34"/>
        <v>3Q21</v>
      </c>
      <c r="AP34" s="142" t="str">
        <f t="shared" si="34"/>
        <v>4Q21</v>
      </c>
      <c r="AQ34" s="142" t="str">
        <f t="shared" si="34"/>
        <v>1Q22</v>
      </c>
      <c r="AR34" s="142" t="str">
        <f t="shared" si="34"/>
        <v>2Q22</v>
      </c>
      <c r="AS34" s="142" t="str">
        <f t="shared" si="34"/>
        <v>3Q22</v>
      </c>
      <c r="AT34" s="142" t="str">
        <f t="shared" si="34"/>
        <v>4Q22</v>
      </c>
      <c r="AU34" s="142" t="str">
        <f t="shared" si="34"/>
        <v>1Q23</v>
      </c>
      <c r="AV34" s="142" t="str">
        <f t="shared" si="34"/>
        <v>2Q23</v>
      </c>
      <c r="AW34" s="142" t="str">
        <f t="shared" si="34"/>
        <v>3Q23</v>
      </c>
      <c r="AX34" s="142" t="str">
        <f t="shared" si="34"/>
        <v>4Q23</v>
      </c>
      <c r="AY34" s="142" t="str">
        <f t="shared" si="34"/>
        <v>1Q24</v>
      </c>
      <c r="AZ34" s="142" t="str">
        <f t="shared" si="34"/>
        <v>2Q24</v>
      </c>
      <c r="BA34" s="142" t="str">
        <f t="shared" si="34"/>
        <v>3Q24</v>
      </c>
      <c r="BB34" s="142" t="str">
        <f t="shared" si="34"/>
        <v>4Q24</v>
      </c>
    </row>
    <row r="35" spans="1:56" x14ac:dyDescent="0.2">
      <c r="A35" s="10"/>
      <c r="B35" s="117" t="s">
        <v>783</v>
      </c>
      <c r="C35" s="460">
        <f>+IncSAuto!C6/(HLOOKUP(C34,'Auto Operational Figures'!5:9,5,0)/1000)</f>
        <v>1.021284234045956</v>
      </c>
      <c r="D35" s="460">
        <f>+IncSAuto!D6/(HLOOKUP(D34,'Auto Operational Figures'!5:9,5,0)/1000)</f>
        <v>1.0271750486803555</v>
      </c>
      <c r="E35" s="460">
        <f>+IncSAuto!E6/(HLOOKUP(E34,'Auto Operational Figures'!5:9,5,0)/1000)</f>
        <v>1.0688695032100914</v>
      </c>
      <c r="F35" s="460">
        <f>+IncSAuto!F6/(HLOOKUP(F34,'Auto Operational Figures'!5:9,5,0)/1000)</f>
        <v>1.065596701888742</v>
      </c>
      <c r="G35" s="460">
        <f>+IncSAuto!G6/(HLOOKUP(G34,'Auto Operational Figures'!5:9,5,0)/1000)</f>
        <v>1.0634876946654175</v>
      </c>
      <c r="H35" s="460">
        <f>+IncSAuto!H6/(HLOOKUP(H34,'Auto Operational Figures'!5:9,5,0)/1000)</f>
        <v>1.1867760252936781</v>
      </c>
      <c r="I35" s="460">
        <f>+IncSAuto!I6/(HLOOKUP(I34,'Auto Operational Figures'!5:9,5,0)/1000)</f>
        <v>1.2197740002434432</v>
      </c>
      <c r="J35" s="460">
        <f>+IncSAuto!J6/(HLOOKUP(J34,'Auto Operational Figures'!5:9,5,0)/1000)</f>
        <v>1.2206737168833925</v>
      </c>
      <c r="K35" s="460">
        <f>+IncSAuto!K6/(HLOOKUP(K34,'Auto Operational Figures'!5:9,5,0)/1000)</f>
        <v>1.1894166448730146</v>
      </c>
      <c r="L35" s="460">
        <f>+IncSAuto!L6/(HLOOKUP(L34,'Auto Operational Figures'!5:9,5,0)/1000)</f>
        <v>1.2618923995781626</v>
      </c>
      <c r="M35" s="460">
        <f>+IncSAuto!M6/(HLOOKUP(M34,'Auto Operational Figures'!5:9,5,0)/1000)</f>
        <v>1.2637716962754904</v>
      </c>
      <c r="N35" s="460">
        <f>+IncSAuto!N6/(HLOOKUP(N34,'Auto Operational Figures'!5:9,5,0)/1000)</f>
        <v>1.2848960436847068</v>
      </c>
      <c r="O35" s="460">
        <f>+IncSAuto!O6/(HLOOKUP(O34,'Auto Operational Figures'!5:9,5,0)/1000)</f>
        <v>1.2605387080123669</v>
      </c>
      <c r="P35" s="460">
        <f>+IncSAuto!P6/(HLOOKUP(P34,'Auto Operational Figures'!5:9,5,0)/1000)</f>
        <v>1.3208670683603603</v>
      </c>
      <c r="Q35" s="460">
        <f>+IncSAuto!Q6/(HLOOKUP(Q34,'Auto Operational Figures'!5:9,5,0)/1000)</f>
        <v>1.3462974186190662</v>
      </c>
      <c r="R35" s="460">
        <f>+IncSAuto!R6/(HLOOKUP(R34,'Auto Operational Figures'!5:9,5,0)/1000)</f>
        <v>1.3309078714439726</v>
      </c>
      <c r="S35" s="460">
        <f>+IncSAuto!S6/(HLOOKUP(S34,'Auto Operational Figures'!5:9,5,0)/1000)</f>
        <v>1.3829162835409414</v>
      </c>
      <c r="T35" s="460">
        <f>+IncSAuto!T6/(HLOOKUP(T34,'Auto Operational Figures'!5:9,5,0)/1000)</f>
        <v>1.4495390942766722</v>
      </c>
      <c r="U35" s="460">
        <f>+IncSAuto!U6/(HLOOKUP(U34,'Auto Operational Figures'!5:9,5,0)/1000)</f>
        <v>1.444089329720039</v>
      </c>
      <c r="V35" s="460">
        <f>+IncSAuto!V6/(HLOOKUP(V34,'Auto Operational Figures'!5:9,5,0)/1000)</f>
        <v>1.5133848823488343</v>
      </c>
      <c r="W35" s="460">
        <f>+IncSAuto!W6/(HLOOKUP(W34,'Auto Operational Figures'!5:9,5,0)/1000)</f>
        <v>1.4638722454190447</v>
      </c>
      <c r="X35" s="460">
        <f>+IncSAuto!X6/(HLOOKUP(X34,'Auto Operational Figures'!5:9,5,0)/1000)</f>
        <v>1.5609712953552854</v>
      </c>
      <c r="Y35" s="460">
        <f>+IncSAuto!Y6/(HLOOKUP(Y34,'Auto Operational Figures'!5:9,5,0)/1000)</f>
        <v>1.5972489442563604</v>
      </c>
      <c r="Z35" s="460">
        <f>+IncSAuto!Z6/(HLOOKUP(Z34,'Auto Operational Figures'!5:9,5,0)/1000)</f>
        <v>1.6674908186966177</v>
      </c>
      <c r="AA35" s="460">
        <f>+IncSAuto!AA6/(HLOOKUP(AA34,'Auto Operational Figures'!5:9,5,0)/1000)</f>
        <v>1.6014399176312468</v>
      </c>
      <c r="AB35" s="460">
        <f>+IncSAuto!AB6/(HLOOKUP(AB34,'Auto Operational Figures'!5:9,5,0)/1000)</f>
        <v>1.6593197481071922</v>
      </c>
      <c r="AC35" s="460">
        <f>+IncSAuto!AC6/(HLOOKUP(AC34,'Auto Operational Figures'!5:9,5,0)/1000)</f>
        <v>1.7017403255931354</v>
      </c>
      <c r="AD35" s="460">
        <f>+IncSAuto!AD6/(HLOOKUP(AD34,'Auto Operational Figures'!5:9,5,0)/1000)</f>
        <v>1.8241325920083793</v>
      </c>
      <c r="AE35" s="460">
        <f>+IncSAuto!AE6/(HLOOKUP(AE34,'Auto Operational Figures'!5:9,5,0)/1000)</f>
        <v>1.704438231051103</v>
      </c>
      <c r="AF35" s="460">
        <f>+IncSAuto!AF6/(HLOOKUP(AF34,'Auto Operational Figures'!5:9,5,0)/1000)</f>
        <v>1.6387093583983541</v>
      </c>
      <c r="AG35" s="460">
        <f>+IncSAuto!AG6/(HLOOKUP(AG34,'Auto Operational Figures'!5:9,5,0)/1000)</f>
        <v>1.6199998789880523</v>
      </c>
      <c r="AH35" s="460">
        <f>+IncSAuto!AH6/(HLOOKUP(AH34,'Auto Operational Figures'!5:9,5,0)/1000)</f>
        <v>1.6879303889862884</v>
      </c>
      <c r="AI35" s="460">
        <f>+IncSAuto!AI6/(HLOOKUP(AI34,'Auto Operational Figures'!5:9,5,0)/1000)</f>
        <v>1.6978181649041046</v>
      </c>
      <c r="AJ35" s="460">
        <f>+IncSAuto!AJ6/(HLOOKUP(AJ34,'Auto Operational Figures'!5:9,5,0)/1000)</f>
        <v>1.7757660163478872</v>
      </c>
      <c r="AK35" s="460">
        <f>+IncSAuto!AK6/(HLOOKUP(AK34,'Auto Operational Figures'!5:9,5,0)/1000)</f>
        <v>1.6084004787692068</v>
      </c>
      <c r="AL35" s="460">
        <f>+IncSAuto!AL6/(HLOOKUP(AL34,'Auto Operational Figures'!5:9,5,0)/1000)</f>
        <v>1.6173521781082087</v>
      </c>
      <c r="AM35" s="460">
        <f>+IncSAuto!AM6/(HLOOKUP(AM34,'Auto Operational Figures'!5:9,5,0)/1000)</f>
        <v>1.7369218784993354</v>
      </c>
      <c r="AN35" s="460">
        <f>+IncSAuto!AN6/(HLOOKUP(AN34,'Auto Operational Figures'!5:9,5,0)/1000)</f>
        <v>1.9767110052498353</v>
      </c>
      <c r="AO35" s="460">
        <f>+IncSAuto!AO6/(HLOOKUP(AO34,'Auto Operational Figures'!5:9,5,0)/1000)</f>
        <v>2.065011595326776</v>
      </c>
      <c r="AP35" s="460">
        <f>+IncSAuto!AP6/(HLOOKUP(AP34,'Auto Operational Figures'!5:9,5,0)/1000)</f>
        <v>2.0641145013285183</v>
      </c>
      <c r="AQ35" s="460">
        <f>+IncSAuto!AQ6/(HLOOKUP(AQ34,'Auto Operational Figures'!5:9,5,0)/1000)</f>
        <v>2.1890266519477608</v>
      </c>
      <c r="AR35" s="460">
        <f>+IncSAuto!AR6/(HLOOKUP(AR34,'Auto Operational Figures'!5:9,5,0)/1000)</f>
        <v>2.4777264093652351</v>
      </c>
      <c r="AS35" s="460">
        <f>+IncSAuto!AS6/(HLOOKUP(AS34,'Auto Operational Figures'!5:9,5,0)/1000)</f>
        <v>2.6876931599601108</v>
      </c>
      <c r="AT35" s="460">
        <f>+IncSAuto!AT6/(HLOOKUP(AT34,'Auto Operational Figures'!5:9,5,0)/1000)</f>
        <v>2.722997400728306</v>
      </c>
      <c r="AU35" s="460">
        <f>+IncSAuto!AU6/(HLOOKUP(AU34,'Auto Operational Figures'!5:9,5,0)/1000)</f>
        <v>2.7048834821251102</v>
      </c>
      <c r="AV35" s="460">
        <f>+IncSAuto!AV6/(HLOOKUP(AV34,'Auto Operational Figures'!5:9,5,0)/1000)</f>
        <v>2.7522027450955555</v>
      </c>
      <c r="AW35" s="460">
        <f>+IncSAuto!AW6/(HLOOKUP(AW34,'Auto Operational Figures'!5:9,5,0)/1000)</f>
        <v>2.711493972519762</v>
      </c>
      <c r="AX35" s="460">
        <f>+IncSAuto!AX6/(HLOOKUP(AX34,'Auto Operational Figures'!5:9,5,0)/1000)</f>
        <v>2.7363086840878692</v>
      </c>
      <c r="AY35" s="460">
        <f>+IncSAuto!AY6/(HLOOKUP(AY34,'Auto Operational Figures'!5:9,5,0)/1000)</f>
        <v>2.9068921499134639</v>
      </c>
      <c r="AZ35" s="460">
        <f>+IncSAuto!AZ6/(HLOOKUP(AZ34,'Auto Operational Figures'!5:9,5,0)/1000)</f>
        <v>2.9088245379598101</v>
      </c>
      <c r="BA35" s="460">
        <f>+IncSAuto!BA6/(HLOOKUP(BA34,'Auto Operational Figures'!5:9,5,0)/1000)</f>
        <v>3.2152291515979066</v>
      </c>
      <c r="BB35" s="460">
        <f>+IncSAuto!BB6/(HLOOKUP(BB34,'Auto Operational Figures'!5:9,5,0)/1000)</f>
        <v>3.2723003443856395</v>
      </c>
    </row>
    <row r="36" spans="1:56" x14ac:dyDescent="0.2">
      <c r="B36" s="461" t="s">
        <v>766</v>
      </c>
      <c r="AC36" s="276"/>
      <c r="AN36" s="276"/>
      <c r="AO36" s="276"/>
      <c r="AP36" s="276"/>
      <c r="AQ36" s="276"/>
      <c r="AR36" s="276"/>
      <c r="AS36" s="276"/>
      <c r="AT36" s="276"/>
      <c r="AU36" s="276"/>
      <c r="AV36" s="276"/>
      <c r="AW36" s="276"/>
      <c r="AX36" s="276"/>
      <c r="AY36" s="330"/>
      <c r="AZ36" s="330"/>
      <c r="BA36" s="330"/>
    </row>
    <row r="37" spans="1:56" x14ac:dyDescent="0.2">
      <c r="B37" s="461"/>
    </row>
    <row r="38" spans="1:56" x14ac:dyDescent="0.2">
      <c r="B38" s="128" t="s">
        <v>20</v>
      </c>
      <c r="C38" s="142" t="str">
        <f t="shared" ref="C38:AE38" si="35">+C$3</f>
        <v>1Q12</v>
      </c>
      <c r="D38" s="142" t="str">
        <f t="shared" si="35"/>
        <v>2Q12</v>
      </c>
      <c r="E38" s="142" t="str">
        <f t="shared" si="35"/>
        <v>3Q12</v>
      </c>
      <c r="F38" s="142" t="str">
        <f t="shared" si="35"/>
        <v>4Q12</v>
      </c>
      <c r="G38" s="142" t="str">
        <f t="shared" si="35"/>
        <v>1Q13</v>
      </c>
      <c r="H38" s="142" t="str">
        <f t="shared" si="35"/>
        <v>2Q13</v>
      </c>
      <c r="I38" s="142" t="str">
        <f t="shared" si="35"/>
        <v>3Q13</v>
      </c>
      <c r="J38" s="142" t="str">
        <f t="shared" si="35"/>
        <v>4Q13</v>
      </c>
      <c r="K38" s="142" t="str">
        <f t="shared" si="35"/>
        <v>1Q14</v>
      </c>
      <c r="L38" s="142" t="str">
        <f t="shared" si="35"/>
        <v>2Q14</v>
      </c>
      <c r="M38" s="142" t="str">
        <f t="shared" si="35"/>
        <v>3Q14</v>
      </c>
      <c r="N38" s="142" t="str">
        <f t="shared" si="35"/>
        <v>4Q14</v>
      </c>
      <c r="O38" s="142" t="str">
        <f t="shared" si="35"/>
        <v>1Q15</v>
      </c>
      <c r="P38" s="142" t="str">
        <f t="shared" si="35"/>
        <v>2Q15</v>
      </c>
      <c r="Q38" s="142" t="str">
        <f t="shared" si="35"/>
        <v>3Q15</v>
      </c>
      <c r="R38" s="142" t="str">
        <f t="shared" si="35"/>
        <v>4Q15</v>
      </c>
      <c r="S38" s="142" t="str">
        <f t="shared" si="35"/>
        <v>1Q16</v>
      </c>
      <c r="T38" s="142" t="str">
        <f t="shared" si="35"/>
        <v>2Q16</v>
      </c>
      <c r="U38" s="142" t="str">
        <f t="shared" si="35"/>
        <v>3Q16</v>
      </c>
      <c r="V38" s="142" t="str">
        <f t="shared" si="35"/>
        <v>4Q16</v>
      </c>
      <c r="W38" s="142" t="str">
        <f t="shared" si="35"/>
        <v>1Q17</v>
      </c>
      <c r="X38" s="142" t="str">
        <f t="shared" si="35"/>
        <v>2Q17</v>
      </c>
      <c r="Y38" s="142" t="str">
        <f t="shared" si="35"/>
        <v>3Q17</v>
      </c>
      <c r="Z38" s="142" t="str">
        <f t="shared" si="35"/>
        <v>4Q17</v>
      </c>
      <c r="AA38" s="142" t="str">
        <f t="shared" si="35"/>
        <v>1Q18</v>
      </c>
      <c r="AB38" s="142" t="str">
        <f t="shared" si="35"/>
        <v>2Q18</v>
      </c>
      <c r="AC38" s="142" t="str">
        <f t="shared" si="35"/>
        <v>3Q18</v>
      </c>
      <c r="AD38" s="142" t="str">
        <f t="shared" si="35"/>
        <v>4Q18</v>
      </c>
      <c r="AE38" s="142" t="str">
        <f t="shared" si="35"/>
        <v>1Q19</v>
      </c>
      <c r="AF38" s="142" t="str">
        <f t="shared" ref="AF38:BB38" si="36">+AF$3</f>
        <v>2Q19</v>
      </c>
      <c r="AG38" s="142" t="str">
        <f t="shared" si="36"/>
        <v>3Q19</v>
      </c>
      <c r="AH38" s="142" t="str">
        <f t="shared" si="36"/>
        <v>4Q19</v>
      </c>
      <c r="AI38" s="142" t="str">
        <f t="shared" si="36"/>
        <v>1Q20</v>
      </c>
      <c r="AJ38" s="142" t="str">
        <f t="shared" si="36"/>
        <v>2Q20</v>
      </c>
      <c r="AK38" s="142" t="str">
        <f t="shared" si="36"/>
        <v>3Q20</v>
      </c>
      <c r="AL38" s="142" t="str">
        <f t="shared" si="36"/>
        <v>4Q20</v>
      </c>
      <c r="AM38" s="142" t="str">
        <f t="shared" si="36"/>
        <v>1Q21</v>
      </c>
      <c r="AN38" s="142" t="str">
        <f t="shared" si="36"/>
        <v>2Q21</v>
      </c>
      <c r="AO38" s="142" t="str">
        <f t="shared" si="36"/>
        <v>3Q21</v>
      </c>
      <c r="AP38" s="142" t="str">
        <f t="shared" si="36"/>
        <v>4Q21</v>
      </c>
      <c r="AQ38" s="142" t="str">
        <f t="shared" si="36"/>
        <v>1Q22</v>
      </c>
      <c r="AR38" s="142" t="str">
        <f t="shared" si="36"/>
        <v>2Q22</v>
      </c>
      <c r="AS38" s="142" t="str">
        <f t="shared" si="36"/>
        <v>3Q22</v>
      </c>
      <c r="AT38" s="142" t="str">
        <f t="shared" si="36"/>
        <v>4Q22</v>
      </c>
      <c r="AU38" s="142" t="str">
        <f t="shared" si="36"/>
        <v>1Q23</v>
      </c>
      <c r="AV38" s="142" t="str">
        <f t="shared" si="36"/>
        <v>2Q23</v>
      </c>
      <c r="AW38" s="142" t="str">
        <f t="shared" si="36"/>
        <v>3Q23</v>
      </c>
      <c r="AX38" s="142" t="str">
        <f t="shared" si="36"/>
        <v>4Q23</v>
      </c>
      <c r="AY38" s="142" t="str">
        <f t="shared" si="36"/>
        <v>1Q24</v>
      </c>
      <c r="AZ38" s="142" t="str">
        <f t="shared" si="36"/>
        <v>2Q24</v>
      </c>
      <c r="BA38" s="142" t="str">
        <f t="shared" si="36"/>
        <v>3Q24</v>
      </c>
      <c r="BB38" s="142" t="str">
        <f t="shared" si="36"/>
        <v>4Q24</v>
      </c>
      <c r="BC38"/>
      <c r="BD38"/>
    </row>
    <row r="39" spans="1:56" x14ac:dyDescent="0.2">
      <c r="B39" s="117" t="s">
        <v>1001</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c r="BD39"/>
    </row>
    <row r="40" spans="1:56" x14ac:dyDescent="0.2">
      <c r="B40" s="117" t="s">
        <v>1148</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47</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c r="BD40"/>
    </row>
    <row r="41" spans="1:56" x14ac:dyDescent="0.2">
      <c r="B41" s="117" t="s">
        <v>773</v>
      </c>
      <c r="C41" s="118" t="s">
        <v>47</v>
      </c>
      <c r="D41" s="118" t="s">
        <v>47</v>
      </c>
      <c r="E41" s="118" t="s">
        <v>47</v>
      </c>
      <c r="F41" s="118" t="s">
        <v>47</v>
      </c>
      <c r="G41" s="118" t="s">
        <v>47</v>
      </c>
      <c r="H41" s="118" t="s">
        <v>47</v>
      </c>
      <c r="I41" s="118" t="s">
        <v>47</v>
      </c>
      <c r="J41" s="118" t="s">
        <v>47</v>
      </c>
      <c r="K41" s="118" t="s">
        <v>47</v>
      </c>
      <c r="L41" s="118" t="s">
        <v>47</v>
      </c>
      <c r="M41" s="118" t="s">
        <v>47</v>
      </c>
      <c r="N41" s="118" t="s">
        <v>47</v>
      </c>
      <c r="O41" s="118" t="s">
        <v>47</v>
      </c>
      <c r="P41" s="118" t="s">
        <v>47</v>
      </c>
      <c r="Q41" s="118" t="s">
        <v>47</v>
      </c>
      <c r="R41" s="118" t="s">
        <v>47</v>
      </c>
      <c r="S41" s="118" t="s">
        <v>47</v>
      </c>
      <c r="T41" s="118" t="s">
        <v>47</v>
      </c>
      <c r="U41" s="118" t="s">
        <v>47</v>
      </c>
      <c r="V41" s="118" t="s">
        <v>47</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c r="BD41"/>
    </row>
    <row r="42" spans="1:56" hidden="1" outlineLevel="1" x14ac:dyDescent="0.2">
      <c r="B42" s="791" t="s">
        <v>846</v>
      </c>
      <c r="C42" s="313" t="s">
        <v>47</v>
      </c>
      <c r="D42" s="313" t="s">
        <v>47</v>
      </c>
      <c r="E42" s="313" t="s">
        <v>47</v>
      </c>
      <c r="F42" s="313" t="s">
        <v>47</v>
      </c>
      <c r="G42" s="313" t="s">
        <v>47</v>
      </c>
      <c r="H42" s="313" t="s">
        <v>47</v>
      </c>
      <c r="I42" s="313" t="s">
        <v>47</v>
      </c>
      <c r="J42" s="313" t="s">
        <v>47</v>
      </c>
      <c r="K42" s="313" t="s">
        <v>47</v>
      </c>
      <c r="L42" s="313" t="s">
        <v>47</v>
      </c>
      <c r="M42" s="313">
        <v>3400</v>
      </c>
      <c r="N42" s="313">
        <v>17000</v>
      </c>
      <c r="O42" s="313">
        <v>647.87880000000007</v>
      </c>
      <c r="P42" s="313">
        <v>10471.601050000001</v>
      </c>
      <c r="Q42" s="313">
        <v>16744.132700000002</v>
      </c>
      <c r="R42" s="313">
        <v>5241.9889500000018</v>
      </c>
      <c r="S42" s="313">
        <v>5338.6158999999998</v>
      </c>
      <c r="T42" s="313">
        <v>6670</v>
      </c>
      <c r="U42" s="313">
        <v>2790</v>
      </c>
      <c r="V42" s="313">
        <v>3395</v>
      </c>
      <c r="W42" s="313" t="s">
        <v>47</v>
      </c>
      <c r="X42" s="313" t="s">
        <v>47</v>
      </c>
      <c r="Y42" s="313" t="s">
        <v>47</v>
      </c>
      <c r="Z42" s="313" t="s">
        <v>47</v>
      </c>
      <c r="AA42" s="313" t="s">
        <v>47</v>
      </c>
      <c r="AB42" s="313">
        <v>165</v>
      </c>
      <c r="AC42" s="313">
        <v>10508.144619999999</v>
      </c>
      <c r="AD42" s="313">
        <v>6750.4519999999984</v>
      </c>
      <c r="AE42" s="1135">
        <v>3413.339320000001</v>
      </c>
      <c r="AF42" s="313">
        <v>1593.1054199999999</v>
      </c>
      <c r="AG42" s="313">
        <v>395.59154999999998</v>
      </c>
      <c r="AH42" s="313">
        <v>6076.4810599999992</v>
      </c>
      <c r="AI42" s="313">
        <v>2426</v>
      </c>
      <c r="AJ42" s="313">
        <v>1763</v>
      </c>
      <c r="AK42" s="313">
        <v>197</v>
      </c>
      <c r="AL42" s="313">
        <v>0</v>
      </c>
      <c r="AM42" s="313">
        <v>0</v>
      </c>
      <c r="AN42" s="313" t="s">
        <v>47</v>
      </c>
      <c r="AO42" s="313" t="s">
        <v>47</v>
      </c>
      <c r="AP42" s="313" t="s">
        <v>47</v>
      </c>
      <c r="AQ42" s="313" t="s">
        <v>47</v>
      </c>
      <c r="AR42" s="313" t="s">
        <v>47</v>
      </c>
      <c r="AS42" s="313" t="s">
        <v>47</v>
      </c>
      <c r="AT42" s="313" t="s">
        <v>47</v>
      </c>
      <c r="AU42" s="313" t="s">
        <v>47</v>
      </c>
      <c r="AV42" s="313" t="s">
        <v>47</v>
      </c>
      <c r="AW42" s="313" t="s">
        <v>47</v>
      </c>
      <c r="AX42" s="313" t="s">
        <v>47</v>
      </c>
      <c r="AY42" s="313" t="s">
        <v>47</v>
      </c>
      <c r="AZ42" s="313" t="s">
        <v>47</v>
      </c>
      <c r="BA42" s="313" t="s">
        <v>47</v>
      </c>
      <c r="BB42" s="313"/>
      <c r="BC42"/>
      <c r="BD42"/>
    </row>
    <row r="43" spans="1:56" hidden="1" outlineLevel="1" x14ac:dyDescent="0.2">
      <c r="B43" s="791" t="s">
        <v>772</v>
      </c>
      <c r="C43" s="313" t="s">
        <v>47</v>
      </c>
      <c r="D43" s="313" t="s">
        <v>47</v>
      </c>
      <c r="E43" s="313" t="s">
        <v>47</v>
      </c>
      <c r="F43" s="313" t="s">
        <v>47</v>
      </c>
      <c r="G43" s="313" t="s">
        <v>47</v>
      </c>
      <c r="H43" s="313" t="s">
        <v>47</v>
      </c>
      <c r="I43" s="313" t="s">
        <v>47</v>
      </c>
      <c r="J43" s="313" t="s">
        <v>47</v>
      </c>
      <c r="K43" s="313" t="s">
        <v>47</v>
      </c>
      <c r="L43" s="313" t="s">
        <v>47</v>
      </c>
      <c r="M43" s="313" t="s">
        <v>47</v>
      </c>
      <c r="N43" s="313" t="s">
        <v>47</v>
      </c>
      <c r="O43" s="313">
        <v>4691.6184599999997</v>
      </c>
      <c r="P43" s="313">
        <v>3715.77657</v>
      </c>
      <c r="Q43" s="313">
        <v>5007.7757600000004</v>
      </c>
      <c r="R43" s="313">
        <v>6985.2447299999994</v>
      </c>
      <c r="S43" s="313">
        <v>2656.6067900000007</v>
      </c>
      <c r="T43" s="313">
        <v>1441.1324700000002</v>
      </c>
      <c r="U43" s="313" t="s">
        <v>47</v>
      </c>
      <c r="V43" s="313">
        <v>1173</v>
      </c>
      <c r="W43" s="313" t="s">
        <v>47</v>
      </c>
      <c r="X43" s="313" t="s">
        <v>47</v>
      </c>
      <c r="Y43" s="313" t="s">
        <v>47</v>
      </c>
      <c r="Z43" s="313" t="s">
        <v>47</v>
      </c>
      <c r="AA43" s="313" t="s">
        <v>47</v>
      </c>
      <c r="AB43" s="313">
        <v>1373.4128699999997</v>
      </c>
      <c r="AC43" s="313">
        <v>528.54906000000028</v>
      </c>
      <c r="AD43" s="313">
        <v>445.90744000000007</v>
      </c>
      <c r="AE43" s="313">
        <v>218.71389000000002</v>
      </c>
      <c r="AF43" s="313">
        <v>82.789210000000011</v>
      </c>
      <c r="AG43" s="313">
        <v>56.596550000000001</v>
      </c>
      <c r="AH43" s="313">
        <v>3</v>
      </c>
      <c r="AI43" s="313">
        <v>0</v>
      </c>
      <c r="AJ43" s="313" t="s">
        <v>47</v>
      </c>
      <c r="AK43" s="313">
        <v>0</v>
      </c>
      <c r="AL43" s="313">
        <v>0</v>
      </c>
      <c r="AM43" s="313">
        <v>0</v>
      </c>
      <c r="AN43" s="313" t="s">
        <v>47</v>
      </c>
      <c r="AO43" s="313" t="s">
        <v>47</v>
      </c>
      <c r="AP43" s="313" t="s">
        <v>47</v>
      </c>
      <c r="AQ43" s="313" t="s">
        <v>47</v>
      </c>
      <c r="AR43" s="313" t="s">
        <v>47</v>
      </c>
      <c r="AS43" s="313" t="s">
        <v>47</v>
      </c>
      <c r="AT43" s="313" t="s">
        <v>47</v>
      </c>
      <c r="AU43" s="313" t="s">
        <v>47</v>
      </c>
      <c r="AV43" s="313" t="s">
        <v>47</v>
      </c>
      <c r="AW43" s="313" t="s">
        <v>47</v>
      </c>
      <c r="AX43" s="313" t="s">
        <v>47</v>
      </c>
      <c r="AY43" s="313" t="s">
        <v>47</v>
      </c>
      <c r="AZ43" s="313" t="s">
        <v>47</v>
      </c>
      <c r="BA43" s="313" t="s">
        <v>47</v>
      </c>
      <c r="BB43" s="313"/>
    </row>
    <row r="44" spans="1:56" hidden="1" outlineLevel="1" x14ac:dyDescent="0.2">
      <c r="B44" s="791" t="s">
        <v>774</v>
      </c>
      <c r="C44" s="313" t="s">
        <v>47</v>
      </c>
      <c r="D44" s="313" t="s">
        <v>47</v>
      </c>
      <c r="E44" s="313" t="s">
        <v>47</v>
      </c>
      <c r="F44" s="313" t="s">
        <v>47</v>
      </c>
      <c r="G44" s="313" t="s">
        <v>47</v>
      </c>
      <c r="H44" s="313" t="s">
        <v>47</v>
      </c>
      <c r="I44" s="313" t="s">
        <v>47</v>
      </c>
      <c r="J44" s="313" t="s">
        <v>47</v>
      </c>
      <c r="K44" s="313" t="s">
        <v>47</v>
      </c>
      <c r="L44" s="313" t="s">
        <v>47</v>
      </c>
      <c r="M44" s="313" t="s">
        <v>47</v>
      </c>
      <c r="N44" s="313" t="s">
        <v>47</v>
      </c>
      <c r="O44" s="313" t="s">
        <v>47</v>
      </c>
      <c r="P44" s="313" t="s">
        <v>47</v>
      </c>
      <c r="Q44" s="313" t="s">
        <v>47</v>
      </c>
      <c r="R44" s="313" t="s">
        <v>47</v>
      </c>
      <c r="S44" s="313" t="s">
        <v>47</v>
      </c>
      <c r="T44" s="313" t="s">
        <v>47</v>
      </c>
      <c r="U44" s="313" t="s">
        <v>47</v>
      </c>
      <c r="V44" s="313" t="s">
        <v>47</v>
      </c>
      <c r="W44" s="313">
        <v>3054</v>
      </c>
      <c r="X44" s="313">
        <v>3864</v>
      </c>
      <c r="Y44" s="313">
        <v>914</v>
      </c>
      <c r="Z44" s="313">
        <v>0</v>
      </c>
      <c r="AA44" s="313" t="s">
        <v>47</v>
      </c>
      <c r="AB44" s="313" t="s">
        <v>47</v>
      </c>
      <c r="AC44" s="313" t="s">
        <v>47</v>
      </c>
      <c r="AD44" s="313">
        <v>0</v>
      </c>
      <c r="AE44" s="313">
        <v>77.271439999999998</v>
      </c>
      <c r="AF44" s="313">
        <v>3077.5007999999998</v>
      </c>
      <c r="AG44" s="313">
        <v>12.58652</v>
      </c>
      <c r="AH44" s="313">
        <v>0</v>
      </c>
      <c r="AI44" s="313">
        <v>0</v>
      </c>
      <c r="AJ44" s="313" t="s">
        <v>47</v>
      </c>
      <c r="AK44" s="313">
        <v>0</v>
      </c>
      <c r="AL44" s="313">
        <v>0</v>
      </c>
      <c r="AM44" s="313">
        <v>0</v>
      </c>
      <c r="AN44" s="313" t="s">
        <v>47</v>
      </c>
      <c r="AO44" s="313" t="s">
        <v>47</v>
      </c>
      <c r="AP44" s="313" t="s">
        <v>47</v>
      </c>
      <c r="AQ44" s="313" t="s">
        <v>47</v>
      </c>
      <c r="AR44" s="313" t="s">
        <v>47</v>
      </c>
      <c r="AS44" s="313" t="s">
        <v>47</v>
      </c>
      <c r="AT44" s="313" t="s">
        <v>47</v>
      </c>
      <c r="AU44" s="313" t="s">
        <v>47</v>
      </c>
      <c r="AV44" s="313" t="s">
        <v>47</v>
      </c>
      <c r="AW44" s="313" t="s">
        <v>47</v>
      </c>
      <c r="AX44" s="313" t="s">
        <v>47</v>
      </c>
      <c r="AY44" s="313" t="s">
        <v>47</v>
      </c>
      <c r="AZ44" s="313" t="s">
        <v>47</v>
      </c>
      <c r="BA44" s="313" t="s">
        <v>47</v>
      </c>
      <c r="BB44" s="313"/>
    </row>
    <row r="45" spans="1:56" collapsed="1" x14ac:dyDescent="0.2">
      <c r="A45" s="10"/>
      <c r="B45" s="127" t="s">
        <v>36</v>
      </c>
      <c r="C45" s="120" t="s">
        <v>47</v>
      </c>
      <c r="D45" s="120" t="s">
        <v>47</v>
      </c>
      <c r="E45" s="120" t="s">
        <v>47</v>
      </c>
      <c r="F45" s="120" t="s">
        <v>47</v>
      </c>
      <c r="G45" s="120" t="s">
        <v>47</v>
      </c>
      <c r="H45" s="120" t="s">
        <v>47</v>
      </c>
      <c r="I45" s="120" t="s">
        <v>47</v>
      </c>
      <c r="J45" s="120" t="s">
        <v>47</v>
      </c>
      <c r="K45" s="120">
        <f t="shared" ref="K45:AG45" si="37">+SUM(K39:K44)</f>
        <v>4328.7771300000004</v>
      </c>
      <c r="L45" s="120">
        <f t="shared" si="37"/>
        <v>6848.2228699999996</v>
      </c>
      <c r="M45" s="120">
        <f t="shared" si="37"/>
        <v>7004</v>
      </c>
      <c r="N45" s="120">
        <f t="shared" si="37"/>
        <v>21632</v>
      </c>
      <c r="O45" s="120">
        <f t="shared" si="37"/>
        <v>11562</v>
      </c>
      <c r="P45" s="120">
        <f t="shared" si="37"/>
        <v>17719</v>
      </c>
      <c r="Q45" s="120">
        <f t="shared" si="37"/>
        <v>24267</v>
      </c>
      <c r="R45" s="120">
        <f t="shared" si="37"/>
        <v>14930</v>
      </c>
      <c r="S45" s="120">
        <f t="shared" si="37"/>
        <v>10505</v>
      </c>
      <c r="T45" s="120">
        <f t="shared" si="37"/>
        <v>10336.563370000002</v>
      </c>
      <c r="U45" s="120">
        <f t="shared" si="37"/>
        <v>3993</v>
      </c>
      <c r="V45" s="120">
        <f t="shared" si="37"/>
        <v>6304</v>
      </c>
      <c r="W45" s="120">
        <f t="shared" si="37"/>
        <v>6820</v>
      </c>
      <c r="X45" s="120">
        <f t="shared" si="37"/>
        <v>8432</v>
      </c>
      <c r="Y45" s="120">
        <f t="shared" si="37"/>
        <v>5862</v>
      </c>
      <c r="Z45" s="120">
        <f t="shared" si="37"/>
        <v>4116</v>
      </c>
      <c r="AA45" s="120">
        <f t="shared" si="37"/>
        <v>2460.1986400000001</v>
      </c>
      <c r="AB45" s="120">
        <f t="shared" si="37"/>
        <v>4724.2775700000002</v>
      </c>
      <c r="AC45" s="120">
        <f t="shared" si="37"/>
        <v>14999.27721</v>
      </c>
      <c r="AD45" s="120">
        <f t="shared" si="37"/>
        <v>13256.331969999999</v>
      </c>
      <c r="AE45" s="120">
        <f t="shared" si="37"/>
        <v>6635.6352500000012</v>
      </c>
      <c r="AF45" s="120">
        <f t="shared" si="37"/>
        <v>14552.057499999999</v>
      </c>
      <c r="AG45" s="120">
        <f t="shared" si="37"/>
        <v>4132.3085700000001</v>
      </c>
      <c r="AH45" s="120">
        <v>10689.66779</v>
      </c>
      <c r="AI45" s="120">
        <f t="shared" ref="AI45:AN45" si="38">+SUM(AI39:AI44)</f>
        <v>5427</v>
      </c>
      <c r="AJ45" s="120">
        <f t="shared" si="38"/>
        <v>4266</v>
      </c>
      <c r="AK45" s="120">
        <f t="shared" si="38"/>
        <v>4406</v>
      </c>
      <c r="AL45" s="120">
        <f t="shared" si="38"/>
        <v>5672</v>
      </c>
      <c r="AM45" s="120">
        <f t="shared" si="38"/>
        <v>6526</v>
      </c>
      <c r="AN45" s="120">
        <f t="shared" si="38"/>
        <v>6456</v>
      </c>
      <c r="AO45" s="120">
        <f t="shared" ref="AO45:AT45" si="39">+SUM(AO39:AO44)</f>
        <v>10292</v>
      </c>
      <c r="AP45" s="120">
        <f t="shared" si="39"/>
        <v>6328</v>
      </c>
      <c r="AQ45" s="120">
        <f t="shared" si="39"/>
        <v>4409.3565700000054</v>
      </c>
      <c r="AR45" s="120">
        <f t="shared" si="39"/>
        <v>12332.297929999988</v>
      </c>
      <c r="AS45" s="120">
        <f t="shared" si="39"/>
        <v>7994.1122999999989</v>
      </c>
      <c r="AT45" s="120">
        <f t="shared" si="39"/>
        <v>20242.128919999996</v>
      </c>
      <c r="AU45" s="120">
        <f t="shared" ref="AU45:AZ45" si="40">+SUM(AU39:AU44)</f>
        <v>5455.5496700000003</v>
      </c>
      <c r="AV45" s="120">
        <f t="shared" si="40"/>
        <v>5162.2759199999982</v>
      </c>
      <c r="AW45" s="120">
        <f t="shared" si="40"/>
        <v>11944.03478</v>
      </c>
      <c r="AX45" s="120">
        <f t="shared" si="40"/>
        <v>10590</v>
      </c>
      <c r="AY45" s="120">
        <f t="shared" si="40"/>
        <v>16136</v>
      </c>
      <c r="AZ45" s="120">
        <f t="shared" si="40"/>
        <v>12059.535570000004</v>
      </c>
      <c r="BA45" s="120">
        <f>+SUM(BA39:BA44)</f>
        <v>12574.213229999987</v>
      </c>
      <c r="BB45" s="120">
        <f>+SUM(BB39:BB44)</f>
        <v>16805.251200000013</v>
      </c>
    </row>
    <row r="46" spans="1:56" x14ac:dyDescent="0.2">
      <c r="B46" s="461"/>
      <c r="AX46" s="1180"/>
      <c r="AY46" s="1180"/>
      <c r="AZ46" s="1180"/>
      <c r="BA46" s="1180"/>
    </row>
    <row r="47" spans="1:56" x14ac:dyDescent="0.2">
      <c r="A47" s="10"/>
      <c r="B47" s="10" t="s">
        <v>348</v>
      </c>
      <c r="C47" s="11"/>
      <c r="D47" s="11"/>
      <c r="E47" s="11"/>
      <c r="F47" s="11"/>
      <c r="G47" s="11"/>
      <c r="H47" s="11"/>
      <c r="I47" s="11"/>
      <c r="J47" s="11"/>
      <c r="K47" s="248"/>
      <c r="L47" s="248"/>
      <c r="M47" s="248"/>
      <c r="N47" s="248"/>
      <c r="O47" s="248"/>
      <c r="P47" s="248"/>
      <c r="Q47" s="248"/>
      <c r="R47" s="276"/>
      <c r="S47" s="248"/>
      <c r="T47" s="248"/>
      <c r="U47" s="248"/>
      <c r="V47" s="276"/>
      <c r="W47" s="276"/>
      <c r="X47" s="276"/>
      <c r="Y47" s="276"/>
      <c r="Z47" s="276"/>
      <c r="AA47" s="276"/>
      <c r="AB47" s="276"/>
      <c r="AC47" s="276"/>
    </row>
    <row r="48" spans="1:56" x14ac:dyDescent="0.2">
      <c r="A48" s="10"/>
      <c r="B48" s="128" t="s">
        <v>813</v>
      </c>
      <c r="C48" s="142" t="str">
        <f t="shared" ref="C48:AE48" si="41">+C$3</f>
        <v>1Q12</v>
      </c>
      <c r="D48" s="142" t="str">
        <f t="shared" si="41"/>
        <v>2Q12</v>
      </c>
      <c r="E48" s="142" t="str">
        <f t="shared" si="41"/>
        <v>3Q12</v>
      </c>
      <c r="F48" s="142" t="str">
        <f t="shared" si="41"/>
        <v>4Q12</v>
      </c>
      <c r="G48" s="142" t="str">
        <f t="shared" si="41"/>
        <v>1Q13</v>
      </c>
      <c r="H48" s="142" t="str">
        <f t="shared" si="41"/>
        <v>2Q13</v>
      </c>
      <c r="I48" s="142" t="str">
        <f t="shared" si="41"/>
        <v>3Q13</v>
      </c>
      <c r="J48" s="142" t="str">
        <f t="shared" si="41"/>
        <v>4Q13</v>
      </c>
      <c r="K48" s="142" t="str">
        <f t="shared" si="41"/>
        <v>1Q14</v>
      </c>
      <c r="L48" s="142" t="str">
        <f t="shared" si="41"/>
        <v>2Q14</v>
      </c>
      <c r="M48" s="142" t="str">
        <f t="shared" si="41"/>
        <v>3Q14</v>
      </c>
      <c r="N48" s="142" t="str">
        <f t="shared" si="41"/>
        <v>4Q14</v>
      </c>
      <c r="O48" s="142" t="str">
        <f t="shared" si="41"/>
        <v>1Q15</v>
      </c>
      <c r="P48" s="142" t="str">
        <f t="shared" si="41"/>
        <v>2Q15</v>
      </c>
      <c r="Q48" s="142" t="str">
        <f t="shared" si="41"/>
        <v>3Q15</v>
      </c>
      <c r="R48" s="142" t="str">
        <f t="shared" si="41"/>
        <v>4Q15</v>
      </c>
      <c r="S48" s="142" t="str">
        <f t="shared" si="41"/>
        <v>1Q16</v>
      </c>
      <c r="T48" s="142" t="str">
        <f t="shared" si="41"/>
        <v>2Q16</v>
      </c>
      <c r="U48" s="142" t="str">
        <f t="shared" si="41"/>
        <v>3Q16</v>
      </c>
      <c r="V48" s="142" t="str">
        <f t="shared" si="41"/>
        <v>4Q16</v>
      </c>
      <c r="W48" s="142" t="str">
        <f t="shared" si="41"/>
        <v>1Q17</v>
      </c>
      <c r="X48" s="142" t="str">
        <f t="shared" si="41"/>
        <v>2Q17</v>
      </c>
      <c r="Y48" s="142" t="str">
        <f t="shared" si="41"/>
        <v>3Q17</v>
      </c>
      <c r="Z48" s="142" t="str">
        <f t="shared" si="41"/>
        <v>4Q17</v>
      </c>
      <c r="AA48" s="142" t="str">
        <f t="shared" si="41"/>
        <v>1Q18</v>
      </c>
      <c r="AB48" s="142" t="str">
        <f t="shared" si="41"/>
        <v>2Q18</v>
      </c>
      <c r="AC48" s="142" t="str">
        <f t="shared" si="41"/>
        <v>3Q18</v>
      </c>
      <c r="AD48" s="142" t="str">
        <f t="shared" si="41"/>
        <v>4Q18</v>
      </c>
      <c r="AE48" s="142" t="str">
        <f t="shared" si="41"/>
        <v>1Q19</v>
      </c>
      <c r="AF48" s="142" t="str">
        <f t="shared" ref="AF48:BB48" si="42">+AF$3</f>
        <v>2Q19</v>
      </c>
      <c r="AG48" s="142" t="str">
        <f t="shared" si="42"/>
        <v>3Q19</v>
      </c>
      <c r="AH48" s="142" t="str">
        <f t="shared" si="42"/>
        <v>4Q19</v>
      </c>
      <c r="AI48" s="142" t="str">
        <f t="shared" si="42"/>
        <v>1Q20</v>
      </c>
      <c r="AJ48" s="142" t="str">
        <f t="shared" si="42"/>
        <v>2Q20</v>
      </c>
      <c r="AK48" s="142" t="str">
        <f t="shared" si="42"/>
        <v>3Q20</v>
      </c>
      <c r="AL48" s="142" t="str">
        <f t="shared" si="42"/>
        <v>4Q20</v>
      </c>
      <c r="AM48" s="142" t="str">
        <f t="shared" si="42"/>
        <v>1Q21</v>
      </c>
      <c r="AN48" s="142" t="str">
        <f t="shared" si="42"/>
        <v>2Q21</v>
      </c>
      <c r="AO48" s="142" t="str">
        <f t="shared" si="42"/>
        <v>3Q21</v>
      </c>
      <c r="AP48" s="142" t="str">
        <f t="shared" si="42"/>
        <v>4Q21</v>
      </c>
      <c r="AQ48" s="142" t="str">
        <f t="shared" si="42"/>
        <v>1Q22</v>
      </c>
      <c r="AR48" s="142" t="str">
        <f t="shared" si="42"/>
        <v>2Q22</v>
      </c>
      <c r="AS48" s="142" t="str">
        <f t="shared" si="42"/>
        <v>3Q22</v>
      </c>
      <c r="AT48" s="142" t="str">
        <f t="shared" si="42"/>
        <v>4Q22</v>
      </c>
      <c r="AU48" s="142" t="str">
        <f t="shared" si="42"/>
        <v>1Q23</v>
      </c>
      <c r="AV48" s="142" t="str">
        <f t="shared" si="42"/>
        <v>2Q23</v>
      </c>
      <c r="AW48" s="142" t="str">
        <f t="shared" si="42"/>
        <v>3Q23</v>
      </c>
      <c r="AX48" s="142" t="str">
        <f t="shared" si="42"/>
        <v>4Q23</v>
      </c>
      <c r="AY48" s="142" t="str">
        <f t="shared" si="42"/>
        <v>1Q24</v>
      </c>
      <c r="AZ48" s="142" t="str">
        <f t="shared" si="42"/>
        <v>2Q24</v>
      </c>
      <c r="BA48" s="142" t="str">
        <f t="shared" si="42"/>
        <v>3Q24</v>
      </c>
      <c r="BB48" s="142" t="str">
        <f t="shared" si="42"/>
        <v>4Q24</v>
      </c>
    </row>
    <row r="49" spans="1:54" x14ac:dyDescent="0.2">
      <c r="A49" s="10"/>
      <c r="B49" s="117" t="s">
        <v>831</v>
      </c>
      <c r="C49" s="118">
        <f>+BalSheet!K8</f>
        <v>294602</v>
      </c>
      <c r="D49" s="118">
        <f>+BalSheet!L8</f>
        <v>331980</v>
      </c>
      <c r="E49" s="118">
        <f>+BalSheet!M8</f>
        <v>352994</v>
      </c>
      <c r="F49" s="118">
        <f>+BalSheet!N8</f>
        <v>361666</v>
      </c>
      <c r="G49" s="118">
        <f>+BalSheet!O8</f>
        <v>341441</v>
      </c>
      <c r="H49" s="118">
        <f>+BalSheet!P8</f>
        <v>394608</v>
      </c>
      <c r="I49" s="118">
        <f>+BalSheet!Q8</f>
        <v>353269</v>
      </c>
      <c r="J49" s="118">
        <f>+BalSheet!R8</f>
        <v>338425</v>
      </c>
      <c r="K49" s="118">
        <f>+BalSheet!S8</f>
        <v>301539</v>
      </c>
      <c r="L49" s="118">
        <f>+BalSheet!T8</f>
        <v>260290</v>
      </c>
      <c r="M49" s="118">
        <f>+BalSheet!U8</f>
        <v>248659</v>
      </c>
      <c r="N49" s="118">
        <f>+BalSheet!V8</f>
        <v>253604</v>
      </c>
      <c r="O49" s="118">
        <f>+BalSheet!W8</f>
        <v>199309</v>
      </c>
      <c r="P49" s="118">
        <f>+BalSheet!X8</f>
        <v>221868</v>
      </c>
      <c r="Q49" s="118">
        <f>+BalSheet!Y8</f>
        <v>182340</v>
      </c>
      <c r="R49" s="118">
        <f>+BalSheet!Z8</f>
        <v>187600</v>
      </c>
      <c r="S49" s="118">
        <f>+BalSheet!AA8</f>
        <v>129251</v>
      </c>
      <c r="T49" s="118">
        <f>+BalSheet!AB8</f>
        <v>138728</v>
      </c>
      <c r="U49" s="118">
        <f>+BalSheet!AC8</f>
        <v>126437</v>
      </c>
      <c r="V49" s="118">
        <f>+BalSheet!AD8</f>
        <v>154255</v>
      </c>
      <c r="W49" s="118">
        <f>+BalSheet!AE8</f>
        <v>116130</v>
      </c>
      <c r="X49" s="118">
        <f>+BalSheet!AF8</f>
        <v>123239</v>
      </c>
      <c r="Y49" s="118">
        <f>+BalSheet!AG8</f>
        <v>137433</v>
      </c>
      <c r="Z49" s="118">
        <f>+BalSheet!AH8</f>
        <v>171180</v>
      </c>
      <c r="AA49" s="118">
        <f>+BalSheet!AI8</f>
        <v>149456</v>
      </c>
      <c r="AB49" s="118">
        <f>+BalSheet!AJ8</f>
        <v>175884</v>
      </c>
      <c r="AC49" s="118">
        <f>+BalSheet!AK8</f>
        <v>190482</v>
      </c>
      <c r="AD49" s="118">
        <f>+BalSheet!AL8</f>
        <v>226227</v>
      </c>
      <c r="AE49" s="118">
        <f>+BalSheet!AM8</f>
        <v>202605</v>
      </c>
      <c r="AF49" s="118">
        <f>+BalSheet!AN8</f>
        <v>215878</v>
      </c>
      <c r="AG49" s="118">
        <f>+BalSheet!AO8</f>
        <v>222773</v>
      </c>
      <c r="AH49" s="118">
        <f>+BalSheet!AP8</f>
        <v>261173</v>
      </c>
      <c r="AI49" s="118">
        <f>+BalSheet!AQ8</f>
        <v>208452</v>
      </c>
      <c r="AJ49" s="118">
        <f>+BalSheet!AR8</f>
        <v>127444</v>
      </c>
      <c r="AK49" s="118">
        <f>+BalSheet!AS8</f>
        <v>199717</v>
      </c>
      <c r="AL49" s="118">
        <f>+BalSheet!AT8</f>
        <v>212138</v>
      </c>
      <c r="AM49" s="118">
        <f>+BalSheet!AU8</f>
        <v>169120</v>
      </c>
      <c r="AN49" s="118">
        <f>+BalSheet!AV8</f>
        <v>197088</v>
      </c>
      <c r="AO49" s="118">
        <f>+BalSheet!AW8</f>
        <v>196436</v>
      </c>
      <c r="AP49" s="118">
        <f>+BalSheet!AX8</f>
        <v>302669</v>
      </c>
      <c r="AQ49" s="118">
        <f>+BalSheet!AY8</f>
        <v>223696</v>
      </c>
      <c r="AR49" s="118">
        <f>+BalSheet!AZ8</f>
        <v>266460</v>
      </c>
      <c r="AS49" s="118">
        <f>+BalSheet!BA8</f>
        <v>289087</v>
      </c>
      <c r="AT49" s="118">
        <f>+BalSheet!BB8</f>
        <v>314053</v>
      </c>
      <c r="AU49" s="118">
        <f>+BalSheet!BC8</f>
        <v>259933</v>
      </c>
      <c r="AV49" s="118">
        <f>+BalSheet!BD8</f>
        <v>264045</v>
      </c>
      <c r="AW49" s="118">
        <f>+BalSheet!BE8</f>
        <v>280755</v>
      </c>
      <c r="AX49" s="118">
        <f>+BalSheet!BF8</f>
        <v>345505</v>
      </c>
      <c r="AY49" s="118">
        <f>+BalSheet!BG8</f>
        <v>294190</v>
      </c>
      <c r="AZ49" s="118">
        <f>+BalSheet!BH8</f>
        <v>342942</v>
      </c>
      <c r="BA49" s="118">
        <f>+BalSheet!BI8</f>
        <v>395339</v>
      </c>
      <c r="BB49" s="118">
        <f>+BalSheet!BJ8</f>
        <v>437934</v>
      </c>
    </row>
    <row r="50" spans="1:54" x14ac:dyDescent="0.2">
      <c r="A50" s="10"/>
      <c r="B50" s="281" t="s">
        <v>832</v>
      </c>
      <c r="C50" s="259">
        <f>+C49/(IncS!H6/90)</f>
        <v>62.621911615702373</v>
      </c>
      <c r="D50" s="259">
        <f>+D49/(IncS!I6/90)</f>
        <v>62.493359157669282</v>
      </c>
      <c r="E50" s="259">
        <f>+E49/(IncS!J6/90)</f>
        <v>56.97249779422841</v>
      </c>
      <c r="F50" s="259">
        <f>+F49/(IncS!K6/90)</f>
        <v>58.667567859846436</v>
      </c>
      <c r="G50" s="259">
        <f>+G49/(IncS!L6/90)</f>
        <v>65.745739213781704</v>
      </c>
      <c r="H50" s="259">
        <f>+H49/(IncS!M6/90)</f>
        <v>62.839337753265852</v>
      </c>
      <c r="I50" s="259">
        <f>+I49/(IncS!N6/90)</f>
        <v>55.24460615411882</v>
      </c>
      <c r="J50" s="259">
        <f>+J49/(IncS!O6/90)</f>
        <v>53.264519175279361</v>
      </c>
      <c r="K50" s="259">
        <f>+K49/(IncS!P6/90)</f>
        <v>57.289653731103819</v>
      </c>
      <c r="L50" s="259">
        <f>+L49/(IncS!Q6/90)</f>
        <v>46.45261460913224</v>
      </c>
      <c r="M50" s="259">
        <f>+M49/(IncS!R6/90)</f>
        <v>46.287495992636792</v>
      </c>
      <c r="N50" s="259">
        <f>+N49/(IncS!S6/90)</f>
        <v>46.311248724249111</v>
      </c>
      <c r="O50" s="259">
        <f>+O49/(IncS!T6/90)</f>
        <v>50.832461934759877</v>
      </c>
      <c r="P50" s="259">
        <f>+P49/(IncS!U6/90)</f>
        <v>58.358331092692396</v>
      </c>
      <c r="Q50" s="259">
        <f>+Q49/(IncS!V6/90)</f>
        <v>47.823680693430958</v>
      </c>
      <c r="R50" s="259">
        <f>+R49/(IncS!W6/90)</f>
        <v>47.713316679253914</v>
      </c>
      <c r="S50" s="259">
        <f>+S49/(IncS!X6/90)</f>
        <v>46.336666535887467</v>
      </c>
      <c r="T50" s="259">
        <f>+T49/(IncS!Y6/90)</f>
        <v>44.110378040067964</v>
      </c>
      <c r="U50" s="259">
        <f>+U49/(IncS!Z6/90)</f>
        <v>38.894306878741482</v>
      </c>
      <c r="V50" s="259">
        <f>+V49/(IncS!AA6/90)</f>
        <v>44.275026198992798</v>
      </c>
      <c r="W50" s="259">
        <f>+W49/(IncS!AB6/90)</f>
        <v>39.719237402548863</v>
      </c>
      <c r="X50" s="259">
        <f>+X49/(IncS!AC6/90)</f>
        <v>35.014730035534399</v>
      </c>
      <c r="Y50" s="259">
        <f>+Y49/(IncS!AD6/90)</f>
        <v>34.780388227402035</v>
      </c>
      <c r="Z50" s="259">
        <f>+Z49/(IncS!AE6/90)</f>
        <v>39.037343944115563</v>
      </c>
      <c r="AA50" s="259">
        <f>+AA49/(IncS!AF6/90)</f>
        <v>41.663506875971962</v>
      </c>
      <c r="AB50" s="259">
        <f>+AB49/(IncS!AG6/90)</f>
        <v>43.922375863127726</v>
      </c>
      <c r="AC50" s="259">
        <f>+AC49/(IncS!AH6/90)</f>
        <v>41.225349933842544</v>
      </c>
      <c r="AD50" s="259">
        <f>+AD49/(IncS!AI6/90)</f>
        <v>46.313049769519438</v>
      </c>
      <c r="AE50" s="259">
        <f>+AE49/(IncS!AJ6/90)</f>
        <v>49.646939808097962</v>
      </c>
      <c r="AF50" s="259">
        <f>+AF49/(IncS!AK6/90)</f>
        <v>47.815763249532246</v>
      </c>
      <c r="AG50" s="259">
        <f>+AG49/(IncS!AL6/90)</f>
        <v>48.213560576659368</v>
      </c>
      <c r="AH50" s="259">
        <f>+AH49/(IncS!AM6/90)</f>
        <v>50.675232910702135</v>
      </c>
      <c r="AI50" s="259">
        <f>+AI49/(IncS!AN6/90)</f>
        <v>54.307420809725244</v>
      </c>
      <c r="AJ50" s="259">
        <f>+AJ49/(IncS!AO6/90)</f>
        <v>71.568658460625841</v>
      </c>
      <c r="AK50" s="259">
        <f>+AK49/(IncS!AP6/90)</f>
        <v>50.163895693743683</v>
      </c>
      <c r="AL50" s="259">
        <f>+AL49/(IncS!AQ6/90)</f>
        <v>49.36897007920826</v>
      </c>
      <c r="AM50" s="259">
        <f>+AM49/(IncS!AR6/90)</f>
        <v>52.347476219140027</v>
      </c>
      <c r="AN50" s="259">
        <f>+AN49/(IncS!AS6/90)</f>
        <v>60.187450597363473</v>
      </c>
      <c r="AO50" s="259">
        <f>+AO49/(IncS!AT6/90)</f>
        <v>61.114199538102213</v>
      </c>
      <c r="AP50" s="259">
        <f>+AP49/(IncS!AU6/90)</f>
        <v>71.782561682617512</v>
      </c>
      <c r="AQ50" s="259">
        <f>+AQ49/(IncS!AV6/90)</f>
        <v>67.482475285711402</v>
      </c>
      <c r="AR50" s="259">
        <f>+AR49/(IncS!AW6/90)</f>
        <v>63.808961158789771</v>
      </c>
      <c r="AS50" s="259">
        <f>+AS49/(IncS!AX6/90)</f>
        <v>50.874665931595509</v>
      </c>
      <c r="AT50" s="259">
        <f>+AT49/(IncS!AY6/90)</f>
        <v>55.826079891574423</v>
      </c>
      <c r="AU50" s="259">
        <f>+AU49/(IncS!AZ6/90)</f>
        <v>56.070215665586787</v>
      </c>
      <c r="AV50" s="259">
        <f>+AV49/(IncS!BA6/90)</f>
        <v>51.983792337188738</v>
      </c>
      <c r="AW50" s="259">
        <f>+AW49/(IncS!BB6/90)</f>
        <v>47.576690603690487</v>
      </c>
      <c r="AX50" s="259">
        <f>+AX49/(IncS!BC6/90)</f>
        <v>54.941851530098845</v>
      </c>
      <c r="AY50" s="259">
        <f>+AY49/(IncS!BD6/90)</f>
        <v>54.791267344803188</v>
      </c>
      <c r="AZ50" s="259">
        <f>+AZ49/(IncS!BE6/90)</f>
        <v>52.770403894665691</v>
      </c>
      <c r="BA50" s="259">
        <f>+BA49/(IncS!BF6/90)</f>
        <v>47.646607614023388</v>
      </c>
      <c r="BB50" s="259">
        <f>+BB49/(IncS!BG6/90)</f>
        <v>51.164407216993304</v>
      </c>
    </row>
    <row r="51" spans="1:54" x14ac:dyDescent="0.2">
      <c r="A51" s="10"/>
      <c r="B51" s="117" t="s">
        <v>833</v>
      </c>
      <c r="C51" s="118">
        <f>+BalSheet!K46</f>
        <v>45173</v>
      </c>
      <c r="D51" s="118">
        <f>+BalSheet!L46</f>
        <v>47474</v>
      </c>
      <c r="E51" s="118">
        <f>+BalSheet!M46</f>
        <v>43965</v>
      </c>
      <c r="F51" s="118">
        <f>+BalSheet!N46</f>
        <v>32532</v>
      </c>
      <c r="G51" s="118">
        <f>+BalSheet!O46</f>
        <v>42104</v>
      </c>
      <c r="H51" s="118">
        <f>+BalSheet!P46</f>
        <v>54771</v>
      </c>
      <c r="I51" s="118">
        <f>+BalSheet!Q46</f>
        <v>65269</v>
      </c>
      <c r="J51" s="118">
        <f>+BalSheet!R46</f>
        <v>56817</v>
      </c>
      <c r="K51" s="118">
        <f>+BalSheet!S46</f>
        <v>53213</v>
      </c>
      <c r="L51" s="118">
        <f>+BalSheet!T46</f>
        <v>46278</v>
      </c>
      <c r="M51" s="118">
        <f>+BalSheet!U46</f>
        <v>53006</v>
      </c>
      <c r="N51" s="118">
        <f>+BalSheet!V46</f>
        <v>51894</v>
      </c>
      <c r="O51" s="118">
        <f>+BalSheet!W46</f>
        <v>48471</v>
      </c>
      <c r="P51" s="118">
        <f>+BalSheet!X46</f>
        <v>39196</v>
      </c>
      <c r="Q51" s="118">
        <f>+BalSheet!Y46</f>
        <v>39489</v>
      </c>
      <c r="R51" s="118">
        <f>+BalSheet!Z46</f>
        <v>45404</v>
      </c>
      <c r="S51" s="118">
        <f>+BalSheet!AA46</f>
        <v>33904</v>
      </c>
      <c r="T51" s="118">
        <f>+BalSheet!AB46</f>
        <v>30891</v>
      </c>
      <c r="U51" s="118">
        <f>+BalSheet!AC46</f>
        <v>32399</v>
      </c>
      <c r="V51" s="118">
        <f>+BalSheet!AD46</f>
        <v>43164</v>
      </c>
      <c r="W51" s="118">
        <f>+BalSheet!AE46</f>
        <v>23189</v>
      </c>
      <c r="X51" s="118">
        <f>+BalSheet!AF46</f>
        <v>23235</v>
      </c>
      <c r="Y51" s="118">
        <f>+BalSheet!AG46</f>
        <v>26706</v>
      </c>
      <c r="Z51" s="118">
        <f>+BalSheet!AH46</f>
        <v>32237</v>
      </c>
      <c r="AA51" s="118">
        <f>+BalSheet!AI46</f>
        <v>28016</v>
      </c>
      <c r="AB51" s="118">
        <f>+BalSheet!AJ46</f>
        <v>24553</v>
      </c>
      <c r="AC51" s="118">
        <f>+BalSheet!AK46</f>
        <v>27786</v>
      </c>
      <c r="AD51" s="118">
        <f>+BalSheet!AL46</f>
        <v>36898</v>
      </c>
      <c r="AE51" s="118">
        <f>+BalSheet!AM46</f>
        <v>32147</v>
      </c>
      <c r="AF51" s="118">
        <f>+BalSheet!AN46</f>
        <v>30700</v>
      </c>
      <c r="AG51" s="118">
        <f>+BalSheet!AO46</f>
        <v>30325</v>
      </c>
      <c r="AH51" s="118">
        <f>+BalSheet!AP46</f>
        <v>36312</v>
      </c>
      <c r="AI51" s="118">
        <f>+BalSheet!AQ46</f>
        <v>21287</v>
      </c>
      <c r="AJ51" s="118">
        <f>+BalSheet!AR46</f>
        <v>17169</v>
      </c>
      <c r="AK51" s="118">
        <f>+BalSheet!AS46</f>
        <v>28173</v>
      </c>
      <c r="AL51" s="118">
        <f>+BalSheet!AT46</f>
        <v>31268</v>
      </c>
      <c r="AM51" s="118">
        <f>+BalSheet!AU46</f>
        <v>27426</v>
      </c>
      <c r="AN51" s="118">
        <f>+BalSheet!AV46</f>
        <v>29673</v>
      </c>
      <c r="AO51" s="118">
        <f>+BalSheet!AW46</f>
        <v>37709</v>
      </c>
      <c r="AP51" s="118">
        <f>+BalSheet!AX46</f>
        <v>47838</v>
      </c>
      <c r="AQ51" s="118">
        <f>+BalSheet!AY46</f>
        <v>39307</v>
      </c>
      <c r="AR51" s="118">
        <f>+BalSheet!AZ46</f>
        <v>34064</v>
      </c>
      <c r="AS51" s="118">
        <f>+BalSheet!BA46</f>
        <v>30411</v>
      </c>
      <c r="AT51" s="118">
        <f>+BalSheet!BB46</f>
        <v>49406</v>
      </c>
      <c r="AU51" s="118">
        <f>+BalSheet!BC46</f>
        <v>36895</v>
      </c>
      <c r="AV51" s="118">
        <f>+BalSheet!BD46</f>
        <v>36160</v>
      </c>
      <c r="AW51" s="118">
        <f>+BalSheet!BE46</f>
        <v>43470</v>
      </c>
      <c r="AX51" s="118">
        <f>+BalSheet!BF46</f>
        <v>49620</v>
      </c>
      <c r="AY51" s="118">
        <f>+BalSheet!BG46</f>
        <v>45666</v>
      </c>
      <c r="AZ51" s="118">
        <f>+BalSheet!BH46</f>
        <v>54715</v>
      </c>
      <c r="BA51" s="118">
        <f>+BalSheet!BI46</f>
        <v>56527</v>
      </c>
      <c r="BB51" s="118">
        <f>+BalSheet!BJ46</f>
        <v>62418</v>
      </c>
    </row>
    <row r="52" spans="1:54" x14ac:dyDescent="0.2">
      <c r="A52" s="10"/>
      <c r="B52" s="281" t="s">
        <v>834</v>
      </c>
      <c r="C52" s="259">
        <f>+C51/((IncS!H11)/90)</f>
        <v>-14.30058319908264</v>
      </c>
      <c r="D52" s="259">
        <f>+D51/((IncS!I11)/90)</f>
        <v>-13.115169746454663</v>
      </c>
      <c r="E52" s="259">
        <f>+E51/((IncS!J11)/90)</f>
        <v>-10.292583700320209</v>
      </c>
      <c r="F52" s="259">
        <f>+F51/((IncS!K11)/90)</f>
        <v>-7.3106895750986904</v>
      </c>
      <c r="G52" s="259">
        <f>+G51/((IncS!L11)/90)</f>
        <v>-11.033478724209619</v>
      </c>
      <c r="H52" s="259">
        <f>+H51/((IncS!M11)/90)</f>
        <v>-12.435362171134786</v>
      </c>
      <c r="I52" s="259">
        <f>+I51/((IncS!N11)/90)</f>
        <v>-14.265651220453988</v>
      </c>
      <c r="J52" s="259">
        <f>+J51/((IncS!O11)/90)</f>
        <v>-12.770352278346344</v>
      </c>
      <c r="K52" s="259">
        <f>+K51/((IncS!P11)/90)</f>
        <v>-14.111610063115464</v>
      </c>
      <c r="L52" s="259">
        <f>+L51/((IncS!Q11)/90)</f>
        <v>-11.852140631447149</v>
      </c>
      <c r="M52" s="259">
        <f>+M51/((IncS!R11)/90)</f>
        <v>-15.240416715918203</v>
      </c>
      <c r="N52" s="259">
        <f>+N51/((IncS!S11)/90)</f>
        <v>-14.526142926900574</v>
      </c>
      <c r="O52" s="259">
        <f>+O51/((IncS!T11)/90)</f>
        <v>-17.658995688869997</v>
      </c>
      <c r="P52" s="259">
        <f>+P51/((IncS!U11)/90)</f>
        <v>-14.280266689336068</v>
      </c>
      <c r="Q52" s="259">
        <f>+Q51/((IncS!V11)/90)</f>
        <v>-15.003507936721643</v>
      </c>
      <c r="R52" s="259">
        <f>+R51/((IncS!W11)/90)</f>
        <v>-16.782252339932771</v>
      </c>
      <c r="S52" s="259">
        <f>+S51/((IncS!X11)/90)</f>
        <v>-17.055718131110005</v>
      </c>
      <c r="T52" s="259">
        <f>+T51/((IncS!Y11)/90)</f>
        <v>-14.082731402385987</v>
      </c>
      <c r="U52" s="259">
        <f>+U51/((IncS!Z11)/90)</f>
        <v>-14.705749394291326</v>
      </c>
      <c r="V52" s="259">
        <f>+V51/((IncS!AA11)/90)</f>
        <v>-18.795197830070208</v>
      </c>
      <c r="W52" s="259">
        <f>+W51/((IncS!AB11)/90)</f>
        <v>-11.548627625633276</v>
      </c>
      <c r="X52" s="259">
        <f>+X51/((IncS!AC11)/90)</f>
        <v>-9.8680231374766247</v>
      </c>
      <c r="Y52" s="259">
        <f>+Y51/((IncS!AD11)/90)</f>
        <v>-10.329163339596352</v>
      </c>
      <c r="Z52" s="259">
        <f>+Z51/((IncS!AE11)/90)</f>
        <v>-12.91072495633567</v>
      </c>
      <c r="AA52" s="259">
        <f>+AA51/((IncS!AF11)/90)</f>
        <v>-11.825070929411718</v>
      </c>
      <c r="AB52" s="259">
        <f>+AB51/((IncS!AG11)/90)</f>
        <v>-9.2832036156152729</v>
      </c>
      <c r="AC52" s="259">
        <f>+AC51/((IncS!AH11)/90)</f>
        <v>-9.4595189229042056</v>
      </c>
      <c r="AD52" s="259">
        <f>+AD51/((IncS!AI11)/90)</f>
        <v>-11.852774825253992</v>
      </c>
      <c r="AE52" s="259">
        <f>+AE51/((IncS!AJ11)/90)</f>
        <v>-12.356794322087181</v>
      </c>
      <c r="AF52" s="259">
        <f>+AF51/((IncS!AK11)/90)</f>
        <v>-10.535153399881665</v>
      </c>
      <c r="AG52" s="259">
        <f>+AG51/((IncS!AL11)/90)</f>
        <v>-10.054497925490397</v>
      </c>
      <c r="AH52" s="259">
        <f>+AH51/((IncS!AM11)/90)</f>
        <v>-11.168298617796204</v>
      </c>
      <c r="AI52" s="259">
        <f>+AI51/((IncS!AN11)/90)</f>
        <v>-8.6731594829882521</v>
      </c>
      <c r="AJ52" s="259">
        <f>+AJ51/((IncS!AO11)/90)</f>
        <v>-13.022060546436977</v>
      </c>
      <c r="AK52" s="259">
        <f>+AK51/((IncS!AP11)/90)</f>
        <v>-11.29501744858489</v>
      </c>
      <c r="AL52" s="259">
        <f>+AL51/((IncS!AQ11)/90)</f>
        <v>-11.353707310421859</v>
      </c>
      <c r="AM52" s="259">
        <f>+AM51/((IncS!AR11)/90)</f>
        <v>-12.900253937198039</v>
      </c>
      <c r="AN52" s="259">
        <f>+AN51/((IncS!AS11)/90)</f>
        <v>-13.859771247009496</v>
      </c>
      <c r="AO52" s="259">
        <f>+AO51/((IncS!AT11)/90)</f>
        <v>-17.904000611810467</v>
      </c>
      <c r="AP52" s="259">
        <f>+AP51/((IncS!AU11)/90)</f>
        <v>-17.514674024755848</v>
      </c>
      <c r="AQ52" s="259">
        <f>+AQ51/((IncS!AV11)/90)</f>
        <v>-17.513245219987983</v>
      </c>
      <c r="AR52" s="259">
        <f>+AR51/((IncS!AW11)/90)</f>
        <v>-12.405920817697677</v>
      </c>
      <c r="AS52" s="259">
        <f>+AS51/((IncS!AX11)/90)</f>
        <v>-8.5556760923362312</v>
      </c>
      <c r="AT52" s="259">
        <f>+AT51/((IncS!AY11)/90)</f>
        <v>-13.606121800845154</v>
      </c>
      <c r="AU52" s="259">
        <f>+AU51/((IncS!AZ11)/90)</f>
        <v>-12.025929277728443</v>
      </c>
      <c r="AV52" s="259">
        <f>+AV51/((IncS!BA11)/90)</f>
        <v>-10.931669182357853</v>
      </c>
      <c r="AW52" s="259">
        <f>+AW51/((IncS!BB11)/90)</f>
        <v>-11.658031592841706</v>
      </c>
      <c r="AX52" s="259">
        <f>+AX51/((IncS!BC11)/90)</f>
        <v>-12.326465417746961</v>
      </c>
      <c r="AY52" s="259">
        <f>+AY51/((IncS!BD11)/90)</f>
        <v>-13.022555621244376</v>
      </c>
      <c r="AZ52" s="259">
        <f>+AZ51/((IncS!BE11)/90)</f>
        <v>-13.070347587325504</v>
      </c>
      <c r="BA52" s="259">
        <f>+BA51/((IncS!BF11)/90)</f>
        <v>-10.958964100044357</v>
      </c>
      <c r="BB52" s="259">
        <f>+BB51/((IncS!BG11)/90)</f>
        <v>-11.642795298944984</v>
      </c>
    </row>
    <row r="53" spans="1:54" ht="13.5" x14ac:dyDescent="0.2">
      <c r="A53" s="10"/>
      <c r="B53" s="693" t="s">
        <v>813</v>
      </c>
      <c r="C53" s="694">
        <f t="shared" ref="C53:L53" si="43">+C50+C52</f>
        <v>48.321328416619735</v>
      </c>
      <c r="D53" s="694">
        <f t="shared" si="43"/>
        <v>49.37818941121462</v>
      </c>
      <c r="E53" s="694">
        <f t="shared" si="43"/>
        <v>46.679914093908202</v>
      </c>
      <c r="F53" s="694">
        <f t="shared" si="43"/>
        <v>51.356878284747744</v>
      </c>
      <c r="G53" s="694">
        <f t="shared" si="43"/>
        <v>54.712260489572088</v>
      </c>
      <c r="H53" s="694">
        <f t="shared" si="43"/>
        <v>50.403975582131068</v>
      </c>
      <c r="I53" s="694">
        <f t="shared" si="43"/>
        <v>40.978954933664831</v>
      </c>
      <c r="J53" s="694">
        <f t="shared" si="43"/>
        <v>40.494166896933017</v>
      </c>
      <c r="K53" s="694">
        <f t="shared" si="43"/>
        <v>43.178043667988355</v>
      </c>
      <c r="L53" s="694">
        <f t="shared" si="43"/>
        <v>34.600473977685091</v>
      </c>
      <c r="M53" s="694">
        <f t="shared" ref="M53:AC53" si="44">+M50+M52</f>
        <v>31.047079276718591</v>
      </c>
      <c r="N53" s="694">
        <f t="shared" si="44"/>
        <v>31.785105797348535</v>
      </c>
      <c r="O53" s="694">
        <f t="shared" si="44"/>
        <v>33.173466245889884</v>
      </c>
      <c r="P53" s="694">
        <f t="shared" si="44"/>
        <v>44.078064403356329</v>
      </c>
      <c r="Q53" s="694">
        <f t="shared" si="44"/>
        <v>32.820172756709312</v>
      </c>
      <c r="R53" s="694">
        <f t="shared" si="44"/>
        <v>30.931064339321143</v>
      </c>
      <c r="S53" s="694">
        <f t="shared" si="44"/>
        <v>29.280948404777462</v>
      </c>
      <c r="T53" s="694">
        <f t="shared" si="44"/>
        <v>30.027646637681976</v>
      </c>
      <c r="U53" s="694">
        <f t="shared" si="44"/>
        <v>24.188557484450158</v>
      </c>
      <c r="V53" s="694">
        <f t="shared" si="44"/>
        <v>25.47982836892259</v>
      </c>
      <c r="W53" s="694">
        <f t="shared" si="44"/>
        <v>28.170609776915587</v>
      </c>
      <c r="X53" s="694">
        <f t="shared" si="44"/>
        <v>25.146706898057772</v>
      </c>
      <c r="Y53" s="694">
        <f t="shared" si="44"/>
        <v>24.451224887805683</v>
      </c>
      <c r="Z53" s="694">
        <f t="shared" si="44"/>
        <v>26.126618987779892</v>
      </c>
      <c r="AA53" s="694">
        <f t="shared" si="44"/>
        <v>29.838435946560246</v>
      </c>
      <c r="AB53" s="694">
        <f t="shared" si="44"/>
        <v>34.639172247512455</v>
      </c>
      <c r="AC53" s="694">
        <f t="shared" si="44"/>
        <v>31.765831010938339</v>
      </c>
      <c r="AD53" s="694">
        <f t="shared" ref="AD53:AJ53" si="45">+AD50+AD52</f>
        <v>34.46027494426545</v>
      </c>
      <c r="AE53" s="694">
        <f t="shared" si="45"/>
        <v>37.290145486010779</v>
      </c>
      <c r="AF53" s="694">
        <f t="shared" si="45"/>
        <v>37.280609849650581</v>
      </c>
      <c r="AG53" s="694">
        <f t="shared" si="45"/>
        <v>38.159062651168973</v>
      </c>
      <c r="AH53" s="694">
        <f t="shared" si="45"/>
        <v>39.506934292905932</v>
      </c>
      <c r="AI53" s="694">
        <f t="shared" si="45"/>
        <v>45.63426132673699</v>
      </c>
      <c r="AJ53" s="694">
        <f t="shared" si="45"/>
        <v>58.546597914188865</v>
      </c>
      <c r="AK53" s="694">
        <f t="shared" ref="AK53:AP53" si="46">+AK50+AK52</f>
        <v>38.868878245158797</v>
      </c>
      <c r="AL53" s="694">
        <f t="shared" si="46"/>
        <v>38.0152627687864</v>
      </c>
      <c r="AM53" s="694">
        <f t="shared" si="46"/>
        <v>39.44722228194199</v>
      </c>
      <c r="AN53" s="694">
        <f t="shared" si="46"/>
        <v>46.327679350353975</v>
      </c>
      <c r="AO53" s="694">
        <f t="shared" si="46"/>
        <v>43.210198926291746</v>
      </c>
      <c r="AP53" s="694">
        <f t="shared" si="46"/>
        <v>54.267887657861664</v>
      </c>
      <c r="AQ53" s="694">
        <f t="shared" ref="AQ53:AV53" si="47">+AQ50+AQ52</f>
        <v>49.969230065723423</v>
      </c>
      <c r="AR53" s="694">
        <f t="shared" si="47"/>
        <v>51.403040341092094</v>
      </c>
      <c r="AS53" s="694">
        <f t="shared" si="47"/>
        <v>42.318989839259274</v>
      </c>
      <c r="AT53" s="694">
        <f t="shared" si="47"/>
        <v>42.219958090729271</v>
      </c>
      <c r="AU53" s="694">
        <f t="shared" si="47"/>
        <v>44.044286387858342</v>
      </c>
      <c r="AV53" s="694">
        <f t="shared" si="47"/>
        <v>41.052123154830888</v>
      </c>
      <c r="AW53" s="694">
        <f>+AW50+AW52</f>
        <v>35.918659010848785</v>
      </c>
      <c r="AX53" s="694">
        <f>+AX50+AX52</f>
        <v>42.615386112351885</v>
      </c>
      <c r="AY53" s="694">
        <f>+AY50+AY52</f>
        <v>41.768711723558809</v>
      </c>
      <c r="AZ53" s="694">
        <f t="shared" ref="AZ53:BB53" si="48">+AZ50+AZ52</f>
        <v>39.700056307340191</v>
      </c>
      <c r="BA53" s="694">
        <f t="shared" si="48"/>
        <v>36.687643513979033</v>
      </c>
      <c r="BB53" s="694">
        <f t="shared" si="48"/>
        <v>39.521611918048322</v>
      </c>
    </row>
    <row r="54" spans="1:54" ht="7.15" customHeight="1" x14ac:dyDescent="0.2">
      <c r="A54" s="10"/>
      <c r="B54" s="10"/>
      <c r="C54" s="11"/>
      <c r="D54" s="11"/>
      <c r="E54" s="11"/>
      <c r="F54" s="11"/>
      <c r="G54" s="11"/>
      <c r="H54" s="11"/>
      <c r="I54" s="11"/>
      <c r="J54" s="11"/>
      <c r="K54" s="11"/>
      <c r="L54" s="11"/>
      <c r="M54" s="11"/>
      <c r="N54" s="11"/>
      <c r="O54" s="11"/>
      <c r="P54" s="11"/>
    </row>
    <row r="55" spans="1:54" x14ac:dyDescent="0.2">
      <c r="A55" s="10"/>
      <c r="B55" s="10" t="s">
        <v>366</v>
      </c>
      <c r="C55" s="11"/>
      <c r="D55" s="11"/>
      <c r="E55" s="11"/>
      <c r="F55" s="11"/>
      <c r="G55" s="11"/>
      <c r="H55" s="11"/>
      <c r="I55" s="11"/>
      <c r="J55" s="1250" t="str">
        <f>J22</f>
        <v>&lt;== with Direct Express</v>
      </c>
      <c r="K55" s="1251"/>
      <c r="L55" s="225" t="str">
        <f>L22</f>
        <v>without Direct Express ==&gt;</v>
      </c>
      <c r="M55" s="11"/>
      <c r="N55" s="11"/>
      <c r="O55" s="11"/>
      <c r="P55" s="11"/>
      <c r="Z55" s="276"/>
      <c r="AA55" s="276"/>
      <c r="AB55" s="276"/>
      <c r="AC55" s="276"/>
      <c r="AD55" s="276"/>
      <c r="AE55" s="276"/>
      <c r="AF55" s="276"/>
      <c r="AG55" s="276"/>
      <c r="AH55" s="276"/>
      <c r="AI55" s="276"/>
      <c r="AJ55" s="276"/>
      <c r="AK55" s="276"/>
      <c r="AL55" s="276"/>
      <c r="AM55" s="276"/>
      <c r="AS55" s="276"/>
      <c r="AT55" s="276"/>
      <c r="AU55" s="276"/>
      <c r="AV55" s="276"/>
      <c r="AW55" s="276"/>
      <c r="AX55" s="276"/>
      <c r="AY55" s="276"/>
      <c r="AZ55" s="276"/>
      <c r="BA55" s="276"/>
    </row>
    <row r="56" spans="1:54" x14ac:dyDescent="0.2">
      <c r="A56" s="10"/>
      <c r="B56" s="128" t="s">
        <v>122</v>
      </c>
      <c r="C56" s="142" t="str">
        <f t="shared" ref="C56:AE56" si="49">+C$3</f>
        <v>1Q12</v>
      </c>
      <c r="D56" s="142" t="str">
        <f t="shared" si="49"/>
        <v>2Q12</v>
      </c>
      <c r="E56" s="142" t="str">
        <f t="shared" si="49"/>
        <v>3Q12</v>
      </c>
      <c r="F56" s="142" t="str">
        <f t="shared" si="49"/>
        <v>4Q12</v>
      </c>
      <c r="G56" s="142" t="str">
        <f t="shared" si="49"/>
        <v>1Q13</v>
      </c>
      <c r="H56" s="142" t="str">
        <f t="shared" si="49"/>
        <v>2Q13</v>
      </c>
      <c r="I56" s="142" t="str">
        <f t="shared" si="49"/>
        <v>3Q13</v>
      </c>
      <c r="J56" s="142" t="str">
        <f t="shared" si="49"/>
        <v>4Q13</v>
      </c>
      <c r="K56" s="142" t="str">
        <f t="shared" si="49"/>
        <v>1Q14</v>
      </c>
      <c r="L56" s="142" t="str">
        <f t="shared" si="49"/>
        <v>2Q14</v>
      </c>
      <c r="M56" s="142" t="str">
        <f t="shared" si="49"/>
        <v>3Q14</v>
      </c>
      <c r="N56" s="142" t="str">
        <f t="shared" si="49"/>
        <v>4Q14</v>
      </c>
      <c r="O56" s="142" t="str">
        <f t="shared" si="49"/>
        <v>1Q15</v>
      </c>
      <c r="P56" s="142" t="str">
        <f t="shared" si="49"/>
        <v>2Q15</v>
      </c>
      <c r="Q56" s="142" t="str">
        <f t="shared" si="49"/>
        <v>3Q15</v>
      </c>
      <c r="R56" s="142" t="str">
        <f t="shared" si="49"/>
        <v>4Q15</v>
      </c>
      <c r="S56" s="142" t="str">
        <f t="shared" si="49"/>
        <v>1Q16</v>
      </c>
      <c r="T56" s="142" t="str">
        <f t="shared" si="49"/>
        <v>2Q16</v>
      </c>
      <c r="U56" s="142" t="str">
        <f t="shared" si="49"/>
        <v>3Q16</v>
      </c>
      <c r="V56" s="142" t="str">
        <f t="shared" si="49"/>
        <v>4Q16</v>
      </c>
      <c r="W56" s="142" t="str">
        <f t="shared" si="49"/>
        <v>1Q17</v>
      </c>
      <c r="X56" s="142" t="str">
        <f t="shared" si="49"/>
        <v>2Q17</v>
      </c>
      <c r="Y56" s="142" t="str">
        <f t="shared" si="49"/>
        <v>3Q17</v>
      </c>
      <c r="Z56" s="142" t="str">
        <f t="shared" si="49"/>
        <v>4Q17</v>
      </c>
      <c r="AA56" s="142" t="str">
        <f t="shared" si="49"/>
        <v>1Q18</v>
      </c>
      <c r="AB56" s="142" t="str">
        <f t="shared" si="49"/>
        <v>2Q18</v>
      </c>
      <c r="AC56" s="142" t="str">
        <f t="shared" si="49"/>
        <v>3Q18</v>
      </c>
      <c r="AD56" s="142" t="str">
        <f t="shared" si="49"/>
        <v>4Q18</v>
      </c>
      <c r="AE56" s="142" t="str">
        <f t="shared" si="49"/>
        <v>1Q19</v>
      </c>
      <c r="AF56" s="142" t="str">
        <f t="shared" ref="AF56:BB56" si="50">+AF$3</f>
        <v>2Q19</v>
      </c>
      <c r="AG56" s="142" t="str">
        <f t="shared" si="50"/>
        <v>3Q19</v>
      </c>
      <c r="AH56" s="142" t="str">
        <f t="shared" si="50"/>
        <v>4Q19</v>
      </c>
      <c r="AI56" s="142" t="str">
        <f t="shared" si="50"/>
        <v>1Q20</v>
      </c>
      <c r="AJ56" s="142" t="str">
        <f t="shared" si="50"/>
        <v>2Q20</v>
      </c>
      <c r="AK56" s="142" t="str">
        <f t="shared" si="50"/>
        <v>3Q20</v>
      </c>
      <c r="AL56" s="142" t="str">
        <f t="shared" si="50"/>
        <v>4Q20</v>
      </c>
      <c r="AM56" s="142" t="str">
        <f t="shared" si="50"/>
        <v>1Q21</v>
      </c>
      <c r="AN56" s="142" t="str">
        <f t="shared" si="50"/>
        <v>2Q21</v>
      </c>
      <c r="AO56" s="142" t="str">
        <f t="shared" si="50"/>
        <v>3Q21</v>
      </c>
      <c r="AP56" s="142" t="str">
        <f t="shared" si="50"/>
        <v>4Q21</v>
      </c>
      <c r="AQ56" s="142" t="str">
        <f t="shared" si="50"/>
        <v>1Q22</v>
      </c>
      <c r="AR56" s="142" t="str">
        <f t="shared" si="50"/>
        <v>2Q22</v>
      </c>
      <c r="AS56" s="142" t="str">
        <f t="shared" si="50"/>
        <v>3Q22</v>
      </c>
      <c r="AT56" s="142" t="str">
        <f t="shared" si="50"/>
        <v>4Q22</v>
      </c>
      <c r="AU56" s="142" t="str">
        <f t="shared" si="50"/>
        <v>1Q23</v>
      </c>
      <c r="AV56" s="142" t="str">
        <f t="shared" si="50"/>
        <v>2Q23</v>
      </c>
      <c r="AW56" s="142" t="str">
        <f t="shared" si="50"/>
        <v>3Q23</v>
      </c>
      <c r="AX56" s="142" t="str">
        <f t="shared" si="50"/>
        <v>4Q23</v>
      </c>
      <c r="AY56" s="142" t="str">
        <f t="shared" si="50"/>
        <v>1Q24</v>
      </c>
      <c r="AZ56" s="142" t="str">
        <f t="shared" si="50"/>
        <v>2Q24</v>
      </c>
      <c r="BA56" s="142" t="str">
        <f t="shared" si="50"/>
        <v>3Q24</v>
      </c>
      <c r="BB56" s="142" t="str">
        <f t="shared" si="50"/>
        <v>4Q24</v>
      </c>
    </row>
    <row r="57" spans="1:54" x14ac:dyDescent="0.2">
      <c r="A57" s="10"/>
      <c r="B57" s="117" t="s">
        <v>367</v>
      </c>
      <c r="C57" s="210"/>
      <c r="D57" s="210"/>
      <c r="E57" s="210"/>
      <c r="F57" s="211"/>
      <c r="G57" s="216">
        <v>7553.9571866666665</v>
      </c>
      <c r="H57" s="216">
        <v>5568.01955</v>
      </c>
      <c r="I57" s="216">
        <v>2356.2241600000002</v>
      </c>
      <c r="J57" s="216">
        <v>3178.5515874999996</v>
      </c>
      <c r="K57" s="216">
        <v>2693.8325533333332</v>
      </c>
      <c r="L57" s="624">
        <v>3499.7332925000001</v>
      </c>
      <c r="M57" s="216">
        <v>4006.1908399999998</v>
      </c>
      <c r="N57" s="216">
        <v>2463.608936666667</v>
      </c>
      <c r="O57" s="216">
        <v>1863.9312666666667</v>
      </c>
      <c r="P57" s="216">
        <v>1339.2537866666669</v>
      </c>
      <c r="Q57" s="216">
        <v>959.08744333333334</v>
      </c>
      <c r="R57" s="216">
        <v>611.84621333333325</v>
      </c>
      <c r="S57" s="216">
        <v>982.90269666666666</v>
      </c>
      <c r="T57" s="216">
        <v>1027.1672633333333</v>
      </c>
      <c r="U57" s="216">
        <v>1350</v>
      </c>
      <c r="V57" s="216">
        <v>957</v>
      </c>
      <c r="W57" s="216">
        <v>2232</v>
      </c>
      <c r="X57" s="216">
        <v>2870</v>
      </c>
      <c r="Y57" s="216">
        <v>5148</v>
      </c>
      <c r="Z57" s="216">
        <v>6365</v>
      </c>
      <c r="AA57" s="216">
        <v>6667.9690000000001</v>
      </c>
      <c r="AB57" s="216">
        <v>8650</v>
      </c>
      <c r="AC57" s="216">
        <v>6036.7524642403096</v>
      </c>
      <c r="AD57" s="216">
        <v>9115.9603220338995</v>
      </c>
      <c r="AE57" s="216">
        <v>7410.1886440677972</v>
      </c>
      <c r="AF57" s="216">
        <v>5645.0656612903222</v>
      </c>
      <c r="AG57" s="216">
        <v>8155.2082968750001</v>
      </c>
      <c r="AH57" s="216">
        <v>11250.830296296297</v>
      </c>
      <c r="AI57" s="216">
        <v>12616.978403225805</v>
      </c>
      <c r="AJ57" s="216">
        <v>19092</v>
      </c>
      <c r="AK57" s="216">
        <v>16098</v>
      </c>
      <c r="AL57" s="216">
        <v>13822</v>
      </c>
      <c r="AM57" s="216">
        <v>11955</v>
      </c>
      <c r="AN57" s="216">
        <v>9699.8427580645166</v>
      </c>
      <c r="AO57" s="216">
        <v>13091.498446153846</v>
      </c>
      <c r="AP57" s="216">
        <v>6429.0860000000002</v>
      </c>
      <c r="AQ57" s="216">
        <v>4846</v>
      </c>
      <c r="AR57" s="216">
        <v>3137.7112580645162</v>
      </c>
      <c r="AS57" s="216">
        <v>3630.1029846153847</v>
      </c>
      <c r="AT57" s="216">
        <v>3630.1029846153847</v>
      </c>
      <c r="AU57" s="216">
        <v>3561</v>
      </c>
      <c r="AV57" s="216">
        <v>3145</v>
      </c>
      <c r="AW57" s="216">
        <v>4879</v>
      </c>
      <c r="AX57" s="216">
        <v>5840</v>
      </c>
      <c r="AY57" s="216">
        <v>5230</v>
      </c>
      <c r="AZ57" s="216">
        <v>6401</v>
      </c>
      <c r="BA57" s="216">
        <v>3992</v>
      </c>
      <c r="BB57" s="216">
        <v>8486.8065081967216</v>
      </c>
    </row>
    <row r="58" spans="1:54" x14ac:dyDescent="0.2">
      <c r="A58" s="10"/>
      <c r="B58" s="117" t="s">
        <v>368</v>
      </c>
      <c r="C58" s="210"/>
      <c r="D58" s="210"/>
      <c r="E58" s="210"/>
      <c r="F58" s="210"/>
      <c r="G58" s="216">
        <v>432096.14600000001</v>
      </c>
      <c r="H58" s="216">
        <v>368689.61499999999</v>
      </c>
      <c r="I58" s="216">
        <v>228554.726</v>
      </c>
      <c r="J58" s="216">
        <v>230940.989</v>
      </c>
      <c r="K58" s="216">
        <v>164725.21299999999</v>
      </c>
      <c r="L58" s="624">
        <v>277954.71500000003</v>
      </c>
      <c r="M58" s="216">
        <v>261120.785</v>
      </c>
      <c r="N58" s="216">
        <v>152383.32199999999</v>
      </c>
      <c r="O58" s="216">
        <v>115188.493</v>
      </c>
      <c r="P58" s="216">
        <v>81309.907000000007</v>
      </c>
      <c r="Q58" s="216">
        <v>61602.510999999999</v>
      </c>
      <c r="R58" s="216">
        <v>36868.832000000002</v>
      </c>
      <c r="S58" s="216">
        <v>62022.053999999996</v>
      </c>
      <c r="T58" s="216">
        <v>64031.72</v>
      </c>
      <c r="U58" s="216">
        <v>87794</v>
      </c>
      <c r="V58" s="216">
        <v>58390</v>
      </c>
      <c r="W58" s="216">
        <v>136182</v>
      </c>
      <c r="X58" s="216">
        <v>175100</v>
      </c>
      <c r="Y58" s="216">
        <v>324337</v>
      </c>
      <c r="Z58" s="216">
        <v>375564.609</v>
      </c>
      <c r="AA58" s="216">
        <v>260050.79199999999</v>
      </c>
      <c r="AB58" s="216">
        <v>542171.76399999997</v>
      </c>
      <c r="AC58" s="216">
        <v>542171.76399999997</v>
      </c>
      <c r="AD58" s="216">
        <v>537841.65899999999</v>
      </c>
      <c r="AE58" s="216">
        <v>437201.13</v>
      </c>
      <c r="AF58" s="216">
        <v>349994.071</v>
      </c>
      <c r="AG58" s="216">
        <v>521933.33100000001</v>
      </c>
      <c r="AH58" s="216">
        <v>911317.25399999996</v>
      </c>
      <c r="AI58" s="216">
        <v>782252.66099999996</v>
      </c>
      <c r="AJ58" s="216">
        <v>1176621</v>
      </c>
      <c r="AK58" s="216">
        <v>1046414</v>
      </c>
      <c r="AL58" s="216">
        <v>843162</v>
      </c>
      <c r="AM58" s="216">
        <v>717334</v>
      </c>
      <c r="AN58" s="216">
        <v>601390.25100000005</v>
      </c>
      <c r="AO58" s="216">
        <v>850947.39899999998</v>
      </c>
      <c r="AP58" s="216">
        <v>392174.22100000002</v>
      </c>
      <c r="AQ58" s="216">
        <v>300504</v>
      </c>
      <c r="AR58" s="216">
        <v>194538.098</v>
      </c>
      <c r="AS58" s="216">
        <v>235956.69399999999</v>
      </c>
      <c r="AT58" s="216">
        <v>235956.69399999999</v>
      </c>
      <c r="AU58" s="216">
        <v>224349</v>
      </c>
      <c r="AV58" s="216">
        <v>191872</v>
      </c>
      <c r="AW58" s="216">
        <v>312279</v>
      </c>
      <c r="AX58" s="216">
        <v>350421</v>
      </c>
      <c r="AY58" s="216">
        <v>319075</v>
      </c>
      <c r="AZ58" s="216">
        <v>403257</v>
      </c>
      <c r="BA58" s="216">
        <v>262744</v>
      </c>
      <c r="BB58" s="216">
        <v>517695.19699999999</v>
      </c>
    </row>
    <row r="59" spans="1:54" x14ac:dyDescent="0.2">
      <c r="A59" s="10"/>
      <c r="B59" s="117" t="s">
        <v>369</v>
      </c>
      <c r="C59" s="210">
        <v>29.59</v>
      </c>
      <c r="D59" s="210">
        <v>29.666666666666668</v>
      </c>
      <c r="E59" s="210">
        <v>33.156666666666666</v>
      </c>
      <c r="F59" s="210">
        <v>34.083333333333336</v>
      </c>
      <c r="G59" s="210">
        <v>32.166666666666664</v>
      </c>
      <c r="H59" s="210">
        <v>26.27</v>
      </c>
      <c r="I59" s="210">
        <v>21.723333333333333</v>
      </c>
      <c r="J59" s="210">
        <v>20.416666666666668</v>
      </c>
      <c r="K59" s="210">
        <v>18.73</v>
      </c>
      <c r="L59" s="237">
        <v>19.253333333333334</v>
      </c>
      <c r="M59" s="210">
        <v>18.53</v>
      </c>
      <c r="N59" s="210">
        <v>17.329999999999998</v>
      </c>
      <c r="O59" s="210">
        <v>14.146666666666667</v>
      </c>
      <c r="P59" s="210">
        <v>13.596666666666666</v>
      </c>
      <c r="Q59" s="210">
        <v>6.0566666666666658</v>
      </c>
      <c r="R59" s="210">
        <v>4.1033333333333335</v>
      </c>
      <c r="S59" s="210">
        <v>3.9133333333333336</v>
      </c>
      <c r="T59" s="210">
        <v>5.15</v>
      </c>
      <c r="U59" s="210">
        <v>8.2799999999999994</v>
      </c>
      <c r="V59" s="210">
        <v>7.75</v>
      </c>
      <c r="W59" s="210">
        <v>10.23</v>
      </c>
      <c r="X59" s="210">
        <v>13.04</v>
      </c>
      <c r="Y59" s="210">
        <v>16.12</v>
      </c>
      <c r="Z59" s="210">
        <v>19.739999999999998</v>
      </c>
      <c r="AA59" s="210">
        <v>22.73</v>
      </c>
      <c r="AB59" s="210">
        <v>19.837142857142862</v>
      </c>
      <c r="AC59" s="210">
        <v>19.837142857142862</v>
      </c>
      <c r="AD59" s="210">
        <v>23.293559322033897</v>
      </c>
      <c r="AE59" s="210">
        <v>28.109000000000012</v>
      </c>
      <c r="AF59" s="691">
        <v>26.804193548387101</v>
      </c>
      <c r="AG59" s="691">
        <v>31.528906249999999</v>
      </c>
      <c r="AH59" s="691">
        <v>32.415061728395074</v>
      </c>
      <c r="AI59" s="691">
        <v>34.432741935483868</v>
      </c>
      <c r="AJ59" s="691">
        <v>19.89</v>
      </c>
      <c r="AK59" s="691">
        <v>25.19</v>
      </c>
      <c r="AL59" s="691">
        <v>24.95</v>
      </c>
      <c r="AM59" s="691">
        <v>22.821333330000002</v>
      </c>
      <c r="AN59" s="691">
        <v>22.884032258064508</v>
      </c>
      <c r="AO59" s="691">
        <v>20.144923076923071</v>
      </c>
      <c r="AP59" s="691">
        <v>15.76</v>
      </c>
      <c r="AQ59" s="691">
        <v>14.68</v>
      </c>
      <c r="AR59" s="691">
        <v>14.810161290322583</v>
      </c>
      <c r="AS59" s="691">
        <v>16.245076923076923</v>
      </c>
      <c r="AT59" s="691">
        <v>20.875245901639346</v>
      </c>
      <c r="AU59" s="691">
        <v>18.23</v>
      </c>
      <c r="AV59" s="691">
        <v>19.71</v>
      </c>
      <c r="AW59" s="691">
        <v>24.15</v>
      </c>
      <c r="AX59" s="691">
        <v>25.74</v>
      </c>
      <c r="AY59" s="691">
        <v>26.78</v>
      </c>
      <c r="AZ59" s="691">
        <v>24.92</v>
      </c>
      <c r="BA59" s="691">
        <v>25.91</v>
      </c>
      <c r="BB59" s="691">
        <v>29.522622950819667</v>
      </c>
    </row>
    <row r="60" spans="1:54" x14ac:dyDescent="0.2">
      <c r="A60" s="10"/>
      <c r="B60" s="117" t="s">
        <v>370</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1">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row>
    <row r="61" spans="1:54" x14ac:dyDescent="0.2">
      <c r="A61" s="10"/>
      <c r="B61" s="117" t="s">
        <v>211</v>
      </c>
      <c r="C61" s="118">
        <v>65.2</v>
      </c>
      <c r="D61" s="118">
        <v>65.2</v>
      </c>
      <c r="E61" s="118">
        <v>65.2</v>
      </c>
      <c r="F61" s="118">
        <v>65.2</v>
      </c>
      <c r="G61" s="118">
        <v>65.2</v>
      </c>
      <c r="H61" s="118">
        <v>65.2</v>
      </c>
      <c r="I61" s="118">
        <v>65.2</v>
      </c>
      <c r="J61" s="118">
        <v>65.2</v>
      </c>
      <c r="K61" s="118">
        <v>65.2</v>
      </c>
      <c r="L61" s="161">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row>
    <row r="62" spans="1:54" x14ac:dyDescent="0.2">
      <c r="B62" s="461"/>
    </row>
    <row r="63" spans="1:54" x14ac:dyDescent="0.2">
      <c r="B63" s="128" t="s">
        <v>1117</v>
      </c>
      <c r="C63" s="142" t="str">
        <f t="shared" ref="C63:AE63" si="51">+C$3</f>
        <v>1Q12</v>
      </c>
      <c r="D63" s="142" t="str">
        <f t="shared" si="51"/>
        <v>2Q12</v>
      </c>
      <c r="E63" s="142" t="str">
        <f t="shared" si="51"/>
        <v>3Q12</v>
      </c>
      <c r="F63" s="142" t="str">
        <f t="shared" si="51"/>
        <v>4Q12</v>
      </c>
      <c r="G63" s="142" t="str">
        <f t="shared" si="51"/>
        <v>1Q13</v>
      </c>
      <c r="H63" s="142" t="str">
        <f t="shared" si="51"/>
        <v>2Q13</v>
      </c>
      <c r="I63" s="142" t="str">
        <f t="shared" si="51"/>
        <v>3Q13</v>
      </c>
      <c r="J63" s="142" t="str">
        <f t="shared" si="51"/>
        <v>4Q13</v>
      </c>
      <c r="K63" s="142" t="str">
        <f t="shared" si="51"/>
        <v>1Q14</v>
      </c>
      <c r="L63" s="142" t="str">
        <f t="shared" si="51"/>
        <v>2Q14</v>
      </c>
      <c r="M63" s="142" t="str">
        <f t="shared" si="51"/>
        <v>3Q14</v>
      </c>
      <c r="N63" s="142" t="str">
        <f t="shared" si="51"/>
        <v>4Q14</v>
      </c>
      <c r="O63" s="142" t="str">
        <f t="shared" si="51"/>
        <v>1Q15</v>
      </c>
      <c r="P63" s="142" t="str">
        <f t="shared" si="51"/>
        <v>2Q15</v>
      </c>
      <c r="Q63" s="142" t="str">
        <f t="shared" si="51"/>
        <v>3Q15</v>
      </c>
      <c r="R63" s="142" t="str">
        <f t="shared" si="51"/>
        <v>4Q15</v>
      </c>
      <c r="S63" s="142" t="str">
        <f t="shared" si="51"/>
        <v>1Q16</v>
      </c>
      <c r="T63" s="142" t="str">
        <f t="shared" si="51"/>
        <v>2Q16</v>
      </c>
      <c r="U63" s="142" t="str">
        <f t="shared" si="51"/>
        <v>3Q16</v>
      </c>
      <c r="V63" s="142" t="str">
        <f t="shared" si="51"/>
        <v>4Q16</v>
      </c>
      <c r="W63" s="142" t="str">
        <f t="shared" si="51"/>
        <v>1Q17</v>
      </c>
      <c r="X63" s="142" t="str">
        <f t="shared" si="51"/>
        <v>2Q17</v>
      </c>
      <c r="Y63" s="142" t="str">
        <f t="shared" si="51"/>
        <v>3Q17</v>
      </c>
      <c r="Z63" s="142" t="str">
        <f t="shared" si="51"/>
        <v>4Q17</v>
      </c>
      <c r="AA63" s="142" t="str">
        <f t="shared" si="51"/>
        <v>1Q18</v>
      </c>
      <c r="AB63" s="142" t="str">
        <f t="shared" si="51"/>
        <v>2Q18</v>
      </c>
      <c r="AC63" s="142" t="str">
        <f t="shared" si="51"/>
        <v>3Q18</v>
      </c>
      <c r="AD63" s="142" t="str">
        <f t="shared" si="51"/>
        <v>4Q18</v>
      </c>
      <c r="AE63" s="142" t="str">
        <f t="shared" si="51"/>
        <v>1Q19</v>
      </c>
      <c r="AF63" s="142" t="str">
        <f t="shared" ref="AF63:BB63" si="52">+AF$3</f>
        <v>2Q19</v>
      </c>
      <c r="AG63" s="142" t="str">
        <f t="shared" si="52"/>
        <v>3Q19</v>
      </c>
      <c r="AH63" s="142" t="str">
        <f t="shared" si="52"/>
        <v>4Q19</v>
      </c>
      <c r="AI63" s="142" t="str">
        <f t="shared" si="52"/>
        <v>1Q20</v>
      </c>
      <c r="AJ63" s="142" t="str">
        <f t="shared" si="52"/>
        <v>2Q20</v>
      </c>
      <c r="AK63" s="142" t="str">
        <f t="shared" si="52"/>
        <v>3Q20</v>
      </c>
      <c r="AL63" s="142" t="str">
        <f t="shared" si="52"/>
        <v>4Q20</v>
      </c>
      <c r="AM63" s="142" t="str">
        <f t="shared" si="52"/>
        <v>1Q21</v>
      </c>
      <c r="AN63" s="142" t="str">
        <f t="shared" si="52"/>
        <v>2Q21</v>
      </c>
      <c r="AO63" s="142" t="str">
        <f t="shared" si="52"/>
        <v>3Q21</v>
      </c>
      <c r="AP63" s="142" t="str">
        <f t="shared" si="52"/>
        <v>4Q21</v>
      </c>
      <c r="AQ63" s="142" t="str">
        <f t="shared" si="52"/>
        <v>1Q22</v>
      </c>
      <c r="AR63" s="142" t="str">
        <f t="shared" si="52"/>
        <v>2Q22</v>
      </c>
      <c r="AS63" s="142" t="str">
        <f t="shared" si="52"/>
        <v>3Q22</v>
      </c>
      <c r="AT63" s="142" t="str">
        <f t="shared" si="52"/>
        <v>4Q22</v>
      </c>
      <c r="AU63" s="142" t="str">
        <f t="shared" si="52"/>
        <v>1Q23</v>
      </c>
      <c r="AV63" s="142" t="str">
        <f t="shared" si="52"/>
        <v>2Q23</v>
      </c>
      <c r="AW63" s="142" t="str">
        <f t="shared" si="52"/>
        <v>3Q23</v>
      </c>
      <c r="AX63" s="142" t="str">
        <f t="shared" si="52"/>
        <v>4Q23</v>
      </c>
      <c r="AY63" s="142" t="str">
        <f t="shared" si="52"/>
        <v>1Q24</v>
      </c>
      <c r="AZ63" s="142" t="str">
        <f t="shared" si="52"/>
        <v>2Q24</v>
      </c>
      <c r="BA63" s="142" t="str">
        <f t="shared" si="52"/>
        <v>3Q24</v>
      </c>
      <c r="BB63" s="142" t="str">
        <f t="shared" si="52"/>
        <v>4Q24</v>
      </c>
    </row>
    <row r="64" spans="1:54" x14ac:dyDescent="0.2">
      <c r="B64" s="619" t="s">
        <v>1115</v>
      </c>
      <c r="C64" s="684" t="s">
        <v>47</v>
      </c>
      <c r="D64" s="684" t="s">
        <v>47</v>
      </c>
      <c r="E64" s="684" t="s">
        <v>47</v>
      </c>
      <c r="F64" s="684" t="s">
        <v>47</v>
      </c>
      <c r="G64" s="684" t="s">
        <v>47</v>
      </c>
      <c r="H64" s="684" t="s">
        <v>47</v>
      </c>
      <c r="I64" s="684" t="s">
        <v>47</v>
      </c>
      <c r="J64" s="684" t="s">
        <v>47</v>
      </c>
      <c r="K64" s="684" t="s">
        <v>47</v>
      </c>
      <c r="L64" s="684" t="s">
        <v>47</v>
      </c>
      <c r="M64" s="684" t="s">
        <v>47</v>
      </c>
      <c r="N64" s="684" t="s">
        <v>47</v>
      </c>
      <c r="O64" s="684" t="s">
        <v>47</v>
      </c>
      <c r="P64" s="684" t="s">
        <v>47</v>
      </c>
      <c r="Q64" s="684" t="s">
        <v>47</v>
      </c>
      <c r="R64" s="684" t="s">
        <v>47</v>
      </c>
      <c r="S64" s="684" t="s">
        <v>47</v>
      </c>
      <c r="T64" s="684" t="s">
        <v>47</v>
      </c>
      <c r="U64" s="684" t="s">
        <v>47</v>
      </c>
      <c r="V64" s="684" t="s">
        <v>47</v>
      </c>
      <c r="W64" s="966">
        <f>+W66</f>
        <v>6.0136466675770581</v>
      </c>
      <c r="X64" s="966">
        <f>+X66</f>
        <v>7.5665925375745511</v>
      </c>
      <c r="Y64" s="966">
        <f>+Y66</f>
        <v>8.722944252808988</v>
      </c>
      <c r="Z64" s="966">
        <f>+Z66</f>
        <v>9.8453732752621512</v>
      </c>
      <c r="AA64" s="966">
        <f>+AA67</f>
        <v>7.8431787111418894</v>
      </c>
      <c r="AB64" s="966">
        <f>+AB67</f>
        <v>6.9285879237699337</v>
      </c>
      <c r="AC64" s="966">
        <f>+AC67</f>
        <v>6.9347392987762264</v>
      </c>
      <c r="AD64" s="966">
        <f>+AD67</f>
        <v>7.8329292527915122</v>
      </c>
      <c r="AE64" s="966">
        <f>+AE68</f>
        <v>7.6752978925652764</v>
      </c>
      <c r="AF64" s="966">
        <f>+AF68</f>
        <v>7.1433816676695905</v>
      </c>
      <c r="AG64" s="966">
        <f>+AG68</f>
        <v>8.217844015121333</v>
      </c>
      <c r="AH64" s="966">
        <f>+AH68</f>
        <v>8.7093571507580485</v>
      </c>
      <c r="AI64" s="966">
        <f>+AI69</f>
        <v>8.3090595192715284</v>
      </c>
      <c r="AJ64" s="966">
        <f>+AJ69</f>
        <v>6.4753076362566846</v>
      </c>
      <c r="AK64" s="966">
        <f>+AK69</f>
        <v>8.4887757074557619</v>
      </c>
      <c r="AL64" s="966">
        <f>+AL69</f>
        <v>7.2453160718129226</v>
      </c>
      <c r="AM64" s="966">
        <f>+AM70</f>
        <v>5.5640279369380261</v>
      </c>
      <c r="AN64" s="966">
        <f>+AN70</f>
        <v>5.6207586263222646</v>
      </c>
      <c r="AO64" s="966">
        <f>+AO70</f>
        <v>5.2963204746249772</v>
      </c>
      <c r="AP64" s="966">
        <f>+AP70</f>
        <v>5.3813224140650657</v>
      </c>
      <c r="AQ64" s="966">
        <f>+AQ71</f>
        <v>4.1250787582393595</v>
      </c>
      <c r="AR64" s="966">
        <f>+AR71</f>
        <v>4.395675102248398</v>
      </c>
      <c r="AS64" s="966">
        <f>+AS71</f>
        <v>4.4694322062172258</v>
      </c>
      <c r="AT64" s="966">
        <f>+AT71</f>
        <v>5.3584640097765366</v>
      </c>
      <c r="AU64" s="966">
        <f t="shared" ref="AU64:AZ64" si="53">+AU72</f>
        <v>3.9216308672705096</v>
      </c>
      <c r="AV64" s="966">
        <f t="shared" si="53"/>
        <v>4.3106611413579046</v>
      </c>
      <c r="AW64" s="966">
        <f t="shared" si="53"/>
        <v>5.4582888144049333</v>
      </c>
      <c r="AX64" s="966">
        <f t="shared" si="53"/>
        <v>5.9000661261401808</v>
      </c>
      <c r="AY64" s="966">
        <f t="shared" si="53"/>
        <v>5.6885756107452332</v>
      </c>
      <c r="AZ64" s="966">
        <f t="shared" si="53"/>
        <v>5.3346053441941068</v>
      </c>
      <c r="BA64" s="966">
        <f>+BA72</f>
        <v>5.3784697665511256</v>
      </c>
      <c r="BB64" s="966">
        <f>+BB73</f>
        <v>4.7969316751322735</v>
      </c>
    </row>
    <row r="65" spans="2:54" x14ac:dyDescent="0.2">
      <c r="B65" s="619" t="s">
        <v>1116</v>
      </c>
      <c r="C65" s="684" t="s">
        <v>47</v>
      </c>
      <c r="D65" s="684" t="s">
        <v>47</v>
      </c>
      <c r="E65" s="684" t="s">
        <v>47</v>
      </c>
      <c r="F65" s="684" t="s">
        <v>47</v>
      </c>
      <c r="G65" s="684" t="s">
        <v>47</v>
      </c>
      <c r="H65" s="684" t="s">
        <v>47</v>
      </c>
      <c r="I65" s="684" t="s">
        <v>47</v>
      </c>
      <c r="J65" s="684" t="s">
        <v>47</v>
      </c>
      <c r="K65" s="684" t="s">
        <v>47</v>
      </c>
      <c r="L65" s="684" t="s">
        <v>47</v>
      </c>
      <c r="M65" s="684" t="s">
        <v>47</v>
      </c>
      <c r="N65" s="684" t="s">
        <v>47</v>
      </c>
      <c r="O65" s="684" t="s">
        <v>47</v>
      </c>
      <c r="P65" s="684" t="s">
        <v>47</v>
      </c>
      <c r="Q65" s="684" t="s">
        <v>47</v>
      </c>
      <c r="R65" s="684" t="s">
        <v>47</v>
      </c>
      <c r="S65" s="684" t="s">
        <v>47</v>
      </c>
      <c r="T65" s="684" t="s">
        <v>47</v>
      </c>
      <c r="U65" s="684" t="s">
        <v>47</v>
      </c>
      <c r="V65" s="684" t="s">
        <v>47</v>
      </c>
      <c r="W65" s="966">
        <f>+W74</f>
        <v>13.888443341446692</v>
      </c>
      <c r="X65" s="966">
        <f>+X74</f>
        <v>17.588787702997273</v>
      </c>
      <c r="Y65" s="966">
        <f>+Y74</f>
        <v>18.886987984615381</v>
      </c>
      <c r="Z65" s="966">
        <f>+Z74</f>
        <v>19.504454223053887</v>
      </c>
      <c r="AA65" s="966">
        <f>+AA75</f>
        <v>15.057674051020406</v>
      </c>
      <c r="AB65" s="966">
        <f>+AB75</f>
        <v>12.920815005028196</v>
      </c>
      <c r="AC65" s="966">
        <f>+AC75</f>
        <v>12.736471340883824</v>
      </c>
      <c r="AD65" s="966">
        <f>+AD75</f>
        <v>13.768144620713379</v>
      </c>
      <c r="AE65" s="966">
        <f>+AE76</f>
        <v>13.114065140086401</v>
      </c>
      <c r="AF65" s="966">
        <f>+AF76</f>
        <v>11.691738573087841</v>
      </c>
      <c r="AG65" s="966">
        <f>+AG76</f>
        <v>13.720877269857485</v>
      </c>
      <c r="AH65" s="966">
        <f>+AH76</f>
        <v>13.444628596432844</v>
      </c>
      <c r="AI65" s="966">
        <f>+AI77</f>
        <v>12.796516549463274</v>
      </c>
      <c r="AJ65" s="966">
        <f>+AJ77</f>
        <v>13.191172859979506</v>
      </c>
      <c r="AK65" s="966">
        <f>+AK77</f>
        <v>16.378979399784129</v>
      </c>
      <c r="AL65" s="966">
        <f>+AL77</f>
        <v>13.395412170759505</v>
      </c>
      <c r="AM65" s="966">
        <f>+AM78</f>
        <v>10.015123164671921</v>
      </c>
      <c r="AN65" s="966">
        <f>+AN78</f>
        <v>10.042638537142883</v>
      </c>
      <c r="AO65" s="966">
        <f>+AO78</f>
        <v>9.5131670321561526</v>
      </c>
      <c r="AP65" s="966">
        <f>+AP78</f>
        <v>9.0874135736750148</v>
      </c>
      <c r="AQ65" s="966">
        <f>+AQ79</f>
        <v>6.9456830982078843</v>
      </c>
      <c r="AR65" s="966">
        <f>+AR79</f>
        <v>7.200838429329294</v>
      </c>
      <c r="AS65" s="966">
        <f>+AS79</f>
        <v>7.2357829129837432</v>
      </c>
      <c r="AT65" s="966">
        <f>+AT79</f>
        <v>8.6801370066148671</v>
      </c>
      <c r="AU65" s="966">
        <f t="shared" ref="AU65:AZ65" si="54">+AU80</f>
        <v>6.4249533597650501</v>
      </c>
      <c r="AV65" s="966">
        <f t="shared" si="54"/>
        <v>6.9785469181046045</v>
      </c>
      <c r="AW65" s="966">
        <f t="shared" si="54"/>
        <v>9.1318842580922333</v>
      </c>
      <c r="AX65" s="966">
        <f t="shared" si="54"/>
        <v>9.5605798092290346</v>
      </c>
      <c r="AY65" s="966">
        <f t="shared" si="54"/>
        <v>9.2300682177545674</v>
      </c>
      <c r="AZ65" s="966">
        <f t="shared" si="54"/>
        <v>8.5889955185378586</v>
      </c>
      <c r="BA65" s="966">
        <f>+BA80</f>
        <v>8.9302116326370751</v>
      </c>
      <c r="BB65" s="966">
        <f>+BB81</f>
        <v>7.2169599007407381</v>
      </c>
    </row>
    <row r="66" spans="2:54" x14ac:dyDescent="0.2">
      <c r="B66" s="117" t="s">
        <v>1105</v>
      </c>
      <c r="C66" s="684" t="s">
        <v>47</v>
      </c>
      <c r="D66" s="684" t="s">
        <v>47</v>
      </c>
      <c r="E66" s="684" t="s">
        <v>47</v>
      </c>
      <c r="F66" s="684" t="s">
        <v>47</v>
      </c>
      <c r="G66" s="684" t="s">
        <v>47</v>
      </c>
      <c r="H66" s="684" t="s">
        <v>47</v>
      </c>
      <c r="I66" s="684" t="s">
        <v>47</v>
      </c>
      <c r="J66" s="684" t="s">
        <v>47</v>
      </c>
      <c r="K66" s="684" t="s">
        <v>47</v>
      </c>
      <c r="L66" s="684" t="s">
        <v>47</v>
      </c>
      <c r="M66" s="684" t="s">
        <v>47</v>
      </c>
      <c r="N66" s="684" t="s">
        <v>47</v>
      </c>
      <c r="O66" s="684" t="s">
        <v>47</v>
      </c>
      <c r="P66" s="684" t="s">
        <v>47</v>
      </c>
      <c r="Q66" s="684" t="s">
        <v>47</v>
      </c>
      <c r="R66" s="684" t="s">
        <v>47</v>
      </c>
      <c r="S66" s="684" t="s">
        <v>47</v>
      </c>
      <c r="T66" s="684" t="s">
        <v>47</v>
      </c>
      <c r="U66" s="684" t="s">
        <v>47</v>
      </c>
      <c r="V66" s="684" t="s">
        <v>47</v>
      </c>
      <c r="W66" s="691">
        <f>+((W$59*66002.915)+W$14)/(AVERAGEIFS(Estimatives!$103:$103,Estimatives!$338:$338,'Qtrl Fig'!W56)*1000)</f>
        <v>6.0136466675770581</v>
      </c>
      <c r="X66" s="691">
        <f>+((X$59*66002.915)+X$14)/(AVERAGEIFS(Estimatives!$103:$103,Estimatives!$338:$338,'Qtrl Fig'!X56)*1000)</f>
        <v>7.5665925375745511</v>
      </c>
      <c r="Y66" s="691">
        <f>+((Y$59*66002.915)+Y$14)/(AVERAGEIFS(Estimatives!$103:$103,Estimatives!$338:$338,'Qtrl Fig'!Y56)*1000)</f>
        <v>8.722944252808988</v>
      </c>
      <c r="Z66" s="691">
        <f>+((Z$59*66002.915)+Z$14)/(AVERAGEIFS(Estimatives!$103:$103,Estimatives!$338:$338,'Qtrl Fig'!Z56)*1000)</f>
        <v>9.8453732752621512</v>
      </c>
      <c r="AA66" s="691">
        <f>+((AA$59*66002.915)+AA$14)/(AVERAGEIFS(Estimatives!$103:$103,Estimatives!$338:$338,'Qtrl Fig'!AA56)*1000)</f>
        <v>9.3494654990827541</v>
      </c>
      <c r="AB66" s="691">
        <f>+((AB$59*66002.915)+AB$14)/(AVERAGEIFS(Estimatives!$103:$103,Estimatives!$338:$338,'Qtrl Fig'!AA56)*1000)</f>
        <v>8.3575209162832689</v>
      </c>
      <c r="AC66" s="691">
        <f>+((AC$59*66002.915)+AC$14)/(AVERAGEIFS(Estimatives!$103:$103,Estimatives!$338:$338,'Qtrl Fig'!AC56)*1000)</f>
        <v>8.0319944539440637</v>
      </c>
      <c r="AD66" s="691">
        <f>+((AD$59*66002.915)+AD$14)/(AVERAGEIFS(Estimatives!$103:$103,Estimatives!$338:$338,'Qtrl Fig'!AD56)*1000)</f>
        <v>9.1307294223083844</v>
      </c>
      <c r="AE66" s="691" t="s">
        <v>47</v>
      </c>
      <c r="AF66" s="691" t="s">
        <v>47</v>
      </c>
      <c r="AG66" s="691" t="s">
        <v>47</v>
      </c>
      <c r="AH66" s="691" t="s">
        <v>47</v>
      </c>
      <c r="AI66" s="691" t="s">
        <v>47</v>
      </c>
      <c r="AJ66" s="691" t="s">
        <v>47</v>
      </c>
      <c r="AK66" s="691" t="s">
        <v>47</v>
      </c>
      <c r="AL66" s="691" t="s">
        <v>47</v>
      </c>
      <c r="AM66" s="691" t="s">
        <v>47</v>
      </c>
      <c r="AN66" s="691" t="s">
        <v>47</v>
      </c>
      <c r="AO66" s="691" t="s">
        <v>47</v>
      </c>
      <c r="AP66" s="691" t="s">
        <v>47</v>
      </c>
      <c r="AQ66" s="691" t="s">
        <v>47</v>
      </c>
      <c r="AR66" s="691" t="s">
        <v>47</v>
      </c>
      <c r="AS66" s="691" t="s">
        <v>47</v>
      </c>
      <c r="AT66" s="691" t="s">
        <v>47</v>
      </c>
      <c r="AU66" s="691" t="s">
        <v>47</v>
      </c>
      <c r="AV66" s="691" t="s">
        <v>47</v>
      </c>
      <c r="AW66" s="691" t="s">
        <v>47</v>
      </c>
      <c r="AX66" s="691" t="s">
        <v>47</v>
      </c>
      <c r="AY66" s="691" t="s">
        <v>47</v>
      </c>
      <c r="AZ66" s="691" t="s">
        <v>47</v>
      </c>
      <c r="BA66" s="691" t="s">
        <v>47</v>
      </c>
      <c r="BB66" s="691" t="s">
        <v>47</v>
      </c>
    </row>
    <row r="67" spans="2:54" x14ac:dyDescent="0.2">
      <c r="B67" s="117" t="s">
        <v>1106</v>
      </c>
      <c r="C67" s="684" t="s">
        <v>47</v>
      </c>
      <c r="D67" s="684" t="s">
        <v>47</v>
      </c>
      <c r="E67" s="684" t="s">
        <v>47</v>
      </c>
      <c r="F67" s="684" t="s">
        <v>47</v>
      </c>
      <c r="G67" s="684" t="s">
        <v>47</v>
      </c>
      <c r="H67" s="684" t="s">
        <v>47</v>
      </c>
      <c r="I67" s="684" t="s">
        <v>47</v>
      </c>
      <c r="J67" s="684" t="s">
        <v>47</v>
      </c>
      <c r="K67" s="684" t="s">
        <v>47</v>
      </c>
      <c r="L67" s="684" t="s">
        <v>47</v>
      </c>
      <c r="M67" s="684" t="s">
        <v>47</v>
      </c>
      <c r="N67" s="684" t="s">
        <v>47</v>
      </c>
      <c r="O67" s="684" t="s">
        <v>47</v>
      </c>
      <c r="P67" s="684" t="s">
        <v>47</v>
      </c>
      <c r="Q67" s="684" t="s">
        <v>47</v>
      </c>
      <c r="R67" s="684" t="s">
        <v>47</v>
      </c>
      <c r="S67" s="684" t="s">
        <v>47</v>
      </c>
      <c r="T67" s="684" t="s">
        <v>47</v>
      </c>
      <c r="U67" s="684" t="s">
        <v>47</v>
      </c>
      <c r="V67" s="684" t="s">
        <v>47</v>
      </c>
      <c r="W67" s="691">
        <f>+((W$59*66002.915)+W$14)/(AVERAGEIFS(Estimatives!$137:$137,Estimatives!$338:$338,'Qtrl Fig'!W56)*1000)</f>
        <v>4.8165551278125003</v>
      </c>
      <c r="X67" s="691">
        <f>+((X$59*66002.915)+X$14)/(AVERAGEIFS(Estimatives!$137:$137,Estimatives!$338:$338,'Qtrl Fig'!X56)*1000)</f>
        <v>5.9968425100840328</v>
      </c>
      <c r="Y67" s="691">
        <f>+((Y$59*66002.915)+Y$14)/(AVERAGEIFS(Estimatives!$137:$137,Estimatives!$338:$338,'Qtrl Fig'!Y56)*1000)</f>
        <v>7.1362917188022275</v>
      </c>
      <c r="Z67" s="691">
        <f>+((Z$59*66002.915)+Z$14)/(AVERAGEIFS(Estimatives!$137:$137,Estimatives!$338:$338,'Qtrl Fig'!Z56)*1000)</f>
        <v>8.0515548993990542</v>
      </c>
      <c r="AA67" s="691">
        <f>+((AA$59*66002.915)+AA$14)/(AVERAGEIFS(Estimatives!$137:$137,Estimatives!$338:$338,'Qtrl Fig'!AA56)*1000)</f>
        <v>7.8431787111418894</v>
      </c>
      <c r="AB67" s="691">
        <f>+((AB$59*66002.915)+AB$14)/(AVERAGEIFS(Estimatives!$137:$137,Estimatives!$338:$338,'Qtrl Fig'!AB56)*1000)</f>
        <v>6.9285879237699337</v>
      </c>
      <c r="AC67" s="691">
        <f>+((AC$59*66002.915)+AC$14)/(AVERAGEIFS(Estimatives!$137:$137,Estimatives!$338:$338,'Qtrl Fig'!AC56)*1000)</f>
        <v>6.9347392987762264</v>
      </c>
      <c r="AD67" s="691">
        <f>+((AD$59*66002.915)+AD$14)/(AVERAGEIFS(Estimatives!$137:$137,Estimatives!$338:$338,'Qtrl Fig'!AD56)*1000)</f>
        <v>7.8329292527915122</v>
      </c>
      <c r="AE67" s="691">
        <f>+((AE$59*66002.915)+AE$14)/(AVERAGEIFS(Estimatives!$137:$137,Estimatives!$338:$338,'Qtrl Fig'!AE56)*1000)</f>
        <v>8.6596979247434192</v>
      </c>
      <c r="AF67" s="691">
        <f>+((AF$59*66002.915)+AF$14)/(AVERAGEIFS(Estimatives!$137:$137,Estimatives!$338:$338,'Qtrl Fig'!AF56)*1000)</f>
        <v>7.7482963112655154</v>
      </c>
      <c r="AG67" s="691">
        <f>+((AG$59*66002.915)+AG$14)/(AVERAGEIFS(Estimatives!$137:$137,Estimatives!$338:$338,'Qtrl Fig'!AG56)*1000)</f>
        <v>8.9765549649351932</v>
      </c>
      <c r="AH67" s="691">
        <f>+((AH$59*66002.915)+AH$14)/(AVERAGEIFS(Estimatives!$137:$137,Estimatives!$338:$338,'Qtrl Fig'!AH56)*1000)</f>
        <v>9.5377319308446609</v>
      </c>
      <c r="AI67" s="691" t="s">
        <v>47</v>
      </c>
      <c r="AJ67" s="691" t="s">
        <v>47</v>
      </c>
      <c r="AK67" s="691" t="s">
        <v>47</v>
      </c>
      <c r="AL67" s="691" t="s">
        <v>47</v>
      </c>
      <c r="AM67" s="691" t="s">
        <v>47</v>
      </c>
      <c r="AN67" s="691" t="s">
        <v>47</v>
      </c>
      <c r="AO67" s="691" t="s">
        <v>47</v>
      </c>
      <c r="AP67" s="691" t="s">
        <v>47</v>
      </c>
      <c r="AQ67" s="691" t="s">
        <v>47</v>
      </c>
      <c r="AR67" s="691" t="s">
        <v>47</v>
      </c>
      <c r="AS67" s="691" t="s">
        <v>47</v>
      </c>
      <c r="AT67" s="691" t="s">
        <v>47</v>
      </c>
      <c r="AU67" s="691" t="s">
        <v>47</v>
      </c>
      <c r="AV67" s="691" t="s">
        <v>47</v>
      </c>
      <c r="AW67" s="691" t="s">
        <v>47</v>
      </c>
      <c r="AX67" s="691" t="s">
        <v>47</v>
      </c>
      <c r="AY67" s="691" t="s">
        <v>47</v>
      </c>
      <c r="AZ67" s="691" t="s">
        <v>47</v>
      </c>
      <c r="BA67" s="691" t="s">
        <v>47</v>
      </c>
      <c r="BB67" s="691" t="s">
        <v>47</v>
      </c>
    </row>
    <row r="68" spans="2:54" x14ac:dyDescent="0.2">
      <c r="B68" s="117" t="s">
        <v>1107</v>
      </c>
      <c r="C68" s="684" t="s">
        <v>47</v>
      </c>
      <c r="D68" s="684" t="s">
        <v>47</v>
      </c>
      <c r="E68" s="684" t="s">
        <v>47</v>
      </c>
      <c r="F68" s="684" t="s">
        <v>47</v>
      </c>
      <c r="G68" s="684" t="s">
        <v>47</v>
      </c>
      <c r="H68" s="684" t="s">
        <v>47</v>
      </c>
      <c r="I68" s="684" t="s">
        <v>47</v>
      </c>
      <c r="J68" s="684" t="s">
        <v>47</v>
      </c>
      <c r="K68" s="684" t="s">
        <v>47</v>
      </c>
      <c r="L68" s="684" t="s">
        <v>47</v>
      </c>
      <c r="M68" s="684" t="s">
        <v>47</v>
      </c>
      <c r="N68" s="684" t="s">
        <v>47</v>
      </c>
      <c r="O68" s="684" t="s">
        <v>47</v>
      </c>
      <c r="P68" s="684" t="s">
        <v>47</v>
      </c>
      <c r="Q68" s="684" t="s">
        <v>47</v>
      </c>
      <c r="R68" s="684" t="s">
        <v>47</v>
      </c>
      <c r="S68" s="684" t="s">
        <v>47</v>
      </c>
      <c r="T68" s="684" t="s">
        <v>47</v>
      </c>
      <c r="U68" s="684" t="s">
        <v>47</v>
      </c>
      <c r="V68" s="684" t="s">
        <v>47</v>
      </c>
      <c r="W68" s="691" t="s">
        <v>47</v>
      </c>
      <c r="X68" s="691" t="s">
        <v>47</v>
      </c>
      <c r="Y68" s="691" t="s">
        <v>47</v>
      </c>
      <c r="Z68" s="691" t="s">
        <v>47</v>
      </c>
      <c r="AA68" s="691" t="s">
        <v>47</v>
      </c>
      <c r="AB68" s="691">
        <f>+((AB$59*66002.915)+AB$14)/(AVERAGEIFS(Estimatives!$169:$169,Estimatives!$338:$338,'Qtrl Fig'!AB56)*1000)</f>
        <v>6.629263963667861</v>
      </c>
      <c r="AC68" s="691">
        <f>+((AC$59*66002.915)+AC$14)/(AVERAGEIFS(Estimatives!$169:$169,Estimatives!$338:$338,'Qtrl Fig'!AC56)*1000)</f>
        <v>6.3881503675657676</v>
      </c>
      <c r="AD68" s="691">
        <f>+((AD$59*66002.915)+AD$14)/(AVERAGEIFS(Estimatives!$169:$169,Estimatives!$338:$338,'Qtrl Fig'!AD56)*1000)</f>
        <v>6.8779058501502117</v>
      </c>
      <c r="AE68" s="691">
        <f>+((AE$59*66002.915)+AE$14+'Lease liabilities'!D18)/(AVERAGEIFS(Estimatives!$169:$169,Estimatives!$338:$338,'Qtrl Fig'!AE56)*1000)</f>
        <v>7.6752978925652764</v>
      </c>
      <c r="AF68" s="691">
        <f>+((AF$59*66002.915)+AF$14+'Lease liabilities'!E18)/(AVERAGEIFS(Estimatives!$169:$169,Estimatives!$338:$338,'Qtrl Fig'!AF56)*1000)</f>
        <v>7.1433816676695905</v>
      </c>
      <c r="AG68" s="691">
        <f>+((AG$59*66002.915)+AG$14+'Lease liabilities'!F18)/(AVERAGEIFS(Estimatives!$169:$169,Estimatives!$338:$338,'Qtrl Fig'!AG56)*1000)</f>
        <v>8.217844015121333</v>
      </c>
      <c r="AH68" s="691">
        <f>+((AH$59*66002.915)+AH$14+'Lease liabilities'!G18)/(AVERAGEIFS(Estimatives!$169:$169,Estimatives!$338:$338,'Qtrl Fig'!AH56)*1000)</f>
        <v>8.7093571507580485</v>
      </c>
      <c r="AI68" s="691">
        <f>+((AI$59*66002.915)+AI$14+'Lease liabilities'!H18)/(AVERAGEIFS(Estimatives!$169:$169,Estimatives!$338:$338,'Qtrl Fig'!AI56)*1000)</f>
        <v>9.053439277123573</v>
      </c>
      <c r="AJ68" s="691">
        <f>+((AJ$59*66002.915)+AJ$14+'Lease liabilities'!I18)/(AVERAGEIFS(Estimatives!$169:$169,Estimatives!$338:$338,'Qtrl Fig'!AJ56)*1000)</f>
        <v>10.287823324547489</v>
      </c>
      <c r="AK68" s="691">
        <f>+((AK$59*66002.915)+AK$14+'Lease liabilities'!J18)/(AVERAGEIFS(Estimatives!$169:$169,Estimatives!$338:$338,'Qtrl Fig'!AK56)*1000)</f>
        <v>13.115939290218932</v>
      </c>
      <c r="AL68" s="691">
        <f>+((AL$59*66002.915)+AL$14+'Lease liabilities'!K18)/(AVERAGEIFS(Estimatives!$169:$169,Estimatives!$338:$338,'Qtrl Fig'!AL56)*1000)</f>
        <v>11.138903250920517</v>
      </c>
      <c r="AM68" s="691" t="s">
        <v>47</v>
      </c>
      <c r="AN68" s="691" t="s">
        <v>47</v>
      </c>
      <c r="AO68" s="691" t="s">
        <v>47</v>
      </c>
      <c r="AP68" s="691" t="s">
        <v>47</v>
      </c>
      <c r="AQ68" s="691" t="s">
        <v>47</v>
      </c>
      <c r="AR68" s="691" t="s">
        <v>47</v>
      </c>
      <c r="AS68" s="691" t="s">
        <v>47</v>
      </c>
      <c r="AT68" s="691" t="s">
        <v>47</v>
      </c>
      <c r="AU68" s="691" t="s">
        <v>47</v>
      </c>
      <c r="AV68" s="691" t="s">
        <v>47</v>
      </c>
      <c r="AW68" s="691" t="s">
        <v>47</v>
      </c>
      <c r="AX68" s="691" t="s">
        <v>47</v>
      </c>
      <c r="AY68" s="691" t="s">
        <v>47</v>
      </c>
      <c r="AZ68" s="691" t="s">
        <v>47</v>
      </c>
      <c r="BA68" s="691" t="s">
        <v>47</v>
      </c>
      <c r="BB68" s="691" t="s">
        <v>47</v>
      </c>
    </row>
    <row r="69" spans="2:54" x14ac:dyDescent="0.2">
      <c r="B69" s="117" t="s">
        <v>1108</v>
      </c>
      <c r="C69" s="216" t="s">
        <v>47</v>
      </c>
      <c r="D69" s="216" t="s">
        <v>47</v>
      </c>
      <c r="E69" s="216" t="s">
        <v>47</v>
      </c>
      <c r="F69" s="216" t="s">
        <v>47</v>
      </c>
      <c r="G69" s="216" t="s">
        <v>47</v>
      </c>
      <c r="H69" s="216" t="s">
        <v>47</v>
      </c>
      <c r="I69" s="216" t="s">
        <v>47</v>
      </c>
      <c r="J69" s="216" t="s">
        <v>47</v>
      </c>
      <c r="K69" s="216" t="s">
        <v>47</v>
      </c>
      <c r="L69" s="216" t="s">
        <v>47</v>
      </c>
      <c r="M69" s="216" t="s">
        <v>47</v>
      </c>
      <c r="N69" s="216" t="s">
        <v>47</v>
      </c>
      <c r="O69" s="216" t="s">
        <v>47</v>
      </c>
      <c r="P69" s="216" t="s">
        <v>47</v>
      </c>
      <c r="Q69" s="216" t="s">
        <v>47</v>
      </c>
      <c r="R69" s="216" t="s">
        <v>47</v>
      </c>
      <c r="S69" s="216" t="s">
        <v>47</v>
      </c>
      <c r="T69" s="216" t="s">
        <v>47</v>
      </c>
      <c r="U69" s="216" t="s">
        <v>47</v>
      </c>
      <c r="V69" s="216" t="s">
        <v>47</v>
      </c>
      <c r="W69" s="691" t="s">
        <v>47</v>
      </c>
      <c r="X69" s="691" t="s">
        <v>47</v>
      </c>
      <c r="Y69" s="691" t="s">
        <v>47</v>
      </c>
      <c r="Z69" s="691" t="s">
        <v>47</v>
      </c>
      <c r="AA69" s="691" t="s">
        <v>47</v>
      </c>
      <c r="AB69" s="691" t="s">
        <v>47</v>
      </c>
      <c r="AC69" s="691" t="s">
        <v>47</v>
      </c>
      <c r="AD69" s="691" t="s">
        <v>47</v>
      </c>
      <c r="AE69" s="691">
        <f>+((AE$59*66002.915)+AE$14+'Lease liabilities'!D18)/(AVERAGEIFS(Estimatives!$193:$193,Estimatives!$338:$338,'Qtrl Fig'!AE$56)*1000)</f>
        <v>7.3399228285955083</v>
      </c>
      <c r="AF69" s="691">
        <f>+((AF$59*66002.915)+AF$14+'Lease liabilities'!E18)/(AVERAGEIFS(Estimatives!$193:$193,Estimatives!$338:$338,'Qtrl Fig'!AF$56)*1000)</f>
        <v>6.7967175573268017</v>
      </c>
      <c r="AG69" s="691">
        <f>+((AG$59*66002.915)+AG$14+'Lease liabilities'!F18)/(AVERAGEIFS(Estimatives!$193:$193,Estimatives!$338:$338,'Qtrl Fig'!AG$56)*1000)</f>
        <v>7.7511775101433757</v>
      </c>
      <c r="AH69" s="691">
        <f>+((AH$59*66002.915)+AH$14+'Lease liabilities'!G18)/(AVERAGEIFS(Estimatives!$193:$193,Estimatives!$338:$338,'Qtrl Fig'!AH$56)*1000)</f>
        <v>8.1263946119382044</v>
      </c>
      <c r="AI69" s="691">
        <f>+((AI$59*66002.915)+AI$14+'Lease liabilities'!H18)/(AVERAGEIFS(Estimatives!$193:$193,Estimatives!$338:$338,'Qtrl Fig'!AI$56)*1000)</f>
        <v>8.3090595192715284</v>
      </c>
      <c r="AJ69" s="691">
        <f>+((AJ$59*66002.915)+AJ$14+'Lease liabilities'!I18)/(AVERAGEIFS(Estimatives!$193:$193,Estimatives!$338:$338,'Qtrl Fig'!AJ$56)*1000)</f>
        <v>6.4753076362566846</v>
      </c>
      <c r="AK69" s="691">
        <f>+((AK$59*66002.915)+AK$14+'Lease liabilities'!J18)/(AVERAGEIFS(Estimatives!$193:$193,Estimatives!$338:$338,'Qtrl Fig'!AK$56)*1000)</f>
        <v>8.4887757074557619</v>
      </c>
      <c r="AL69" s="691">
        <f>+((AL$59*66002.915)+AL$14+'Lease liabilities'!K18)/(AVERAGEIFS(Estimatives!$193:$193,Estimatives!$338:$338,'Qtrl Fig'!AL$56)*1000)</f>
        <v>7.2453160718129226</v>
      </c>
      <c r="AM69" s="691">
        <f>+((AM$59*66002.915)+AM$14+'Lease liabilities'!L18)/(AVERAGEIFS(Estimatives!$193:$193,Estimatives!$338:$338,'Qtrl Fig'!AM$56)*1000)</f>
        <v>5.9243100277888203</v>
      </c>
      <c r="AN69" s="691">
        <f>+((AN$59*66002.915)+AN$14+'Lease liabilities'!M18)/(AVERAGEIFS(Estimatives!$193:$193,Estimatives!$338:$338,'Qtrl Fig'!AN$56)*1000)</f>
        <v>5.9827254708033086</v>
      </c>
      <c r="AO69" s="691">
        <f>+((AO$59*66002.915)+AO$14+'Lease liabilities'!N18)/(AVERAGEIFS(Estimatives!$193:$193,Estimatives!$338:$338,'Qtrl Fig'!AO$56)*1000)</f>
        <v>5.8907919397860091</v>
      </c>
      <c r="AP69" s="691">
        <f>+((AP$59*66002.915)+AP$14+'Lease liabilities'!O18)/(AVERAGEIFS(Estimatives!$193:$193,Estimatives!$338:$338,'Qtrl Fig'!AP$56)*1000)</f>
        <v>6.6229986273003014</v>
      </c>
      <c r="AQ69" s="691" t="s">
        <v>47</v>
      </c>
      <c r="AR69" s="691" t="s">
        <v>47</v>
      </c>
      <c r="AS69" s="691" t="s">
        <v>47</v>
      </c>
      <c r="AT69" s="691" t="s">
        <v>47</v>
      </c>
      <c r="AU69" s="691" t="s">
        <v>47</v>
      </c>
      <c r="AV69" s="691" t="s">
        <v>47</v>
      </c>
      <c r="AW69" s="691" t="s">
        <v>47</v>
      </c>
      <c r="AX69" s="691" t="s">
        <v>47</v>
      </c>
      <c r="AY69" s="691" t="s">
        <v>47</v>
      </c>
      <c r="AZ69" s="691" t="s">
        <v>47</v>
      </c>
      <c r="BA69" s="691" t="s">
        <v>47</v>
      </c>
      <c r="BB69" s="691" t="s">
        <v>47</v>
      </c>
    </row>
    <row r="70" spans="2:54" x14ac:dyDescent="0.2">
      <c r="B70" s="117" t="s">
        <v>1109</v>
      </c>
      <c r="C70" s="216" t="s">
        <v>47</v>
      </c>
      <c r="D70" s="216" t="s">
        <v>47</v>
      </c>
      <c r="E70" s="216" t="s">
        <v>47</v>
      </c>
      <c r="F70" s="216" t="s">
        <v>47</v>
      </c>
      <c r="G70" s="216" t="s">
        <v>47</v>
      </c>
      <c r="H70" s="216" t="s">
        <v>47</v>
      </c>
      <c r="I70" s="216" t="s">
        <v>47</v>
      </c>
      <c r="J70" s="216" t="s">
        <v>47</v>
      </c>
      <c r="K70" s="216" t="s">
        <v>47</v>
      </c>
      <c r="L70" s="216" t="s">
        <v>47</v>
      </c>
      <c r="M70" s="216" t="s">
        <v>47</v>
      </c>
      <c r="N70" s="216" t="s">
        <v>47</v>
      </c>
      <c r="O70" s="216" t="s">
        <v>47</v>
      </c>
      <c r="P70" s="216" t="s">
        <v>47</v>
      </c>
      <c r="Q70" s="216" t="s">
        <v>47</v>
      </c>
      <c r="R70" s="216" t="s">
        <v>47</v>
      </c>
      <c r="S70" s="216" t="s">
        <v>47</v>
      </c>
      <c r="T70" s="216" t="s">
        <v>47</v>
      </c>
      <c r="U70" s="216" t="s">
        <v>47</v>
      </c>
      <c r="V70" s="216" t="s">
        <v>47</v>
      </c>
      <c r="W70" s="691" t="s">
        <v>47</v>
      </c>
      <c r="X70" s="691" t="s">
        <v>47</v>
      </c>
      <c r="Y70" s="691" t="s">
        <v>47</v>
      </c>
      <c r="Z70" s="691" t="s">
        <v>47</v>
      </c>
      <c r="AA70" s="691" t="s">
        <v>47</v>
      </c>
      <c r="AB70" s="691" t="s">
        <v>47</v>
      </c>
      <c r="AC70" s="691" t="s">
        <v>47</v>
      </c>
      <c r="AD70" s="691" t="s">
        <v>47</v>
      </c>
      <c r="AE70" s="691" t="s">
        <v>47</v>
      </c>
      <c r="AF70" s="691" t="s">
        <v>47</v>
      </c>
      <c r="AG70" s="691" t="s">
        <v>47</v>
      </c>
      <c r="AH70" s="691" t="s">
        <v>47</v>
      </c>
      <c r="AI70" s="691" t="s">
        <v>47</v>
      </c>
      <c r="AJ70" s="691" t="s">
        <v>47</v>
      </c>
      <c r="AK70" s="691" t="s">
        <v>47</v>
      </c>
      <c r="AL70" s="691">
        <f>+((AL$59*66002.915)+AL$14+'Lease liabilities'!K18)/(AVERAGEIFS(Estimatives!227:227,Estimatives!$338:$338,'Qtrl Fig'!AL$56)*1000)</f>
        <v>6.2748648974843819</v>
      </c>
      <c r="AM70" s="691">
        <f>+((AM$59*66002.915)+AM$14+'Lease liabilities'!L18)/(AVERAGEIFS(Estimatives!227:227,Estimatives!$338:$338,'Qtrl Fig'!AM$56)*1000)</f>
        <v>5.5640279369380261</v>
      </c>
      <c r="AN70" s="691">
        <f>+((AN$59*66002.915)+AN$14+'Lease liabilities'!M18)/(AVERAGEIFS(Estimatives!227:227,Estimatives!$338:$338,'Qtrl Fig'!AN$56)*1000)</f>
        <v>5.6207586263222646</v>
      </c>
      <c r="AO70" s="691">
        <f>+((AO$59*66002.915)+AO$14+'Lease liabilities'!N18)/(AVERAGEIFS(Estimatives!227:227,Estimatives!$338:$338,'Qtrl Fig'!AO$56)*1000)</f>
        <v>5.2963204746249772</v>
      </c>
      <c r="AP70" s="691">
        <f>+((AP$59*66002.915)+AP$14+'Lease liabilities'!O18)/(AVERAGEIFS(Estimatives!227:227,Estimatives!$338:$338,'Qtrl Fig'!AP$56)*1000)</f>
        <v>5.3813224140650657</v>
      </c>
      <c r="AQ70" s="691">
        <f>+((AQ$59*66002.915)+AQ$14+'Lease liabilities'!P18)/(AVERAGEIFS(Estimatives!227:227,Estimatives!$338:$338,'Qtrl Fig'!AQ$56)*1000)</f>
        <v>4.9583915637953639</v>
      </c>
      <c r="AR70" s="691">
        <f>+((AR$59*66002.915)+AR$14+'Lease liabilities'!Q18)/(AVERAGEIFS(Estimatives!227:227,Estimatives!$338:$338,'Qtrl Fig'!AR$56)*1000)</f>
        <v>5.2666266850077221</v>
      </c>
      <c r="AS70" s="691">
        <f>+((AS$59*66002.915)+AS$14+'Lease liabilities'!R18)/(AVERAGEIFS(Estimatives!227:227,Estimatives!$338:$338,'Qtrl Fig'!AS$56)*1000)</f>
        <v>5.518356909977375</v>
      </c>
      <c r="AT70" s="691">
        <f>+((AT$59*66002.915)+AT$14+'Lease liabilities'!S18)/(AVERAGEIFS(Estimatives!227:227,Estimatives!$338:$338,'Qtrl Fig'!AT$56)*1000)</f>
        <v>6.4808449847972964</v>
      </c>
      <c r="AU70" s="691" t="s">
        <v>47</v>
      </c>
      <c r="AV70" s="691" t="s">
        <v>47</v>
      </c>
      <c r="AW70" s="691" t="s">
        <v>47</v>
      </c>
      <c r="AX70" s="691" t="s">
        <v>47</v>
      </c>
      <c r="AY70" s="691" t="s">
        <v>47</v>
      </c>
      <c r="AZ70" s="691" t="s">
        <v>47</v>
      </c>
      <c r="BA70" s="691" t="s">
        <v>47</v>
      </c>
      <c r="BB70" s="691" t="s">
        <v>47</v>
      </c>
    </row>
    <row r="71" spans="2:54" x14ac:dyDescent="0.2">
      <c r="B71" s="117" t="s">
        <v>1196</v>
      </c>
      <c r="C71" s="216" t="s">
        <v>47</v>
      </c>
      <c r="D71" s="216" t="s">
        <v>47</v>
      </c>
      <c r="E71" s="216" t="s">
        <v>47</v>
      </c>
      <c r="F71" s="216" t="s">
        <v>47</v>
      </c>
      <c r="G71" s="216" t="s">
        <v>47</v>
      </c>
      <c r="H71" s="216" t="s">
        <v>47</v>
      </c>
      <c r="I71" s="216" t="s">
        <v>47</v>
      </c>
      <c r="J71" s="216" t="s">
        <v>47</v>
      </c>
      <c r="K71" s="216" t="s">
        <v>47</v>
      </c>
      <c r="L71" s="216" t="s">
        <v>47</v>
      </c>
      <c r="M71" s="216" t="s">
        <v>47</v>
      </c>
      <c r="N71" s="216" t="s">
        <v>47</v>
      </c>
      <c r="O71" s="216" t="s">
        <v>47</v>
      </c>
      <c r="P71" s="216" t="s">
        <v>47</v>
      </c>
      <c r="Q71" s="216" t="s">
        <v>47</v>
      </c>
      <c r="R71" s="216" t="s">
        <v>47</v>
      </c>
      <c r="S71" s="216" t="s">
        <v>47</v>
      </c>
      <c r="T71" s="216" t="s">
        <v>47</v>
      </c>
      <c r="U71" s="216" t="s">
        <v>47</v>
      </c>
      <c r="V71" s="216" t="s">
        <v>47</v>
      </c>
      <c r="W71" s="691" t="s">
        <v>47</v>
      </c>
      <c r="X71" s="691" t="s">
        <v>47</v>
      </c>
      <c r="Y71" s="691" t="s">
        <v>47</v>
      </c>
      <c r="Z71" s="691" t="s">
        <v>47</v>
      </c>
      <c r="AA71" s="691" t="s">
        <v>47</v>
      </c>
      <c r="AB71" s="691" t="s">
        <v>47</v>
      </c>
      <c r="AC71" s="691" t="s">
        <v>47</v>
      </c>
      <c r="AD71" s="691" t="s">
        <v>47</v>
      </c>
      <c r="AE71" s="691" t="s">
        <v>47</v>
      </c>
      <c r="AF71" s="691" t="s">
        <v>47</v>
      </c>
      <c r="AG71" s="691" t="s">
        <v>47</v>
      </c>
      <c r="AH71" s="691" t="s">
        <v>47</v>
      </c>
      <c r="AI71" s="691" t="s">
        <v>47</v>
      </c>
      <c r="AJ71" s="691" t="s">
        <v>47</v>
      </c>
      <c r="AK71" s="691" t="s">
        <v>47</v>
      </c>
      <c r="AL71" s="691" t="s">
        <v>47</v>
      </c>
      <c r="AM71" s="691" t="s">
        <v>47</v>
      </c>
      <c r="AN71" s="691" t="s">
        <v>47</v>
      </c>
      <c r="AO71" s="691" t="s">
        <v>47</v>
      </c>
      <c r="AP71" s="691" t="s">
        <v>47</v>
      </c>
      <c r="AQ71" s="691">
        <f>+((AQ$59*66002.915)+AQ$14+'Lease liabilities'!P18)/(AVERAGEIFS(Estimatives!$275:$275,Estimatives!$338:$338,'Qtrl Fig'!AQ$56)*1000)</f>
        <v>4.1250787582393595</v>
      </c>
      <c r="AR71" s="691">
        <f>+((AR$59*66002.915)+AR$14+'Lease liabilities'!Q18)/(AVERAGEIFS(Estimatives!$275:$275,Estimatives!$338:$338,'Qtrl Fig'!AR$56)*1000)</f>
        <v>4.395675102248398</v>
      </c>
      <c r="AS71" s="691">
        <f>+((AS$59*66002.915)+AS$14+'Lease liabilities'!R18)/(AVERAGEIFS(Estimatives!$275:$275,Estimatives!$338:$338,'Qtrl Fig'!AS$56)*1000)</f>
        <v>4.4694322062172258</v>
      </c>
      <c r="AT71" s="691">
        <f>+((AT$59*66002.915)+AT$14+'Lease liabilities'!S18)/(AVERAGEIFS(Estimatives!$275:$275,Estimatives!$338:$338,'Qtrl Fig'!AT$56)*1000)</f>
        <v>5.3584640097765366</v>
      </c>
      <c r="AU71" s="691">
        <f>+((AU$59*66002.915)+AU$14+'Lease liabilities'!T18)/(AVERAGEIFS(Estimatives!$275:$275,Estimatives!$338:$338,'Qtrl Fig'!AU$56)*1000)</f>
        <v>4.307431470306879</v>
      </c>
      <c r="AV71" s="691">
        <f>+((AV$59*66002.915)+AV$14+'Lease liabilities'!U18)/(AVERAGEIFS(Estimatives!$275:$275,Estimatives!$338:$338,'Qtrl Fig'!AV$56)*1000)</f>
        <v>4.727839056302698</v>
      </c>
      <c r="AW71" s="691">
        <f>+((AW$59*66002.915)+AW$14+'Lease liabilities'!V18)/(AVERAGEIFS(Estimatives!$275:$275,Estimatives!$338:$338,'Qtrl Fig'!AW$56)*1000)</f>
        <v>5.9956333090872844</v>
      </c>
      <c r="AX71" s="691">
        <f>+((AX$59*66002.915)+AX$14+'Lease liabilities'!W18)/(AVERAGEIFS(Estimatives!$275:$275,Estimatives!$338:$338,'Qtrl Fig'!AX$56)*1000)</f>
        <v>6.5310682825827016</v>
      </c>
      <c r="AY71" s="691" t="s">
        <v>47</v>
      </c>
      <c r="AZ71" s="691" t="s">
        <v>47</v>
      </c>
      <c r="BA71" s="691" t="s">
        <v>47</v>
      </c>
      <c r="BB71" s="691" t="s">
        <v>47</v>
      </c>
    </row>
    <row r="72" spans="2:54" x14ac:dyDescent="0.2">
      <c r="B72" s="117" t="s">
        <v>1253</v>
      </c>
      <c r="C72" s="216" t="s">
        <v>47</v>
      </c>
      <c r="D72" s="216" t="s">
        <v>47</v>
      </c>
      <c r="E72" s="216" t="s">
        <v>47</v>
      </c>
      <c r="F72" s="216" t="s">
        <v>47</v>
      </c>
      <c r="G72" s="216" t="s">
        <v>47</v>
      </c>
      <c r="H72" s="216" t="s">
        <v>47</v>
      </c>
      <c r="I72" s="216" t="s">
        <v>47</v>
      </c>
      <c r="J72" s="216" t="s">
        <v>47</v>
      </c>
      <c r="K72" s="216" t="s">
        <v>47</v>
      </c>
      <c r="L72" s="216" t="s">
        <v>47</v>
      </c>
      <c r="M72" s="216" t="s">
        <v>47</v>
      </c>
      <c r="N72" s="216" t="s">
        <v>47</v>
      </c>
      <c r="O72" s="216" t="s">
        <v>47</v>
      </c>
      <c r="P72" s="216" t="s">
        <v>47</v>
      </c>
      <c r="Q72" s="216" t="s">
        <v>47</v>
      </c>
      <c r="R72" s="216" t="s">
        <v>47</v>
      </c>
      <c r="S72" s="216" t="s">
        <v>47</v>
      </c>
      <c r="T72" s="216" t="s">
        <v>47</v>
      </c>
      <c r="U72" s="216" t="s">
        <v>47</v>
      </c>
      <c r="V72" s="216" t="s">
        <v>47</v>
      </c>
      <c r="W72" s="691" t="s">
        <v>47</v>
      </c>
      <c r="X72" s="691" t="s">
        <v>47</v>
      </c>
      <c r="Y72" s="691" t="s">
        <v>47</v>
      </c>
      <c r="Z72" s="691" t="s">
        <v>47</v>
      </c>
      <c r="AA72" s="691" t="s">
        <v>47</v>
      </c>
      <c r="AB72" s="691" t="s">
        <v>47</v>
      </c>
      <c r="AC72" s="691" t="s">
        <v>47</v>
      </c>
      <c r="AD72" s="691" t="s">
        <v>47</v>
      </c>
      <c r="AE72" s="691" t="s">
        <v>47</v>
      </c>
      <c r="AF72" s="691" t="s">
        <v>47</v>
      </c>
      <c r="AG72" s="691" t="s">
        <v>47</v>
      </c>
      <c r="AH72" s="691" t="s">
        <v>47</v>
      </c>
      <c r="AI72" s="691" t="s">
        <v>47</v>
      </c>
      <c r="AJ72" s="691" t="s">
        <v>47</v>
      </c>
      <c r="AK72" s="691" t="s">
        <v>47</v>
      </c>
      <c r="AL72" s="691" t="s">
        <v>47</v>
      </c>
      <c r="AM72" s="691" t="s">
        <v>47</v>
      </c>
      <c r="AN72" s="691" t="s">
        <v>47</v>
      </c>
      <c r="AO72" s="691" t="s">
        <v>47</v>
      </c>
      <c r="AP72" s="691" t="s">
        <v>47</v>
      </c>
      <c r="AQ72" s="691" t="s">
        <v>47</v>
      </c>
      <c r="AR72" s="691" t="s">
        <v>47</v>
      </c>
      <c r="AS72" s="691">
        <f>+((AS$59*66002.915)+AS$14+'Lease liabilities'!R18)/(AVERAGEIFS(Estimatives!$33:$33,Estimatives!$338:$338,'Qtrl Fig'!AS$56)*1000)</f>
        <v>3.6101984085647114</v>
      </c>
      <c r="AT72" s="691">
        <f>+((AT$59*66002.915)+AT$14+'Lease liabilities'!S18)/(AVERAGEIFS(Estimatives!$33:$33,Estimatives!$338:$338,'Qtrl Fig'!AT$56)*1000)</f>
        <v>4.6026772265638387</v>
      </c>
      <c r="AU72" s="691">
        <f>+((AU$59*66002.915)+AU$14+'Lease liabilities'!T18)/(AVERAGEIFS(Estimatives!$33:$33,Estimatives!$338:$338,'Qtrl Fig'!AU$56)*1000)</f>
        <v>3.9216308672705096</v>
      </c>
      <c r="AV72" s="691">
        <f>+((AV$59*66002.915)+AV$14+'Lease liabilities'!U18)/(AVERAGEIFS(Estimatives!$33:$33,Estimatives!$338:$338,'Qtrl Fig'!AV$56)*1000)</f>
        <v>4.3106611413579046</v>
      </c>
      <c r="AW72" s="691">
        <f>+((AW$59*66002.915)+AW$14+'Lease liabilities'!V18)/(AVERAGEIFS(Estimatives!$33:$33,Estimatives!$338:$338,'Qtrl Fig'!AW$56)*1000)</f>
        <v>5.4582888144049333</v>
      </c>
      <c r="AX72" s="691">
        <f>+((AX$59*66002.915)+AX$14+'Lease liabilities'!W18)/(AVERAGEIFS(Estimatives!$33:$33,Estimatives!$338:$338,'Qtrl Fig'!AX$56)*1000)</f>
        <v>5.9000661261401808</v>
      </c>
      <c r="AY72" s="691">
        <f>+((AY$59*66002.915)+AY$14+'Lease liabilities'!X18)/(AVERAGEIFS(Estimatives!$33:$33,Estimatives!$338:$338,'Qtrl Fig'!AY$56)*1000)</f>
        <v>5.6885756107452332</v>
      </c>
      <c r="AZ72" s="691">
        <f>+((AZ$59*66002.915)+AZ$14+'Lease liabilities'!AA18)/(AVERAGEIFS(Estimatives!$33:$33,Estimatives!$338:$338,'Qtrl Fig'!AZ$56)*1000)</f>
        <v>5.3346053441941068</v>
      </c>
      <c r="BA72" s="691">
        <f>+((BA$59*66002.915)+BA$14+'Lease liabilities'!AB18)/(AVERAGEIFS(Estimatives!$33:$33,Estimatives!$338:$338,'Qtrl Fig'!BA$56)*1000)</f>
        <v>5.3784697665511256</v>
      </c>
      <c r="BB72" s="691">
        <f>+((BB$59*66002.915)+BB$14+'Lease liabilities'!AC18)/(AVERAGEIFS(Estimatives!$33:$33,Estimatives!$338:$338,'Qtrl Fig'!BB$56)*1000)</f>
        <v>5.7563180101587283</v>
      </c>
    </row>
    <row r="73" spans="2:54" x14ac:dyDescent="0.2">
      <c r="B73" s="117" t="s">
        <v>1371</v>
      </c>
      <c r="C73" s="216" t="s">
        <v>47</v>
      </c>
      <c r="D73" s="216" t="s">
        <v>47</v>
      </c>
      <c r="E73" s="216" t="s">
        <v>47</v>
      </c>
      <c r="F73" s="216" t="s">
        <v>47</v>
      </c>
      <c r="G73" s="216" t="s">
        <v>47</v>
      </c>
      <c r="H73" s="216" t="s">
        <v>47</v>
      </c>
      <c r="I73" s="216" t="s">
        <v>47</v>
      </c>
      <c r="J73" s="216" t="s">
        <v>47</v>
      </c>
      <c r="K73" s="216" t="s">
        <v>47</v>
      </c>
      <c r="L73" s="216" t="s">
        <v>47</v>
      </c>
      <c r="M73" s="216" t="s">
        <v>47</v>
      </c>
      <c r="N73" s="216" t="s">
        <v>47</v>
      </c>
      <c r="O73" s="216" t="s">
        <v>47</v>
      </c>
      <c r="P73" s="216" t="s">
        <v>47</v>
      </c>
      <c r="Q73" s="216" t="s">
        <v>47</v>
      </c>
      <c r="R73" s="216" t="s">
        <v>47</v>
      </c>
      <c r="S73" s="216" t="s">
        <v>47</v>
      </c>
      <c r="T73" s="216" t="s">
        <v>47</v>
      </c>
      <c r="U73" s="216" t="s">
        <v>47</v>
      </c>
      <c r="V73" s="216" t="s">
        <v>47</v>
      </c>
      <c r="W73" s="691" t="s">
        <v>47</v>
      </c>
      <c r="X73" s="691" t="s">
        <v>47</v>
      </c>
      <c r="Y73" s="691" t="s">
        <v>47</v>
      </c>
      <c r="Z73" s="691" t="s">
        <v>47</v>
      </c>
      <c r="AA73" s="691" t="s">
        <v>47</v>
      </c>
      <c r="AB73" s="691" t="s">
        <v>47</v>
      </c>
      <c r="AC73" s="691" t="s">
        <v>47</v>
      </c>
      <c r="AD73" s="691" t="s">
        <v>47</v>
      </c>
      <c r="AE73" s="691" t="s">
        <v>47</v>
      </c>
      <c r="AF73" s="691" t="s">
        <v>47</v>
      </c>
      <c r="AG73" s="691" t="s">
        <v>47</v>
      </c>
      <c r="AH73" s="691" t="s">
        <v>47</v>
      </c>
      <c r="AI73" s="691" t="s">
        <v>47</v>
      </c>
      <c r="AJ73" s="691" t="s">
        <v>47</v>
      </c>
      <c r="AK73" s="691" t="s">
        <v>47</v>
      </c>
      <c r="AL73" s="691" t="s">
        <v>47</v>
      </c>
      <c r="AM73" s="691" t="s">
        <v>47</v>
      </c>
      <c r="AN73" s="691" t="s">
        <v>47</v>
      </c>
      <c r="AO73" s="691" t="s">
        <v>47</v>
      </c>
      <c r="AP73" s="691" t="s">
        <v>47</v>
      </c>
      <c r="AQ73" s="691" t="s">
        <v>47</v>
      </c>
      <c r="AR73" s="691" t="s">
        <v>47</v>
      </c>
      <c r="AS73" s="691" t="s">
        <v>47</v>
      </c>
      <c r="AT73" s="691" t="s">
        <v>47</v>
      </c>
      <c r="AU73" s="691" t="s">
        <v>47</v>
      </c>
      <c r="AV73" s="691" t="s">
        <v>47</v>
      </c>
      <c r="AW73" s="691" t="s">
        <v>47</v>
      </c>
      <c r="AX73" s="691" t="s">
        <v>47</v>
      </c>
      <c r="AY73" s="691" t="s">
        <v>47</v>
      </c>
      <c r="AZ73" s="691" t="s">
        <v>47</v>
      </c>
      <c r="BA73" s="691"/>
      <c r="BB73" s="691">
        <f>+((BB$59*66002.915)+BB$14+'Lease liabilities'!AC18)/(AVERAGEIFS(Estimatives!$53:$53,Estimatives!$338:$338,'Qtrl Fig'!BB$56)*1000)</f>
        <v>4.7969316751322735</v>
      </c>
    </row>
    <row r="74" spans="2:54" x14ac:dyDescent="0.2">
      <c r="B74" s="117" t="s">
        <v>1110</v>
      </c>
      <c r="C74" s="684" t="s">
        <v>47</v>
      </c>
      <c r="D74" s="684" t="s">
        <v>47</v>
      </c>
      <c r="E74" s="684" t="s">
        <v>47</v>
      </c>
      <c r="F74" s="684" t="s">
        <v>47</v>
      </c>
      <c r="G74" s="684" t="s">
        <v>47</v>
      </c>
      <c r="H74" s="684" t="s">
        <v>47</v>
      </c>
      <c r="I74" s="684" t="s">
        <v>47</v>
      </c>
      <c r="J74" s="684" t="s">
        <v>47</v>
      </c>
      <c r="K74" s="684" t="s">
        <v>47</v>
      </c>
      <c r="L74" s="684" t="s">
        <v>47</v>
      </c>
      <c r="M74" s="684" t="s">
        <v>47</v>
      </c>
      <c r="N74" s="684" t="s">
        <v>47</v>
      </c>
      <c r="O74" s="684" t="s">
        <v>47</v>
      </c>
      <c r="P74" s="684" t="s">
        <v>47</v>
      </c>
      <c r="Q74" s="684" t="s">
        <v>47</v>
      </c>
      <c r="R74" s="684" t="s">
        <v>47</v>
      </c>
      <c r="S74" s="684" t="s">
        <v>47</v>
      </c>
      <c r="T74" s="684" t="s">
        <v>47</v>
      </c>
      <c r="U74" s="684" t="s">
        <v>47</v>
      </c>
      <c r="V74" s="684" t="s">
        <v>47</v>
      </c>
      <c r="W74" s="691">
        <f>+((W$59*66002.915))/(AVERAGEIFS(Estimatives!$113:$113,Estimatives!338:338,'Qtrl Fig'!W56)*1000)</f>
        <v>13.888443341446692</v>
      </c>
      <c r="X74" s="691">
        <f>+((X$59*66002.915))/(AVERAGEIFS(Estimatives!$113:$113,Estimatives!338:338,'Qtrl Fig'!X56)*1000)</f>
        <v>17.588787702997273</v>
      </c>
      <c r="Y74" s="691">
        <f>+((Y$59*66002.915))/(AVERAGEIFS(Estimatives!$113:$113,Estimatives!338:338,'Qtrl Fig'!Y56)*1000)</f>
        <v>18.886987984615381</v>
      </c>
      <c r="Z74" s="691">
        <f>+((Z$59*66002.915))/(AVERAGEIFS(Estimatives!$113:$113,Estimatives!338:338,'Qtrl Fig'!Z56)*1000)</f>
        <v>19.504454223053887</v>
      </c>
      <c r="AA74" s="691">
        <f>+((AA$59*66002.915))/(AVERAGEIFS(Estimatives!$113:$113,Estimatives!338:338,'Qtrl Fig'!AA56)*1000)</f>
        <v>18.248211051938043</v>
      </c>
      <c r="AB74" s="691">
        <f>+((AB$59*66002.915))/(AVERAGEIFS(Estimatives!$113:$113,Estimatives!338:338,'Qtrl Fig'!AA56)*1000)</f>
        <v>15.925753168701634</v>
      </c>
      <c r="AC74" s="691">
        <f>+((AC$59*66002.915))/(AVERAGEIFS(Estimatives!$113:$113,Estimatives!338:338,'Qtrl Fig'!AC56)*1000)</f>
        <v>15.119044501649618</v>
      </c>
      <c r="AD74" s="691">
        <f>+((AD$59*66002.915))/(AVERAGEIFS(Estimatives!$113:$113,Estimatives!338:338,'Qtrl Fig'!AD56)*1000)</f>
        <v>16.355774638081495</v>
      </c>
      <c r="AE74" s="691" t="s">
        <v>47</v>
      </c>
      <c r="AF74" s="691" t="s">
        <v>47</v>
      </c>
      <c r="AG74" s="691" t="s">
        <v>47</v>
      </c>
      <c r="AH74" s="691" t="s">
        <v>47</v>
      </c>
      <c r="AI74" s="691" t="s">
        <v>47</v>
      </c>
      <c r="AJ74" s="691" t="s">
        <v>47</v>
      </c>
      <c r="AK74" s="691" t="s">
        <v>47</v>
      </c>
      <c r="AL74" s="691" t="s">
        <v>47</v>
      </c>
      <c r="AM74" s="691" t="s">
        <v>47</v>
      </c>
      <c r="AN74" s="691" t="s">
        <v>47</v>
      </c>
      <c r="AO74" s="691" t="s">
        <v>47</v>
      </c>
      <c r="AP74" s="691" t="s">
        <v>47</v>
      </c>
      <c r="AQ74" s="691" t="s">
        <v>47</v>
      </c>
      <c r="AR74" s="691" t="s">
        <v>47</v>
      </c>
      <c r="AS74" s="691" t="s">
        <v>47</v>
      </c>
      <c r="AT74" s="691" t="s">
        <v>47</v>
      </c>
      <c r="AU74" s="691" t="s">
        <v>47</v>
      </c>
      <c r="AV74" s="691" t="s">
        <v>47</v>
      </c>
      <c r="AW74" s="691" t="s">
        <v>47</v>
      </c>
      <c r="AX74" s="691" t="s">
        <v>47</v>
      </c>
      <c r="AY74" s="691" t="s">
        <v>47</v>
      </c>
      <c r="AZ74" s="691" t="s">
        <v>47</v>
      </c>
      <c r="BA74" s="691" t="s">
        <v>47</v>
      </c>
      <c r="BB74" s="691" t="s">
        <v>47</v>
      </c>
    </row>
    <row r="75" spans="2:54" x14ac:dyDescent="0.2">
      <c r="B75" s="117" t="s">
        <v>1111</v>
      </c>
      <c r="C75" s="684" t="s">
        <v>47</v>
      </c>
      <c r="D75" s="684" t="s">
        <v>47</v>
      </c>
      <c r="E75" s="684" t="s">
        <v>47</v>
      </c>
      <c r="F75" s="684" t="s">
        <v>47</v>
      </c>
      <c r="G75" s="684" t="s">
        <v>47</v>
      </c>
      <c r="H75" s="684" t="s">
        <v>47</v>
      </c>
      <c r="I75" s="684" t="s">
        <v>47</v>
      </c>
      <c r="J75" s="684" t="s">
        <v>47</v>
      </c>
      <c r="K75" s="684" t="s">
        <v>47</v>
      </c>
      <c r="L75" s="684" t="s">
        <v>47</v>
      </c>
      <c r="M75" s="684" t="s">
        <v>47</v>
      </c>
      <c r="N75" s="684" t="s">
        <v>47</v>
      </c>
      <c r="O75" s="684" t="s">
        <v>47</v>
      </c>
      <c r="P75" s="684" t="s">
        <v>47</v>
      </c>
      <c r="Q75" s="684" t="s">
        <v>47</v>
      </c>
      <c r="R75" s="684" t="s">
        <v>47</v>
      </c>
      <c r="S75" s="684" t="s">
        <v>47</v>
      </c>
      <c r="T75" s="684" t="s">
        <v>47</v>
      </c>
      <c r="U75" s="684" t="s">
        <v>47</v>
      </c>
      <c r="V75" s="684" t="s">
        <v>47</v>
      </c>
      <c r="W75" s="691">
        <f>+((W$59*66002.915))/(AVERAGEIFS(Estimatives!$145:$145,Estimatives!$338:$338,'Qtrl Fig'!W56)*1000)</f>
        <v>10.077758514179104</v>
      </c>
      <c r="X75" s="691">
        <f>+((X$59*66002.915))/(AVERAGEIFS(Estimatives!$145:$145,Estimatives!$338:$338,'Qtrl Fig'!X56)*1000)</f>
        <v>12.657029582352939</v>
      </c>
      <c r="Y75" s="691">
        <f>+((Y$59*66002.915))/(AVERAGEIFS(Estimatives!$145:$145,Estimatives!$338:$338,'Qtrl Fig'!Y56)*1000)</f>
        <v>14.432106869932177</v>
      </c>
      <c r="Z75" s="691">
        <f>+((Z$59*66002.915))/(AVERAGEIFS(Estimatives!$145:$145,Estimatives!$338:$338,'Qtrl Fig'!Z56)*1000)</f>
        <v>15.567312152538996</v>
      </c>
      <c r="AA75" s="691">
        <f>+((AA$59*66002.915))/(AVERAGEIFS(Estimatives!$145:$145,Estimatives!$338:$338,'Qtrl Fig'!AA56)*1000)</f>
        <v>15.057674051020406</v>
      </c>
      <c r="AB75" s="691">
        <f>+((AB$59*66002.915))/(AVERAGEIFS(Estimatives!$145:$145,Estimatives!$338:$338,'Qtrl Fig'!AB56)*1000)</f>
        <v>12.920815005028196</v>
      </c>
      <c r="AC75" s="691">
        <f>+((AC$59*66002.915))/(AVERAGEIFS(Estimatives!$145:$145,Estimatives!$338:$338,'Qtrl Fig'!AC56)*1000)</f>
        <v>12.736471340883824</v>
      </c>
      <c r="AD75" s="691">
        <f>+((AD$59*66002.915))/(AVERAGEIFS(Estimatives!$145:$145,Estimatives!$338:$338,'Qtrl Fig'!AD56)*1000)</f>
        <v>13.768144620713379</v>
      </c>
      <c r="AE75" s="691">
        <f>+((AE$59*66002.915))/(AVERAGEIFS(Estimatives!$145:$145,Estimatives!$338:$338,'Qtrl Fig'!AE56)*1000)</f>
        <v>15.547005064818441</v>
      </c>
      <c r="AF75" s="691">
        <f>+((AF$59*66002.915))/(AVERAGEIFS(Estimatives!$145:$145,Estimatives!$338:$338,'Qtrl Fig'!AF56)*1000)</f>
        <v>13.064528554469481</v>
      </c>
      <c r="AG75" s="691">
        <f>+((AG$59*66002.915))/(AVERAGEIFS(Estimatives!$145:$145,Estimatives!$338:$338,'Qtrl Fig'!AG56)*1000)</f>
        <v>15.245419188730539</v>
      </c>
      <c r="AH75" s="691">
        <f>+((AH$59*66002.915))/(AVERAGEIFS(Estimatives!$145:$145,Estimatives!$338:$338,'Qtrl Fig'!AH56)*1000)</f>
        <v>15.267520675397332</v>
      </c>
      <c r="AI75" s="691" t="s">
        <v>47</v>
      </c>
      <c r="AJ75" s="691" t="s">
        <v>47</v>
      </c>
      <c r="AK75" s="691" t="s">
        <v>47</v>
      </c>
      <c r="AL75" s="691" t="s">
        <v>47</v>
      </c>
      <c r="AM75" s="691" t="s">
        <v>47</v>
      </c>
      <c r="AN75" s="691" t="s">
        <v>47</v>
      </c>
      <c r="AO75" s="691" t="s">
        <v>47</v>
      </c>
      <c r="AP75" s="691" t="s">
        <v>47</v>
      </c>
      <c r="AQ75" s="691" t="s">
        <v>47</v>
      </c>
      <c r="AR75" s="691" t="s">
        <v>47</v>
      </c>
      <c r="AS75" s="691" t="s">
        <v>47</v>
      </c>
      <c r="AT75" s="691" t="s">
        <v>47</v>
      </c>
      <c r="AU75" s="691" t="s">
        <v>47</v>
      </c>
      <c r="AV75" s="691" t="s">
        <v>47</v>
      </c>
      <c r="AW75" s="691" t="s">
        <v>47</v>
      </c>
      <c r="AX75" s="691" t="s">
        <v>47</v>
      </c>
      <c r="AY75" s="691" t="s">
        <v>47</v>
      </c>
      <c r="AZ75" s="691" t="s">
        <v>47</v>
      </c>
      <c r="BA75" s="691" t="s">
        <v>47</v>
      </c>
      <c r="BB75" s="691" t="s">
        <v>47</v>
      </c>
    </row>
    <row r="76" spans="2:54" x14ac:dyDescent="0.2">
      <c r="B76" s="117" t="s">
        <v>1112</v>
      </c>
      <c r="C76" s="684" t="s">
        <v>47</v>
      </c>
      <c r="D76" s="684" t="s">
        <v>47</v>
      </c>
      <c r="E76" s="684" t="s">
        <v>47</v>
      </c>
      <c r="F76" s="684" t="s">
        <v>47</v>
      </c>
      <c r="G76" s="684" t="s">
        <v>47</v>
      </c>
      <c r="H76" s="684" t="s">
        <v>47</v>
      </c>
      <c r="I76" s="684" t="s">
        <v>47</v>
      </c>
      <c r="J76" s="684" t="s">
        <v>47</v>
      </c>
      <c r="K76" s="684" t="s">
        <v>47</v>
      </c>
      <c r="L76" s="684" t="s">
        <v>47</v>
      </c>
      <c r="M76" s="684" t="s">
        <v>47</v>
      </c>
      <c r="N76" s="684" t="s">
        <v>47</v>
      </c>
      <c r="O76" s="684" t="s">
        <v>47</v>
      </c>
      <c r="P76" s="684" t="s">
        <v>47</v>
      </c>
      <c r="Q76" s="684" t="s">
        <v>47</v>
      </c>
      <c r="R76" s="684" t="s">
        <v>47</v>
      </c>
      <c r="S76" s="684" t="s">
        <v>47</v>
      </c>
      <c r="T76" s="684" t="s">
        <v>47</v>
      </c>
      <c r="U76" s="684" t="s">
        <v>47</v>
      </c>
      <c r="V76" s="684" t="s">
        <v>47</v>
      </c>
      <c r="W76" s="216" t="s">
        <v>47</v>
      </c>
      <c r="X76" s="216" t="s">
        <v>47</v>
      </c>
      <c r="Y76" s="216" t="s">
        <v>47</v>
      </c>
      <c r="Z76" s="691" t="s">
        <v>47</v>
      </c>
      <c r="AA76" s="691" t="s">
        <v>47</v>
      </c>
      <c r="AB76" s="691">
        <f>+((AB$59*66002.915))/(AVERAGEIFS(Estimatives!$177:$177,Estimatives!$338:$338,'Qtrl Fig'!AB56)*1000)</f>
        <v>11.920873327856061</v>
      </c>
      <c r="AC76" s="691">
        <f>+((AC$59*66002.915))/(AVERAGEIFS(Estimatives!$177:$177,Estimatives!$338:$338,'Qtrl Fig'!AC56)*1000)</f>
        <v>11.180060042301438</v>
      </c>
      <c r="AD76" s="691">
        <f>+((AD$59*66002.915))/(AVERAGEIFS(Estimatives!$177:$177,Estimatives!$338:$338,'Qtrl Fig'!AD56)*1000)</f>
        <v>11.813861552885333</v>
      </c>
      <c r="AE76" s="691">
        <f>+((AE$59*66002.915))/(AVERAGEIFS(Estimatives!$177:$177,Estimatives!$338:$338,'Qtrl Fig'!AE56)*1000)</f>
        <v>13.114065140086401</v>
      </c>
      <c r="AF76" s="691">
        <f>+((AF$59*66002.915))/(AVERAGEIFS(Estimatives!$177:$177,Estimatives!$338:$338,'Qtrl Fig'!AF56)*1000)</f>
        <v>11.691738573087841</v>
      </c>
      <c r="AG76" s="691">
        <f>+((AG$59*66002.915))/(AVERAGEIFS(Estimatives!$177:$177,Estimatives!$338:$338,'Qtrl Fig'!AG56)*1000)</f>
        <v>13.720877269857485</v>
      </c>
      <c r="AH76" s="691">
        <f>+((AH$59*66002.915))/(AVERAGEIFS(Estimatives!$177:$177,Estimatives!$338:$338,'Qtrl Fig'!AH56)*1000)</f>
        <v>13.444628596432844</v>
      </c>
      <c r="AI76" s="691">
        <f>+((AI$59*66002.915))/(AVERAGEIFS(Estimatives!$177:$177,Estimatives!$338:$338,'Qtrl Fig'!AI56)*1000)</f>
        <v>13.942707602359983</v>
      </c>
      <c r="AJ76" s="691">
        <f>+((AJ$59*66002.915))/(AVERAGEIFS(Estimatives!$177:$177,Estimatives!$338:$338,'Qtrl Fig'!AJ56)*1000)</f>
        <v>24.473579867651683</v>
      </c>
      <c r="AK76" s="691">
        <f>+((AK$59*66002.915))/(AVERAGEIFS(Estimatives!$177:$177,Estimatives!$338:$338,'Qtrl Fig'!AK56)*1000)</f>
        <v>32.245802512489696</v>
      </c>
      <c r="AL76" s="691">
        <f>+((AL$59*66002.915))/(AVERAGEIFS(Estimatives!$177:$177,Estimatives!$338:$338,'Qtrl Fig'!AL56)*1000)</f>
        <v>25.183802619797053</v>
      </c>
      <c r="AM76" s="691" t="s">
        <v>47</v>
      </c>
      <c r="AN76" s="691" t="s">
        <v>47</v>
      </c>
      <c r="AO76" s="691" t="s">
        <v>47</v>
      </c>
      <c r="AP76" s="691" t="s">
        <v>47</v>
      </c>
      <c r="AQ76" s="691" t="s">
        <v>47</v>
      </c>
      <c r="AR76" s="691" t="s">
        <v>47</v>
      </c>
      <c r="AS76" s="691" t="s">
        <v>47</v>
      </c>
      <c r="AT76" s="691" t="s">
        <v>47</v>
      </c>
      <c r="AU76" s="691" t="s">
        <v>47</v>
      </c>
      <c r="AV76" s="691" t="s">
        <v>47</v>
      </c>
      <c r="AW76" s="691" t="s">
        <v>47</v>
      </c>
      <c r="AX76" s="691" t="s">
        <v>47</v>
      </c>
      <c r="AY76" s="691" t="s">
        <v>47</v>
      </c>
      <c r="AZ76" s="691" t="s">
        <v>47</v>
      </c>
      <c r="BA76" s="691" t="s">
        <v>47</v>
      </c>
      <c r="BB76" s="691" t="s">
        <v>47</v>
      </c>
    </row>
    <row r="77" spans="2:54" x14ac:dyDescent="0.2">
      <c r="B77" s="117" t="s">
        <v>1113</v>
      </c>
      <c r="C77" s="216" t="s">
        <v>47</v>
      </c>
      <c r="D77" s="216" t="s">
        <v>47</v>
      </c>
      <c r="E77" s="216" t="s">
        <v>47</v>
      </c>
      <c r="F77" s="216" t="s">
        <v>47</v>
      </c>
      <c r="G77" s="216" t="s">
        <v>47</v>
      </c>
      <c r="H77" s="216" t="s">
        <v>47</v>
      </c>
      <c r="I77" s="216" t="s">
        <v>47</v>
      </c>
      <c r="J77" s="216" t="s">
        <v>47</v>
      </c>
      <c r="K77" s="216" t="s">
        <v>47</v>
      </c>
      <c r="L77" s="216" t="s">
        <v>47</v>
      </c>
      <c r="M77" s="216" t="s">
        <v>47</v>
      </c>
      <c r="N77" s="216" t="s">
        <v>47</v>
      </c>
      <c r="O77" s="216" t="s">
        <v>47</v>
      </c>
      <c r="P77" s="216" t="s">
        <v>47</v>
      </c>
      <c r="Q77" s="216" t="s">
        <v>47</v>
      </c>
      <c r="R77" s="216" t="s">
        <v>47</v>
      </c>
      <c r="S77" s="216" t="s">
        <v>47</v>
      </c>
      <c r="T77" s="216" t="s">
        <v>47</v>
      </c>
      <c r="U77" s="216" t="s">
        <v>47</v>
      </c>
      <c r="V77" s="216" t="s">
        <v>47</v>
      </c>
      <c r="W77" s="216" t="s">
        <v>47</v>
      </c>
      <c r="X77" s="216" t="s">
        <v>47</v>
      </c>
      <c r="Y77" s="216" t="s">
        <v>47</v>
      </c>
      <c r="Z77" s="691" t="s">
        <v>47</v>
      </c>
      <c r="AA77" s="691" t="s">
        <v>47</v>
      </c>
      <c r="AB77" s="691" t="s">
        <v>47</v>
      </c>
      <c r="AC77" s="691" t="s">
        <v>47</v>
      </c>
      <c r="AD77" s="691" t="s">
        <v>47</v>
      </c>
      <c r="AE77" s="691">
        <f>+((AE$59*66002.915))/(AVERAGEIFS(Estimatives!$201:$201,Estimatives!$338:$338,'Qtrl Fig'!AE$56)*1000)</f>
        <v>12.7073694365411</v>
      </c>
      <c r="AF77" s="691">
        <f>+((AF$59*66002.915))/(AVERAGEIFS(Estimatives!$201:$201,Estimatives!$338:$338,'Qtrl Fig'!AF$56)*1000)</f>
        <v>11.438501563045746</v>
      </c>
      <c r="AG77" s="691">
        <f>+((AG$59*66002.915))/(AVERAGEIFS(Estimatives!$201:$201,Estimatives!$338:$338,'Qtrl Fig'!AG$56)*1000)</f>
        <v>12.907648155310454</v>
      </c>
      <c r="AH77" s="691">
        <f>+((AH$59*66002.915))/(AVERAGEIFS(Estimatives!$201:$201,Estimatives!$338:$338,'Qtrl Fig'!AH$56)*1000)</f>
        <v>12.412426400961202</v>
      </c>
      <c r="AI77" s="691">
        <f>+((AI$59*66002.915))/(AVERAGEIFS(Estimatives!$201:$201,Estimatives!$338:$338,'Qtrl Fig'!AI$56)*1000)</f>
        <v>12.796516549463274</v>
      </c>
      <c r="AJ77" s="691">
        <f>+((AJ$59*66002.915))/(AVERAGEIFS(Estimatives!$201:$201,Estimatives!$338:$338,'Qtrl Fig'!AJ$56)*1000)</f>
        <v>13.191172859979506</v>
      </c>
      <c r="AK77" s="691">
        <f>+((AK$59*66002.915))/(AVERAGEIFS(Estimatives!$201:$201,Estimatives!$338:$338,'Qtrl Fig'!AK$56)*1000)</f>
        <v>16.378979399784129</v>
      </c>
      <c r="AL77" s="691">
        <f>+((AL$59*66002.915))/(AVERAGEIFS(Estimatives!$201:$201,Estimatives!$338:$338,'Qtrl Fig'!AL$56)*1000)</f>
        <v>13.395412170759505</v>
      </c>
      <c r="AM77" s="691">
        <f>+((AM$59*66002.915))/(AVERAGEIFS(Estimatives!$201:$201,Estimatives!$338:$338,'Qtrl Fig'!AM$56)*1000)</f>
        <v>10.465690630305069</v>
      </c>
      <c r="AN77" s="691">
        <f>+((AN$59*66002.915))/(AVERAGEIFS(Estimatives!$201:$201,Estimatives!$338:$338,'Qtrl Fig'!AN$56)*1000)</f>
        <v>10.48837106176464</v>
      </c>
      <c r="AO77" s="691">
        <f>+((AO$59*66002.915))/(AVERAGEIFS(Estimatives!$201:$201,Estimatives!$338:$338,'Qtrl Fig'!AO$56)*1000)</f>
        <v>10.741540155064158</v>
      </c>
      <c r="AP77" s="691">
        <f>+((AP$59*66002.915))/(AVERAGEIFS(Estimatives!$201:$201,Estimatives!$338:$338,'Qtrl Fig'!AP$56)*1000)</f>
        <v>11.888067890285713</v>
      </c>
      <c r="AQ77" s="691" t="s">
        <v>47</v>
      </c>
      <c r="AR77" s="691" t="s">
        <v>47</v>
      </c>
      <c r="AS77" s="691" t="s">
        <v>47</v>
      </c>
      <c r="AT77" s="691" t="s">
        <v>47</v>
      </c>
      <c r="AU77" s="691" t="s">
        <v>47</v>
      </c>
      <c r="AV77" s="691" t="s">
        <v>47</v>
      </c>
      <c r="AW77" s="691" t="s">
        <v>47</v>
      </c>
      <c r="AX77" s="691" t="s">
        <v>47</v>
      </c>
      <c r="AY77" s="691" t="s">
        <v>47</v>
      </c>
      <c r="AZ77" s="691" t="s">
        <v>47</v>
      </c>
      <c r="BA77" s="691" t="s">
        <v>47</v>
      </c>
      <c r="BB77" s="691" t="s">
        <v>47</v>
      </c>
    </row>
    <row r="78" spans="2:54" x14ac:dyDescent="0.2">
      <c r="B78" s="117" t="s">
        <v>1114</v>
      </c>
      <c r="C78" s="216" t="s">
        <v>47</v>
      </c>
      <c r="D78" s="216" t="s">
        <v>47</v>
      </c>
      <c r="E78" s="216" t="s">
        <v>47</v>
      </c>
      <c r="F78" s="216" t="s">
        <v>47</v>
      </c>
      <c r="G78" s="216" t="s">
        <v>47</v>
      </c>
      <c r="H78" s="216" t="s">
        <v>47</v>
      </c>
      <c r="I78" s="216" t="s">
        <v>47</v>
      </c>
      <c r="J78" s="216" t="s">
        <v>47</v>
      </c>
      <c r="K78" s="216" t="s">
        <v>47</v>
      </c>
      <c r="L78" s="216" t="s">
        <v>47</v>
      </c>
      <c r="M78" s="216" t="s">
        <v>47</v>
      </c>
      <c r="N78" s="216" t="s">
        <v>47</v>
      </c>
      <c r="O78" s="216" t="s">
        <v>47</v>
      </c>
      <c r="P78" s="216" t="s">
        <v>47</v>
      </c>
      <c r="Q78" s="216" t="s">
        <v>47</v>
      </c>
      <c r="R78" s="216" t="s">
        <v>47</v>
      </c>
      <c r="S78" s="216" t="s">
        <v>47</v>
      </c>
      <c r="T78" s="216" t="s">
        <v>47</v>
      </c>
      <c r="U78" s="216" t="s">
        <v>47</v>
      </c>
      <c r="V78" s="216" t="s">
        <v>47</v>
      </c>
      <c r="W78" s="216" t="s">
        <v>47</v>
      </c>
      <c r="X78" s="216" t="s">
        <v>47</v>
      </c>
      <c r="Y78" s="216" t="s">
        <v>47</v>
      </c>
      <c r="Z78" s="691" t="s">
        <v>47</v>
      </c>
      <c r="AA78" s="691" t="s">
        <v>47</v>
      </c>
      <c r="AB78" s="691" t="s">
        <v>47</v>
      </c>
      <c r="AC78" s="691" t="s">
        <v>47</v>
      </c>
      <c r="AD78" s="691" t="s">
        <v>47</v>
      </c>
      <c r="AE78" s="691" t="s">
        <v>47</v>
      </c>
      <c r="AF78" s="691" t="s">
        <v>47</v>
      </c>
      <c r="AG78" s="691" t="s">
        <v>47</v>
      </c>
      <c r="AH78" s="691" t="s">
        <v>47</v>
      </c>
      <c r="AI78" s="691" t="s">
        <v>47</v>
      </c>
      <c r="AJ78" s="691" t="s">
        <v>47</v>
      </c>
      <c r="AK78" s="691" t="s">
        <v>47</v>
      </c>
      <c r="AL78" s="691">
        <f>+((AL$59*66002.915))/(AVERAGEIFS(Estimatives!236:236,Estimatives!$338:$338,'Qtrl Fig'!AL$56)*1000)</f>
        <v>11.72358373932131</v>
      </c>
      <c r="AM78" s="691">
        <f>+((AM$59*66002.915))/(AVERAGEIFS(Estimatives!236:236,Estimatives!$338:$338,'Qtrl Fig'!AM$56)*1000)</f>
        <v>10.015123164671921</v>
      </c>
      <c r="AN78" s="691">
        <f>+((AN$59*66002.915))/(AVERAGEIFS(Estimatives!236:236,Estimatives!$338:$338,'Qtrl Fig'!AN$56)*1000)</f>
        <v>10.042638537142883</v>
      </c>
      <c r="AO78" s="691">
        <f>+((AO$59*66002.915))/(AVERAGEIFS(Estimatives!236:236,Estimatives!$338:$338,'Qtrl Fig'!AO$56)*1000)</f>
        <v>9.5131670321561526</v>
      </c>
      <c r="AP78" s="691">
        <f>+((AP$59*66002.915))/(AVERAGEIFS(Estimatives!236:236,Estimatives!$338:$338,'Qtrl Fig'!AP$56)*1000)</f>
        <v>9.0874135736750148</v>
      </c>
      <c r="AQ78" s="691">
        <f>+((AQ$59*66002.915))/(AVERAGEIFS(Estimatives!236:236,Estimatives!$338:$338,'Qtrl Fig'!AQ$56)*1000)</f>
        <v>9.0497147465753418</v>
      </c>
      <c r="AR78" s="691">
        <f>+((AR$59*66002.915))/(AVERAGEIFS(Estimatives!236:236,Estimatives!$338:$338,'Qtrl Fig'!AR$56)*1000)</f>
        <v>9.2218284602023743</v>
      </c>
      <c r="AS78" s="691">
        <f>+((AS$59*66002.915))/(AVERAGEIFS(Estimatives!236:236,Estimatives!$338:$338,'Qtrl Fig'!AS$56)*1000)</f>
        <v>9.6307404010985707</v>
      </c>
      <c r="AT78" s="691">
        <f>+((AT$59*66002.915))/(AVERAGEIFS(Estimatives!236:236,Estimatives!$338:$338,'Qtrl Fig'!AT$56)*1000)</f>
        <v>11.177612878718225</v>
      </c>
      <c r="AU78" s="691" t="s">
        <v>47</v>
      </c>
      <c r="AV78" s="691" t="s">
        <v>47</v>
      </c>
      <c r="AW78" s="691" t="s">
        <v>47</v>
      </c>
      <c r="AX78" s="691" t="s">
        <v>47</v>
      </c>
      <c r="AY78" s="691" t="s">
        <v>47</v>
      </c>
      <c r="AZ78" s="691" t="s">
        <v>47</v>
      </c>
      <c r="BA78" s="691" t="s">
        <v>47</v>
      </c>
      <c r="BB78" s="691" t="s">
        <v>47</v>
      </c>
    </row>
    <row r="79" spans="2:54" x14ac:dyDescent="0.2">
      <c r="B79" s="117" t="s">
        <v>1197</v>
      </c>
      <c r="C79" s="216" t="s">
        <v>47</v>
      </c>
      <c r="D79" s="216" t="s">
        <v>47</v>
      </c>
      <c r="E79" s="216" t="s">
        <v>47</v>
      </c>
      <c r="F79" s="216" t="s">
        <v>47</v>
      </c>
      <c r="G79" s="216" t="s">
        <v>47</v>
      </c>
      <c r="H79" s="216" t="s">
        <v>47</v>
      </c>
      <c r="I79" s="216" t="s">
        <v>47</v>
      </c>
      <c r="J79" s="216" t="s">
        <v>47</v>
      </c>
      <c r="K79" s="216" t="s">
        <v>47</v>
      </c>
      <c r="L79" s="216" t="s">
        <v>47</v>
      </c>
      <c r="M79" s="216" t="s">
        <v>47</v>
      </c>
      <c r="N79" s="216" t="s">
        <v>47</v>
      </c>
      <c r="O79" s="216" t="s">
        <v>47</v>
      </c>
      <c r="P79" s="216" t="s">
        <v>47</v>
      </c>
      <c r="Q79" s="216" t="s">
        <v>47</v>
      </c>
      <c r="R79" s="216" t="s">
        <v>47</v>
      </c>
      <c r="S79" s="216" t="s">
        <v>47</v>
      </c>
      <c r="T79" s="216" t="s">
        <v>47</v>
      </c>
      <c r="U79" s="216" t="s">
        <v>47</v>
      </c>
      <c r="V79" s="216" t="s">
        <v>47</v>
      </c>
      <c r="W79" s="216" t="s">
        <v>47</v>
      </c>
      <c r="X79" s="216" t="s">
        <v>47</v>
      </c>
      <c r="Y79" s="216" t="s">
        <v>47</v>
      </c>
      <c r="Z79" s="691" t="s">
        <v>47</v>
      </c>
      <c r="AA79" s="691" t="s">
        <v>47</v>
      </c>
      <c r="AB79" s="691" t="s">
        <v>47</v>
      </c>
      <c r="AC79" s="691" t="s">
        <v>47</v>
      </c>
      <c r="AD79" s="691" t="s">
        <v>47</v>
      </c>
      <c r="AE79" s="691" t="s">
        <v>47</v>
      </c>
      <c r="AF79" s="691" t="s">
        <v>47</v>
      </c>
      <c r="AG79" s="691" t="s">
        <v>47</v>
      </c>
      <c r="AH79" s="691" t="s">
        <v>47</v>
      </c>
      <c r="AI79" s="691" t="s">
        <v>47</v>
      </c>
      <c r="AJ79" s="691" t="s">
        <v>47</v>
      </c>
      <c r="AK79" s="691" t="s">
        <v>47</v>
      </c>
      <c r="AL79" s="691" t="s">
        <v>47</v>
      </c>
      <c r="AM79" s="691" t="s">
        <v>47</v>
      </c>
      <c r="AN79" s="691" t="s">
        <v>47</v>
      </c>
      <c r="AO79" s="691" t="s">
        <v>47</v>
      </c>
      <c r="AP79" s="691" t="s">
        <v>47</v>
      </c>
      <c r="AQ79" s="691">
        <f>+((AQ$59*66002.915))/(AVERAGEIFS(Estimatives!$283:$283,Estimatives!$338:$338,'Qtrl Fig'!AQ$56)*1000)</f>
        <v>6.9456830982078843</v>
      </c>
      <c r="AR79" s="691">
        <f>+((AR$59*66002.915))/(AVERAGEIFS(Estimatives!$283:$283,Estimatives!$338:$338,'Qtrl Fig'!AR$56)*1000)</f>
        <v>7.200838429329294</v>
      </c>
      <c r="AS79" s="691">
        <f>+((AS$59*66002.915))/(AVERAGEIFS(Estimatives!$283:$283,Estimatives!$338:$338,'Qtrl Fig'!AS$56)*1000)</f>
        <v>7.2357829129837432</v>
      </c>
      <c r="AT79" s="691">
        <f>+((AT$59*66002.915))/(AVERAGEIFS(Estimatives!$283:$283,Estimatives!$338:$338,'Qtrl Fig'!AT$56)*1000)</f>
        <v>8.6801370066148671</v>
      </c>
      <c r="AU79" s="691">
        <f>+((AU$59*66002.915))/(AVERAGEIFS(Estimatives!$283:$283,Estimatives!$338:$338,'Qtrl Fig'!AU$56)*1000)</f>
        <v>7.1680754226736569</v>
      </c>
      <c r="AV79" s="691">
        <f>+((AV$59*66002.915))/(AVERAGEIFS(Estimatives!$283:$283,Estimatives!$338:$338,'Qtrl Fig'!AV$56)*1000)</f>
        <v>7.7544032107412155</v>
      </c>
      <c r="AW79" s="691">
        <f>+((AW$59*66002.915))/(AVERAGEIFS(Estimatives!$283:$283,Estimatives!$338:$338,'Qtrl Fig'!AW$56)*1000)</f>
        <v>10.277049627659572</v>
      </c>
      <c r="AX79" s="691">
        <f>+((AX$59*66002.915))/(AVERAGEIFS(Estimatives!$283:$283,Estimatives!$338:$338,'Qtrl Fig'!AX$56)*1000)</f>
        <v>10.953675255319148</v>
      </c>
      <c r="AY79" s="691" t="s">
        <v>47</v>
      </c>
      <c r="AZ79" s="691" t="s">
        <v>47</v>
      </c>
      <c r="BA79" s="691" t="s">
        <v>47</v>
      </c>
      <c r="BB79" s="691" t="s">
        <v>47</v>
      </c>
    </row>
    <row r="80" spans="2:54" x14ac:dyDescent="0.2">
      <c r="B80" s="117" t="s">
        <v>1254</v>
      </c>
      <c r="C80" s="216" t="s">
        <v>47</v>
      </c>
      <c r="D80" s="216" t="s">
        <v>47</v>
      </c>
      <c r="E80" s="216" t="s">
        <v>47</v>
      </c>
      <c r="F80" s="216" t="s">
        <v>47</v>
      </c>
      <c r="G80" s="216" t="s">
        <v>47</v>
      </c>
      <c r="H80" s="216" t="s">
        <v>47</v>
      </c>
      <c r="I80" s="216" t="s">
        <v>47</v>
      </c>
      <c r="J80" s="216" t="s">
        <v>47</v>
      </c>
      <c r="K80" s="216" t="s">
        <v>47</v>
      </c>
      <c r="L80" s="216" t="s">
        <v>47</v>
      </c>
      <c r="M80" s="216" t="s">
        <v>47</v>
      </c>
      <c r="N80" s="216" t="s">
        <v>47</v>
      </c>
      <c r="O80" s="216" t="s">
        <v>47</v>
      </c>
      <c r="P80" s="216" t="s">
        <v>47</v>
      </c>
      <c r="Q80" s="216" t="s">
        <v>47</v>
      </c>
      <c r="R80" s="216" t="s">
        <v>47</v>
      </c>
      <c r="S80" s="216" t="s">
        <v>47</v>
      </c>
      <c r="T80" s="216" t="s">
        <v>47</v>
      </c>
      <c r="U80" s="216" t="s">
        <v>47</v>
      </c>
      <c r="V80" s="216" t="s">
        <v>47</v>
      </c>
      <c r="W80" s="216" t="s">
        <v>47</v>
      </c>
      <c r="X80" s="216" t="s">
        <v>47</v>
      </c>
      <c r="Y80" s="216" t="s">
        <v>47</v>
      </c>
      <c r="Z80" s="691" t="s">
        <v>47</v>
      </c>
      <c r="AA80" s="691" t="s">
        <v>47</v>
      </c>
      <c r="AB80" s="691" t="s">
        <v>47</v>
      </c>
      <c r="AC80" s="691" t="s">
        <v>47</v>
      </c>
      <c r="AD80" s="691" t="s">
        <v>47</v>
      </c>
      <c r="AE80" s="691" t="s">
        <v>47</v>
      </c>
      <c r="AF80" s="691" t="s">
        <v>47</v>
      </c>
      <c r="AG80" s="691" t="s">
        <v>47</v>
      </c>
      <c r="AH80" s="691" t="s">
        <v>47</v>
      </c>
      <c r="AI80" s="691" t="s">
        <v>47</v>
      </c>
      <c r="AJ80" s="691" t="s">
        <v>47</v>
      </c>
      <c r="AK80" s="691" t="s">
        <v>47</v>
      </c>
      <c r="AL80" s="691" t="s">
        <v>47</v>
      </c>
      <c r="AM80" s="691" t="s">
        <v>47</v>
      </c>
      <c r="AN80" s="691" t="s">
        <v>47</v>
      </c>
      <c r="AO80" s="691" t="s">
        <v>47</v>
      </c>
      <c r="AP80" s="691" t="s">
        <v>47</v>
      </c>
      <c r="AQ80" s="691" t="s">
        <v>47</v>
      </c>
      <c r="AR80" s="691" t="s">
        <v>47</v>
      </c>
      <c r="AS80" s="691">
        <f>+((AS$59*66002.915))/(AVERAGEIFS(Estimatives!$41:$41,Estimatives!$338:$338,'Qtrl Fig'!AS$56)*1000)</f>
        <v>5.6731345572608864</v>
      </c>
      <c r="AT80" s="691">
        <f>+((AT$59*66002.915))/(AVERAGEIFS(Estimatives!$41:$41,Estimatives!$338:$338,'Qtrl Fig'!AT$56)*1000)</f>
        <v>7.3191345596281545</v>
      </c>
      <c r="AU80" s="691">
        <f>+((AU$59*66002.915))/(AVERAGEIFS(Estimatives!$41:$41,Estimatives!$338:$338,'Qtrl Fig'!AU$56)*1000)</f>
        <v>6.4249533597650501</v>
      </c>
      <c r="AV80" s="691">
        <f>+((AV$59*66002.915))/(AVERAGEIFS(Estimatives!$41:$41,Estimatives!$338:$338,'Qtrl Fig'!AV$56)*1000)</f>
        <v>6.9785469181046045</v>
      </c>
      <c r="AW80" s="691">
        <f>+((AW$59*66002.915))/(AVERAGEIFS(Estimatives!$41:$41,Estimatives!$338:$338,'Qtrl Fig'!AW$56)*1000)</f>
        <v>9.1318842580922333</v>
      </c>
      <c r="AX80" s="691">
        <f>+((AX$59*66002.915))/(AVERAGEIFS(Estimatives!$41:$41,Estimatives!$338:$338,'Qtrl Fig'!AX$56)*1000)</f>
        <v>9.5605798092290346</v>
      </c>
      <c r="AY80" s="691">
        <f>+((AY$59*66002.915))/(AVERAGEIFS(Estimatives!$41:$41,Estimatives!$338:$338,'Qtrl Fig'!AY$56)*1000)</f>
        <v>9.2300682177545674</v>
      </c>
      <c r="AZ80" s="691">
        <f>+((AZ$59*66002.915))/(AVERAGEIFS(Estimatives!$41:$41,Estimatives!$338:$338,'Qtrl Fig'!AZ$56)*1000)</f>
        <v>8.5889955185378586</v>
      </c>
      <c r="BA80" s="691">
        <f>+((BA$59*66002.915))/(AVERAGEIFS(Estimatives!$41:$41,Estimatives!$338:$338,'Qtrl Fig'!BA$56)*1000)</f>
        <v>8.9302116326370751</v>
      </c>
      <c r="BB80" s="691">
        <f>+((BB$59*66002.915))/(AVERAGEIFS(Estimatives!$41:$41,Estimatives!$338:$338,'Qtrl Fig'!BB$56)*1000)</f>
        <v>9.0631589451162764</v>
      </c>
    </row>
    <row r="81" spans="2:55" x14ac:dyDescent="0.2">
      <c r="B81" s="117" t="s">
        <v>1372</v>
      </c>
      <c r="C81" s="216" t="s">
        <v>47</v>
      </c>
      <c r="D81" s="216" t="s">
        <v>47</v>
      </c>
      <c r="E81" s="216" t="s">
        <v>47</v>
      </c>
      <c r="F81" s="216" t="s">
        <v>47</v>
      </c>
      <c r="G81" s="216" t="s">
        <v>47</v>
      </c>
      <c r="H81" s="216" t="s">
        <v>47</v>
      </c>
      <c r="I81" s="216" t="s">
        <v>47</v>
      </c>
      <c r="J81" s="216" t="s">
        <v>47</v>
      </c>
      <c r="K81" s="216" t="s">
        <v>47</v>
      </c>
      <c r="L81" s="216" t="s">
        <v>47</v>
      </c>
      <c r="M81" s="216" t="s">
        <v>47</v>
      </c>
      <c r="N81" s="216" t="s">
        <v>47</v>
      </c>
      <c r="O81" s="216" t="s">
        <v>47</v>
      </c>
      <c r="P81" s="216" t="s">
        <v>47</v>
      </c>
      <c r="Q81" s="216" t="s">
        <v>47</v>
      </c>
      <c r="R81" s="216" t="s">
        <v>47</v>
      </c>
      <c r="S81" s="216" t="s">
        <v>47</v>
      </c>
      <c r="T81" s="216" t="s">
        <v>47</v>
      </c>
      <c r="U81" s="216" t="s">
        <v>47</v>
      </c>
      <c r="V81" s="216" t="s">
        <v>47</v>
      </c>
      <c r="W81" s="216" t="s">
        <v>47</v>
      </c>
      <c r="X81" s="216" t="s">
        <v>47</v>
      </c>
      <c r="Y81" s="216" t="s">
        <v>47</v>
      </c>
      <c r="Z81" s="691" t="s">
        <v>47</v>
      </c>
      <c r="AA81" s="691" t="s">
        <v>47</v>
      </c>
      <c r="AB81" s="691" t="s">
        <v>47</v>
      </c>
      <c r="AC81" s="691" t="s">
        <v>47</v>
      </c>
      <c r="AD81" s="691" t="s">
        <v>47</v>
      </c>
      <c r="AE81" s="691" t="s">
        <v>47</v>
      </c>
      <c r="AF81" s="691" t="s">
        <v>47</v>
      </c>
      <c r="AG81" s="691" t="s">
        <v>47</v>
      </c>
      <c r="AH81" s="691" t="s">
        <v>47</v>
      </c>
      <c r="AI81" s="691" t="s">
        <v>47</v>
      </c>
      <c r="AJ81" s="691" t="s">
        <v>47</v>
      </c>
      <c r="AK81" s="691" t="s">
        <v>47</v>
      </c>
      <c r="AL81" s="691" t="s">
        <v>47</v>
      </c>
      <c r="AM81" s="691" t="s">
        <v>47</v>
      </c>
      <c r="AN81" s="691" t="s">
        <v>47</v>
      </c>
      <c r="AO81" s="691" t="s">
        <v>47</v>
      </c>
      <c r="AP81" s="691" t="s">
        <v>47</v>
      </c>
      <c r="AQ81" s="691" t="s">
        <v>47</v>
      </c>
      <c r="AR81" s="691" t="s">
        <v>47</v>
      </c>
      <c r="AS81" s="691" t="s">
        <v>47</v>
      </c>
      <c r="AT81" s="691" t="s">
        <v>47</v>
      </c>
      <c r="AU81" s="691" t="s">
        <v>47</v>
      </c>
      <c r="AV81" s="691" t="s">
        <v>47</v>
      </c>
      <c r="AW81" s="691" t="s">
        <v>47</v>
      </c>
      <c r="AX81" s="691" t="s">
        <v>47</v>
      </c>
      <c r="AY81" s="691" t="s">
        <v>47</v>
      </c>
      <c r="AZ81" s="691" t="s">
        <v>47</v>
      </c>
      <c r="BA81" s="691" t="s">
        <v>47</v>
      </c>
      <c r="BB81" s="691">
        <f>+((BB$59*66002.915))/(AVERAGEIFS(Estimatives!$59:$59,Estimatives!$338:$338,'Qtrl Fig'!BB$56)*1000)</f>
        <v>7.2169599007407381</v>
      </c>
    </row>
    <row r="82" spans="2:55" x14ac:dyDescent="0.2">
      <c r="B82" s="461"/>
    </row>
    <row r="83" spans="2:55" x14ac:dyDescent="0.2">
      <c r="B83" s="10" t="s">
        <v>378</v>
      </c>
      <c r="M83" s="2"/>
      <c r="N83" s="2"/>
      <c r="O83" s="2"/>
      <c r="R83" s="455"/>
      <c r="S83" s="455"/>
      <c r="T83" s="455"/>
      <c r="U83" s="455"/>
      <c r="V83" s="455"/>
      <c r="W83" s="455"/>
      <c r="X83" s="455"/>
      <c r="Y83" s="455"/>
      <c r="Z83" s="455"/>
      <c r="AA83" s="455"/>
      <c r="AB83" s="455"/>
      <c r="AC83" s="455"/>
    </row>
    <row r="84" spans="2:55" x14ac:dyDescent="0.2">
      <c r="B84" s="956" t="s">
        <v>163</v>
      </c>
      <c r="C84" s="467" t="s">
        <v>47</v>
      </c>
      <c r="D84" s="467" t="s">
        <v>47</v>
      </c>
      <c r="E84" s="467" t="s">
        <v>47</v>
      </c>
      <c r="F84" s="467" t="s">
        <v>47</v>
      </c>
      <c r="G84" s="467" t="s">
        <v>47</v>
      </c>
      <c r="H84" s="467" t="s">
        <v>47</v>
      </c>
      <c r="I84" s="467" t="s">
        <v>47</v>
      </c>
      <c r="J84" s="467" t="s">
        <v>47</v>
      </c>
      <c r="K84" s="467" t="s">
        <v>47</v>
      </c>
      <c r="L84" s="467" t="s">
        <v>47</v>
      </c>
      <c r="M84" s="467" t="s">
        <v>47</v>
      </c>
      <c r="N84" s="467" t="s">
        <v>47</v>
      </c>
      <c r="O84" s="467" t="s">
        <v>47</v>
      </c>
      <c r="P84" s="467" t="s">
        <v>47</v>
      </c>
      <c r="Q84" s="467" t="s">
        <v>47</v>
      </c>
      <c r="R84" s="467" t="s">
        <v>47</v>
      </c>
      <c r="S84" s="467" t="s">
        <v>47</v>
      </c>
      <c r="T84" s="467" t="s">
        <v>47</v>
      </c>
      <c r="U84" s="467" t="s">
        <v>47</v>
      </c>
      <c r="V84" s="467" t="s">
        <v>47</v>
      </c>
      <c r="W84" s="467" t="s">
        <v>47</v>
      </c>
      <c r="X84" s="467" t="s">
        <v>47</v>
      </c>
      <c r="Y84" s="463" t="s">
        <v>1440</v>
      </c>
      <c r="Z84" s="467" t="s">
        <v>1441</v>
      </c>
      <c r="AA84" s="464" t="s">
        <v>1442</v>
      </c>
      <c r="AB84" s="463" t="s">
        <v>1443</v>
      </c>
      <c r="AC84" s="464" t="s">
        <v>1444</v>
      </c>
      <c r="AD84" s="463" t="s">
        <v>1445</v>
      </c>
      <c r="AE84" s="467" t="s">
        <v>1446</v>
      </c>
      <c r="AF84" s="464" t="s">
        <v>1447</v>
      </c>
      <c r="AG84" s="463" t="s">
        <v>1448</v>
      </c>
      <c r="AH84" s="467" t="s">
        <v>1449</v>
      </c>
      <c r="AI84" s="464" t="s">
        <v>1450</v>
      </c>
      <c r="AJ84" s="467" t="s">
        <v>1451</v>
      </c>
      <c r="AK84" s="464" t="s">
        <v>1452</v>
      </c>
      <c r="AL84" s="467" t="s">
        <v>1453</v>
      </c>
      <c r="AM84" s="464" t="s">
        <v>1454</v>
      </c>
      <c r="AN84" s="467" t="s">
        <v>1454</v>
      </c>
      <c r="AO84" s="467" t="s">
        <v>1455</v>
      </c>
      <c r="AP84" s="464" t="s">
        <v>1456</v>
      </c>
      <c r="AQ84" s="464" t="s">
        <v>1457</v>
      </c>
      <c r="AR84" s="1164" t="s">
        <v>1458</v>
      </c>
      <c r="AS84" s="1164" t="s">
        <v>1459</v>
      </c>
      <c r="AT84" s="1164" t="s">
        <v>1460</v>
      </c>
      <c r="AU84" s="1164" t="s">
        <v>1461</v>
      </c>
      <c r="AV84" s="1164" t="s">
        <v>1462</v>
      </c>
      <c r="AW84" s="1164" t="s">
        <v>1463</v>
      </c>
      <c r="AX84" s="1164" t="s">
        <v>1464</v>
      </c>
      <c r="AY84" s="1164" t="s">
        <v>1465</v>
      </c>
      <c r="AZ84" s="464" t="s">
        <v>1342</v>
      </c>
      <c r="BA84" s="467" t="s">
        <v>22</v>
      </c>
      <c r="BB84" s="464" t="s">
        <v>162</v>
      </c>
      <c r="BC84"/>
    </row>
    <row r="85" spans="2:55" hidden="1" outlineLevel="1" x14ac:dyDescent="0.2">
      <c r="B85" s="223" t="s">
        <v>371</v>
      </c>
      <c r="C85" s="457" t="s">
        <v>47</v>
      </c>
      <c r="D85" s="457" t="s">
        <v>47</v>
      </c>
      <c r="E85" s="457" t="s">
        <v>47</v>
      </c>
      <c r="F85" s="457" t="s">
        <v>47</v>
      </c>
      <c r="G85" s="457" t="s">
        <v>47</v>
      </c>
      <c r="H85" s="457" t="s">
        <v>47</v>
      </c>
      <c r="I85" s="457" t="s">
        <v>47</v>
      </c>
      <c r="J85" s="457" t="s">
        <v>47</v>
      </c>
      <c r="K85" s="457" t="s">
        <v>47</v>
      </c>
      <c r="L85" s="457" t="s">
        <v>47</v>
      </c>
      <c r="M85" s="457" t="s">
        <v>47</v>
      </c>
      <c r="N85" s="457" t="s">
        <v>47</v>
      </c>
      <c r="O85" s="457" t="s">
        <v>47</v>
      </c>
      <c r="P85" s="457" t="s">
        <v>47</v>
      </c>
      <c r="Q85" s="457" t="s">
        <v>47</v>
      </c>
      <c r="R85" s="457" t="s">
        <v>47</v>
      </c>
      <c r="S85" s="457" t="s">
        <v>47</v>
      </c>
      <c r="T85" s="457" t="s">
        <v>47</v>
      </c>
      <c r="U85" s="457" t="s">
        <v>47</v>
      </c>
      <c r="V85" s="457" t="s">
        <v>47</v>
      </c>
      <c r="W85" s="457" t="s">
        <v>47</v>
      </c>
      <c r="X85" s="457" t="s">
        <v>47</v>
      </c>
      <c r="Y85" s="468">
        <v>50000</v>
      </c>
      <c r="Z85" s="458">
        <v>66660</v>
      </c>
      <c r="AA85" s="466">
        <v>50000</v>
      </c>
      <c r="AB85" s="465">
        <f t="shared" ref="AB85:AC87" si="55">+Z85</f>
        <v>66660</v>
      </c>
      <c r="AC85" s="466">
        <f t="shared" si="55"/>
        <v>50000</v>
      </c>
      <c r="AD85" s="465">
        <v>46676</v>
      </c>
      <c r="AE85" s="456" t="s">
        <v>47</v>
      </c>
      <c r="AF85" s="466" t="s">
        <v>47</v>
      </c>
      <c r="AG85" s="465" t="s">
        <v>47</v>
      </c>
      <c r="AH85" s="456" t="s">
        <v>47</v>
      </c>
      <c r="AI85" s="466" t="s">
        <v>47</v>
      </c>
      <c r="AJ85" s="456" t="s">
        <v>47</v>
      </c>
      <c r="AK85" s="466" t="s">
        <v>47</v>
      </c>
      <c r="AL85" s="456" t="s">
        <v>47</v>
      </c>
      <c r="AM85" s="466" t="s">
        <v>47</v>
      </c>
      <c r="AN85" s="456" t="s">
        <v>47</v>
      </c>
      <c r="AO85" s="456" t="s">
        <v>47</v>
      </c>
      <c r="AP85" s="466" t="s">
        <v>47</v>
      </c>
      <c r="AQ85" s="466" t="s">
        <v>47</v>
      </c>
      <c r="AR85" s="466"/>
      <c r="AS85" s="466"/>
      <c r="AT85" s="466"/>
      <c r="AU85" s="466"/>
      <c r="AV85" s="466"/>
      <c r="AW85" s="466"/>
      <c r="AX85" s="466"/>
      <c r="AY85" s="466" t="s">
        <v>47</v>
      </c>
      <c r="AZ85" s="466" t="s">
        <v>47</v>
      </c>
      <c r="BA85" s="457">
        <f t="shared" ref="BA85:BA95" si="56">+SUM(Y85:AK85)</f>
        <v>329996</v>
      </c>
      <c r="BB85" s="957">
        <v>1.2200000000000001E-2</v>
      </c>
      <c r="BC85"/>
    </row>
    <row r="86" spans="2:55" hidden="1" outlineLevel="1" x14ac:dyDescent="0.2">
      <c r="B86" s="223" t="s">
        <v>372</v>
      </c>
      <c r="C86" s="457" t="s">
        <v>47</v>
      </c>
      <c r="D86" s="457" t="s">
        <v>47</v>
      </c>
      <c r="E86" s="457" t="s">
        <v>47</v>
      </c>
      <c r="F86" s="457" t="s">
        <v>47</v>
      </c>
      <c r="G86" s="457" t="s">
        <v>47</v>
      </c>
      <c r="H86" s="457" t="s">
        <v>47</v>
      </c>
      <c r="I86" s="457" t="s">
        <v>47</v>
      </c>
      <c r="J86" s="457" t="s">
        <v>47</v>
      </c>
      <c r="K86" s="457" t="s">
        <v>47</v>
      </c>
      <c r="L86" s="457" t="s">
        <v>47</v>
      </c>
      <c r="M86" s="457" t="s">
        <v>47</v>
      </c>
      <c r="N86" s="457" t="s">
        <v>47</v>
      </c>
      <c r="O86" s="457" t="s">
        <v>47</v>
      </c>
      <c r="P86" s="457" t="s">
        <v>47</v>
      </c>
      <c r="Q86" s="457" t="s">
        <v>47</v>
      </c>
      <c r="R86" s="457" t="s">
        <v>47</v>
      </c>
      <c r="S86" s="457" t="s">
        <v>47</v>
      </c>
      <c r="T86" s="457" t="s">
        <v>47</v>
      </c>
      <c r="U86" s="457" t="s">
        <v>47</v>
      </c>
      <c r="V86" s="457" t="s">
        <v>47</v>
      </c>
      <c r="W86" s="457" t="s">
        <v>47</v>
      </c>
      <c r="X86" s="457" t="s">
        <v>47</v>
      </c>
      <c r="Y86" s="468">
        <v>50000</v>
      </c>
      <c r="Z86" s="458">
        <v>66660</v>
      </c>
      <c r="AA86" s="466">
        <v>50000</v>
      </c>
      <c r="AB86" s="465">
        <f t="shared" si="55"/>
        <v>66660</v>
      </c>
      <c r="AC86" s="466">
        <f t="shared" si="55"/>
        <v>50000</v>
      </c>
      <c r="AD86" s="465">
        <v>46676</v>
      </c>
      <c r="AE86" s="456" t="s">
        <v>47</v>
      </c>
      <c r="AF86" s="466" t="s">
        <v>47</v>
      </c>
      <c r="AG86" s="465" t="s">
        <v>47</v>
      </c>
      <c r="AH86" s="456" t="s">
        <v>47</v>
      </c>
      <c r="AI86" s="466" t="s">
        <v>47</v>
      </c>
      <c r="AJ86" s="456" t="s">
        <v>47</v>
      </c>
      <c r="AK86" s="466" t="s">
        <v>47</v>
      </c>
      <c r="AL86" s="456" t="s">
        <v>47</v>
      </c>
      <c r="AM86" s="466" t="s">
        <v>47</v>
      </c>
      <c r="AN86" s="456" t="s">
        <v>47</v>
      </c>
      <c r="AO86" s="456" t="s">
        <v>47</v>
      </c>
      <c r="AP86" s="466" t="s">
        <v>47</v>
      </c>
      <c r="AQ86" s="466" t="s">
        <v>47</v>
      </c>
      <c r="AR86" s="466"/>
      <c r="AS86" s="466"/>
      <c r="AT86" s="466"/>
      <c r="AU86" s="466"/>
      <c r="AV86" s="466"/>
      <c r="AW86" s="466"/>
      <c r="AX86" s="466"/>
      <c r="AY86" s="466" t="s">
        <v>47</v>
      </c>
      <c r="AZ86" s="466" t="s">
        <v>47</v>
      </c>
      <c r="BA86" s="457">
        <f t="shared" si="56"/>
        <v>329996</v>
      </c>
      <c r="BB86" s="957">
        <v>1.2200000000000001E-2</v>
      </c>
      <c r="BC86"/>
    </row>
    <row r="87" spans="2:55" hidden="1" outlineLevel="1" x14ac:dyDescent="0.2">
      <c r="B87" s="223" t="s">
        <v>373</v>
      </c>
      <c r="C87" s="457" t="s">
        <v>47</v>
      </c>
      <c r="D87" s="457" t="s">
        <v>47</v>
      </c>
      <c r="E87" s="457" t="s">
        <v>47</v>
      </c>
      <c r="F87" s="457" t="s">
        <v>47</v>
      </c>
      <c r="G87" s="457" t="s">
        <v>47</v>
      </c>
      <c r="H87" s="457" t="s">
        <v>47</v>
      </c>
      <c r="I87" s="457" t="s">
        <v>47</v>
      </c>
      <c r="J87" s="457" t="s">
        <v>47</v>
      </c>
      <c r="K87" s="457" t="s">
        <v>47</v>
      </c>
      <c r="L87" s="457" t="s">
        <v>47</v>
      </c>
      <c r="M87" s="457" t="s">
        <v>47</v>
      </c>
      <c r="N87" s="457" t="s">
        <v>47</v>
      </c>
      <c r="O87" s="457" t="s">
        <v>47</v>
      </c>
      <c r="P87" s="457" t="s">
        <v>47</v>
      </c>
      <c r="Q87" s="457" t="s">
        <v>47</v>
      </c>
      <c r="R87" s="457" t="s">
        <v>47</v>
      </c>
      <c r="S87" s="457" t="s">
        <v>47</v>
      </c>
      <c r="T87" s="457" t="s">
        <v>47</v>
      </c>
      <c r="U87" s="457" t="s">
        <v>47</v>
      </c>
      <c r="V87" s="457" t="s">
        <v>47</v>
      </c>
      <c r="W87" s="457" t="s">
        <v>47</v>
      </c>
      <c r="X87" s="457" t="s">
        <v>47</v>
      </c>
      <c r="Y87" s="465" t="s">
        <v>47</v>
      </c>
      <c r="Z87" s="458">
        <v>66660</v>
      </c>
      <c r="AA87" s="469">
        <v>50000</v>
      </c>
      <c r="AB87" s="465">
        <f t="shared" si="55"/>
        <v>66660</v>
      </c>
      <c r="AC87" s="466">
        <f t="shared" si="55"/>
        <v>50000</v>
      </c>
      <c r="AD87" s="465">
        <v>46676</v>
      </c>
      <c r="AE87" s="456" t="s">
        <v>47</v>
      </c>
      <c r="AF87" s="466" t="s">
        <v>47</v>
      </c>
      <c r="AG87" s="465" t="s">
        <v>47</v>
      </c>
      <c r="AH87" s="456" t="s">
        <v>47</v>
      </c>
      <c r="AI87" s="466" t="s">
        <v>47</v>
      </c>
      <c r="AJ87" s="456" t="s">
        <v>47</v>
      </c>
      <c r="AK87" s="466" t="s">
        <v>47</v>
      </c>
      <c r="AL87" s="456" t="s">
        <v>47</v>
      </c>
      <c r="AM87" s="466" t="s">
        <v>47</v>
      </c>
      <c r="AN87" s="456" t="s">
        <v>47</v>
      </c>
      <c r="AO87" s="456" t="s">
        <v>47</v>
      </c>
      <c r="AP87" s="466" t="s">
        <v>47</v>
      </c>
      <c r="AQ87" s="466" t="s">
        <v>47</v>
      </c>
      <c r="AR87" s="466"/>
      <c r="AS87" s="466"/>
      <c r="AT87" s="466"/>
      <c r="AU87" s="466"/>
      <c r="AV87" s="466"/>
      <c r="AW87" s="466"/>
      <c r="AX87" s="466"/>
      <c r="AY87" s="466" t="s">
        <v>47</v>
      </c>
      <c r="AZ87" s="466" t="s">
        <v>47</v>
      </c>
      <c r="BA87" s="457">
        <f t="shared" si="56"/>
        <v>279996</v>
      </c>
      <c r="BB87" s="957">
        <v>1.2200000000000001E-2</v>
      </c>
      <c r="BC87"/>
    </row>
    <row r="88" spans="2:55" hidden="1" outlineLevel="1" x14ac:dyDescent="0.2">
      <c r="B88" s="223" t="s">
        <v>374</v>
      </c>
      <c r="C88" s="457" t="s">
        <v>47</v>
      </c>
      <c r="D88" s="457" t="s">
        <v>47</v>
      </c>
      <c r="E88" s="457" t="s">
        <v>47</v>
      </c>
      <c r="F88" s="457" t="s">
        <v>47</v>
      </c>
      <c r="G88" s="457" t="s">
        <v>47</v>
      </c>
      <c r="H88" s="457" t="s">
        <v>47</v>
      </c>
      <c r="I88" s="457" t="s">
        <v>47</v>
      </c>
      <c r="J88" s="457" t="s">
        <v>47</v>
      </c>
      <c r="K88" s="457" t="s">
        <v>47</v>
      </c>
      <c r="L88" s="457" t="s">
        <v>47</v>
      </c>
      <c r="M88" s="457" t="s">
        <v>47</v>
      </c>
      <c r="N88" s="457" t="s">
        <v>47</v>
      </c>
      <c r="O88" s="457" t="s">
        <v>47</v>
      </c>
      <c r="P88" s="457" t="s">
        <v>47</v>
      </c>
      <c r="Q88" s="457" t="s">
        <v>47</v>
      </c>
      <c r="R88" s="457" t="s">
        <v>47</v>
      </c>
      <c r="S88" s="457" t="s">
        <v>47</v>
      </c>
      <c r="T88" s="457" t="s">
        <v>47</v>
      </c>
      <c r="U88" s="457" t="s">
        <v>47</v>
      </c>
      <c r="V88" s="457" t="s">
        <v>47</v>
      </c>
      <c r="W88" s="457" t="s">
        <v>47</v>
      </c>
      <c r="X88" s="457" t="s">
        <v>47</v>
      </c>
      <c r="Y88" s="465" t="s">
        <v>47</v>
      </c>
      <c r="Z88" s="456" t="s">
        <v>47</v>
      </c>
      <c r="AA88" s="469">
        <v>50000</v>
      </c>
      <c r="AB88" s="468">
        <v>66660</v>
      </c>
      <c r="AC88" s="466">
        <f>+AA88</f>
        <v>50000</v>
      </c>
      <c r="AD88" s="465">
        <v>46676</v>
      </c>
      <c r="AE88" s="456" t="s">
        <v>47</v>
      </c>
      <c r="AF88" s="466" t="s">
        <v>47</v>
      </c>
      <c r="AG88" s="465" t="s">
        <v>47</v>
      </c>
      <c r="AH88" s="456" t="s">
        <v>47</v>
      </c>
      <c r="AI88" s="466" t="s">
        <v>47</v>
      </c>
      <c r="AJ88" s="456" t="s">
        <v>47</v>
      </c>
      <c r="AK88" s="466" t="s">
        <v>47</v>
      </c>
      <c r="AL88" s="456" t="s">
        <v>47</v>
      </c>
      <c r="AM88" s="466" t="s">
        <v>47</v>
      </c>
      <c r="AN88" s="456" t="s">
        <v>47</v>
      </c>
      <c r="AO88" s="456" t="s">
        <v>47</v>
      </c>
      <c r="AP88" s="466" t="s">
        <v>47</v>
      </c>
      <c r="AQ88" s="466" t="s">
        <v>47</v>
      </c>
      <c r="AR88" s="466"/>
      <c r="AS88" s="466"/>
      <c r="AT88" s="466"/>
      <c r="AU88" s="466"/>
      <c r="AV88" s="466"/>
      <c r="AW88" s="466"/>
      <c r="AX88" s="466"/>
      <c r="AY88" s="466" t="s">
        <v>47</v>
      </c>
      <c r="AZ88" s="466" t="s">
        <v>47</v>
      </c>
      <c r="BA88" s="457">
        <f t="shared" si="56"/>
        <v>213336</v>
      </c>
      <c r="BB88" s="957">
        <v>1.3299999999999999E-2</v>
      </c>
      <c r="BC88"/>
    </row>
    <row r="89" spans="2:55" hidden="1" outlineLevel="1" x14ac:dyDescent="0.2">
      <c r="B89" s="223" t="s">
        <v>375</v>
      </c>
      <c r="C89" s="457" t="s">
        <v>47</v>
      </c>
      <c r="D89" s="457" t="s">
        <v>47</v>
      </c>
      <c r="E89" s="457" t="s">
        <v>47</v>
      </c>
      <c r="F89" s="457" t="s">
        <v>47</v>
      </c>
      <c r="G89" s="457" t="s">
        <v>47</v>
      </c>
      <c r="H89" s="457" t="s">
        <v>47</v>
      </c>
      <c r="I89" s="457" t="s">
        <v>47</v>
      </c>
      <c r="J89" s="457" t="s">
        <v>47</v>
      </c>
      <c r="K89" s="457" t="s">
        <v>47</v>
      </c>
      <c r="L89" s="457" t="s">
        <v>47</v>
      </c>
      <c r="M89" s="457" t="s">
        <v>47</v>
      </c>
      <c r="N89" s="457" t="s">
        <v>47</v>
      </c>
      <c r="O89" s="457" t="s">
        <v>47</v>
      </c>
      <c r="P89" s="457" t="s">
        <v>47</v>
      </c>
      <c r="Q89" s="457" t="s">
        <v>47</v>
      </c>
      <c r="R89" s="457" t="s">
        <v>47</v>
      </c>
      <c r="S89" s="457" t="s">
        <v>47</v>
      </c>
      <c r="T89" s="457" t="s">
        <v>47</v>
      </c>
      <c r="U89" s="457" t="s">
        <v>47</v>
      </c>
      <c r="V89" s="457" t="s">
        <v>47</v>
      </c>
      <c r="W89" s="457" t="s">
        <v>47</v>
      </c>
      <c r="X89" s="457" t="s">
        <v>47</v>
      </c>
      <c r="Y89" s="465" t="s">
        <v>47</v>
      </c>
      <c r="Z89" s="456" t="s">
        <v>47</v>
      </c>
      <c r="AA89" s="466" t="s">
        <v>47</v>
      </c>
      <c r="AB89" s="468">
        <v>66660</v>
      </c>
      <c r="AC89" s="466">
        <v>50000</v>
      </c>
      <c r="AD89" s="465">
        <v>46676</v>
      </c>
      <c r="AE89" s="456">
        <v>43333</v>
      </c>
      <c r="AF89" s="466">
        <v>3333</v>
      </c>
      <c r="AG89" s="465">
        <v>3333</v>
      </c>
      <c r="AH89" s="456" t="s">
        <v>47</v>
      </c>
      <c r="AI89" s="466" t="s">
        <v>47</v>
      </c>
      <c r="AJ89" s="456" t="s">
        <v>47</v>
      </c>
      <c r="AK89" s="466" t="s">
        <v>47</v>
      </c>
      <c r="AL89" s="456" t="s">
        <v>47</v>
      </c>
      <c r="AM89" s="466" t="s">
        <v>47</v>
      </c>
      <c r="AN89" s="456" t="s">
        <v>47</v>
      </c>
      <c r="AO89" s="456" t="s">
        <v>47</v>
      </c>
      <c r="AP89" s="466" t="s">
        <v>47</v>
      </c>
      <c r="AQ89" s="466" t="s">
        <v>47</v>
      </c>
      <c r="AR89" s="466"/>
      <c r="AS89" s="466"/>
      <c r="AT89" s="466"/>
      <c r="AU89" s="466"/>
      <c r="AV89" s="466"/>
      <c r="AW89" s="466"/>
      <c r="AX89" s="466"/>
      <c r="AY89" s="466" t="s">
        <v>47</v>
      </c>
      <c r="AZ89" s="466" t="s">
        <v>47</v>
      </c>
      <c r="BA89" s="457">
        <f t="shared" si="56"/>
        <v>213335</v>
      </c>
      <c r="BB89" s="957">
        <v>1.55E-2</v>
      </c>
      <c r="BC89"/>
    </row>
    <row r="90" spans="2:55" hidden="1" outlineLevel="1" x14ac:dyDescent="0.2">
      <c r="B90" s="223" t="s">
        <v>376</v>
      </c>
      <c r="C90" s="457" t="s">
        <v>47</v>
      </c>
      <c r="D90" s="457" t="s">
        <v>47</v>
      </c>
      <c r="E90" s="457" t="s">
        <v>47</v>
      </c>
      <c r="F90" s="457" t="s">
        <v>47</v>
      </c>
      <c r="G90" s="457" t="s">
        <v>47</v>
      </c>
      <c r="H90" s="457" t="s">
        <v>47</v>
      </c>
      <c r="I90" s="457" t="s">
        <v>47</v>
      </c>
      <c r="J90" s="457" t="s">
        <v>47</v>
      </c>
      <c r="K90" s="457" t="s">
        <v>47</v>
      </c>
      <c r="L90" s="457" t="s">
        <v>47</v>
      </c>
      <c r="M90" s="457" t="s">
        <v>47</v>
      </c>
      <c r="N90" s="457" t="s">
        <v>47</v>
      </c>
      <c r="O90" s="457" t="s">
        <v>47</v>
      </c>
      <c r="P90" s="457" t="s">
        <v>47</v>
      </c>
      <c r="Q90" s="457" t="s">
        <v>47</v>
      </c>
      <c r="R90" s="457" t="s">
        <v>47</v>
      </c>
      <c r="S90" s="457" t="s">
        <v>47</v>
      </c>
      <c r="T90" s="457" t="s">
        <v>47</v>
      </c>
      <c r="U90" s="457" t="s">
        <v>47</v>
      </c>
      <c r="V90" s="457" t="s">
        <v>47</v>
      </c>
      <c r="W90" s="457" t="s">
        <v>47</v>
      </c>
      <c r="X90" s="457" t="s">
        <v>47</v>
      </c>
      <c r="Y90" s="465" t="s">
        <v>47</v>
      </c>
      <c r="Z90" s="456" t="s">
        <v>47</v>
      </c>
      <c r="AA90" s="466" t="s">
        <v>47</v>
      </c>
      <c r="AB90" s="468">
        <v>66660</v>
      </c>
      <c r="AC90" s="466" t="s">
        <v>47</v>
      </c>
      <c r="AD90" s="465">
        <v>46676</v>
      </c>
      <c r="AE90" s="456">
        <v>43333</v>
      </c>
      <c r="AF90" s="466">
        <v>3333</v>
      </c>
      <c r="AG90" s="465">
        <v>3333</v>
      </c>
      <c r="AH90" s="456">
        <v>25000</v>
      </c>
      <c r="AI90" s="466" t="s">
        <v>47</v>
      </c>
      <c r="AJ90" s="456" t="s">
        <v>47</v>
      </c>
      <c r="AK90" s="466">
        <v>25000</v>
      </c>
      <c r="AL90" s="456" t="s">
        <v>47</v>
      </c>
      <c r="AM90" s="466" t="s">
        <v>47</v>
      </c>
      <c r="AN90" s="456" t="s">
        <v>47</v>
      </c>
      <c r="AO90" s="456" t="s">
        <v>47</v>
      </c>
      <c r="AP90" s="466" t="s">
        <v>47</v>
      </c>
      <c r="AQ90" s="466" t="s">
        <v>47</v>
      </c>
      <c r="AR90" s="466"/>
      <c r="AS90" s="466"/>
      <c r="AT90" s="466"/>
      <c r="AU90" s="466"/>
      <c r="AV90" s="466"/>
      <c r="AW90" s="466"/>
      <c r="AX90" s="466"/>
      <c r="AY90" s="466" t="s">
        <v>47</v>
      </c>
      <c r="AZ90" s="466" t="s">
        <v>47</v>
      </c>
      <c r="BA90" s="457">
        <f t="shared" si="56"/>
        <v>213335</v>
      </c>
      <c r="BB90" s="957">
        <v>1.5599999999999999E-2</v>
      </c>
      <c r="BC90"/>
    </row>
    <row r="91" spans="2:55" hidden="1" outlineLevel="1" x14ac:dyDescent="0.2">
      <c r="B91" s="223" t="s">
        <v>694</v>
      </c>
      <c r="C91" s="457" t="s">
        <v>47</v>
      </c>
      <c r="D91" s="457" t="s">
        <v>47</v>
      </c>
      <c r="E91" s="457" t="s">
        <v>47</v>
      </c>
      <c r="F91" s="457" t="s">
        <v>47</v>
      </c>
      <c r="G91" s="457" t="s">
        <v>47</v>
      </c>
      <c r="H91" s="457" t="s">
        <v>47</v>
      </c>
      <c r="I91" s="457" t="s">
        <v>47</v>
      </c>
      <c r="J91" s="457" t="s">
        <v>47</v>
      </c>
      <c r="K91" s="457" t="s">
        <v>47</v>
      </c>
      <c r="L91" s="457" t="s">
        <v>47</v>
      </c>
      <c r="M91" s="457" t="s">
        <v>47</v>
      </c>
      <c r="N91" s="457" t="s">
        <v>47</v>
      </c>
      <c r="O91" s="457" t="s">
        <v>47</v>
      </c>
      <c r="P91" s="457" t="s">
        <v>47</v>
      </c>
      <c r="Q91" s="457" t="s">
        <v>47</v>
      </c>
      <c r="R91" s="457" t="s">
        <v>47</v>
      </c>
      <c r="S91" s="457" t="s">
        <v>47</v>
      </c>
      <c r="T91" s="457" t="s">
        <v>47</v>
      </c>
      <c r="U91" s="457" t="s">
        <v>47</v>
      </c>
      <c r="V91" s="457" t="s">
        <v>47</v>
      </c>
      <c r="W91" s="457" t="s">
        <v>47</v>
      </c>
      <c r="X91" s="457" t="s">
        <v>47</v>
      </c>
      <c r="Y91" s="648" t="s">
        <v>47</v>
      </c>
      <c r="Z91" s="457" t="s">
        <v>47</v>
      </c>
      <c r="AA91" s="649" t="s">
        <v>47</v>
      </c>
      <c r="AB91" s="468">
        <f>AB87</f>
        <v>66660</v>
      </c>
      <c r="AC91" s="466" t="s">
        <v>47</v>
      </c>
      <c r="AD91" s="465">
        <v>46676</v>
      </c>
      <c r="AE91" s="456">
        <v>43333</v>
      </c>
      <c r="AF91" s="466">
        <v>3333</v>
      </c>
      <c r="AG91" s="465">
        <v>3333</v>
      </c>
      <c r="AH91" s="456">
        <v>25000</v>
      </c>
      <c r="AI91" s="466" t="s">
        <v>47</v>
      </c>
      <c r="AJ91" s="456" t="s">
        <v>47</v>
      </c>
      <c r="AK91" s="466">
        <f>+AK90</f>
        <v>25000</v>
      </c>
      <c r="AL91" s="456" t="s">
        <v>47</v>
      </c>
      <c r="AM91" s="466" t="s">
        <v>47</v>
      </c>
      <c r="AN91" s="456" t="s">
        <v>47</v>
      </c>
      <c r="AO91" s="456" t="s">
        <v>47</v>
      </c>
      <c r="AP91" s="466" t="s">
        <v>47</v>
      </c>
      <c r="AQ91" s="466" t="s">
        <v>47</v>
      </c>
      <c r="AR91" s="466"/>
      <c r="AS91" s="466"/>
      <c r="AT91" s="466"/>
      <c r="AU91" s="466"/>
      <c r="AV91" s="466"/>
      <c r="AW91" s="466"/>
      <c r="AX91" s="466"/>
      <c r="AY91" s="466" t="s">
        <v>47</v>
      </c>
      <c r="AZ91" s="466" t="s">
        <v>47</v>
      </c>
      <c r="BA91" s="457">
        <f t="shared" si="56"/>
        <v>213335</v>
      </c>
      <c r="BB91" s="957">
        <v>1.5599999999999999E-2</v>
      </c>
      <c r="BC91"/>
    </row>
    <row r="92" spans="2:55" hidden="1" outlineLevel="1" x14ac:dyDescent="0.2">
      <c r="B92" s="223" t="s">
        <v>758</v>
      </c>
      <c r="C92" s="457" t="s">
        <v>47</v>
      </c>
      <c r="D92" s="457" t="s">
        <v>47</v>
      </c>
      <c r="E92" s="457" t="s">
        <v>47</v>
      </c>
      <c r="F92" s="457" t="s">
        <v>47</v>
      </c>
      <c r="G92" s="457" t="s">
        <v>47</v>
      </c>
      <c r="H92" s="457" t="s">
        <v>47</v>
      </c>
      <c r="I92" s="457" t="s">
        <v>47</v>
      </c>
      <c r="J92" s="457" t="s">
        <v>47</v>
      </c>
      <c r="K92" s="457" t="s">
        <v>47</v>
      </c>
      <c r="L92" s="457" t="s">
        <v>47</v>
      </c>
      <c r="M92" s="456" t="s">
        <v>47</v>
      </c>
      <c r="N92" s="456" t="s">
        <v>47</v>
      </c>
      <c r="O92" s="456" t="s">
        <v>47</v>
      </c>
      <c r="P92" s="456" t="s">
        <v>47</v>
      </c>
      <c r="Q92" s="456" t="s">
        <v>47</v>
      </c>
      <c r="R92" s="456" t="s">
        <v>47</v>
      </c>
      <c r="S92" s="456" t="s">
        <v>47</v>
      </c>
      <c r="T92" s="456" t="s">
        <v>47</v>
      </c>
      <c r="U92" s="457" t="s">
        <v>47</v>
      </c>
      <c r="V92" s="457" t="s">
        <v>47</v>
      </c>
      <c r="W92" s="457" t="s">
        <v>47</v>
      </c>
      <c r="X92" s="457" t="s">
        <v>47</v>
      </c>
      <c r="Y92" s="465" t="s">
        <v>47</v>
      </c>
      <c r="Z92" s="456" t="s">
        <v>47</v>
      </c>
      <c r="AA92" s="466" t="s">
        <v>47</v>
      </c>
      <c r="AB92" s="465" t="s">
        <v>47</v>
      </c>
      <c r="AC92" s="466" t="str">
        <f>+AC91</f>
        <v>-</v>
      </c>
      <c r="AD92" s="468">
        <f>+AD91</f>
        <v>46676</v>
      </c>
      <c r="AE92" s="456">
        <f>+AE91</f>
        <v>43333</v>
      </c>
      <c r="AF92" s="466">
        <v>3333</v>
      </c>
      <c r="AG92" s="465">
        <v>3333</v>
      </c>
      <c r="AH92" s="456">
        <v>25000</v>
      </c>
      <c r="AI92" s="466" t="s">
        <v>47</v>
      </c>
      <c r="AJ92" s="456" t="s">
        <v>47</v>
      </c>
      <c r="AK92" s="466">
        <f>+AK91</f>
        <v>25000</v>
      </c>
      <c r="AL92" s="456" t="s">
        <v>47</v>
      </c>
      <c r="AM92" s="466" t="s">
        <v>47</v>
      </c>
      <c r="AN92" s="456" t="s">
        <v>47</v>
      </c>
      <c r="AO92" s="456" t="s">
        <v>47</v>
      </c>
      <c r="AP92" s="466" t="s">
        <v>47</v>
      </c>
      <c r="AQ92" s="466" t="s">
        <v>47</v>
      </c>
      <c r="AR92" s="466"/>
      <c r="AS92" s="466"/>
      <c r="AT92" s="466"/>
      <c r="AU92" s="466"/>
      <c r="AV92" s="466"/>
      <c r="AW92" s="466"/>
      <c r="AX92" s="466"/>
      <c r="AY92" s="466" t="s">
        <v>47</v>
      </c>
      <c r="AZ92" s="466" t="s">
        <v>47</v>
      </c>
      <c r="BA92" s="457">
        <f t="shared" si="56"/>
        <v>146675</v>
      </c>
      <c r="BB92" s="957">
        <v>1.72E-2</v>
      </c>
      <c r="BC92"/>
    </row>
    <row r="93" spans="2:55" hidden="1" outlineLevel="1" x14ac:dyDescent="0.2">
      <c r="B93" s="223" t="s">
        <v>771</v>
      </c>
      <c r="C93" s="456" t="s">
        <v>47</v>
      </c>
      <c r="D93" s="456" t="s">
        <v>47</v>
      </c>
      <c r="E93" s="456" t="s">
        <v>47</v>
      </c>
      <c r="F93" s="456" t="s">
        <v>47</v>
      </c>
      <c r="G93" s="456" t="s">
        <v>47</v>
      </c>
      <c r="H93" s="456" t="s">
        <v>47</v>
      </c>
      <c r="I93" s="456" t="s">
        <v>47</v>
      </c>
      <c r="J93" s="456" t="s">
        <v>47</v>
      </c>
      <c r="K93" s="456" t="s">
        <v>47</v>
      </c>
      <c r="L93" s="456" t="s">
        <v>47</v>
      </c>
      <c r="M93" s="456" t="s">
        <v>47</v>
      </c>
      <c r="N93" s="456" t="s">
        <v>47</v>
      </c>
      <c r="O93" s="456" t="s">
        <v>47</v>
      </c>
      <c r="P93" s="456" t="s">
        <v>47</v>
      </c>
      <c r="Q93" s="456" t="s">
        <v>47</v>
      </c>
      <c r="R93" s="456" t="s">
        <v>47</v>
      </c>
      <c r="S93" s="456" t="s">
        <v>47</v>
      </c>
      <c r="T93" s="456" t="s">
        <v>47</v>
      </c>
      <c r="U93" s="457" t="s">
        <v>47</v>
      </c>
      <c r="V93" s="457" t="s">
        <v>47</v>
      </c>
      <c r="W93" s="456" t="s">
        <v>47</v>
      </c>
      <c r="X93" s="457" t="s">
        <v>47</v>
      </c>
      <c r="Y93" s="465" t="s">
        <v>47</v>
      </c>
      <c r="Z93" s="456" t="s">
        <v>47</v>
      </c>
      <c r="AA93" s="466" t="s">
        <v>47</v>
      </c>
      <c r="AB93" s="465" t="s">
        <v>47</v>
      </c>
      <c r="AC93" s="466" t="s">
        <v>47</v>
      </c>
      <c r="AD93" s="468">
        <f>+AD92</f>
        <v>46676</v>
      </c>
      <c r="AE93" s="458">
        <f>+AE92</f>
        <v>43333</v>
      </c>
      <c r="AF93" s="466">
        <v>3333</v>
      </c>
      <c r="AG93" s="465">
        <v>3333</v>
      </c>
      <c r="AH93" s="456">
        <v>25000</v>
      </c>
      <c r="AI93" s="466" t="s">
        <v>47</v>
      </c>
      <c r="AJ93" s="456" t="s">
        <v>47</v>
      </c>
      <c r="AK93" s="466">
        <f>+AK92</f>
        <v>25000</v>
      </c>
      <c r="AL93" s="456" t="s">
        <v>47</v>
      </c>
      <c r="AM93" s="466" t="s">
        <v>47</v>
      </c>
      <c r="AN93" s="456" t="s">
        <v>47</v>
      </c>
      <c r="AO93" s="456" t="s">
        <v>47</v>
      </c>
      <c r="AP93" s="466" t="s">
        <v>47</v>
      </c>
      <c r="AQ93" s="466" t="s">
        <v>47</v>
      </c>
      <c r="AR93" s="466"/>
      <c r="AS93" s="466"/>
      <c r="AT93" s="466"/>
      <c r="AU93" s="466"/>
      <c r="AV93" s="466"/>
      <c r="AW93" s="466"/>
      <c r="AX93" s="466"/>
      <c r="AY93" s="466" t="s">
        <v>47</v>
      </c>
      <c r="AZ93" s="466" t="s">
        <v>47</v>
      </c>
      <c r="BA93" s="457">
        <f t="shared" si="56"/>
        <v>146675</v>
      </c>
      <c r="BB93" s="957">
        <v>1.72E-2</v>
      </c>
      <c r="BC93"/>
    </row>
    <row r="94" spans="2:55" hidden="1" outlineLevel="1" x14ac:dyDescent="0.2">
      <c r="B94" s="223" t="s">
        <v>788</v>
      </c>
      <c r="C94" s="456" t="s">
        <v>47</v>
      </c>
      <c r="D94" s="456" t="s">
        <v>47</v>
      </c>
      <c r="E94" s="456" t="s">
        <v>47</v>
      </c>
      <c r="F94" s="456" t="s">
        <v>47</v>
      </c>
      <c r="G94" s="456" t="s">
        <v>47</v>
      </c>
      <c r="H94" s="456" t="s">
        <v>47</v>
      </c>
      <c r="I94" s="456" t="s">
        <v>47</v>
      </c>
      <c r="J94" s="456" t="s">
        <v>47</v>
      </c>
      <c r="K94" s="456" t="s">
        <v>47</v>
      </c>
      <c r="L94" s="456" t="s">
        <v>47</v>
      </c>
      <c r="M94" s="456" t="s">
        <v>47</v>
      </c>
      <c r="N94" s="456" t="s">
        <v>47</v>
      </c>
      <c r="O94" s="456" t="s">
        <v>47</v>
      </c>
      <c r="P94" s="456" t="s">
        <v>47</v>
      </c>
      <c r="Q94" s="456" t="s">
        <v>47</v>
      </c>
      <c r="R94" s="456" t="s">
        <v>47</v>
      </c>
      <c r="S94" s="456" t="s">
        <v>47</v>
      </c>
      <c r="T94" s="456" t="s">
        <v>47</v>
      </c>
      <c r="U94" s="457" t="s">
        <v>47</v>
      </c>
      <c r="V94" s="457" t="s">
        <v>47</v>
      </c>
      <c r="W94" s="456" t="s">
        <v>47</v>
      </c>
      <c r="X94" s="457" t="s">
        <v>47</v>
      </c>
      <c r="Y94" s="465" t="s">
        <v>47</v>
      </c>
      <c r="Z94" s="456" t="s">
        <v>47</v>
      </c>
      <c r="AA94" s="456" t="s">
        <v>47</v>
      </c>
      <c r="AB94" s="465" t="s">
        <v>47</v>
      </c>
      <c r="AC94" s="466" t="s">
        <v>47</v>
      </c>
      <c r="AD94" s="468">
        <f>AD93</f>
        <v>46676</v>
      </c>
      <c r="AE94" s="458">
        <v>3333</v>
      </c>
      <c r="AF94" s="466">
        <v>3333</v>
      </c>
      <c r="AG94" s="465">
        <v>3333</v>
      </c>
      <c r="AH94" s="456">
        <f>AH93</f>
        <v>25000</v>
      </c>
      <c r="AI94" s="466">
        <v>50000</v>
      </c>
      <c r="AJ94" s="456" t="s">
        <v>47</v>
      </c>
      <c r="AK94" s="466">
        <f>AK93</f>
        <v>25000</v>
      </c>
      <c r="AL94" s="456" t="s">
        <v>47</v>
      </c>
      <c r="AM94" s="466" t="s">
        <v>47</v>
      </c>
      <c r="AN94" s="456" t="s">
        <v>47</v>
      </c>
      <c r="AO94" s="456" t="s">
        <v>47</v>
      </c>
      <c r="AP94" s="466" t="s">
        <v>47</v>
      </c>
      <c r="AQ94" s="466" t="s">
        <v>47</v>
      </c>
      <c r="AR94" s="466"/>
      <c r="AS94" s="466"/>
      <c r="AT94" s="466"/>
      <c r="AU94" s="466"/>
      <c r="AV94" s="466"/>
      <c r="AW94" s="466"/>
      <c r="AX94" s="466"/>
      <c r="AY94" s="466" t="s">
        <v>47</v>
      </c>
      <c r="AZ94" s="466" t="s">
        <v>47</v>
      </c>
      <c r="BA94" s="457">
        <f t="shared" si="56"/>
        <v>156675</v>
      </c>
      <c r="BB94" s="957">
        <v>1.38E-2</v>
      </c>
      <c r="BC94"/>
    </row>
    <row r="95" spans="2:55" hidden="1" outlineLevel="1" x14ac:dyDescent="0.2">
      <c r="B95" s="223" t="s">
        <v>844</v>
      </c>
      <c r="C95" s="456" t="s">
        <v>47</v>
      </c>
      <c r="D95" s="456" t="s">
        <v>47</v>
      </c>
      <c r="E95" s="456" t="s">
        <v>47</v>
      </c>
      <c r="F95" s="456" t="s">
        <v>47</v>
      </c>
      <c r="G95" s="456" t="s">
        <v>47</v>
      </c>
      <c r="H95" s="456" t="s">
        <v>47</v>
      </c>
      <c r="I95" s="456" t="s">
        <v>47</v>
      </c>
      <c r="J95" s="456" t="s">
        <v>47</v>
      </c>
      <c r="K95" s="456" t="s">
        <v>47</v>
      </c>
      <c r="L95" s="456" t="s">
        <v>47</v>
      </c>
      <c r="M95" s="456" t="s">
        <v>47</v>
      </c>
      <c r="N95" s="456" t="s">
        <v>47</v>
      </c>
      <c r="O95" s="456" t="s">
        <v>47</v>
      </c>
      <c r="P95" s="456" t="s">
        <v>47</v>
      </c>
      <c r="Q95" s="456" t="s">
        <v>47</v>
      </c>
      <c r="R95" s="456" t="s">
        <v>47</v>
      </c>
      <c r="S95" s="456" t="s">
        <v>47</v>
      </c>
      <c r="T95" s="456" t="s">
        <v>47</v>
      </c>
      <c r="U95" s="457" t="s">
        <v>47</v>
      </c>
      <c r="V95" s="457" t="s">
        <v>47</v>
      </c>
      <c r="W95" s="456" t="s">
        <v>47</v>
      </c>
      <c r="X95" s="457" t="s">
        <v>47</v>
      </c>
      <c r="Y95" s="465" t="s">
        <v>47</v>
      </c>
      <c r="Z95" s="456" t="s">
        <v>47</v>
      </c>
      <c r="AA95" s="466" t="s">
        <v>47</v>
      </c>
      <c r="AB95" s="465" t="s">
        <v>47</v>
      </c>
      <c r="AC95" s="466" t="s">
        <v>47</v>
      </c>
      <c r="AD95" s="468">
        <v>46676</v>
      </c>
      <c r="AE95" s="458">
        <v>3333</v>
      </c>
      <c r="AF95" s="466">
        <v>3333</v>
      </c>
      <c r="AG95" s="465">
        <v>3333</v>
      </c>
      <c r="AH95" s="456">
        <v>25000</v>
      </c>
      <c r="AI95" s="466">
        <v>50000</v>
      </c>
      <c r="AJ95" s="456" t="s">
        <v>47</v>
      </c>
      <c r="AK95" s="466">
        <v>25000</v>
      </c>
      <c r="AL95" s="456" t="s">
        <v>47</v>
      </c>
      <c r="AM95" s="466" t="s">
        <v>47</v>
      </c>
      <c r="AN95" s="456" t="s">
        <v>47</v>
      </c>
      <c r="AO95" s="456" t="s">
        <v>47</v>
      </c>
      <c r="AP95" s="466" t="s">
        <v>47</v>
      </c>
      <c r="AQ95" s="466" t="s">
        <v>47</v>
      </c>
      <c r="AR95" s="466"/>
      <c r="AS95" s="466"/>
      <c r="AT95" s="466"/>
      <c r="AU95" s="466"/>
      <c r="AV95" s="466"/>
      <c r="AW95" s="466"/>
      <c r="AX95" s="466"/>
      <c r="AY95" s="466" t="s">
        <v>47</v>
      </c>
      <c r="AZ95" s="466" t="s">
        <v>47</v>
      </c>
      <c r="BA95" s="457">
        <f t="shared" si="56"/>
        <v>156675</v>
      </c>
      <c r="BB95" s="957">
        <v>1.38E-2</v>
      </c>
      <c r="BC95"/>
    </row>
    <row r="96" spans="2:55" hidden="1" outlineLevel="1" x14ac:dyDescent="0.2">
      <c r="B96" s="223" t="s">
        <v>862</v>
      </c>
      <c r="C96" s="456" t="s">
        <v>47</v>
      </c>
      <c r="D96" s="456" t="s">
        <v>47</v>
      </c>
      <c r="E96" s="456" t="s">
        <v>47</v>
      </c>
      <c r="F96" s="456" t="s">
        <v>47</v>
      </c>
      <c r="G96" s="456" t="s">
        <v>47</v>
      </c>
      <c r="H96" s="456" t="s">
        <v>47</v>
      </c>
      <c r="I96" s="456" t="s">
        <v>47</v>
      </c>
      <c r="J96" s="456" t="s">
        <v>47</v>
      </c>
      <c r="K96" s="456" t="s">
        <v>47</v>
      </c>
      <c r="L96" s="456" t="s">
        <v>47</v>
      </c>
      <c r="M96" s="456" t="s">
        <v>47</v>
      </c>
      <c r="N96" s="456" t="s">
        <v>47</v>
      </c>
      <c r="O96" s="456" t="s">
        <v>47</v>
      </c>
      <c r="P96" s="456" t="s">
        <v>47</v>
      </c>
      <c r="Q96" s="456" t="s">
        <v>47</v>
      </c>
      <c r="R96" s="456" t="s">
        <v>47</v>
      </c>
      <c r="S96" s="456" t="s">
        <v>47</v>
      </c>
      <c r="T96" s="456" t="s">
        <v>47</v>
      </c>
      <c r="U96" s="457" t="s">
        <v>47</v>
      </c>
      <c r="V96" s="457" t="s">
        <v>47</v>
      </c>
      <c r="W96" s="456" t="s">
        <v>47</v>
      </c>
      <c r="X96" s="457" t="s">
        <v>47</v>
      </c>
      <c r="Y96" s="465" t="s">
        <v>47</v>
      </c>
      <c r="Z96" s="456" t="s">
        <v>47</v>
      </c>
      <c r="AA96" s="456" t="s">
        <v>47</v>
      </c>
      <c r="AB96" s="465" t="s">
        <v>47</v>
      </c>
      <c r="AC96" s="466" t="s">
        <v>47</v>
      </c>
      <c r="AD96" s="468" t="s">
        <v>47</v>
      </c>
      <c r="AE96" s="458">
        <v>3333</v>
      </c>
      <c r="AF96" s="469">
        <v>3333</v>
      </c>
      <c r="AG96" s="465">
        <v>3333</v>
      </c>
      <c r="AH96" s="456">
        <f t="shared" ref="AH96:AK98" si="57">+AH94</f>
        <v>25000</v>
      </c>
      <c r="AI96" s="466">
        <f t="shared" si="57"/>
        <v>50000</v>
      </c>
      <c r="AJ96" s="456" t="s">
        <v>47</v>
      </c>
      <c r="AK96" s="466">
        <f t="shared" si="57"/>
        <v>25000</v>
      </c>
      <c r="AL96" s="456">
        <v>10000</v>
      </c>
      <c r="AM96" s="466" t="s">
        <v>47</v>
      </c>
      <c r="AN96" s="456">
        <v>10000</v>
      </c>
      <c r="AO96" s="456" t="s">
        <v>47</v>
      </c>
      <c r="AP96" s="466" t="s">
        <v>47</v>
      </c>
      <c r="AQ96" s="466">
        <v>10000</v>
      </c>
      <c r="AR96" s="466"/>
      <c r="AS96" s="466"/>
      <c r="AT96" s="466"/>
      <c r="AU96" s="466"/>
      <c r="AV96" s="466"/>
      <c r="AW96" s="466"/>
      <c r="AX96" s="466"/>
      <c r="AY96" s="466" t="s">
        <v>47</v>
      </c>
      <c r="AZ96" s="466" t="s">
        <v>47</v>
      </c>
      <c r="BA96" s="457">
        <f t="shared" ref="BA96:BA101" si="58">+SUM(Y96:AQ96)</f>
        <v>139999</v>
      </c>
      <c r="BB96" s="957">
        <v>1.47E-2</v>
      </c>
      <c r="BC96"/>
    </row>
    <row r="97" spans="2:55" hidden="1" outlineLevel="1" x14ac:dyDescent="0.2">
      <c r="B97" s="223" t="s">
        <v>922</v>
      </c>
      <c r="C97" s="456" t="s">
        <v>47</v>
      </c>
      <c r="D97" s="456" t="s">
        <v>47</v>
      </c>
      <c r="E97" s="456" t="s">
        <v>47</v>
      </c>
      <c r="F97" s="456" t="s">
        <v>47</v>
      </c>
      <c r="G97" s="456" t="s">
        <v>47</v>
      </c>
      <c r="H97" s="456" t="s">
        <v>47</v>
      </c>
      <c r="I97" s="456" t="s">
        <v>47</v>
      </c>
      <c r="J97" s="456" t="s">
        <v>47</v>
      </c>
      <c r="K97" s="456" t="s">
        <v>47</v>
      </c>
      <c r="L97" s="456" t="s">
        <v>47</v>
      </c>
      <c r="M97" s="456" t="s">
        <v>47</v>
      </c>
      <c r="N97" s="456" t="s">
        <v>47</v>
      </c>
      <c r="O97" s="456" t="s">
        <v>47</v>
      </c>
      <c r="P97" s="456" t="s">
        <v>47</v>
      </c>
      <c r="Q97" s="456" t="s">
        <v>47</v>
      </c>
      <c r="R97" s="456" t="s">
        <v>47</v>
      </c>
      <c r="S97" s="456" t="s">
        <v>47</v>
      </c>
      <c r="T97" s="456" t="s">
        <v>47</v>
      </c>
      <c r="U97" s="457" t="s">
        <v>47</v>
      </c>
      <c r="V97" s="457" t="s">
        <v>47</v>
      </c>
      <c r="W97" s="456" t="s">
        <v>47</v>
      </c>
      <c r="X97" s="457" t="s">
        <v>47</v>
      </c>
      <c r="Y97" s="465" t="s">
        <v>47</v>
      </c>
      <c r="Z97" s="456" t="s">
        <v>47</v>
      </c>
      <c r="AA97" s="456" t="s">
        <v>47</v>
      </c>
      <c r="AB97" s="465" t="s">
        <v>47</v>
      </c>
      <c r="AC97" s="466" t="s">
        <v>47</v>
      </c>
      <c r="AD97" s="468" t="s">
        <v>47</v>
      </c>
      <c r="AE97" s="458" t="s">
        <v>47</v>
      </c>
      <c r="AF97" s="469">
        <v>3333</v>
      </c>
      <c r="AG97" s="468">
        <v>3333</v>
      </c>
      <c r="AH97" s="458">
        <f t="shared" si="57"/>
        <v>25000</v>
      </c>
      <c r="AI97" s="466">
        <f t="shared" si="57"/>
        <v>50000</v>
      </c>
      <c r="AJ97" s="456" t="s">
        <v>47</v>
      </c>
      <c r="AK97" s="466">
        <f t="shared" si="57"/>
        <v>25000</v>
      </c>
      <c r="AL97" s="456">
        <v>10000</v>
      </c>
      <c r="AM97" s="466" t="s">
        <v>47</v>
      </c>
      <c r="AN97" s="456">
        <v>10000</v>
      </c>
      <c r="AO97" s="456" t="s">
        <v>47</v>
      </c>
      <c r="AP97" s="466" t="s">
        <v>47</v>
      </c>
      <c r="AQ97" s="466">
        <v>10000</v>
      </c>
      <c r="AR97" s="466"/>
      <c r="AS97" s="466"/>
      <c r="AT97" s="466"/>
      <c r="AU97" s="466"/>
      <c r="AV97" s="466"/>
      <c r="AW97" s="466"/>
      <c r="AX97" s="466"/>
      <c r="AY97" s="466" t="s">
        <v>47</v>
      </c>
      <c r="AZ97" s="466" t="s">
        <v>47</v>
      </c>
      <c r="BA97" s="457">
        <f t="shared" si="58"/>
        <v>136666</v>
      </c>
      <c r="BB97" s="957">
        <v>1.47E-2</v>
      </c>
      <c r="BC97"/>
    </row>
    <row r="98" spans="2:55" hidden="1" outlineLevel="1" x14ac:dyDescent="0.2">
      <c r="B98" s="223" t="s">
        <v>923</v>
      </c>
      <c r="C98" s="456" t="s">
        <v>47</v>
      </c>
      <c r="D98" s="456" t="s">
        <v>47</v>
      </c>
      <c r="E98" s="456" t="s">
        <v>47</v>
      </c>
      <c r="F98" s="456" t="s">
        <v>47</v>
      </c>
      <c r="G98" s="456" t="s">
        <v>47</v>
      </c>
      <c r="H98" s="456" t="s">
        <v>47</v>
      </c>
      <c r="I98" s="456" t="s">
        <v>47</v>
      </c>
      <c r="J98" s="456" t="s">
        <v>47</v>
      </c>
      <c r="K98" s="456" t="s">
        <v>47</v>
      </c>
      <c r="L98" s="456" t="s">
        <v>47</v>
      </c>
      <c r="M98" s="456" t="s">
        <v>47</v>
      </c>
      <c r="N98" s="456" t="s">
        <v>47</v>
      </c>
      <c r="O98" s="456" t="s">
        <v>47</v>
      </c>
      <c r="P98" s="456" t="s">
        <v>47</v>
      </c>
      <c r="Q98" s="456" t="s">
        <v>47</v>
      </c>
      <c r="R98" s="456" t="s">
        <v>47</v>
      </c>
      <c r="S98" s="456" t="s">
        <v>47</v>
      </c>
      <c r="T98" s="456" t="s">
        <v>47</v>
      </c>
      <c r="U98" s="457" t="s">
        <v>47</v>
      </c>
      <c r="V98" s="457" t="s">
        <v>47</v>
      </c>
      <c r="W98" s="456" t="s">
        <v>47</v>
      </c>
      <c r="X98" s="457" t="s">
        <v>47</v>
      </c>
      <c r="Y98" s="465" t="s">
        <v>47</v>
      </c>
      <c r="Z98" s="456" t="s">
        <v>47</v>
      </c>
      <c r="AA98" s="456" t="s">
        <v>47</v>
      </c>
      <c r="AB98" s="465" t="s">
        <v>47</v>
      </c>
      <c r="AC98" s="466" t="s">
        <v>47</v>
      </c>
      <c r="AD98" s="465" t="s">
        <v>47</v>
      </c>
      <c r="AE98" s="456" t="s">
        <v>47</v>
      </c>
      <c r="AF98" s="469">
        <v>3333</v>
      </c>
      <c r="AG98" s="468">
        <v>3333</v>
      </c>
      <c r="AH98" s="458">
        <f t="shared" si="57"/>
        <v>25000</v>
      </c>
      <c r="AI98" s="466">
        <f t="shared" si="57"/>
        <v>50000</v>
      </c>
      <c r="AJ98" s="456" t="s">
        <v>47</v>
      </c>
      <c r="AK98" s="466">
        <f t="shared" si="57"/>
        <v>25000</v>
      </c>
      <c r="AL98" s="456">
        <v>10000</v>
      </c>
      <c r="AM98" s="466" t="s">
        <v>47</v>
      </c>
      <c r="AN98" s="456">
        <v>10000</v>
      </c>
      <c r="AO98" s="456" t="s">
        <v>47</v>
      </c>
      <c r="AP98" s="466" t="s">
        <v>47</v>
      </c>
      <c r="AQ98" s="466">
        <v>10000</v>
      </c>
      <c r="AR98" s="466"/>
      <c r="AS98" s="466"/>
      <c r="AT98" s="466"/>
      <c r="AU98" s="466"/>
      <c r="AV98" s="466"/>
      <c r="AW98" s="466"/>
      <c r="AX98" s="466"/>
      <c r="AY98" s="466" t="s">
        <v>47</v>
      </c>
      <c r="AZ98" s="466" t="s">
        <v>47</v>
      </c>
      <c r="BA98" s="457">
        <f t="shared" si="58"/>
        <v>136666</v>
      </c>
      <c r="BB98" s="957">
        <v>1.44E-2</v>
      </c>
      <c r="BC98"/>
    </row>
    <row r="99" spans="2:55" hidden="1" outlineLevel="1" x14ac:dyDescent="0.2">
      <c r="B99" s="223" t="s">
        <v>924</v>
      </c>
      <c r="C99" s="456" t="s">
        <v>47</v>
      </c>
      <c r="D99" s="456" t="s">
        <v>47</v>
      </c>
      <c r="E99" s="456" t="s">
        <v>47</v>
      </c>
      <c r="F99" s="456" t="s">
        <v>47</v>
      </c>
      <c r="G99" s="456" t="s">
        <v>47</v>
      </c>
      <c r="H99" s="456" t="s">
        <v>47</v>
      </c>
      <c r="I99" s="456" t="s">
        <v>47</v>
      </c>
      <c r="J99" s="456" t="s">
        <v>47</v>
      </c>
      <c r="K99" s="456" t="s">
        <v>47</v>
      </c>
      <c r="L99" s="456" t="s">
        <v>47</v>
      </c>
      <c r="M99" s="456" t="s">
        <v>47</v>
      </c>
      <c r="N99" s="456" t="s">
        <v>47</v>
      </c>
      <c r="O99" s="456" t="s">
        <v>47</v>
      </c>
      <c r="P99" s="456" t="s">
        <v>47</v>
      </c>
      <c r="Q99" s="456" t="s">
        <v>47</v>
      </c>
      <c r="R99" s="456" t="s">
        <v>47</v>
      </c>
      <c r="S99" s="456" t="s">
        <v>47</v>
      </c>
      <c r="T99" s="456" t="s">
        <v>47</v>
      </c>
      <c r="U99" s="457" t="s">
        <v>47</v>
      </c>
      <c r="V99" s="457" t="s">
        <v>47</v>
      </c>
      <c r="W99" s="456" t="s">
        <v>47</v>
      </c>
      <c r="X99" s="457" t="s">
        <v>47</v>
      </c>
      <c r="Y99" s="465" t="s">
        <v>47</v>
      </c>
      <c r="Z99" s="456" t="s">
        <v>47</v>
      </c>
      <c r="AA99" s="456" t="s">
        <v>47</v>
      </c>
      <c r="AB99" s="465" t="s">
        <v>47</v>
      </c>
      <c r="AC99" s="466" t="s">
        <v>47</v>
      </c>
      <c r="AD99" s="465" t="s">
        <v>47</v>
      </c>
      <c r="AE99" s="456" t="s">
        <v>47</v>
      </c>
      <c r="AF99" s="466" t="s">
        <v>47</v>
      </c>
      <c r="AG99" s="468">
        <v>3333</v>
      </c>
      <c r="AH99" s="458">
        <v>25000</v>
      </c>
      <c r="AI99" s="466">
        <v>50000</v>
      </c>
      <c r="AJ99" s="456" t="s">
        <v>47</v>
      </c>
      <c r="AK99" s="466">
        <v>25000</v>
      </c>
      <c r="AL99" s="465">
        <v>10000</v>
      </c>
      <c r="AM99" s="466" t="s">
        <v>47</v>
      </c>
      <c r="AN99" s="465">
        <v>10000</v>
      </c>
      <c r="AO99" s="456" t="s">
        <v>47</v>
      </c>
      <c r="AP99" s="466" t="s">
        <v>47</v>
      </c>
      <c r="AQ99" s="840">
        <v>10000</v>
      </c>
      <c r="AR99" s="840"/>
      <c r="AS99" s="840"/>
      <c r="AT99" s="840"/>
      <c r="AU99" s="840"/>
      <c r="AV99" s="840"/>
      <c r="AW99" s="840"/>
      <c r="AX99" s="840"/>
      <c r="AY99" s="840" t="s">
        <v>47</v>
      </c>
      <c r="AZ99" s="840" t="s">
        <v>47</v>
      </c>
      <c r="BA99" s="457">
        <f t="shared" si="58"/>
        <v>133333</v>
      </c>
      <c r="BB99" s="957">
        <v>1.41E-2</v>
      </c>
      <c r="BC99"/>
    </row>
    <row r="100" spans="2:55" hidden="1" outlineLevel="1" x14ac:dyDescent="0.2">
      <c r="B100" s="223" t="s">
        <v>995</v>
      </c>
      <c r="C100" s="456" t="s">
        <v>47</v>
      </c>
      <c r="D100" s="456" t="s">
        <v>47</v>
      </c>
      <c r="E100" s="456" t="s">
        <v>47</v>
      </c>
      <c r="F100" s="456" t="s">
        <v>47</v>
      </c>
      <c r="G100" s="456" t="s">
        <v>47</v>
      </c>
      <c r="H100" s="456" t="s">
        <v>47</v>
      </c>
      <c r="I100" s="456" t="s">
        <v>47</v>
      </c>
      <c r="J100" s="456" t="s">
        <v>47</v>
      </c>
      <c r="K100" s="456" t="s">
        <v>47</v>
      </c>
      <c r="L100" s="456" t="s">
        <v>47</v>
      </c>
      <c r="M100" s="456" t="s">
        <v>47</v>
      </c>
      <c r="N100" s="456" t="s">
        <v>47</v>
      </c>
      <c r="O100" s="456" t="s">
        <v>47</v>
      </c>
      <c r="P100" s="456" t="s">
        <v>47</v>
      </c>
      <c r="Q100" s="456" t="s">
        <v>47</v>
      </c>
      <c r="R100" s="456" t="s">
        <v>47</v>
      </c>
      <c r="S100" s="456" t="s">
        <v>47</v>
      </c>
      <c r="T100" s="456" t="s">
        <v>47</v>
      </c>
      <c r="U100" s="457" t="s">
        <v>47</v>
      </c>
      <c r="V100" s="457" t="s">
        <v>47</v>
      </c>
      <c r="W100" s="456" t="s">
        <v>47</v>
      </c>
      <c r="X100" s="457" t="s">
        <v>47</v>
      </c>
      <c r="Y100" s="465" t="s">
        <v>47</v>
      </c>
      <c r="Z100" s="456" t="s">
        <v>47</v>
      </c>
      <c r="AA100" s="456" t="s">
        <v>47</v>
      </c>
      <c r="AB100" s="465" t="s">
        <v>47</v>
      </c>
      <c r="AC100" s="466" t="s">
        <v>47</v>
      </c>
      <c r="AD100" s="465" t="s">
        <v>47</v>
      </c>
      <c r="AE100" s="456" t="s">
        <v>47</v>
      </c>
      <c r="AF100" s="466" t="s">
        <v>47</v>
      </c>
      <c r="AG100" s="468">
        <v>3333</v>
      </c>
      <c r="AH100" s="458">
        <v>25000</v>
      </c>
      <c r="AI100" s="466">
        <v>50000</v>
      </c>
      <c r="AJ100" s="456" t="s">
        <v>47</v>
      </c>
      <c r="AK100" s="466">
        <v>25000</v>
      </c>
      <c r="AL100" s="456">
        <v>10000</v>
      </c>
      <c r="AM100" s="466" t="s">
        <v>47</v>
      </c>
      <c r="AN100" s="456">
        <v>10000</v>
      </c>
      <c r="AO100" s="456" t="s">
        <v>47</v>
      </c>
      <c r="AP100" s="466" t="s">
        <v>47</v>
      </c>
      <c r="AQ100" s="466">
        <v>10000</v>
      </c>
      <c r="AR100" s="466"/>
      <c r="AS100" s="466"/>
      <c r="AT100" s="466"/>
      <c r="AU100" s="466"/>
      <c r="AV100" s="466"/>
      <c r="AW100" s="466"/>
      <c r="AX100" s="466"/>
      <c r="AY100" s="466" t="s">
        <v>47</v>
      </c>
      <c r="AZ100" s="466" t="s">
        <v>47</v>
      </c>
      <c r="BA100" s="457">
        <f t="shared" si="58"/>
        <v>133333</v>
      </c>
      <c r="BB100" s="957">
        <f>+BB99</f>
        <v>1.41E-2</v>
      </c>
      <c r="BC100"/>
    </row>
    <row r="101" spans="2:55" hidden="1" outlineLevel="1" x14ac:dyDescent="0.2">
      <c r="B101" s="223" t="s">
        <v>1027</v>
      </c>
      <c r="C101" s="456" t="s">
        <v>47</v>
      </c>
      <c r="D101" s="456" t="s">
        <v>47</v>
      </c>
      <c r="E101" s="456" t="s">
        <v>47</v>
      </c>
      <c r="F101" s="456" t="s">
        <v>47</v>
      </c>
      <c r="G101" s="456" t="s">
        <v>47</v>
      </c>
      <c r="H101" s="456" t="s">
        <v>47</v>
      </c>
      <c r="I101" s="456" t="s">
        <v>47</v>
      </c>
      <c r="J101" s="456" t="s">
        <v>47</v>
      </c>
      <c r="K101" s="456" t="s">
        <v>47</v>
      </c>
      <c r="L101" s="456" t="s">
        <v>47</v>
      </c>
      <c r="M101" s="456" t="s">
        <v>47</v>
      </c>
      <c r="N101" s="456" t="s">
        <v>47</v>
      </c>
      <c r="O101" s="456" t="s">
        <v>47</v>
      </c>
      <c r="P101" s="456" t="s">
        <v>47</v>
      </c>
      <c r="Q101" s="456" t="s">
        <v>47</v>
      </c>
      <c r="R101" s="456" t="s">
        <v>47</v>
      </c>
      <c r="S101" s="456" t="s">
        <v>47</v>
      </c>
      <c r="T101" s="456" t="s">
        <v>47</v>
      </c>
      <c r="U101" s="457" t="s">
        <v>47</v>
      </c>
      <c r="V101" s="457" t="s">
        <v>47</v>
      </c>
      <c r="W101" s="456" t="s">
        <v>47</v>
      </c>
      <c r="X101" s="456" t="s">
        <v>47</v>
      </c>
      <c r="Y101" s="465" t="s">
        <v>47</v>
      </c>
      <c r="Z101" s="456" t="s">
        <v>47</v>
      </c>
      <c r="AA101" s="456" t="s">
        <v>47</v>
      </c>
      <c r="AB101" s="465" t="s">
        <v>47</v>
      </c>
      <c r="AC101" s="466" t="s">
        <v>47</v>
      </c>
      <c r="AD101" s="465" t="s">
        <v>47</v>
      </c>
      <c r="AE101" s="456" t="s">
        <v>47</v>
      </c>
      <c r="AF101" s="466" t="s">
        <v>47</v>
      </c>
      <c r="AG101" s="465" t="s">
        <v>47</v>
      </c>
      <c r="AH101" s="458">
        <v>25000</v>
      </c>
      <c r="AI101" s="458">
        <v>50000</v>
      </c>
      <c r="AJ101" s="465">
        <v>40000</v>
      </c>
      <c r="AK101" s="466">
        <v>25000</v>
      </c>
      <c r="AL101" s="456">
        <v>10000</v>
      </c>
      <c r="AM101" s="466">
        <v>50000</v>
      </c>
      <c r="AN101" s="456">
        <v>10000</v>
      </c>
      <c r="AO101" s="456" t="s">
        <v>47</v>
      </c>
      <c r="AP101" s="466" t="s">
        <v>47</v>
      </c>
      <c r="AQ101" s="466">
        <v>10000</v>
      </c>
      <c r="AR101" s="466"/>
      <c r="AS101" s="466"/>
      <c r="AT101" s="466"/>
      <c r="AU101" s="466"/>
      <c r="AV101" s="466"/>
      <c r="AW101" s="466"/>
      <c r="AX101" s="466"/>
      <c r="AY101" s="466" t="s">
        <v>47</v>
      </c>
      <c r="AZ101" s="466" t="s">
        <v>47</v>
      </c>
      <c r="BA101" s="457">
        <f t="shared" si="58"/>
        <v>220000</v>
      </c>
      <c r="BB101" s="957">
        <v>2.4E-2</v>
      </c>
      <c r="BC101"/>
    </row>
    <row r="102" spans="2:55" hidden="1" outlineLevel="1" x14ac:dyDescent="0.2">
      <c r="B102" s="223" t="s">
        <v>1028</v>
      </c>
      <c r="C102" s="456" t="s">
        <v>47</v>
      </c>
      <c r="D102" s="456" t="s">
        <v>47</v>
      </c>
      <c r="E102" s="456" t="s">
        <v>47</v>
      </c>
      <c r="F102" s="456" t="s">
        <v>47</v>
      </c>
      <c r="G102" s="456" t="s">
        <v>47</v>
      </c>
      <c r="H102" s="456" t="s">
        <v>47</v>
      </c>
      <c r="I102" s="456" t="s">
        <v>47</v>
      </c>
      <c r="J102" s="456" t="s">
        <v>47</v>
      </c>
      <c r="K102" s="456" t="s">
        <v>47</v>
      </c>
      <c r="L102" s="456" t="s">
        <v>47</v>
      </c>
      <c r="M102" s="456" t="s">
        <v>47</v>
      </c>
      <c r="N102" s="456" t="s">
        <v>47</v>
      </c>
      <c r="O102" s="456" t="s">
        <v>47</v>
      </c>
      <c r="P102" s="456" t="s">
        <v>47</v>
      </c>
      <c r="Q102" s="456" t="s">
        <v>47</v>
      </c>
      <c r="R102" s="456" t="s">
        <v>47</v>
      </c>
      <c r="S102" s="456" t="s">
        <v>47</v>
      </c>
      <c r="T102" s="456" t="s">
        <v>47</v>
      </c>
      <c r="U102" s="457" t="s">
        <v>47</v>
      </c>
      <c r="V102" s="457" t="s">
        <v>47</v>
      </c>
      <c r="W102" s="456" t="s">
        <v>47</v>
      </c>
      <c r="X102" s="456" t="s">
        <v>47</v>
      </c>
      <c r="Y102" s="465" t="s">
        <v>47</v>
      </c>
      <c r="Z102" s="456" t="s">
        <v>47</v>
      </c>
      <c r="AA102" s="456" t="s">
        <v>47</v>
      </c>
      <c r="AB102" s="465" t="s">
        <v>47</v>
      </c>
      <c r="AC102" s="466" t="s">
        <v>47</v>
      </c>
      <c r="AD102" s="465" t="s">
        <v>47</v>
      </c>
      <c r="AE102" s="456" t="s">
        <v>47</v>
      </c>
      <c r="AF102" s="466" t="s">
        <v>47</v>
      </c>
      <c r="AG102" s="465" t="s">
        <v>47</v>
      </c>
      <c r="AH102" s="456" t="s">
        <v>47</v>
      </c>
      <c r="AI102" s="456" t="s">
        <v>47</v>
      </c>
      <c r="AJ102" s="468">
        <v>40000</v>
      </c>
      <c r="AK102" s="469">
        <v>25000</v>
      </c>
      <c r="AL102" s="456">
        <v>10000</v>
      </c>
      <c r="AM102" s="466">
        <v>50000</v>
      </c>
      <c r="AN102" s="456">
        <v>10000</v>
      </c>
      <c r="AO102" s="456">
        <v>40000</v>
      </c>
      <c r="AP102" s="466">
        <v>5000</v>
      </c>
      <c r="AQ102" s="466">
        <v>10000</v>
      </c>
      <c r="AR102" s="466"/>
      <c r="AS102" s="466"/>
      <c r="AT102" s="466"/>
      <c r="AU102" s="466"/>
      <c r="AV102" s="466"/>
      <c r="AW102" s="466"/>
      <c r="AX102" s="466"/>
      <c r="AY102" s="466" t="s">
        <v>47</v>
      </c>
      <c r="AZ102" s="466" t="s">
        <v>47</v>
      </c>
      <c r="BA102" s="457">
        <v>190000</v>
      </c>
      <c r="BB102" s="957">
        <v>2.92E-2</v>
      </c>
      <c r="BC102"/>
    </row>
    <row r="103" spans="2:55" hidden="1" outlineLevel="1" x14ac:dyDescent="0.2">
      <c r="B103" s="223" t="s">
        <v>993</v>
      </c>
      <c r="C103" s="456" t="s">
        <v>47</v>
      </c>
      <c r="D103" s="456" t="s">
        <v>47</v>
      </c>
      <c r="E103" s="456" t="s">
        <v>47</v>
      </c>
      <c r="F103" s="456" t="s">
        <v>47</v>
      </c>
      <c r="G103" s="456" t="s">
        <v>47</v>
      </c>
      <c r="H103" s="456" t="s">
        <v>47</v>
      </c>
      <c r="I103" s="456" t="s">
        <v>47</v>
      </c>
      <c r="J103" s="456" t="s">
        <v>47</v>
      </c>
      <c r="K103" s="456" t="s">
        <v>47</v>
      </c>
      <c r="L103" s="456" t="s">
        <v>47</v>
      </c>
      <c r="M103" s="456" t="s">
        <v>47</v>
      </c>
      <c r="N103" s="456" t="s">
        <v>47</v>
      </c>
      <c r="O103" s="456" t="s">
        <v>47</v>
      </c>
      <c r="P103" s="456" t="s">
        <v>47</v>
      </c>
      <c r="Q103" s="456" t="s">
        <v>47</v>
      </c>
      <c r="R103" s="456" t="s">
        <v>47</v>
      </c>
      <c r="S103" s="456" t="s">
        <v>47</v>
      </c>
      <c r="T103" s="456" t="s">
        <v>47</v>
      </c>
      <c r="U103" s="457" t="s">
        <v>47</v>
      </c>
      <c r="V103" s="457" t="s">
        <v>47</v>
      </c>
      <c r="W103" s="456" t="s">
        <v>47</v>
      </c>
      <c r="X103" s="456" t="s">
        <v>47</v>
      </c>
      <c r="Y103" s="465" t="s">
        <v>47</v>
      </c>
      <c r="Z103" s="456" t="s">
        <v>47</v>
      </c>
      <c r="AA103" s="456" t="s">
        <v>47</v>
      </c>
      <c r="AB103" s="465" t="s">
        <v>47</v>
      </c>
      <c r="AC103" s="466" t="s">
        <v>47</v>
      </c>
      <c r="AD103" s="465" t="s">
        <v>47</v>
      </c>
      <c r="AE103" s="456" t="s">
        <v>47</v>
      </c>
      <c r="AF103" s="466" t="s">
        <v>47</v>
      </c>
      <c r="AG103" s="465" t="s">
        <v>47</v>
      </c>
      <c r="AH103" s="456" t="s">
        <v>47</v>
      </c>
      <c r="AI103" s="456" t="s">
        <v>47</v>
      </c>
      <c r="AJ103" s="468">
        <v>40000</v>
      </c>
      <c r="AK103" s="469">
        <v>25000</v>
      </c>
      <c r="AL103" s="456">
        <v>10000</v>
      </c>
      <c r="AM103" s="466">
        <v>50000</v>
      </c>
      <c r="AN103" s="456">
        <v>10000</v>
      </c>
      <c r="AO103" s="456">
        <v>40000</v>
      </c>
      <c r="AP103" s="466">
        <v>5000</v>
      </c>
      <c r="AQ103" s="466">
        <v>10000</v>
      </c>
      <c r="AR103" s="466"/>
      <c r="AS103" s="466"/>
      <c r="AT103" s="466"/>
      <c r="AU103" s="466"/>
      <c r="AV103" s="466"/>
      <c r="AW103" s="466"/>
      <c r="AX103" s="466"/>
      <c r="AY103" s="466" t="s">
        <v>47</v>
      </c>
      <c r="AZ103" s="466" t="s">
        <v>47</v>
      </c>
      <c r="BA103" s="457">
        <f t="shared" ref="BA103:BA110" si="59">+SUM(Y103:AQ103)</f>
        <v>190000</v>
      </c>
      <c r="BB103" s="957">
        <v>2.92E-2</v>
      </c>
      <c r="BC103"/>
    </row>
    <row r="104" spans="2:55" collapsed="1" x14ac:dyDescent="0.2">
      <c r="B104" s="223" t="s">
        <v>1124</v>
      </c>
      <c r="C104" s="456" t="s">
        <v>47</v>
      </c>
      <c r="D104" s="456" t="s">
        <v>47</v>
      </c>
      <c r="E104" s="456" t="s">
        <v>47</v>
      </c>
      <c r="F104" s="456" t="s">
        <v>47</v>
      </c>
      <c r="G104" s="456" t="s">
        <v>47</v>
      </c>
      <c r="H104" s="456" t="s">
        <v>47</v>
      </c>
      <c r="I104" s="456" t="s">
        <v>47</v>
      </c>
      <c r="J104" s="456" t="s">
        <v>47</v>
      </c>
      <c r="K104" s="456" t="s">
        <v>47</v>
      </c>
      <c r="L104" s="456" t="s">
        <v>47</v>
      </c>
      <c r="M104" s="456" t="s">
        <v>47</v>
      </c>
      <c r="N104" s="456" t="s">
        <v>47</v>
      </c>
      <c r="O104" s="456" t="s">
        <v>47</v>
      </c>
      <c r="P104" s="456" t="s">
        <v>47</v>
      </c>
      <c r="Q104" s="456" t="s">
        <v>47</v>
      </c>
      <c r="R104" s="456" t="s">
        <v>47</v>
      </c>
      <c r="S104" s="456" t="s">
        <v>47</v>
      </c>
      <c r="T104" s="456" t="s">
        <v>47</v>
      </c>
      <c r="U104" s="457" t="s">
        <v>47</v>
      </c>
      <c r="V104" s="457" t="s">
        <v>47</v>
      </c>
      <c r="W104" s="456" t="s">
        <v>47</v>
      </c>
      <c r="X104" s="456" t="s">
        <v>47</v>
      </c>
      <c r="Y104" s="465" t="s">
        <v>47</v>
      </c>
      <c r="Z104" s="456" t="s">
        <v>47</v>
      </c>
      <c r="AA104" s="456" t="s">
        <v>47</v>
      </c>
      <c r="AB104" s="465" t="s">
        <v>47</v>
      </c>
      <c r="AC104" s="466" t="s">
        <v>47</v>
      </c>
      <c r="AD104" s="465" t="s">
        <v>47</v>
      </c>
      <c r="AE104" s="456" t="s">
        <v>47</v>
      </c>
      <c r="AF104" s="466" t="s">
        <v>47</v>
      </c>
      <c r="AG104" s="465" t="s">
        <v>47</v>
      </c>
      <c r="AH104" s="456" t="s">
        <v>47</v>
      </c>
      <c r="AI104" s="456" t="s">
        <v>47</v>
      </c>
      <c r="AJ104" s="468">
        <v>40000</v>
      </c>
      <c r="AK104" s="469">
        <v>25000</v>
      </c>
      <c r="AL104" s="456">
        <v>10000</v>
      </c>
      <c r="AM104" s="466">
        <v>50000</v>
      </c>
      <c r="AN104" s="456">
        <v>10000</v>
      </c>
      <c r="AO104" s="456">
        <v>40000</v>
      </c>
      <c r="AP104" s="466">
        <v>5000</v>
      </c>
      <c r="AQ104" s="466">
        <v>10000</v>
      </c>
      <c r="AR104" s="466" t="s">
        <v>47</v>
      </c>
      <c r="AS104" s="466" t="s">
        <v>47</v>
      </c>
      <c r="AT104" s="466" t="s">
        <v>47</v>
      </c>
      <c r="AU104" s="466" t="s">
        <v>47</v>
      </c>
      <c r="AV104" s="466" t="s">
        <v>47</v>
      </c>
      <c r="AW104" s="466" t="s">
        <v>47</v>
      </c>
      <c r="AX104" s="466" t="s">
        <v>47</v>
      </c>
      <c r="AY104" s="466" t="s">
        <v>47</v>
      </c>
      <c r="AZ104" s="466" t="s">
        <v>47</v>
      </c>
      <c r="BA104" s="648">
        <f t="shared" si="59"/>
        <v>190000</v>
      </c>
      <c r="BB104" s="957">
        <v>2.92E-2</v>
      </c>
      <c r="BC104"/>
    </row>
    <row r="105" spans="2:55" x14ac:dyDescent="0.2">
      <c r="B105" s="223" t="s">
        <v>1125</v>
      </c>
      <c r="C105" s="456" t="s">
        <v>47</v>
      </c>
      <c r="D105" s="456" t="s">
        <v>47</v>
      </c>
      <c r="E105" s="456" t="s">
        <v>47</v>
      </c>
      <c r="F105" s="456" t="s">
        <v>47</v>
      </c>
      <c r="G105" s="456" t="s">
        <v>47</v>
      </c>
      <c r="H105" s="456" t="s">
        <v>47</v>
      </c>
      <c r="I105" s="456" t="s">
        <v>47</v>
      </c>
      <c r="J105" s="456" t="s">
        <v>47</v>
      </c>
      <c r="K105" s="456" t="s">
        <v>47</v>
      </c>
      <c r="L105" s="456" t="s">
        <v>47</v>
      </c>
      <c r="M105" s="456" t="s">
        <v>47</v>
      </c>
      <c r="N105" s="456" t="s">
        <v>47</v>
      </c>
      <c r="O105" s="456" t="s">
        <v>47</v>
      </c>
      <c r="P105" s="456" t="s">
        <v>47</v>
      </c>
      <c r="Q105" s="456" t="s">
        <v>47</v>
      </c>
      <c r="R105" s="456" t="s">
        <v>47</v>
      </c>
      <c r="S105" s="456" t="s">
        <v>47</v>
      </c>
      <c r="T105" s="456" t="s">
        <v>47</v>
      </c>
      <c r="U105" s="457" t="s">
        <v>47</v>
      </c>
      <c r="V105" s="457" t="s">
        <v>47</v>
      </c>
      <c r="W105" s="456" t="s">
        <v>47</v>
      </c>
      <c r="X105" s="456" t="s">
        <v>47</v>
      </c>
      <c r="Y105" s="465" t="s">
        <v>47</v>
      </c>
      <c r="Z105" s="456" t="s">
        <v>47</v>
      </c>
      <c r="AA105" s="456" t="s">
        <v>47</v>
      </c>
      <c r="AB105" s="465" t="s">
        <v>47</v>
      </c>
      <c r="AC105" s="466" t="s">
        <v>47</v>
      </c>
      <c r="AD105" s="465" t="s">
        <v>47</v>
      </c>
      <c r="AE105" s="456" t="s">
        <v>47</v>
      </c>
      <c r="AF105" s="466" t="s">
        <v>47</v>
      </c>
      <c r="AG105" s="465" t="s">
        <v>47</v>
      </c>
      <c r="AH105" s="456" t="s">
        <v>47</v>
      </c>
      <c r="AI105" s="456" t="s">
        <v>47</v>
      </c>
      <c r="AJ105" s="468" t="s">
        <v>47</v>
      </c>
      <c r="AK105" s="469">
        <v>25000</v>
      </c>
      <c r="AL105" s="458">
        <f t="shared" ref="AL105:AQ105" si="60">+AL104</f>
        <v>10000</v>
      </c>
      <c r="AM105" s="469">
        <f t="shared" si="60"/>
        <v>50000</v>
      </c>
      <c r="AN105" s="456">
        <f t="shared" si="60"/>
        <v>10000</v>
      </c>
      <c r="AO105" s="456">
        <f t="shared" si="60"/>
        <v>40000</v>
      </c>
      <c r="AP105" s="466">
        <f t="shared" si="60"/>
        <v>5000</v>
      </c>
      <c r="AQ105" s="466">
        <f t="shared" si="60"/>
        <v>10000</v>
      </c>
      <c r="AR105" s="466" t="s">
        <v>47</v>
      </c>
      <c r="AS105" s="466" t="s">
        <v>47</v>
      </c>
      <c r="AT105" s="466" t="s">
        <v>47</v>
      </c>
      <c r="AU105" s="466" t="s">
        <v>47</v>
      </c>
      <c r="AV105" s="466" t="s">
        <v>47</v>
      </c>
      <c r="AW105" s="466" t="s">
        <v>47</v>
      </c>
      <c r="AX105" s="466" t="s">
        <v>47</v>
      </c>
      <c r="AY105" s="466" t="s">
        <v>47</v>
      </c>
      <c r="AZ105" s="466" t="s">
        <v>47</v>
      </c>
      <c r="BA105" s="648">
        <f t="shared" si="59"/>
        <v>150000</v>
      </c>
      <c r="BB105" s="957">
        <v>2.63E-2</v>
      </c>
      <c r="BC105"/>
    </row>
    <row r="106" spans="2:55" x14ac:dyDescent="0.2">
      <c r="B106" s="223" t="s">
        <v>1126</v>
      </c>
      <c r="C106" s="456" t="s">
        <v>47</v>
      </c>
      <c r="D106" s="456" t="s">
        <v>47</v>
      </c>
      <c r="E106" s="456" t="s">
        <v>47</v>
      </c>
      <c r="F106" s="456" t="s">
        <v>47</v>
      </c>
      <c r="G106" s="456" t="s">
        <v>47</v>
      </c>
      <c r="H106" s="456" t="s">
        <v>47</v>
      </c>
      <c r="I106" s="456" t="s">
        <v>47</v>
      </c>
      <c r="J106" s="456" t="s">
        <v>47</v>
      </c>
      <c r="K106" s="456" t="s">
        <v>47</v>
      </c>
      <c r="L106" s="456" t="s">
        <v>47</v>
      </c>
      <c r="M106" s="456" t="s">
        <v>47</v>
      </c>
      <c r="N106" s="456" t="s">
        <v>47</v>
      </c>
      <c r="O106" s="456" t="s">
        <v>47</v>
      </c>
      <c r="P106" s="456" t="s">
        <v>47</v>
      </c>
      <c r="Q106" s="456" t="s">
        <v>47</v>
      </c>
      <c r="R106" s="456" t="s">
        <v>47</v>
      </c>
      <c r="S106" s="456" t="s">
        <v>47</v>
      </c>
      <c r="T106" s="456" t="s">
        <v>47</v>
      </c>
      <c r="U106" s="457" t="s">
        <v>47</v>
      </c>
      <c r="V106" s="457" t="s">
        <v>47</v>
      </c>
      <c r="W106" s="456" t="s">
        <v>47</v>
      </c>
      <c r="X106" s="456" t="s">
        <v>47</v>
      </c>
      <c r="Y106" s="465" t="s">
        <v>47</v>
      </c>
      <c r="Z106" s="456" t="s">
        <v>47</v>
      </c>
      <c r="AA106" s="456" t="s">
        <v>47</v>
      </c>
      <c r="AB106" s="465" t="s">
        <v>47</v>
      </c>
      <c r="AC106" s="466" t="s">
        <v>47</v>
      </c>
      <c r="AD106" s="465" t="s">
        <v>47</v>
      </c>
      <c r="AE106" s="456" t="s">
        <v>47</v>
      </c>
      <c r="AF106" s="466" t="s">
        <v>47</v>
      </c>
      <c r="AG106" s="465" t="s">
        <v>47</v>
      </c>
      <c r="AH106" s="456" t="s">
        <v>47</v>
      </c>
      <c r="AI106" s="456" t="s">
        <v>47</v>
      </c>
      <c r="AJ106" s="468" t="s">
        <v>47</v>
      </c>
      <c r="AK106" s="469" t="s">
        <v>47</v>
      </c>
      <c r="AL106" s="458">
        <f t="shared" ref="AL106:AQ107" si="61">+AL104</f>
        <v>10000</v>
      </c>
      <c r="AM106" s="469">
        <f t="shared" si="61"/>
        <v>50000</v>
      </c>
      <c r="AN106" s="456">
        <f t="shared" si="61"/>
        <v>10000</v>
      </c>
      <c r="AO106" s="456">
        <f t="shared" si="61"/>
        <v>40000</v>
      </c>
      <c r="AP106" s="466">
        <f t="shared" si="61"/>
        <v>5000</v>
      </c>
      <c r="AQ106" s="466">
        <f t="shared" si="61"/>
        <v>10000</v>
      </c>
      <c r="AR106" s="466" t="s">
        <v>47</v>
      </c>
      <c r="AS106" s="466" t="s">
        <v>47</v>
      </c>
      <c r="AT106" s="466" t="s">
        <v>47</v>
      </c>
      <c r="AU106" s="466" t="s">
        <v>47</v>
      </c>
      <c r="AV106" s="466" t="s">
        <v>47</v>
      </c>
      <c r="AW106" s="466" t="s">
        <v>47</v>
      </c>
      <c r="AX106" s="466" t="s">
        <v>47</v>
      </c>
      <c r="AY106" s="466" t="s">
        <v>47</v>
      </c>
      <c r="AZ106" s="466" t="s">
        <v>47</v>
      </c>
      <c r="BA106" s="648">
        <f t="shared" si="59"/>
        <v>125000</v>
      </c>
      <c r="BB106" s="957">
        <v>2.76E-2</v>
      </c>
      <c r="BC106"/>
    </row>
    <row r="107" spans="2:55" x14ac:dyDescent="0.2">
      <c r="B107" s="223" t="s">
        <v>1127</v>
      </c>
      <c r="C107" s="456" t="s">
        <v>47</v>
      </c>
      <c r="D107" s="456" t="s">
        <v>47</v>
      </c>
      <c r="E107" s="456" t="s">
        <v>47</v>
      </c>
      <c r="F107" s="456" t="s">
        <v>47</v>
      </c>
      <c r="G107" s="456" t="s">
        <v>47</v>
      </c>
      <c r="H107" s="456" t="s">
        <v>47</v>
      </c>
      <c r="I107" s="456" t="s">
        <v>47</v>
      </c>
      <c r="J107" s="456" t="s">
        <v>47</v>
      </c>
      <c r="K107" s="456" t="s">
        <v>47</v>
      </c>
      <c r="L107" s="456" t="s">
        <v>47</v>
      </c>
      <c r="M107" s="456" t="s">
        <v>47</v>
      </c>
      <c r="N107" s="456" t="s">
        <v>47</v>
      </c>
      <c r="O107" s="456" t="s">
        <v>47</v>
      </c>
      <c r="P107" s="456" t="s">
        <v>47</v>
      </c>
      <c r="Q107" s="456" t="s">
        <v>47</v>
      </c>
      <c r="R107" s="456" t="s">
        <v>47</v>
      </c>
      <c r="S107" s="456" t="s">
        <v>47</v>
      </c>
      <c r="T107" s="456" t="s">
        <v>47</v>
      </c>
      <c r="U107" s="457" t="s">
        <v>47</v>
      </c>
      <c r="V107" s="457" t="s">
        <v>47</v>
      </c>
      <c r="W107" s="456" t="s">
        <v>47</v>
      </c>
      <c r="X107" s="456" t="s">
        <v>47</v>
      </c>
      <c r="Y107" s="465" t="s">
        <v>47</v>
      </c>
      <c r="Z107" s="456" t="s">
        <v>47</v>
      </c>
      <c r="AA107" s="456" t="s">
        <v>47</v>
      </c>
      <c r="AB107" s="465" t="s">
        <v>47</v>
      </c>
      <c r="AC107" s="466" t="s">
        <v>47</v>
      </c>
      <c r="AD107" s="465" t="s">
        <v>47</v>
      </c>
      <c r="AE107" s="456" t="s">
        <v>47</v>
      </c>
      <c r="AF107" s="466" t="s">
        <v>47</v>
      </c>
      <c r="AG107" s="465" t="s">
        <v>47</v>
      </c>
      <c r="AH107" s="456" t="s">
        <v>47</v>
      </c>
      <c r="AI107" s="456" t="s">
        <v>47</v>
      </c>
      <c r="AJ107" s="468" t="s">
        <v>47</v>
      </c>
      <c r="AK107" s="469" t="s">
        <v>47</v>
      </c>
      <c r="AL107" s="458">
        <f t="shared" si="61"/>
        <v>10000</v>
      </c>
      <c r="AM107" s="469">
        <f t="shared" si="61"/>
        <v>50000</v>
      </c>
      <c r="AN107" s="456">
        <f t="shared" si="61"/>
        <v>10000</v>
      </c>
      <c r="AO107" s="456">
        <f t="shared" si="61"/>
        <v>40000</v>
      </c>
      <c r="AP107" s="466">
        <f t="shared" si="61"/>
        <v>5000</v>
      </c>
      <c r="AQ107" s="466">
        <f t="shared" si="61"/>
        <v>10000</v>
      </c>
      <c r="AR107" s="466" t="s">
        <v>47</v>
      </c>
      <c r="AS107" s="466" t="s">
        <v>47</v>
      </c>
      <c r="AT107" s="466" t="s">
        <v>47</v>
      </c>
      <c r="AU107" s="466" t="s">
        <v>47</v>
      </c>
      <c r="AV107" s="466" t="s">
        <v>47</v>
      </c>
      <c r="AW107" s="466" t="s">
        <v>47</v>
      </c>
      <c r="AX107" s="466" t="s">
        <v>47</v>
      </c>
      <c r="AY107" s="466" t="s">
        <v>47</v>
      </c>
      <c r="AZ107" s="466" t="s">
        <v>47</v>
      </c>
      <c r="BA107" s="648">
        <f t="shared" si="59"/>
        <v>125000</v>
      </c>
      <c r="BB107" s="957">
        <v>2.76E-2</v>
      </c>
      <c r="BC107"/>
    </row>
    <row r="108" spans="2:55" x14ac:dyDescent="0.2">
      <c r="B108" s="223" t="s">
        <v>1181</v>
      </c>
      <c r="C108" s="458" t="s">
        <v>47</v>
      </c>
      <c r="D108" s="458" t="s">
        <v>47</v>
      </c>
      <c r="E108" s="458" t="s">
        <v>47</v>
      </c>
      <c r="F108" s="458" t="s">
        <v>47</v>
      </c>
      <c r="G108" s="458" t="s">
        <v>47</v>
      </c>
      <c r="H108" s="458" t="s">
        <v>47</v>
      </c>
      <c r="I108" s="458" t="s">
        <v>47</v>
      </c>
      <c r="J108" s="458" t="s">
        <v>47</v>
      </c>
      <c r="K108" s="458" t="s">
        <v>47</v>
      </c>
      <c r="L108" s="458" t="s">
        <v>47</v>
      </c>
      <c r="M108" s="458" t="s">
        <v>47</v>
      </c>
      <c r="N108" s="458" t="s">
        <v>47</v>
      </c>
      <c r="O108" s="458" t="s">
        <v>47</v>
      </c>
      <c r="P108" s="458" t="s">
        <v>47</v>
      </c>
      <c r="Q108" s="458" t="s">
        <v>47</v>
      </c>
      <c r="R108" s="458" t="s">
        <v>47</v>
      </c>
      <c r="S108" s="458" t="s">
        <v>47</v>
      </c>
      <c r="T108" s="458" t="s">
        <v>47</v>
      </c>
      <c r="U108" s="458" t="s">
        <v>47</v>
      </c>
      <c r="V108" s="458" t="s">
        <v>47</v>
      </c>
      <c r="W108" s="458" t="s">
        <v>47</v>
      </c>
      <c r="X108" s="458" t="s">
        <v>47</v>
      </c>
      <c r="Y108" s="468" t="s">
        <v>47</v>
      </c>
      <c r="Z108" s="458" t="s">
        <v>47</v>
      </c>
      <c r="AA108" s="458" t="s">
        <v>47</v>
      </c>
      <c r="AB108" s="468" t="s">
        <v>47</v>
      </c>
      <c r="AC108" s="469" t="s">
        <v>47</v>
      </c>
      <c r="AD108" s="468" t="s">
        <v>47</v>
      </c>
      <c r="AE108" s="458" t="s">
        <v>47</v>
      </c>
      <c r="AF108" s="469" t="s">
        <v>47</v>
      </c>
      <c r="AG108" s="468" t="s">
        <v>47</v>
      </c>
      <c r="AH108" s="458" t="s">
        <v>47</v>
      </c>
      <c r="AI108" s="458" t="s">
        <v>47</v>
      </c>
      <c r="AJ108" s="468" t="s">
        <v>47</v>
      </c>
      <c r="AK108" s="469" t="s">
        <v>47</v>
      </c>
      <c r="AL108" s="458" t="s">
        <v>47</v>
      </c>
      <c r="AM108" s="469">
        <f>+AM107</f>
        <v>50000</v>
      </c>
      <c r="AN108" s="458">
        <f>AN107</f>
        <v>10000</v>
      </c>
      <c r="AO108" s="456">
        <f>AO107</f>
        <v>40000</v>
      </c>
      <c r="AP108" s="466">
        <f>AP107</f>
        <v>5000</v>
      </c>
      <c r="AQ108" s="466">
        <f>AQ107</f>
        <v>10000</v>
      </c>
      <c r="AR108" s="466" t="s">
        <v>47</v>
      </c>
      <c r="AS108" s="466" t="s">
        <v>47</v>
      </c>
      <c r="AT108" s="466" t="s">
        <v>47</v>
      </c>
      <c r="AU108" s="466" t="s">
        <v>47</v>
      </c>
      <c r="AV108" s="466" t="s">
        <v>47</v>
      </c>
      <c r="AW108" s="466" t="s">
        <v>47</v>
      </c>
      <c r="AX108" s="466" t="s">
        <v>47</v>
      </c>
      <c r="AY108" s="466" t="s">
        <v>47</v>
      </c>
      <c r="AZ108" s="466" t="s">
        <v>47</v>
      </c>
      <c r="BA108" s="648">
        <f t="shared" si="59"/>
        <v>115000</v>
      </c>
      <c r="BB108" s="957">
        <v>2.9000000000000001E-2</v>
      </c>
      <c r="BC108"/>
    </row>
    <row r="109" spans="2:55" x14ac:dyDescent="0.2">
      <c r="B109" s="223" t="s">
        <v>1189</v>
      </c>
      <c r="C109" s="458" t="s">
        <v>47</v>
      </c>
      <c r="D109" s="458" t="s">
        <v>47</v>
      </c>
      <c r="E109" s="458" t="s">
        <v>47</v>
      </c>
      <c r="F109" s="458" t="s">
        <v>47</v>
      </c>
      <c r="G109" s="458" t="s">
        <v>47</v>
      </c>
      <c r="H109" s="458" t="s">
        <v>47</v>
      </c>
      <c r="I109" s="458" t="s">
        <v>47</v>
      </c>
      <c r="J109" s="458" t="s">
        <v>47</v>
      </c>
      <c r="K109" s="458" t="s">
        <v>47</v>
      </c>
      <c r="L109" s="458" t="s">
        <v>47</v>
      </c>
      <c r="M109" s="458" t="s">
        <v>47</v>
      </c>
      <c r="N109" s="458" t="s">
        <v>47</v>
      </c>
      <c r="O109" s="458" t="s">
        <v>47</v>
      </c>
      <c r="P109" s="458" t="s">
        <v>47</v>
      </c>
      <c r="Q109" s="458" t="s">
        <v>47</v>
      </c>
      <c r="R109" s="458" t="s">
        <v>47</v>
      </c>
      <c r="S109" s="458" t="s">
        <v>47</v>
      </c>
      <c r="T109" s="458" t="s">
        <v>47</v>
      </c>
      <c r="U109" s="458" t="s">
        <v>47</v>
      </c>
      <c r="V109" s="458" t="s">
        <v>47</v>
      </c>
      <c r="W109" s="458" t="s">
        <v>47</v>
      </c>
      <c r="X109" s="458" t="s">
        <v>47</v>
      </c>
      <c r="Y109" s="468" t="s">
        <v>47</v>
      </c>
      <c r="Z109" s="458" t="s">
        <v>47</v>
      </c>
      <c r="AA109" s="469" t="s">
        <v>47</v>
      </c>
      <c r="AB109" s="458" t="s">
        <v>47</v>
      </c>
      <c r="AC109" s="458" t="s">
        <v>47</v>
      </c>
      <c r="AD109" s="468" t="s">
        <v>47</v>
      </c>
      <c r="AE109" s="458" t="s">
        <v>47</v>
      </c>
      <c r="AF109" s="469" t="s">
        <v>47</v>
      </c>
      <c r="AG109" s="458" t="s">
        <v>47</v>
      </c>
      <c r="AH109" s="458" t="s">
        <v>47</v>
      </c>
      <c r="AI109" s="458" t="s">
        <v>47</v>
      </c>
      <c r="AJ109" s="468" t="s">
        <v>47</v>
      </c>
      <c r="AK109" s="469" t="s">
        <v>47</v>
      </c>
      <c r="AL109" s="458" t="s">
        <v>47</v>
      </c>
      <c r="AM109" s="469" t="s">
        <v>47</v>
      </c>
      <c r="AN109" s="468">
        <f t="shared" ref="AN109:AQ110" si="62">AN108</f>
        <v>10000</v>
      </c>
      <c r="AO109" s="456">
        <f t="shared" si="62"/>
        <v>40000</v>
      </c>
      <c r="AP109" s="466">
        <f t="shared" si="62"/>
        <v>5000</v>
      </c>
      <c r="AQ109" s="466">
        <f t="shared" si="62"/>
        <v>10000</v>
      </c>
      <c r="AR109" s="466" t="s">
        <v>47</v>
      </c>
      <c r="AS109" s="466" t="s">
        <v>47</v>
      </c>
      <c r="AT109" s="466" t="s">
        <v>47</v>
      </c>
      <c r="AU109" s="466" t="s">
        <v>47</v>
      </c>
      <c r="AV109" s="466" t="s">
        <v>47</v>
      </c>
      <c r="AW109" s="466" t="s">
        <v>47</v>
      </c>
      <c r="AX109" s="466" t="s">
        <v>47</v>
      </c>
      <c r="AY109" s="466" t="s">
        <v>47</v>
      </c>
      <c r="AZ109" s="466" t="s">
        <v>47</v>
      </c>
      <c r="BA109" s="648">
        <f t="shared" si="59"/>
        <v>65000</v>
      </c>
      <c r="BB109" s="957">
        <v>2.2100000000000002E-2</v>
      </c>
      <c r="BC109"/>
    </row>
    <row r="110" spans="2:55" x14ac:dyDescent="0.2">
      <c r="B110" s="223" t="s">
        <v>1191</v>
      </c>
      <c r="C110" s="458" t="s">
        <v>47</v>
      </c>
      <c r="D110" s="458" t="s">
        <v>47</v>
      </c>
      <c r="E110" s="458" t="s">
        <v>47</v>
      </c>
      <c r="F110" s="458" t="s">
        <v>47</v>
      </c>
      <c r="G110" s="458" t="s">
        <v>47</v>
      </c>
      <c r="H110" s="458" t="s">
        <v>47</v>
      </c>
      <c r="I110" s="458" t="s">
        <v>47</v>
      </c>
      <c r="J110" s="458" t="s">
        <v>47</v>
      </c>
      <c r="K110" s="458" t="s">
        <v>47</v>
      </c>
      <c r="L110" s="458" t="s">
        <v>47</v>
      </c>
      <c r="M110" s="458" t="s">
        <v>47</v>
      </c>
      <c r="N110" s="458" t="s">
        <v>47</v>
      </c>
      <c r="O110" s="458" t="s">
        <v>47</v>
      </c>
      <c r="P110" s="458" t="s">
        <v>47</v>
      </c>
      <c r="Q110" s="458" t="s">
        <v>47</v>
      </c>
      <c r="R110" s="458" t="s">
        <v>47</v>
      </c>
      <c r="S110" s="458" t="s">
        <v>47</v>
      </c>
      <c r="T110" s="458" t="s">
        <v>47</v>
      </c>
      <c r="U110" s="458" t="s">
        <v>47</v>
      </c>
      <c r="V110" s="458" t="s">
        <v>47</v>
      </c>
      <c r="W110" s="458" t="s">
        <v>47</v>
      </c>
      <c r="X110" s="458" t="s">
        <v>47</v>
      </c>
      <c r="Y110" s="468" t="s">
        <v>47</v>
      </c>
      <c r="Z110" s="458" t="s">
        <v>47</v>
      </c>
      <c r="AA110" s="469" t="s">
        <v>47</v>
      </c>
      <c r="AB110" s="458" t="s">
        <v>47</v>
      </c>
      <c r="AC110" s="458" t="s">
        <v>47</v>
      </c>
      <c r="AD110" s="468" t="s">
        <v>47</v>
      </c>
      <c r="AE110" s="458" t="s">
        <v>47</v>
      </c>
      <c r="AF110" s="469" t="s">
        <v>47</v>
      </c>
      <c r="AG110" s="458" t="s">
        <v>47</v>
      </c>
      <c r="AH110" s="458" t="s">
        <v>47</v>
      </c>
      <c r="AI110" s="458" t="s">
        <v>47</v>
      </c>
      <c r="AJ110" s="468" t="s">
        <v>47</v>
      </c>
      <c r="AK110" s="469" t="s">
        <v>47</v>
      </c>
      <c r="AL110" s="458" t="s">
        <v>47</v>
      </c>
      <c r="AM110" s="469" t="s">
        <v>47</v>
      </c>
      <c r="AN110" s="468">
        <f t="shared" si="62"/>
        <v>10000</v>
      </c>
      <c r="AO110" s="456">
        <f t="shared" si="62"/>
        <v>40000</v>
      </c>
      <c r="AP110" s="466">
        <f t="shared" si="62"/>
        <v>5000</v>
      </c>
      <c r="AQ110" s="466">
        <f t="shared" si="62"/>
        <v>10000</v>
      </c>
      <c r="AR110" s="466" t="s">
        <v>47</v>
      </c>
      <c r="AS110" s="466" t="s">
        <v>47</v>
      </c>
      <c r="AT110" s="466" t="s">
        <v>47</v>
      </c>
      <c r="AU110" s="466" t="s">
        <v>47</v>
      </c>
      <c r="AV110" s="466" t="s">
        <v>47</v>
      </c>
      <c r="AW110" s="466" t="s">
        <v>47</v>
      </c>
      <c r="AX110" s="466" t="s">
        <v>47</v>
      </c>
      <c r="AY110" s="466" t="s">
        <v>47</v>
      </c>
      <c r="AZ110" s="466" t="s">
        <v>47</v>
      </c>
      <c r="BA110" s="648">
        <f t="shared" si="59"/>
        <v>65000</v>
      </c>
      <c r="BB110" s="957">
        <v>2.2100000000000002E-2</v>
      </c>
      <c r="BC110"/>
    </row>
    <row r="111" spans="2:55" x14ac:dyDescent="0.2">
      <c r="B111" s="223" t="s">
        <v>1193</v>
      </c>
      <c r="C111" s="458" t="s">
        <v>47</v>
      </c>
      <c r="D111" s="458" t="s">
        <v>47</v>
      </c>
      <c r="E111" s="458" t="s">
        <v>47</v>
      </c>
      <c r="F111" s="458" t="s">
        <v>47</v>
      </c>
      <c r="G111" s="458" t="s">
        <v>47</v>
      </c>
      <c r="H111" s="458" t="s">
        <v>47</v>
      </c>
      <c r="I111" s="458" t="s">
        <v>47</v>
      </c>
      <c r="J111" s="458" t="s">
        <v>47</v>
      </c>
      <c r="K111" s="458" t="s">
        <v>47</v>
      </c>
      <c r="L111" s="458" t="s">
        <v>47</v>
      </c>
      <c r="M111" s="458" t="s">
        <v>47</v>
      </c>
      <c r="N111" s="458" t="s">
        <v>47</v>
      </c>
      <c r="O111" s="458" t="s">
        <v>47</v>
      </c>
      <c r="P111" s="458" t="s">
        <v>47</v>
      </c>
      <c r="Q111" s="458" t="s">
        <v>47</v>
      </c>
      <c r="R111" s="458" t="s">
        <v>47</v>
      </c>
      <c r="S111" s="458" t="s">
        <v>47</v>
      </c>
      <c r="T111" s="458" t="s">
        <v>47</v>
      </c>
      <c r="U111" s="458" t="s">
        <v>47</v>
      </c>
      <c r="V111" s="458" t="s">
        <v>47</v>
      </c>
      <c r="W111" s="458" t="s">
        <v>47</v>
      </c>
      <c r="X111" s="458" t="s">
        <v>47</v>
      </c>
      <c r="Y111" s="468" t="s">
        <v>47</v>
      </c>
      <c r="Z111" s="458" t="s">
        <v>47</v>
      </c>
      <c r="AA111" s="469" t="s">
        <v>47</v>
      </c>
      <c r="AB111" s="458" t="s">
        <v>47</v>
      </c>
      <c r="AC111" s="458" t="s">
        <v>47</v>
      </c>
      <c r="AD111" s="468" t="s">
        <v>47</v>
      </c>
      <c r="AE111" s="458" t="s">
        <v>47</v>
      </c>
      <c r="AF111" s="469" t="s">
        <v>47</v>
      </c>
      <c r="AG111" s="458" t="s">
        <v>47</v>
      </c>
      <c r="AH111" s="458" t="s">
        <v>47</v>
      </c>
      <c r="AI111" s="458" t="s">
        <v>47</v>
      </c>
      <c r="AJ111" s="468" t="s">
        <v>47</v>
      </c>
      <c r="AK111" s="469" t="s">
        <v>47</v>
      </c>
      <c r="AL111" s="458" t="s">
        <v>47</v>
      </c>
      <c r="AM111" s="469" t="s">
        <v>47</v>
      </c>
      <c r="AN111" s="468">
        <f t="shared" ref="AN111:AQ112" si="63">AN109</f>
        <v>10000</v>
      </c>
      <c r="AO111" s="458">
        <f t="shared" si="63"/>
        <v>40000</v>
      </c>
      <c r="AP111" s="469">
        <f t="shared" si="63"/>
        <v>5000</v>
      </c>
      <c r="AQ111" s="466">
        <f t="shared" si="63"/>
        <v>10000</v>
      </c>
      <c r="AR111" s="466">
        <v>4071.0479999999998</v>
      </c>
      <c r="AS111" s="466">
        <v>4071.0479999999998</v>
      </c>
      <c r="AT111" s="466">
        <v>4071.0479999999998</v>
      </c>
      <c r="AU111" s="466">
        <v>4071.0479999999998</v>
      </c>
      <c r="AV111" s="466">
        <v>4071.0479999999998</v>
      </c>
      <c r="AW111" s="466">
        <v>4071.0479999999998</v>
      </c>
      <c r="AX111" s="466">
        <v>4071.0479999999998</v>
      </c>
      <c r="AY111" s="466">
        <v>4071.0479999999998</v>
      </c>
      <c r="AZ111" s="466" t="s">
        <v>47</v>
      </c>
      <c r="BA111" s="648">
        <f t="shared" ref="BA111:BA116" si="64">+SUM(Y111:AZ111)</f>
        <v>97568.383999999962</v>
      </c>
      <c r="BB111" s="957">
        <v>1.9699999999999999E-2</v>
      </c>
      <c r="BC111"/>
    </row>
    <row r="112" spans="2:55" x14ac:dyDescent="0.2">
      <c r="B112" s="223" t="s">
        <v>1232</v>
      </c>
      <c r="C112" s="458" t="s">
        <v>47</v>
      </c>
      <c r="D112" s="458" t="s">
        <v>47</v>
      </c>
      <c r="E112" s="458" t="s">
        <v>47</v>
      </c>
      <c r="F112" s="458" t="s">
        <v>47</v>
      </c>
      <c r="G112" s="458" t="s">
        <v>47</v>
      </c>
      <c r="H112" s="458" t="s">
        <v>47</v>
      </c>
      <c r="I112" s="458" t="s">
        <v>47</v>
      </c>
      <c r="J112" s="458" t="s">
        <v>47</v>
      </c>
      <c r="K112" s="458" t="s">
        <v>47</v>
      </c>
      <c r="L112" s="458" t="s">
        <v>47</v>
      </c>
      <c r="M112" s="458" t="s">
        <v>47</v>
      </c>
      <c r="N112" s="458" t="s">
        <v>47</v>
      </c>
      <c r="O112" s="458" t="s">
        <v>47</v>
      </c>
      <c r="P112" s="458" t="s">
        <v>47</v>
      </c>
      <c r="Q112" s="458" t="s">
        <v>47</v>
      </c>
      <c r="R112" s="458" t="s">
        <v>47</v>
      </c>
      <c r="S112" s="458" t="s">
        <v>47</v>
      </c>
      <c r="T112" s="458" t="s">
        <v>47</v>
      </c>
      <c r="U112" s="458" t="s">
        <v>47</v>
      </c>
      <c r="V112" s="458" t="s">
        <v>47</v>
      </c>
      <c r="W112" s="458" t="s">
        <v>47</v>
      </c>
      <c r="X112" s="458" t="s">
        <v>47</v>
      </c>
      <c r="Y112" s="468" t="s">
        <v>47</v>
      </c>
      <c r="Z112" s="458" t="s">
        <v>47</v>
      </c>
      <c r="AA112" s="469" t="s">
        <v>47</v>
      </c>
      <c r="AB112" s="458" t="s">
        <v>47</v>
      </c>
      <c r="AC112" s="458" t="s">
        <v>47</v>
      </c>
      <c r="AD112" s="468" t="s">
        <v>47</v>
      </c>
      <c r="AE112" s="458" t="s">
        <v>47</v>
      </c>
      <c r="AF112" s="469" t="s">
        <v>47</v>
      </c>
      <c r="AG112" s="458" t="s">
        <v>47</v>
      </c>
      <c r="AH112" s="458" t="s">
        <v>47</v>
      </c>
      <c r="AI112" s="458" t="s">
        <v>47</v>
      </c>
      <c r="AJ112" s="468" t="s">
        <v>47</v>
      </c>
      <c r="AK112" s="469" t="s">
        <v>47</v>
      </c>
      <c r="AL112" s="458" t="s">
        <v>47</v>
      </c>
      <c r="AM112" s="469" t="s">
        <v>47</v>
      </c>
      <c r="AN112" s="468" t="s">
        <v>47</v>
      </c>
      <c r="AO112" s="458">
        <f t="shared" si="63"/>
        <v>40000</v>
      </c>
      <c r="AP112" s="469">
        <f t="shared" si="63"/>
        <v>5000</v>
      </c>
      <c r="AQ112" s="466">
        <f t="shared" si="63"/>
        <v>10000</v>
      </c>
      <c r="AR112" s="466">
        <v>4071.0479999999998</v>
      </c>
      <c r="AS112" s="466">
        <v>4071.0479999999998</v>
      </c>
      <c r="AT112" s="466">
        <v>4071.0479999999998</v>
      </c>
      <c r="AU112" s="466">
        <v>4071.0479999999998</v>
      </c>
      <c r="AV112" s="466">
        <v>4071.0479999999998</v>
      </c>
      <c r="AW112" s="466">
        <v>4071.0479999999998</v>
      </c>
      <c r="AX112" s="466">
        <v>4071.0479999999998</v>
      </c>
      <c r="AY112" s="466">
        <v>4071.0479999999998</v>
      </c>
      <c r="AZ112" s="466" t="s">
        <v>47</v>
      </c>
      <c r="BA112" s="648">
        <f t="shared" si="64"/>
        <v>87568.383999999976</v>
      </c>
      <c r="BB112" s="957">
        <v>2.07E-2</v>
      </c>
      <c r="BC112"/>
    </row>
    <row r="113" spans="2:55" x14ac:dyDescent="0.2">
      <c r="B113" s="223" t="s">
        <v>1245</v>
      </c>
      <c r="C113" s="458" t="s">
        <v>47</v>
      </c>
      <c r="D113" s="458" t="s">
        <v>47</v>
      </c>
      <c r="E113" s="458" t="s">
        <v>47</v>
      </c>
      <c r="F113" s="458" t="s">
        <v>47</v>
      </c>
      <c r="G113" s="458" t="s">
        <v>47</v>
      </c>
      <c r="H113" s="458" t="s">
        <v>47</v>
      </c>
      <c r="I113" s="458" t="s">
        <v>47</v>
      </c>
      <c r="J113" s="458" t="s">
        <v>47</v>
      </c>
      <c r="K113" s="458" t="s">
        <v>47</v>
      </c>
      <c r="L113" s="458" t="s">
        <v>47</v>
      </c>
      <c r="M113" s="458" t="s">
        <v>47</v>
      </c>
      <c r="N113" s="458" t="s">
        <v>47</v>
      </c>
      <c r="O113" s="458" t="s">
        <v>47</v>
      </c>
      <c r="P113" s="458" t="s">
        <v>47</v>
      </c>
      <c r="Q113" s="458" t="s">
        <v>47</v>
      </c>
      <c r="R113" s="458" t="s">
        <v>47</v>
      </c>
      <c r="S113" s="458" t="s">
        <v>47</v>
      </c>
      <c r="T113" s="458" t="s">
        <v>47</v>
      </c>
      <c r="U113" s="458" t="s">
        <v>47</v>
      </c>
      <c r="V113" s="458" t="s">
        <v>47</v>
      </c>
      <c r="W113" s="458" t="s">
        <v>47</v>
      </c>
      <c r="X113" s="458" t="s">
        <v>47</v>
      </c>
      <c r="Y113" s="468" t="s">
        <v>47</v>
      </c>
      <c r="Z113" s="458" t="s">
        <v>47</v>
      </c>
      <c r="AA113" s="469" t="s">
        <v>47</v>
      </c>
      <c r="AB113" s="458" t="s">
        <v>47</v>
      </c>
      <c r="AC113" s="458" t="s">
        <v>47</v>
      </c>
      <c r="AD113" s="468" t="s">
        <v>47</v>
      </c>
      <c r="AE113" s="458" t="s">
        <v>47</v>
      </c>
      <c r="AF113" s="469" t="s">
        <v>47</v>
      </c>
      <c r="AG113" s="458" t="s">
        <v>47</v>
      </c>
      <c r="AH113" s="458" t="s">
        <v>47</v>
      </c>
      <c r="AI113" s="458" t="s">
        <v>47</v>
      </c>
      <c r="AJ113" s="468" t="s">
        <v>47</v>
      </c>
      <c r="AK113" s="469" t="s">
        <v>47</v>
      </c>
      <c r="AL113" s="458" t="s">
        <v>47</v>
      </c>
      <c r="AM113" s="469" t="s">
        <v>47</v>
      </c>
      <c r="AN113" s="468" t="s">
        <v>47</v>
      </c>
      <c r="AO113" s="458">
        <f>AO110</f>
        <v>40000</v>
      </c>
      <c r="AP113" s="469">
        <f>AP110</f>
        <v>5000</v>
      </c>
      <c r="AQ113" s="469">
        <f>AQ110</f>
        <v>10000</v>
      </c>
      <c r="AR113" s="1162">
        <v>4071.0479999999998</v>
      </c>
      <c r="AS113" s="1162">
        <v>4071.0479999999998</v>
      </c>
      <c r="AT113" s="1162">
        <v>4071.0479999999998</v>
      </c>
      <c r="AU113" s="1162">
        <v>4071.0479999999998</v>
      </c>
      <c r="AV113" s="1162">
        <v>4071.0479999999998</v>
      </c>
      <c r="AW113" s="1162">
        <v>4071.0479999999998</v>
      </c>
      <c r="AX113" s="1162">
        <v>4071.0479999999998</v>
      </c>
      <c r="AY113" s="1162">
        <v>4071.0479999999998</v>
      </c>
      <c r="AZ113" s="1162" t="s">
        <v>47</v>
      </c>
      <c r="BA113" s="648">
        <f t="shared" si="64"/>
        <v>87568.383999999976</v>
      </c>
      <c r="BB113" s="957">
        <v>2.07E-2</v>
      </c>
      <c r="BC113"/>
    </row>
    <row r="114" spans="2:55" x14ac:dyDescent="0.2">
      <c r="B114" s="223" t="s">
        <v>1247</v>
      </c>
      <c r="C114" s="458" t="s">
        <v>47</v>
      </c>
      <c r="D114" s="458" t="s">
        <v>47</v>
      </c>
      <c r="E114" s="458" t="s">
        <v>47</v>
      </c>
      <c r="F114" s="458" t="s">
        <v>47</v>
      </c>
      <c r="G114" s="458" t="s">
        <v>47</v>
      </c>
      <c r="H114" s="458" t="s">
        <v>47</v>
      </c>
      <c r="I114" s="458" t="s">
        <v>47</v>
      </c>
      <c r="J114" s="458" t="s">
        <v>47</v>
      </c>
      <c r="K114" s="458" t="s">
        <v>47</v>
      </c>
      <c r="L114" s="458" t="s">
        <v>47</v>
      </c>
      <c r="M114" s="458" t="s">
        <v>47</v>
      </c>
      <c r="N114" s="458" t="s">
        <v>47</v>
      </c>
      <c r="O114" s="458" t="s">
        <v>47</v>
      </c>
      <c r="P114" s="458" t="s">
        <v>47</v>
      </c>
      <c r="Q114" s="458" t="s">
        <v>47</v>
      </c>
      <c r="R114" s="458" t="s">
        <v>47</v>
      </c>
      <c r="S114" s="458" t="s">
        <v>47</v>
      </c>
      <c r="T114" s="458" t="s">
        <v>47</v>
      </c>
      <c r="U114" s="458" t="s">
        <v>47</v>
      </c>
      <c r="V114" s="458" t="s">
        <v>47</v>
      </c>
      <c r="W114" s="458" t="s">
        <v>47</v>
      </c>
      <c r="X114" s="458" t="s">
        <v>47</v>
      </c>
      <c r="Y114" s="468" t="s">
        <v>47</v>
      </c>
      <c r="Z114" s="458" t="s">
        <v>47</v>
      </c>
      <c r="AA114" s="469" t="s">
        <v>47</v>
      </c>
      <c r="AB114" s="458" t="s">
        <v>47</v>
      </c>
      <c r="AC114" s="458" t="s">
        <v>47</v>
      </c>
      <c r="AD114" s="468" t="s">
        <v>47</v>
      </c>
      <c r="AE114" s="458" t="s">
        <v>47</v>
      </c>
      <c r="AF114" s="469" t="s">
        <v>47</v>
      </c>
      <c r="AG114" s="458" t="s">
        <v>47</v>
      </c>
      <c r="AH114" s="458" t="s">
        <v>47</v>
      </c>
      <c r="AI114" s="458" t="s">
        <v>47</v>
      </c>
      <c r="AJ114" s="468" t="s">
        <v>47</v>
      </c>
      <c r="AK114" s="469" t="s">
        <v>47</v>
      </c>
      <c r="AL114" s="458" t="s">
        <v>47</v>
      </c>
      <c r="AM114" s="469" t="s">
        <v>47</v>
      </c>
      <c r="AN114" s="468" t="s">
        <v>47</v>
      </c>
      <c r="AO114" s="458" t="s">
        <v>47</v>
      </c>
      <c r="AP114" s="469" t="s">
        <v>47</v>
      </c>
      <c r="AQ114" s="469">
        <f>AQ111</f>
        <v>10000</v>
      </c>
      <c r="AR114" s="1162">
        <v>26571.047999999999</v>
      </c>
      <c r="AS114" s="1162">
        <v>26690.78</v>
      </c>
      <c r="AT114" s="1162">
        <v>4549.9780000000001</v>
      </c>
      <c r="AU114" s="1162">
        <v>4549.9780000000001</v>
      </c>
      <c r="AV114" s="1162">
        <v>4549.9780000000001</v>
      </c>
      <c r="AW114" s="1162">
        <v>4549.9780000000001</v>
      </c>
      <c r="AX114" s="1162">
        <v>4549.9780000000001</v>
      </c>
      <c r="AY114" s="1162">
        <v>4549.9780000000001</v>
      </c>
      <c r="AZ114" s="1162">
        <v>3272.6880000000001</v>
      </c>
      <c r="BA114" s="648">
        <f t="shared" si="64"/>
        <v>93834.384000000005</v>
      </c>
      <c r="BB114" s="957">
        <v>1.55E-2</v>
      </c>
      <c r="BC114"/>
    </row>
    <row r="115" spans="2:55" x14ac:dyDescent="0.2">
      <c r="B115" s="223" t="s">
        <v>1249</v>
      </c>
      <c r="C115" s="458" t="s">
        <v>47</v>
      </c>
      <c r="D115" s="458" t="s">
        <v>47</v>
      </c>
      <c r="E115" s="458" t="s">
        <v>47</v>
      </c>
      <c r="F115" s="458" t="s">
        <v>47</v>
      </c>
      <c r="G115" s="458" t="s">
        <v>47</v>
      </c>
      <c r="H115" s="458" t="s">
        <v>47</v>
      </c>
      <c r="I115" s="458" t="s">
        <v>47</v>
      </c>
      <c r="J115" s="458" t="s">
        <v>47</v>
      </c>
      <c r="K115" s="458" t="s">
        <v>47</v>
      </c>
      <c r="L115" s="458" t="s">
        <v>47</v>
      </c>
      <c r="M115" s="458" t="s">
        <v>47</v>
      </c>
      <c r="N115" s="458" t="s">
        <v>47</v>
      </c>
      <c r="O115" s="458" t="s">
        <v>47</v>
      </c>
      <c r="P115" s="458" t="s">
        <v>47</v>
      </c>
      <c r="Q115" s="458" t="s">
        <v>47</v>
      </c>
      <c r="R115" s="458" t="s">
        <v>47</v>
      </c>
      <c r="S115" s="458" t="s">
        <v>47</v>
      </c>
      <c r="T115" s="458" t="s">
        <v>47</v>
      </c>
      <c r="U115" s="458" t="s">
        <v>47</v>
      </c>
      <c r="V115" s="458" t="s">
        <v>47</v>
      </c>
      <c r="W115" s="458" t="s">
        <v>47</v>
      </c>
      <c r="X115" s="458" t="s">
        <v>47</v>
      </c>
      <c r="Y115" s="468" t="s">
        <v>47</v>
      </c>
      <c r="Z115" s="458" t="s">
        <v>47</v>
      </c>
      <c r="AA115" s="469" t="s">
        <v>47</v>
      </c>
      <c r="AB115" s="458" t="s">
        <v>47</v>
      </c>
      <c r="AC115" s="458" t="s">
        <v>47</v>
      </c>
      <c r="AD115" s="468" t="s">
        <v>47</v>
      </c>
      <c r="AE115" s="458" t="s">
        <v>47</v>
      </c>
      <c r="AF115" s="469" t="s">
        <v>47</v>
      </c>
      <c r="AG115" s="458" t="s">
        <v>47</v>
      </c>
      <c r="AH115" s="458" t="s">
        <v>47</v>
      </c>
      <c r="AI115" s="458" t="s">
        <v>47</v>
      </c>
      <c r="AJ115" s="468" t="s">
        <v>47</v>
      </c>
      <c r="AK115" s="469" t="s">
        <v>47</v>
      </c>
      <c r="AL115" s="458" t="s">
        <v>47</v>
      </c>
      <c r="AM115" s="469" t="s">
        <v>47</v>
      </c>
      <c r="AN115" s="468" t="s">
        <v>47</v>
      </c>
      <c r="AO115" s="458" t="s">
        <v>47</v>
      </c>
      <c r="AP115" s="469" t="s">
        <v>47</v>
      </c>
      <c r="AQ115" s="469">
        <f>AQ112</f>
        <v>10000</v>
      </c>
      <c r="AR115" s="1162">
        <v>26571.047999999999</v>
      </c>
      <c r="AS115" s="1162">
        <v>26722.66</v>
      </c>
      <c r="AT115" s="1162">
        <v>4932.5249999999996</v>
      </c>
      <c r="AU115" s="1162">
        <v>4932.5249999999996</v>
      </c>
      <c r="AV115" s="1162">
        <v>4932.5249999999996</v>
      </c>
      <c r="AW115" s="1162">
        <v>4932.5249999999996</v>
      </c>
      <c r="AX115" s="1162">
        <v>4932.5249999999996</v>
      </c>
      <c r="AY115" s="1162">
        <v>4932.5249999999996</v>
      </c>
      <c r="AZ115" s="1162">
        <v>5950.5219999999999</v>
      </c>
      <c r="BA115" s="648">
        <f t="shared" si="64"/>
        <v>98839.379999999961</v>
      </c>
      <c r="BB115" s="957">
        <v>1.55E-2</v>
      </c>
      <c r="BC115"/>
    </row>
    <row r="116" spans="2:55" x14ac:dyDescent="0.2">
      <c r="B116" s="223" t="s">
        <v>1306</v>
      </c>
      <c r="C116" s="458" t="s">
        <v>47</v>
      </c>
      <c r="D116" s="458" t="s">
        <v>47</v>
      </c>
      <c r="E116" s="458" t="s">
        <v>47</v>
      </c>
      <c r="F116" s="458" t="s">
        <v>47</v>
      </c>
      <c r="G116" s="458" t="s">
        <v>47</v>
      </c>
      <c r="H116" s="458" t="s">
        <v>47</v>
      </c>
      <c r="I116" s="458" t="s">
        <v>47</v>
      </c>
      <c r="J116" s="458" t="s">
        <v>47</v>
      </c>
      <c r="K116" s="458" t="s">
        <v>47</v>
      </c>
      <c r="L116" s="458" t="s">
        <v>47</v>
      </c>
      <c r="M116" s="458" t="s">
        <v>47</v>
      </c>
      <c r="N116" s="458" t="s">
        <v>47</v>
      </c>
      <c r="O116" s="458" t="s">
        <v>47</v>
      </c>
      <c r="P116" s="458" t="s">
        <v>47</v>
      </c>
      <c r="Q116" s="458" t="s">
        <v>47</v>
      </c>
      <c r="R116" s="458" t="s">
        <v>47</v>
      </c>
      <c r="S116" s="458" t="s">
        <v>47</v>
      </c>
      <c r="T116" s="458" t="s">
        <v>47</v>
      </c>
      <c r="U116" s="458" t="s">
        <v>47</v>
      </c>
      <c r="V116" s="458" t="s">
        <v>47</v>
      </c>
      <c r="W116" s="458" t="s">
        <v>47</v>
      </c>
      <c r="X116" s="458" t="s">
        <v>47</v>
      </c>
      <c r="Y116" s="468" t="s">
        <v>47</v>
      </c>
      <c r="Z116" s="458" t="s">
        <v>47</v>
      </c>
      <c r="AA116" s="469" t="s">
        <v>47</v>
      </c>
      <c r="AB116" s="458" t="s">
        <v>47</v>
      </c>
      <c r="AC116" s="458" t="s">
        <v>47</v>
      </c>
      <c r="AD116" s="468" t="s">
        <v>47</v>
      </c>
      <c r="AE116" s="458" t="s">
        <v>47</v>
      </c>
      <c r="AF116" s="469" t="s">
        <v>47</v>
      </c>
      <c r="AG116" s="458" t="s">
        <v>47</v>
      </c>
      <c r="AH116" s="458" t="s">
        <v>47</v>
      </c>
      <c r="AI116" s="458" t="s">
        <v>47</v>
      </c>
      <c r="AJ116" s="468" t="s">
        <v>47</v>
      </c>
      <c r="AK116" s="469" t="s">
        <v>47</v>
      </c>
      <c r="AL116" s="458" t="s">
        <v>47</v>
      </c>
      <c r="AM116" s="469" t="s">
        <v>47</v>
      </c>
      <c r="AN116" s="468" t="s">
        <v>47</v>
      </c>
      <c r="AO116" s="458" t="s">
        <v>47</v>
      </c>
      <c r="AP116" s="469" t="s">
        <v>47</v>
      </c>
      <c r="AQ116" s="469">
        <f>AQ113</f>
        <v>10000</v>
      </c>
      <c r="AR116" s="1162">
        <v>26571.047639999997</v>
      </c>
      <c r="AS116" s="1162">
        <v>27338.284110000001</v>
      </c>
      <c r="AT116" s="1162">
        <v>5671.2753599999969</v>
      </c>
      <c r="AU116" s="1162">
        <v>5671.2753599999969</v>
      </c>
      <c r="AV116" s="1162">
        <v>5671.2753599999969</v>
      </c>
      <c r="AW116" s="1162">
        <v>5671.2753599999969</v>
      </c>
      <c r="AX116" s="1162">
        <v>5671.2753599999969</v>
      </c>
      <c r="AY116" s="1162">
        <v>5671.2753599999969</v>
      </c>
      <c r="AZ116" s="1162">
        <v>6812.4</v>
      </c>
      <c r="BA116" s="648">
        <f t="shared" si="64"/>
        <v>104749.38390999999</v>
      </c>
      <c r="BB116" s="957">
        <v>1.55E-2</v>
      </c>
      <c r="BC116"/>
    </row>
    <row r="117" spans="2:55" x14ac:dyDescent="0.2">
      <c r="B117" s="223" t="s">
        <v>1316</v>
      </c>
      <c r="C117" s="458" t="s">
        <v>47</v>
      </c>
      <c r="D117" s="458" t="s">
        <v>47</v>
      </c>
      <c r="E117" s="458" t="s">
        <v>47</v>
      </c>
      <c r="F117" s="458" t="s">
        <v>47</v>
      </c>
      <c r="G117" s="458" t="s">
        <v>47</v>
      </c>
      <c r="H117" s="458" t="s">
        <v>47</v>
      </c>
      <c r="I117" s="458" t="s">
        <v>47</v>
      </c>
      <c r="J117" s="458" t="s">
        <v>47</v>
      </c>
      <c r="K117" s="458" t="s">
        <v>47</v>
      </c>
      <c r="L117" s="458" t="s">
        <v>47</v>
      </c>
      <c r="M117" s="458" t="s">
        <v>47</v>
      </c>
      <c r="N117" s="458" t="s">
        <v>47</v>
      </c>
      <c r="O117" s="458" t="s">
        <v>47</v>
      </c>
      <c r="P117" s="458" t="s">
        <v>47</v>
      </c>
      <c r="Q117" s="458" t="s">
        <v>47</v>
      </c>
      <c r="R117" s="458" t="s">
        <v>47</v>
      </c>
      <c r="S117" s="458" t="s">
        <v>47</v>
      </c>
      <c r="T117" s="458" t="s">
        <v>47</v>
      </c>
      <c r="U117" s="458" t="s">
        <v>47</v>
      </c>
      <c r="V117" s="458" t="s">
        <v>47</v>
      </c>
      <c r="W117" s="458" t="s">
        <v>47</v>
      </c>
      <c r="X117" s="458" t="s">
        <v>47</v>
      </c>
      <c r="Y117" s="468" t="s">
        <v>47</v>
      </c>
      <c r="Z117" s="458" t="s">
        <v>47</v>
      </c>
      <c r="AA117" s="469" t="s">
        <v>47</v>
      </c>
      <c r="AB117" s="458" t="s">
        <v>47</v>
      </c>
      <c r="AC117" s="458" t="s">
        <v>47</v>
      </c>
      <c r="AD117" s="468" t="s">
        <v>47</v>
      </c>
      <c r="AE117" s="458" t="s">
        <v>47</v>
      </c>
      <c r="AF117" s="469" t="s">
        <v>47</v>
      </c>
      <c r="AG117" s="458" t="s">
        <v>47</v>
      </c>
      <c r="AH117" s="458" t="s">
        <v>47</v>
      </c>
      <c r="AI117" s="458" t="s">
        <v>47</v>
      </c>
      <c r="AJ117" s="468" t="s">
        <v>47</v>
      </c>
      <c r="AK117" s="469" t="s">
        <v>47</v>
      </c>
      <c r="AL117" s="458" t="s">
        <v>47</v>
      </c>
      <c r="AM117" s="469" t="s">
        <v>47</v>
      </c>
      <c r="AN117" s="468" t="s">
        <v>47</v>
      </c>
      <c r="AO117" s="458" t="s">
        <v>47</v>
      </c>
      <c r="AP117" s="469" t="s">
        <v>47</v>
      </c>
      <c r="AQ117" s="469" t="s">
        <v>47</v>
      </c>
      <c r="AR117" s="1162">
        <v>26571.047639999997</v>
      </c>
      <c r="AS117" s="1162">
        <v>27331.937509999996</v>
      </c>
      <c r="AT117" s="1162">
        <v>6052.8505499999965</v>
      </c>
      <c r="AU117" s="1162">
        <v>6330.8441999999959</v>
      </c>
      <c r="AV117" s="1162">
        <v>6330.8441999999959</v>
      </c>
      <c r="AW117" s="1162">
        <v>6330.8441999999959</v>
      </c>
      <c r="AX117" s="1162">
        <v>6330.8441999999959</v>
      </c>
      <c r="AY117" s="1162">
        <v>6330.84</v>
      </c>
      <c r="AZ117" s="1162">
        <v>11868.3</v>
      </c>
      <c r="BA117" s="648">
        <f>+SUM(Y117:AZ117)</f>
        <v>103478.35249999996</v>
      </c>
      <c r="BB117" s="957">
        <v>1.6E-2</v>
      </c>
      <c r="BC117"/>
    </row>
    <row r="118" spans="2:55" x14ac:dyDescent="0.2">
      <c r="B118" s="223" t="s">
        <v>1317</v>
      </c>
      <c r="C118" s="458" t="s">
        <v>47</v>
      </c>
      <c r="D118" s="458" t="s">
        <v>47</v>
      </c>
      <c r="E118" s="458" t="s">
        <v>47</v>
      </c>
      <c r="F118" s="458" t="s">
        <v>47</v>
      </c>
      <c r="G118" s="458" t="s">
        <v>47</v>
      </c>
      <c r="H118" s="458" t="s">
        <v>47</v>
      </c>
      <c r="I118" s="458" t="s">
        <v>47</v>
      </c>
      <c r="J118" s="458" t="s">
        <v>47</v>
      </c>
      <c r="K118" s="458" t="s">
        <v>47</v>
      </c>
      <c r="L118" s="458" t="s">
        <v>47</v>
      </c>
      <c r="M118" s="458" t="s">
        <v>47</v>
      </c>
      <c r="N118" s="458" t="s">
        <v>47</v>
      </c>
      <c r="O118" s="458" t="s">
        <v>47</v>
      </c>
      <c r="P118" s="458" t="s">
        <v>47</v>
      </c>
      <c r="Q118" s="458" t="s">
        <v>47</v>
      </c>
      <c r="R118" s="458" t="s">
        <v>47</v>
      </c>
      <c r="S118" s="458" t="s">
        <v>47</v>
      </c>
      <c r="T118" s="458" t="s">
        <v>47</v>
      </c>
      <c r="U118" s="458" t="s">
        <v>47</v>
      </c>
      <c r="V118" s="458" t="s">
        <v>47</v>
      </c>
      <c r="W118" s="458" t="s">
        <v>47</v>
      </c>
      <c r="X118" s="458" t="s">
        <v>47</v>
      </c>
      <c r="Y118" s="468" t="s">
        <v>47</v>
      </c>
      <c r="Z118" s="458" t="s">
        <v>47</v>
      </c>
      <c r="AA118" s="469" t="s">
        <v>47</v>
      </c>
      <c r="AB118" s="458" t="s">
        <v>47</v>
      </c>
      <c r="AC118" s="458" t="s">
        <v>47</v>
      </c>
      <c r="AD118" s="468" t="s">
        <v>47</v>
      </c>
      <c r="AE118" s="458" t="s">
        <v>47</v>
      </c>
      <c r="AF118" s="469" t="s">
        <v>47</v>
      </c>
      <c r="AG118" s="458" t="s">
        <v>47</v>
      </c>
      <c r="AH118" s="458" t="s">
        <v>47</v>
      </c>
      <c r="AI118" s="458" t="s">
        <v>47</v>
      </c>
      <c r="AJ118" s="468" t="s">
        <v>47</v>
      </c>
      <c r="AK118" s="469" t="s">
        <v>47</v>
      </c>
      <c r="AL118" s="458" t="s">
        <v>47</v>
      </c>
      <c r="AM118" s="469" t="s">
        <v>47</v>
      </c>
      <c r="AN118" s="468" t="s">
        <v>47</v>
      </c>
      <c r="AO118" s="458" t="s">
        <v>47</v>
      </c>
      <c r="AP118" s="469" t="s">
        <v>47</v>
      </c>
      <c r="AQ118" s="469" t="s">
        <v>47</v>
      </c>
      <c r="AR118" s="1162">
        <v>26571.047639999997</v>
      </c>
      <c r="AS118" s="1162">
        <v>27331.937509999996</v>
      </c>
      <c r="AT118" s="1162">
        <v>6052.8505499999965</v>
      </c>
      <c r="AU118" s="1162">
        <v>6330.8441999999959</v>
      </c>
      <c r="AV118" s="1162">
        <v>6330.8441999999959</v>
      </c>
      <c r="AW118" s="1162">
        <v>6330.8441999999959</v>
      </c>
      <c r="AX118" s="1162">
        <v>6330.8441999999959</v>
      </c>
      <c r="AY118" s="1162">
        <v>6330.84</v>
      </c>
      <c r="AZ118" s="1162">
        <v>11868.3</v>
      </c>
      <c r="BA118" s="648">
        <f>+SUM(Y118:AZ118)</f>
        <v>103478.35249999996</v>
      </c>
      <c r="BB118" s="957">
        <v>1.6E-2</v>
      </c>
      <c r="BC118"/>
    </row>
    <row r="119" spans="2:55" x14ac:dyDescent="0.2">
      <c r="B119" s="223" t="s">
        <v>1318</v>
      </c>
      <c r="C119" s="1000" t="s">
        <v>47</v>
      </c>
      <c r="D119" s="1000" t="s">
        <v>47</v>
      </c>
      <c r="E119" s="1000" t="s">
        <v>47</v>
      </c>
      <c r="F119" s="1000" t="s">
        <v>47</v>
      </c>
      <c r="G119" s="1000" t="s">
        <v>47</v>
      </c>
      <c r="H119" s="1000" t="s">
        <v>47</v>
      </c>
      <c r="I119" s="1000" t="s">
        <v>47</v>
      </c>
      <c r="J119" s="1000" t="s">
        <v>47</v>
      </c>
      <c r="K119" s="1000" t="s">
        <v>47</v>
      </c>
      <c r="L119" s="1000" t="s">
        <v>47</v>
      </c>
      <c r="M119" s="1000" t="s">
        <v>47</v>
      </c>
      <c r="N119" s="1000" t="s">
        <v>47</v>
      </c>
      <c r="O119" s="1000" t="s">
        <v>47</v>
      </c>
      <c r="P119" s="1000" t="s">
        <v>47</v>
      </c>
      <c r="Q119" s="1000" t="s">
        <v>47</v>
      </c>
      <c r="R119" s="1000" t="s">
        <v>47</v>
      </c>
      <c r="S119" s="1000" t="s">
        <v>47</v>
      </c>
      <c r="T119" s="1000" t="s">
        <v>47</v>
      </c>
      <c r="U119" s="1000" t="s">
        <v>47</v>
      </c>
      <c r="V119" s="1000" t="s">
        <v>47</v>
      </c>
      <c r="W119" s="1000" t="s">
        <v>47</v>
      </c>
      <c r="X119" s="1000" t="s">
        <v>47</v>
      </c>
      <c r="Y119" s="959" t="s">
        <v>47</v>
      </c>
      <c r="Z119" s="1000" t="s">
        <v>47</v>
      </c>
      <c r="AA119" s="960" t="s">
        <v>47</v>
      </c>
      <c r="AB119" s="1000" t="s">
        <v>47</v>
      </c>
      <c r="AC119" s="1000" t="s">
        <v>47</v>
      </c>
      <c r="AD119" s="959" t="s">
        <v>47</v>
      </c>
      <c r="AE119" s="1000" t="s">
        <v>47</v>
      </c>
      <c r="AF119" s="960" t="s">
        <v>47</v>
      </c>
      <c r="AG119" s="1000" t="s">
        <v>47</v>
      </c>
      <c r="AH119" s="1000" t="s">
        <v>47</v>
      </c>
      <c r="AI119" s="1000" t="s">
        <v>47</v>
      </c>
      <c r="AJ119" s="959" t="s">
        <v>47</v>
      </c>
      <c r="AK119" s="960" t="s">
        <v>47</v>
      </c>
      <c r="AL119" s="1000" t="s">
        <v>47</v>
      </c>
      <c r="AM119" s="960" t="s">
        <v>47</v>
      </c>
      <c r="AN119" s="959" t="s">
        <v>47</v>
      </c>
      <c r="AO119" s="1000" t="s">
        <v>47</v>
      </c>
      <c r="AP119" s="960" t="s">
        <v>47</v>
      </c>
      <c r="AQ119" s="960" t="s">
        <v>47</v>
      </c>
      <c r="AR119" s="1215">
        <v>26571.047639999997</v>
      </c>
      <c r="AS119" s="1163">
        <v>27331.937509999996</v>
      </c>
      <c r="AT119" s="1163">
        <v>6052.8505499999965</v>
      </c>
      <c r="AU119" s="1163">
        <v>6330.8441999999959</v>
      </c>
      <c r="AV119" s="1163">
        <v>6330.8441999999959</v>
      </c>
      <c r="AW119" s="1163">
        <v>6330.8441999999959</v>
      </c>
      <c r="AX119" s="1163">
        <v>6330.8441999999959</v>
      </c>
      <c r="AY119" s="1163">
        <v>6330.84</v>
      </c>
      <c r="AZ119" s="1163">
        <v>11868.3</v>
      </c>
      <c r="BA119" s="1074">
        <f>+SUM(Y119:AZ119)</f>
        <v>103478.35249999996</v>
      </c>
      <c r="BB119" s="1218">
        <v>1.6E-2</v>
      </c>
      <c r="BC119"/>
    </row>
    <row r="120" spans="2:55" s="939" customFormat="1" x14ac:dyDescent="0.2">
      <c r="B120" s="459" t="s">
        <v>377</v>
      </c>
      <c r="C120" s="459"/>
      <c r="D120" s="459"/>
      <c r="E120" s="459"/>
      <c r="F120" s="459"/>
      <c r="G120" s="459"/>
      <c r="H120" s="459"/>
      <c r="I120" s="459"/>
      <c r="J120" s="459"/>
      <c r="K120" s="459"/>
      <c r="L120" s="459"/>
      <c r="M120" s="459"/>
      <c r="N120" s="459"/>
      <c r="O120" s="459"/>
      <c r="AA120" s="941"/>
      <c r="AB120" s="941"/>
      <c r="AC120" s="941"/>
      <c r="AD120" s="941"/>
      <c r="AE120" s="941"/>
      <c r="AF120" s="941"/>
      <c r="AG120" s="941"/>
      <c r="AH120" s="941"/>
      <c r="AP120" s="1039"/>
      <c r="AQ120" s="1039"/>
    </row>
    <row r="121" spans="2:55" s="939" customFormat="1" x14ac:dyDescent="0.2">
      <c r="B121" s="459"/>
      <c r="C121" s="459"/>
      <c r="D121" s="459"/>
      <c r="E121" s="459"/>
      <c r="F121" s="459"/>
      <c r="G121" s="459"/>
      <c r="H121" s="459"/>
      <c r="I121" s="459"/>
      <c r="J121" s="459"/>
      <c r="K121" s="459"/>
      <c r="L121" s="459"/>
      <c r="M121" s="459"/>
      <c r="N121" s="459"/>
      <c r="O121" s="459"/>
      <c r="AA121" s="941"/>
      <c r="AB121" s="941"/>
      <c r="AC121" s="941"/>
      <c r="AD121" s="941"/>
      <c r="AE121" s="941"/>
      <c r="AF121" s="941"/>
      <c r="AG121" s="941"/>
      <c r="AH121" s="941"/>
      <c r="AP121" s="1039"/>
      <c r="AQ121" s="1039"/>
    </row>
    <row r="122" spans="2:55" s="939" customFormat="1" x14ac:dyDescent="0.2">
      <c r="B122" s="128" t="s">
        <v>1235</v>
      </c>
      <c r="C122" s="142" t="str">
        <f t="shared" ref="C122:BB122" si="65">+C$3</f>
        <v>1Q12</v>
      </c>
      <c r="D122" s="142" t="str">
        <f t="shared" si="65"/>
        <v>2Q12</v>
      </c>
      <c r="E122" s="142" t="str">
        <f t="shared" si="65"/>
        <v>3Q12</v>
      </c>
      <c r="F122" s="142" t="str">
        <f t="shared" si="65"/>
        <v>4Q12</v>
      </c>
      <c r="G122" s="142" t="str">
        <f t="shared" si="65"/>
        <v>1Q13</v>
      </c>
      <c r="H122" s="142" t="str">
        <f t="shared" si="65"/>
        <v>2Q13</v>
      </c>
      <c r="I122" s="142" t="str">
        <f t="shared" si="65"/>
        <v>3Q13</v>
      </c>
      <c r="J122" s="142" t="str">
        <f t="shared" si="65"/>
        <v>4Q13</v>
      </c>
      <c r="K122" s="142" t="str">
        <f t="shared" si="65"/>
        <v>1Q14</v>
      </c>
      <c r="L122" s="142" t="str">
        <f t="shared" si="65"/>
        <v>2Q14</v>
      </c>
      <c r="M122" s="142" t="str">
        <f t="shared" si="65"/>
        <v>3Q14</v>
      </c>
      <c r="N122" s="142" t="str">
        <f t="shared" si="65"/>
        <v>4Q14</v>
      </c>
      <c r="O122" s="142" t="str">
        <f t="shared" si="65"/>
        <v>1Q15</v>
      </c>
      <c r="P122" s="142" t="str">
        <f t="shared" si="65"/>
        <v>2Q15</v>
      </c>
      <c r="Q122" s="142" t="str">
        <f t="shared" si="65"/>
        <v>3Q15</v>
      </c>
      <c r="R122" s="142" t="str">
        <f t="shared" si="65"/>
        <v>4Q15</v>
      </c>
      <c r="S122" s="142" t="str">
        <f t="shared" si="65"/>
        <v>1Q16</v>
      </c>
      <c r="T122" s="142" t="str">
        <f t="shared" si="65"/>
        <v>2Q16</v>
      </c>
      <c r="U122" s="142" t="str">
        <f t="shared" si="65"/>
        <v>3Q16</v>
      </c>
      <c r="V122" s="142" t="str">
        <f t="shared" si="65"/>
        <v>4Q16</v>
      </c>
      <c r="W122" s="142" t="str">
        <f t="shared" si="65"/>
        <v>1Q17</v>
      </c>
      <c r="X122" s="142" t="str">
        <f t="shared" si="65"/>
        <v>2Q17</v>
      </c>
      <c r="Y122" s="142" t="str">
        <f t="shared" si="65"/>
        <v>3Q17</v>
      </c>
      <c r="Z122" s="142" t="str">
        <f t="shared" si="65"/>
        <v>4Q17</v>
      </c>
      <c r="AA122" s="142" t="str">
        <f t="shared" si="65"/>
        <v>1Q18</v>
      </c>
      <c r="AB122" s="142" t="str">
        <f t="shared" si="65"/>
        <v>2Q18</v>
      </c>
      <c r="AC122" s="142" t="str">
        <f t="shared" si="65"/>
        <v>3Q18</v>
      </c>
      <c r="AD122" s="142" t="str">
        <f t="shared" si="65"/>
        <v>4Q18</v>
      </c>
      <c r="AE122" s="142" t="str">
        <f t="shared" si="65"/>
        <v>1Q19</v>
      </c>
      <c r="AF122" s="142" t="str">
        <f t="shared" si="65"/>
        <v>2Q19</v>
      </c>
      <c r="AG122" s="142" t="str">
        <f t="shared" si="65"/>
        <v>3Q19</v>
      </c>
      <c r="AH122" s="142" t="str">
        <f t="shared" si="65"/>
        <v>4Q19</v>
      </c>
      <c r="AI122" s="142" t="str">
        <f t="shared" si="65"/>
        <v>1Q20</v>
      </c>
      <c r="AJ122" s="142" t="str">
        <f t="shared" si="65"/>
        <v>2Q20</v>
      </c>
      <c r="AK122" s="142" t="str">
        <f t="shared" si="65"/>
        <v>3Q20</v>
      </c>
      <c r="AL122" s="142" t="str">
        <f t="shared" si="65"/>
        <v>4Q20</v>
      </c>
      <c r="AM122" s="142" t="str">
        <f t="shared" si="65"/>
        <v>1Q21</v>
      </c>
      <c r="AN122" s="142" t="str">
        <f t="shared" si="65"/>
        <v>2Q21</v>
      </c>
      <c r="AO122" s="142" t="str">
        <f t="shared" si="65"/>
        <v>3Q21</v>
      </c>
      <c r="AP122" s="142" t="str">
        <f t="shared" si="65"/>
        <v>4Q21</v>
      </c>
      <c r="AQ122" s="142" t="str">
        <f t="shared" si="65"/>
        <v>1Q22</v>
      </c>
      <c r="AR122" s="142" t="str">
        <f t="shared" si="65"/>
        <v>2Q22</v>
      </c>
      <c r="AS122" s="142" t="str">
        <f t="shared" si="65"/>
        <v>3Q22</v>
      </c>
      <c r="AT122" s="142" t="str">
        <f t="shared" si="65"/>
        <v>4Q22</v>
      </c>
      <c r="AU122" s="142" t="str">
        <f t="shared" si="65"/>
        <v>1Q23</v>
      </c>
      <c r="AV122" s="142" t="str">
        <f t="shared" si="65"/>
        <v>2Q23</v>
      </c>
      <c r="AW122" s="142" t="str">
        <f t="shared" si="65"/>
        <v>3Q23</v>
      </c>
      <c r="AX122" s="142" t="str">
        <f t="shared" si="65"/>
        <v>4Q23</v>
      </c>
      <c r="AY122" s="142" t="str">
        <f t="shared" si="65"/>
        <v>1Q24</v>
      </c>
      <c r="AZ122" s="142" t="str">
        <f t="shared" si="65"/>
        <v>2Q24</v>
      </c>
      <c r="BA122" s="142" t="str">
        <f t="shared" si="65"/>
        <v>3Q24</v>
      </c>
      <c r="BB122" s="142" t="str">
        <f t="shared" si="65"/>
        <v>4Q24</v>
      </c>
    </row>
    <row r="123" spans="2:55" s="939" customFormat="1" x14ac:dyDescent="0.2">
      <c r="B123" s="619" t="s">
        <v>1236</v>
      </c>
      <c r="C123" s="122">
        <f t="shared" ref="C123:AH123" si="66">C27</f>
        <v>0</v>
      </c>
      <c r="D123" s="122">
        <f t="shared" si="66"/>
        <v>0</v>
      </c>
      <c r="E123" s="122">
        <f t="shared" si="66"/>
        <v>0</v>
      </c>
      <c r="F123" s="122">
        <f t="shared" si="66"/>
        <v>0</v>
      </c>
      <c r="G123" s="122">
        <f t="shared" si="66"/>
        <v>87.551639999999992</v>
      </c>
      <c r="H123" s="122">
        <f t="shared" si="66"/>
        <v>83.31113999999998</v>
      </c>
      <c r="I123" s="122">
        <f t="shared" si="66"/>
        <v>77.612700000000004</v>
      </c>
      <c r="J123" s="122">
        <f t="shared" si="66"/>
        <v>73.092359999999985</v>
      </c>
      <c r="K123" s="122">
        <f t="shared" si="66"/>
        <v>73.423019999999994</v>
      </c>
      <c r="L123" s="122">
        <f t="shared" si="66"/>
        <v>73.507499999999979</v>
      </c>
      <c r="M123" s="122">
        <f t="shared" si="66"/>
        <v>70.394279999999981</v>
      </c>
      <c r="N123" s="122">
        <f t="shared" si="66"/>
        <v>85.672619999999995</v>
      </c>
      <c r="O123" s="122">
        <f t="shared" si="66"/>
        <v>90.095279999999974</v>
      </c>
      <c r="P123" s="122">
        <f t="shared" si="66"/>
        <v>74.806379999999947</v>
      </c>
      <c r="Q123" s="122">
        <f t="shared" si="66"/>
        <v>61.772690766599922</v>
      </c>
      <c r="R123" s="122">
        <f t="shared" si="66"/>
        <v>27.894110448599903</v>
      </c>
      <c r="S123" s="122">
        <f t="shared" si="66"/>
        <v>20.944597225199935</v>
      </c>
      <c r="T123" s="122">
        <f t="shared" si="66"/>
        <v>21.603436370999962</v>
      </c>
      <c r="U123" s="122">
        <f t="shared" si="66"/>
        <v>23.076146425199983</v>
      </c>
      <c r="V123" s="122">
        <f t="shared" si="66"/>
        <v>38.851514083800019</v>
      </c>
      <c r="W123" s="122">
        <f t="shared" si="66"/>
        <v>43.376547475799995</v>
      </c>
      <c r="X123" s="122">
        <f t="shared" si="66"/>
        <v>46.985338553999959</v>
      </c>
      <c r="Y123" s="122">
        <f t="shared" si="66"/>
        <v>53.469496139400007</v>
      </c>
      <c r="Z123" s="122">
        <f t="shared" si="66"/>
        <v>72.251454481799954</v>
      </c>
      <c r="AA123" s="122">
        <f t="shared" si="66"/>
        <v>77.65219994399996</v>
      </c>
      <c r="AB123" s="122">
        <f t="shared" si="66"/>
        <v>92.921281714799932</v>
      </c>
      <c r="AC123" s="122">
        <f t="shared" si="66"/>
        <v>104.63650094039987</v>
      </c>
      <c r="AD123" s="122">
        <f t="shared" si="66"/>
        <v>101.00922138779993</v>
      </c>
      <c r="AE123" s="122">
        <f t="shared" si="66"/>
        <v>112.94308180319992</v>
      </c>
      <c r="AF123" s="122">
        <f t="shared" si="66"/>
        <v>119.25605507639999</v>
      </c>
      <c r="AG123" s="122">
        <f t="shared" si="66"/>
        <v>155.15342575920013</v>
      </c>
      <c r="AH123" s="122">
        <f t="shared" si="66"/>
        <v>158.14545451980013</v>
      </c>
      <c r="AI123" s="122">
        <f t="shared" ref="AI123:BB123" si="67">AI27</f>
        <v>148.98818916960008</v>
      </c>
      <c r="AJ123" s="122">
        <f t="shared" si="67"/>
        <v>112.69500509520005</v>
      </c>
      <c r="AK123" s="122">
        <f t="shared" si="67"/>
        <v>74.439846175199946</v>
      </c>
      <c r="AL123" s="122">
        <f t="shared" si="67"/>
        <v>65.955643789199968</v>
      </c>
      <c r="AM123" s="122">
        <f t="shared" si="67"/>
        <v>68.253609586799953</v>
      </c>
      <c r="AN123" s="122">
        <f t="shared" si="67"/>
        <v>92.939059811399943</v>
      </c>
      <c r="AO123" s="122">
        <f t="shared" si="67"/>
        <v>80.804265616799952</v>
      </c>
      <c r="AP123" s="122">
        <f t="shared" si="67"/>
        <v>77.989585621199907</v>
      </c>
      <c r="AQ123" s="122">
        <f t="shared" si="67"/>
        <v>72.29344714019993</v>
      </c>
      <c r="AR123" s="122">
        <f t="shared" si="67"/>
        <v>77.073679016399893</v>
      </c>
      <c r="AS123" s="122">
        <f t="shared" si="67"/>
        <v>106.77793911179991</v>
      </c>
      <c r="AT123" s="122">
        <f t="shared" si="67"/>
        <v>125.80228589939992</v>
      </c>
      <c r="AU123" s="122">
        <f t="shared" si="67"/>
        <v>138.10310451959981</v>
      </c>
      <c r="AV123" s="122">
        <f t="shared" si="67"/>
        <v>144.15103251119996</v>
      </c>
      <c r="AW123" s="122">
        <f t="shared" si="67"/>
        <v>141.99605980560003</v>
      </c>
      <c r="AX123" s="122">
        <f t="shared" si="67"/>
        <v>138.78692293620017</v>
      </c>
      <c r="AY123" s="122">
        <f t="shared" si="67"/>
        <v>141.58626548880017</v>
      </c>
      <c r="AZ123" s="122">
        <f t="shared" si="67"/>
        <v>159.15413270460004</v>
      </c>
      <c r="BA123" s="122">
        <f t="shared" si="67"/>
        <v>189.68530963140009</v>
      </c>
      <c r="BB123" s="122">
        <f t="shared" si="67"/>
        <v>224.02333969619986</v>
      </c>
    </row>
    <row r="124" spans="2:55" s="939" customFormat="1" x14ac:dyDescent="0.2">
      <c r="B124" s="620" t="s">
        <v>1237</v>
      </c>
      <c r="C124" s="893">
        <f>SUM(IncSCons!A15:C24)/1000*(1-34%)</f>
        <v>0</v>
      </c>
      <c r="D124" s="893">
        <f>SUM(IncSCons!A15:D24)/1000*(1-34%)</f>
        <v>0</v>
      </c>
      <c r="E124" s="893">
        <f>SUM(IncSCons!B15:E24)/1000*(1-34%)</f>
        <v>0</v>
      </c>
      <c r="F124" s="893">
        <f>SUM(IncSCons!C15:F24)/1000*(1-34%)</f>
        <v>0</v>
      </c>
      <c r="G124" s="893">
        <f>SUM(IncSCons!D15:G24)/1000*(1-34%)</f>
        <v>0</v>
      </c>
      <c r="H124" s="893">
        <f>SUM(IncSCons!E15:H24)/1000*(1-34%)</f>
        <v>0</v>
      </c>
      <c r="I124" s="893">
        <f>SUM(IncSCons!F15:I24)/1000*(1-34%)</f>
        <v>0</v>
      </c>
      <c r="J124" s="893">
        <f>SUM(IncSCons!G15:J24)/1000*(1-34%)</f>
        <v>0</v>
      </c>
      <c r="K124" s="893">
        <f>SUM(IncSCons!H15:K24)/1000*(1-34%)</f>
        <v>5.6779799999999989</v>
      </c>
      <c r="L124" s="893">
        <f>SUM(IncSCons!I15:L24)/1000*(1-34%)</f>
        <v>5.6779799999999989</v>
      </c>
      <c r="M124" s="893">
        <f>SUM(IncSCons!J15:M24)/1000*(1-34%)</f>
        <v>5.6779799999999989</v>
      </c>
      <c r="N124" s="893">
        <f>SUM(IncSCons!K15:N24)/1000*(1-34%)</f>
        <v>5.6779799999999989</v>
      </c>
      <c r="O124" s="893">
        <f>SUM(IncSCons!L15:O24)/1000*(1-34%)</f>
        <v>0</v>
      </c>
      <c r="P124" s="893">
        <f>SUM(IncSCons!M15:P24)/1000*(1-34%)</f>
        <v>0</v>
      </c>
      <c r="Q124" s="893">
        <f>SUM(IncSCons!N15:Q24)/1000*(1-34%)</f>
        <v>0</v>
      </c>
      <c r="R124" s="893">
        <f>SUM(IncSCons!O15:R24)/1000*(1-34%)</f>
        <v>4.4201312627999991</v>
      </c>
      <c r="S124" s="893">
        <f>SUM(IncSCons!P15:S24)/1000*(1-34%)</f>
        <v>4.4201312627999991</v>
      </c>
      <c r="T124" s="893">
        <f>SUM(IncSCons!Q15:T24)/1000*(1-34%)</f>
        <v>4.4201312627999991</v>
      </c>
      <c r="U124" s="893">
        <f>SUM(IncSCons!R15:U24)/1000*(1-34%)</f>
        <v>4.4201312627999991</v>
      </c>
      <c r="V124" s="893">
        <f>SUM(IncSCons!S15:V24)/1000*(1-34%)</f>
        <v>0</v>
      </c>
      <c r="W124" s="893">
        <f>SUM(IncSCons!T15:W24)/1000*(1-34%)</f>
        <v>0</v>
      </c>
      <c r="X124" s="893">
        <f>SUM(IncSCons!U15:X24)/1000*(1-34%)</f>
        <v>9.8999999999999986</v>
      </c>
      <c r="Y124" s="893">
        <f>SUM(IncSCons!V15:Y24)/1000*(1-34%)</f>
        <v>13.683779999999999</v>
      </c>
      <c r="Z124" s="893">
        <f>SUM(IncSCons!W15:Z24)/1000*(1-34%)</f>
        <v>-1.8258270425999645</v>
      </c>
      <c r="AA124" s="893">
        <f>SUM(IncSCons!X15:AA24)/1000*(1-34%)</f>
        <v>-1.8258270425999645</v>
      </c>
      <c r="AB124" s="893">
        <f>SUM(IncSCons!Y15:AB24)/1000*(1-34%)</f>
        <v>-11.725827042599963</v>
      </c>
      <c r="AC124" s="893">
        <f>SUM(IncSCons!Z15:AC24)/1000*(1-34%)</f>
        <v>-12.043445488799964</v>
      </c>
      <c r="AD124" s="893">
        <f>SUM(IncSCons!AA15:AD24)/1000*(1-34%)</f>
        <v>11.967647523121949</v>
      </c>
      <c r="AE124" s="893">
        <f>SUM(IncSCons!AB15:AE24)/1000*(1-34%)</f>
        <v>11.967647523121949</v>
      </c>
      <c r="AF124" s="893">
        <f>SUM(IncSCons!AC15:AF24)/1000*(1-34%)</f>
        <v>11.967647523121949</v>
      </c>
      <c r="AG124" s="893">
        <f>SUM(IncSCons!AD15:AG24)/1000*(1-34%)</f>
        <v>-24.756867196078041</v>
      </c>
      <c r="AH124" s="893">
        <f>SUM(IncSCons!AE15:AH24)/1000*(1-34%)</f>
        <v>-31.770713165399993</v>
      </c>
      <c r="AI124" s="893">
        <f>SUM(IncSCons!AF15:AI24)/1000*(1-34%)</f>
        <v>-29.581493165399994</v>
      </c>
      <c r="AJ124" s="893">
        <f>SUM(IncSCons!AG15:AJ24)/1000*(1-34%)</f>
        <v>-29.581493165399994</v>
      </c>
      <c r="AK124" s="893">
        <f>SUM(IncSCons!AH15:AK24)/1000*(1-34%)</f>
        <v>3.6768599999999996</v>
      </c>
      <c r="AL124" s="893">
        <f>SUM(IncSCons!AI15:AL24)/1000*(1-34%)</f>
        <v>5.6345995200000001</v>
      </c>
      <c r="AM124" s="893">
        <f>SUM(IncSCons!AJ15:AM24)/1000*(1-34%)</f>
        <v>3.4453795199999995</v>
      </c>
      <c r="AN124" s="893">
        <f>SUM(IncSCons!AK15:AN24)/1000*(1-34%)</f>
        <v>-0.33821158139999991</v>
      </c>
      <c r="AO124" s="893">
        <f>SUM(IncSCons!AL15:AO24)/1000*(1-34%)</f>
        <v>0.42672841860000005</v>
      </c>
      <c r="AP124" s="893">
        <f>SUM(IncSCons!AM15:AP24)/1000*(1-34%)</f>
        <v>-4.7287111013999992</v>
      </c>
      <c r="AQ124" s="893">
        <f>SUM(IncSCons!AN15:AQ24)/1000*(1-34%)</f>
        <v>-4.7287111013999992</v>
      </c>
      <c r="AR124" s="893">
        <f>SUM(IncSCons!AO15:AR24)/1000*(1-34%)</f>
        <v>-0.94511999999999985</v>
      </c>
      <c r="AS124" s="893">
        <f>SUM(IncSCons!AP15:AS24)/1000*(1-34%)</f>
        <v>2.6756531999999997</v>
      </c>
      <c r="AT124" s="893">
        <f>SUM(IncSCons!AQ15:AT24)/1000*(1-34%)</f>
        <v>0.78292317975124348</v>
      </c>
      <c r="AU124" s="893">
        <f>SUM(IncSCons!AR15:AU24)/1000*(1-34%)</f>
        <v>0.78292317975124348</v>
      </c>
      <c r="AV124" s="893">
        <f>SUM(IncSCons!AS15:AV24)/1000*(1-34%)</f>
        <v>0.78292317975124348</v>
      </c>
      <c r="AW124" s="893">
        <f>SUM(IncSCons!AT15:AW24)/1000*(1-34%)</f>
        <v>-3.6027900202487566</v>
      </c>
      <c r="AX124" s="893">
        <f>SUM(IncSCons!AU15:AX24)/1000*(1-34%)</f>
        <v>0</v>
      </c>
      <c r="AY124" s="893">
        <f>SUM(IncSCons!AV15:BB24)/1000*(1-34%)</f>
        <v>0</v>
      </c>
      <c r="AZ124" s="893">
        <f>SUM(IncSCons!AW15:BC24)/1000*(1-34%)</f>
        <v>0</v>
      </c>
      <c r="BA124" s="893">
        <f>SUM(IncSCons!AX15:BD24)/1000*(1-34%)</f>
        <v>0</v>
      </c>
      <c r="BB124" s="893">
        <f>SUM(IncSCons!AY15:BE24)/1000*(1-34%)</f>
        <v>0</v>
      </c>
    </row>
    <row r="125" spans="2:55" s="939" customFormat="1" x14ac:dyDescent="0.2">
      <c r="B125" s="619" t="s">
        <v>1238</v>
      </c>
      <c r="C125" s="122">
        <f t="shared" ref="C125:AS125" si="68">SUM(C123:C124)</f>
        <v>0</v>
      </c>
      <c r="D125" s="122">
        <f t="shared" si="68"/>
        <v>0</v>
      </c>
      <c r="E125" s="122">
        <f t="shared" si="68"/>
        <v>0</v>
      </c>
      <c r="F125" s="122">
        <f t="shared" si="68"/>
        <v>0</v>
      </c>
      <c r="G125" s="122">
        <f t="shared" si="68"/>
        <v>87.551639999999992</v>
      </c>
      <c r="H125" s="122">
        <f t="shared" si="68"/>
        <v>83.31113999999998</v>
      </c>
      <c r="I125" s="122">
        <f t="shared" si="68"/>
        <v>77.612700000000004</v>
      </c>
      <c r="J125" s="122">
        <f t="shared" si="68"/>
        <v>73.092359999999985</v>
      </c>
      <c r="K125" s="122">
        <f t="shared" si="68"/>
        <v>79.100999999999999</v>
      </c>
      <c r="L125" s="122">
        <f t="shared" si="68"/>
        <v>79.185479999999984</v>
      </c>
      <c r="M125" s="122">
        <f t="shared" si="68"/>
        <v>76.072259999999986</v>
      </c>
      <c r="N125" s="122">
        <f t="shared" si="68"/>
        <v>91.3506</v>
      </c>
      <c r="O125" s="122">
        <f t="shared" si="68"/>
        <v>90.095279999999974</v>
      </c>
      <c r="P125" s="122">
        <f t="shared" si="68"/>
        <v>74.806379999999947</v>
      </c>
      <c r="Q125" s="122">
        <f t="shared" si="68"/>
        <v>61.772690766599922</v>
      </c>
      <c r="R125" s="122">
        <f t="shared" si="68"/>
        <v>32.314241711399902</v>
      </c>
      <c r="S125" s="122">
        <f t="shared" si="68"/>
        <v>25.364728487999933</v>
      </c>
      <c r="T125" s="122">
        <f t="shared" si="68"/>
        <v>26.02356763379996</v>
      </c>
      <c r="U125" s="122">
        <f t="shared" si="68"/>
        <v>27.496277687999982</v>
      </c>
      <c r="V125" s="122">
        <f t="shared" si="68"/>
        <v>38.851514083800019</v>
      </c>
      <c r="W125" s="122">
        <f t="shared" si="68"/>
        <v>43.376547475799995</v>
      </c>
      <c r="X125" s="122">
        <f t="shared" si="68"/>
        <v>56.885338553999958</v>
      </c>
      <c r="Y125" s="122">
        <f t="shared" si="68"/>
        <v>67.153276139400006</v>
      </c>
      <c r="Z125" s="122">
        <f t="shared" si="68"/>
        <v>70.425627439199985</v>
      </c>
      <c r="AA125" s="122">
        <f t="shared" si="68"/>
        <v>75.826372901399992</v>
      </c>
      <c r="AB125" s="122">
        <f t="shared" si="68"/>
        <v>81.195454672199972</v>
      </c>
      <c r="AC125" s="122">
        <f t="shared" si="68"/>
        <v>92.593055451599909</v>
      </c>
      <c r="AD125" s="122">
        <f t="shared" si="68"/>
        <v>112.97686891092188</v>
      </c>
      <c r="AE125" s="122">
        <f t="shared" si="68"/>
        <v>124.91072932632187</v>
      </c>
      <c r="AF125" s="122">
        <f t="shared" si="68"/>
        <v>131.22370259952194</v>
      </c>
      <c r="AG125" s="122">
        <f t="shared" si="68"/>
        <v>130.39655856312208</v>
      </c>
      <c r="AH125" s="122">
        <f t="shared" si="68"/>
        <v>126.37474135440013</v>
      </c>
      <c r="AI125" s="122">
        <f t="shared" si="68"/>
        <v>119.40669600420009</v>
      </c>
      <c r="AJ125" s="122">
        <f t="shared" si="68"/>
        <v>83.113511929800055</v>
      </c>
      <c r="AK125" s="122">
        <f t="shared" si="68"/>
        <v>78.116706175199951</v>
      </c>
      <c r="AL125" s="122">
        <f t="shared" si="68"/>
        <v>71.590243309199963</v>
      </c>
      <c r="AM125" s="122">
        <f t="shared" si="68"/>
        <v>71.698989106799957</v>
      </c>
      <c r="AN125" s="122">
        <f t="shared" si="68"/>
        <v>92.60084822999994</v>
      </c>
      <c r="AO125" s="122">
        <f t="shared" si="68"/>
        <v>81.230994035399959</v>
      </c>
      <c r="AP125" s="122">
        <f t="shared" si="68"/>
        <v>73.260874519799913</v>
      </c>
      <c r="AQ125" s="122">
        <f t="shared" si="68"/>
        <v>67.564736038799936</v>
      </c>
      <c r="AR125" s="122">
        <f t="shared" si="68"/>
        <v>76.12855901639989</v>
      </c>
      <c r="AS125" s="122">
        <f t="shared" si="68"/>
        <v>109.45359231179991</v>
      </c>
      <c r="AT125" s="122">
        <f t="shared" ref="AT125:AY125" si="69">SUM(AT123:AT124)</f>
        <v>126.58520907915116</v>
      </c>
      <c r="AU125" s="122">
        <f t="shared" si="69"/>
        <v>138.88602769935105</v>
      </c>
      <c r="AV125" s="122">
        <f t="shared" si="69"/>
        <v>144.93395569095119</v>
      </c>
      <c r="AW125" s="122">
        <f t="shared" si="69"/>
        <v>138.39326978535126</v>
      </c>
      <c r="AX125" s="122">
        <f t="shared" si="69"/>
        <v>138.78692293620017</v>
      </c>
      <c r="AY125" s="122">
        <f t="shared" si="69"/>
        <v>141.58626548880017</v>
      </c>
      <c r="AZ125" s="122">
        <f t="shared" ref="AZ125:BB125" si="70">SUM(AZ123:AZ124)</f>
        <v>159.15413270460004</v>
      </c>
      <c r="BA125" s="122">
        <f t="shared" si="70"/>
        <v>189.68530963140009</v>
      </c>
      <c r="BB125" s="122">
        <f t="shared" si="70"/>
        <v>224.02333969619986</v>
      </c>
    </row>
    <row r="126" spans="2:55" s="939" customFormat="1" x14ac:dyDescent="0.2">
      <c r="B126" s="619" t="s">
        <v>1242</v>
      </c>
      <c r="C126" s="122">
        <f t="shared" ref="C126:AS126" si="71">C127+C128-C129</f>
        <v>0</v>
      </c>
      <c r="D126" s="122">
        <f t="shared" si="71"/>
        <v>0</v>
      </c>
      <c r="E126" s="122">
        <f t="shared" si="71"/>
        <v>0</v>
      </c>
      <c r="F126" s="122">
        <f t="shared" si="71"/>
        <v>0</v>
      </c>
      <c r="G126" s="122">
        <f t="shared" si="71"/>
        <v>483.69200000000001</v>
      </c>
      <c r="H126" s="122">
        <f t="shared" si="71"/>
        <v>499.10599999999999</v>
      </c>
      <c r="I126" s="122">
        <f t="shared" si="71"/>
        <v>514.66250000000002</v>
      </c>
      <c r="J126" s="122">
        <f t="shared" si="71"/>
        <v>520.1690000000001</v>
      </c>
      <c r="K126" s="122">
        <f t="shared" si="71"/>
        <v>524.31124999999997</v>
      </c>
      <c r="L126" s="122">
        <f t="shared" si="71"/>
        <v>503.66325000000006</v>
      </c>
      <c r="M126" s="122">
        <f t="shared" si="71"/>
        <v>491.84750000000008</v>
      </c>
      <c r="N126" s="122">
        <f t="shared" si="71"/>
        <v>478.30574999999999</v>
      </c>
      <c r="O126" s="122">
        <f t="shared" si="71"/>
        <v>447.45925000000011</v>
      </c>
      <c r="P126" s="122">
        <f t="shared" si="71"/>
        <v>445.24125000000004</v>
      </c>
      <c r="Q126" s="122">
        <f t="shared" si="71"/>
        <v>414.31200000000001</v>
      </c>
      <c r="R126" s="122">
        <f t="shared" si="71"/>
        <v>386.26925000000006</v>
      </c>
      <c r="S126" s="122">
        <f t="shared" si="71"/>
        <v>365.87800000000004</v>
      </c>
      <c r="T126" s="122">
        <f t="shared" si="71"/>
        <v>336.21974999999998</v>
      </c>
      <c r="U126" s="122">
        <f t="shared" si="71"/>
        <v>320.70000000000005</v>
      </c>
      <c r="V126" s="122">
        <f t="shared" si="71"/>
        <v>310.29875000000004</v>
      </c>
      <c r="W126" s="122">
        <f t="shared" si="71"/>
        <v>311.30200000000002</v>
      </c>
      <c r="X126" s="122">
        <f t="shared" si="71"/>
        <v>313.00889967750004</v>
      </c>
      <c r="Y126" s="122">
        <f t="shared" si="71"/>
        <v>315.74179935500001</v>
      </c>
      <c r="Z126" s="122">
        <f t="shared" si="71"/>
        <v>328.37104935499997</v>
      </c>
      <c r="AA126" s="122">
        <f t="shared" si="71"/>
        <v>329.05529935499999</v>
      </c>
      <c r="AB126" s="122">
        <f t="shared" si="71"/>
        <v>330.96114967749998</v>
      </c>
      <c r="AC126" s="122">
        <f t="shared" si="71"/>
        <v>340.19150000000002</v>
      </c>
      <c r="AD126" s="122">
        <f t="shared" si="71"/>
        <v>349.94024999999999</v>
      </c>
      <c r="AE126" s="122">
        <f t="shared" si="71"/>
        <v>367.67149999999992</v>
      </c>
      <c r="AF126" s="122">
        <f t="shared" si="71"/>
        <v>380.60200000000009</v>
      </c>
      <c r="AG126" s="122">
        <f t="shared" si="71"/>
        <v>404.61599999999999</v>
      </c>
      <c r="AH126" s="122">
        <f t="shared" si="71"/>
        <v>426.05324999999993</v>
      </c>
      <c r="AI126" s="122">
        <f t="shared" si="71"/>
        <v>440.29649999999992</v>
      </c>
      <c r="AJ126" s="122">
        <f t="shared" si="71"/>
        <v>435.2639999999999</v>
      </c>
      <c r="AK126" s="122">
        <f t="shared" si="71"/>
        <v>425.23149999999998</v>
      </c>
      <c r="AL126" s="122">
        <f t="shared" si="71"/>
        <v>403.46199999999999</v>
      </c>
      <c r="AM126" s="122">
        <f t="shared" si="71"/>
        <v>386.43224999999995</v>
      </c>
      <c r="AN126" s="122">
        <f t="shared" si="71"/>
        <v>395.62124999999992</v>
      </c>
      <c r="AO126" s="122">
        <f t="shared" si="71"/>
        <v>397.94425000000001</v>
      </c>
      <c r="AP126" s="122">
        <f t="shared" si="71"/>
        <v>424.04549999999995</v>
      </c>
      <c r="AQ126" s="122">
        <f t="shared" si="71"/>
        <v>442.44475</v>
      </c>
      <c r="AR126" s="122">
        <f t="shared" si="71"/>
        <v>465.42549999999994</v>
      </c>
      <c r="AS126" s="122">
        <f t="shared" si="71"/>
        <v>488.09550000000002</v>
      </c>
      <c r="AT126" s="122">
        <f t="shared" ref="AT126:AY126" si="72">AT127+AT128-AT129</f>
        <v>491.88</v>
      </c>
      <c r="AU126" s="122">
        <f t="shared" si="72"/>
        <v>502.12350000000004</v>
      </c>
      <c r="AV126" s="122">
        <f t="shared" si="72"/>
        <v>501.85099999999989</v>
      </c>
      <c r="AW126" s="122">
        <f t="shared" si="72"/>
        <v>499.63599999999985</v>
      </c>
      <c r="AX126" s="122">
        <f t="shared" si="72"/>
        <v>506.28599999999994</v>
      </c>
      <c r="AY126" s="122">
        <f t="shared" si="72"/>
        <v>513.96399999999994</v>
      </c>
      <c r="AZ126" s="122">
        <f t="shared" ref="AZ126:BB126" si="73">AZ127+AZ128-AZ129</f>
        <v>528.01974999999993</v>
      </c>
      <c r="BA126" s="122">
        <f t="shared" si="73"/>
        <v>547.23249999999996</v>
      </c>
      <c r="BB126" s="122">
        <f t="shared" si="73"/>
        <v>567.6925</v>
      </c>
    </row>
    <row r="127" spans="2:55" s="939" customFormat="1" x14ac:dyDescent="0.2">
      <c r="B127" s="620" t="s">
        <v>733</v>
      </c>
      <c r="C127" s="118">
        <f t="shared" ref="C127:AH127" si="74">C29</f>
        <v>0</v>
      </c>
      <c r="D127" s="118">
        <f t="shared" si="74"/>
        <v>0</v>
      </c>
      <c r="E127" s="118">
        <f t="shared" si="74"/>
        <v>0</v>
      </c>
      <c r="F127" s="118">
        <f t="shared" si="74"/>
        <v>0</v>
      </c>
      <c r="G127" s="118">
        <f t="shared" si="74"/>
        <v>226.7955</v>
      </c>
      <c r="H127" s="118">
        <f t="shared" si="74"/>
        <v>239.9735</v>
      </c>
      <c r="I127" s="118">
        <f t="shared" si="74"/>
        <v>255.72475</v>
      </c>
      <c r="J127" s="118">
        <f t="shared" si="74"/>
        <v>266.86225000000002</v>
      </c>
      <c r="K127" s="118">
        <f t="shared" si="74"/>
        <v>277.32799999999997</v>
      </c>
      <c r="L127" s="118">
        <f t="shared" si="74"/>
        <v>266.69125000000003</v>
      </c>
      <c r="M127" s="118">
        <f t="shared" si="74"/>
        <v>273.41075000000001</v>
      </c>
      <c r="N127" s="118">
        <f t="shared" si="74"/>
        <v>269.72975000000002</v>
      </c>
      <c r="O127" s="118">
        <f t="shared" si="74"/>
        <v>247.17025000000001</v>
      </c>
      <c r="P127" s="118">
        <f t="shared" si="74"/>
        <v>246.27275</v>
      </c>
      <c r="Q127" s="118">
        <f t="shared" si="74"/>
        <v>209.7345</v>
      </c>
      <c r="R127" s="118">
        <f t="shared" si="74"/>
        <v>180.87524999999999</v>
      </c>
      <c r="S127" s="118">
        <f t="shared" si="74"/>
        <v>162.24600000000001</v>
      </c>
      <c r="T127" s="118">
        <f t="shared" si="74"/>
        <v>134.84800000000001</v>
      </c>
      <c r="U127" s="118">
        <f t="shared" si="74"/>
        <v>120.6005</v>
      </c>
      <c r="V127" s="118">
        <f t="shared" si="74"/>
        <v>107.77075000000001</v>
      </c>
      <c r="W127" s="118">
        <f t="shared" si="74"/>
        <v>104.33750000000001</v>
      </c>
      <c r="X127" s="118">
        <f t="shared" si="74"/>
        <v>96.198499999999996</v>
      </c>
      <c r="Y127" s="118">
        <f t="shared" si="74"/>
        <v>89.911749999999998</v>
      </c>
      <c r="Z127" s="118">
        <f t="shared" si="74"/>
        <v>83.767499999999998</v>
      </c>
      <c r="AA127" s="118">
        <f t="shared" si="74"/>
        <v>67.083500000000001</v>
      </c>
      <c r="AB127" s="118">
        <f t="shared" si="74"/>
        <v>58.734250000000003</v>
      </c>
      <c r="AC127" s="118">
        <f t="shared" si="74"/>
        <v>55.304499999999997</v>
      </c>
      <c r="AD127" s="118">
        <f t="shared" si="74"/>
        <v>55.53</v>
      </c>
      <c r="AE127" s="118">
        <f t="shared" si="74"/>
        <v>57.03725</v>
      </c>
      <c r="AF127" s="118">
        <f t="shared" si="74"/>
        <v>50.649250000000002</v>
      </c>
      <c r="AG127" s="118">
        <f t="shared" si="74"/>
        <v>42.41</v>
      </c>
      <c r="AH127" s="118">
        <f t="shared" si="74"/>
        <v>41.170499999999997</v>
      </c>
      <c r="AI127" s="118">
        <f t="shared" ref="AI127:BB127" si="75">AI29</f>
        <v>34.382249999999999</v>
      </c>
      <c r="AJ127" s="118">
        <f t="shared" si="75"/>
        <v>10.787750000000001</v>
      </c>
      <c r="AK127" s="118">
        <f t="shared" si="75"/>
        <v>-9.7977500000000006</v>
      </c>
      <c r="AL127" s="118">
        <f t="shared" si="75"/>
        <v>-43.963250000000002</v>
      </c>
      <c r="AM127" s="118">
        <f t="shared" si="75"/>
        <v>-73.438000000000002</v>
      </c>
      <c r="AN127" s="118">
        <f t="shared" si="75"/>
        <v>-80.865499999999997</v>
      </c>
      <c r="AO127" s="118">
        <f t="shared" si="75"/>
        <v>-90.714250000000007</v>
      </c>
      <c r="AP127" s="118">
        <f t="shared" si="75"/>
        <v>-78.630750000000006</v>
      </c>
      <c r="AQ127" s="118">
        <f t="shared" si="75"/>
        <v>-73.864249999999998</v>
      </c>
      <c r="AR127" s="118">
        <f t="shared" si="75"/>
        <v>-63.638249999999999</v>
      </c>
      <c r="AS127" s="118">
        <f t="shared" si="75"/>
        <v>-57.904499999999999</v>
      </c>
      <c r="AT127" s="118">
        <f t="shared" si="75"/>
        <v>-75.483750000000001</v>
      </c>
      <c r="AU127" s="118">
        <f t="shared" si="75"/>
        <v>-90.59075</v>
      </c>
      <c r="AV127" s="118">
        <f t="shared" si="75"/>
        <v>-114.2055</v>
      </c>
      <c r="AW127" s="118">
        <f t="shared" si="75"/>
        <v>-137.209</v>
      </c>
      <c r="AX127" s="118">
        <f t="shared" si="75"/>
        <v>-147.80425</v>
      </c>
      <c r="AY127" s="118">
        <f t="shared" si="75"/>
        <v>-158.02850000000001</v>
      </c>
      <c r="AZ127" s="118">
        <f t="shared" si="75"/>
        <v>-165.79474999999999</v>
      </c>
      <c r="BA127" s="118">
        <f t="shared" si="75"/>
        <v>-164.70050000000001</v>
      </c>
      <c r="BB127" s="118">
        <f t="shared" si="75"/>
        <v>-165.80025000000001</v>
      </c>
    </row>
    <row r="128" spans="2:55" s="939" customFormat="1" x14ac:dyDescent="0.2">
      <c r="B128" s="620" t="s">
        <v>734</v>
      </c>
      <c r="C128" s="118">
        <f t="shared" ref="C128:AH128" si="76">C30</f>
        <v>0</v>
      </c>
      <c r="D128" s="118">
        <f t="shared" si="76"/>
        <v>0</v>
      </c>
      <c r="E128" s="118">
        <f t="shared" si="76"/>
        <v>0</v>
      </c>
      <c r="F128" s="118">
        <f t="shared" si="76"/>
        <v>0</v>
      </c>
      <c r="G128" s="118">
        <f t="shared" si="76"/>
        <v>420.82049999999998</v>
      </c>
      <c r="H128" s="118">
        <f t="shared" si="76"/>
        <v>423.05650000000003</v>
      </c>
      <c r="I128" s="118">
        <f t="shared" si="76"/>
        <v>422.86174999999997</v>
      </c>
      <c r="J128" s="118">
        <f t="shared" si="76"/>
        <v>417.23075</v>
      </c>
      <c r="K128" s="118">
        <f t="shared" si="76"/>
        <v>410.90724999999998</v>
      </c>
      <c r="L128" s="118">
        <f t="shared" si="76"/>
        <v>400.89600000000002</v>
      </c>
      <c r="M128" s="118">
        <f t="shared" si="76"/>
        <v>382.36075</v>
      </c>
      <c r="N128" s="118">
        <f t="shared" si="76"/>
        <v>372.5</v>
      </c>
      <c r="O128" s="118">
        <f t="shared" si="76"/>
        <v>364.21300000000002</v>
      </c>
      <c r="P128" s="118">
        <f t="shared" si="76"/>
        <v>362.89249999999998</v>
      </c>
      <c r="Q128" s="118">
        <f t="shared" si="76"/>
        <v>368.50150000000002</v>
      </c>
      <c r="R128" s="118">
        <f t="shared" si="76"/>
        <v>369.31799999999998</v>
      </c>
      <c r="S128" s="118">
        <f t="shared" si="76"/>
        <v>367.55599999999998</v>
      </c>
      <c r="T128" s="118">
        <f t="shared" si="76"/>
        <v>365.29575</v>
      </c>
      <c r="U128" s="118">
        <f t="shared" si="76"/>
        <v>364.02350000000001</v>
      </c>
      <c r="V128" s="118">
        <f t="shared" si="76"/>
        <v>366.452</v>
      </c>
      <c r="W128" s="118">
        <f t="shared" si="76"/>
        <v>370.88850000000002</v>
      </c>
      <c r="X128" s="118">
        <f t="shared" si="76"/>
        <v>380.39325000000002</v>
      </c>
      <c r="Y128" s="118">
        <f t="shared" si="76"/>
        <v>389.07175000000001</v>
      </c>
      <c r="Z128" s="118">
        <f t="shared" si="76"/>
        <v>407.50400000000002</v>
      </c>
      <c r="AA128" s="118">
        <f t="shared" si="76"/>
        <v>428.07249999999999</v>
      </c>
      <c r="AB128" s="118">
        <f t="shared" si="76"/>
        <v>441.86900000000003</v>
      </c>
      <c r="AC128" s="118">
        <f t="shared" si="76"/>
        <v>458.07049999999998</v>
      </c>
      <c r="AD128" s="118">
        <f t="shared" si="76"/>
        <v>466.96199999999999</v>
      </c>
      <c r="AE128" s="118">
        <f t="shared" si="76"/>
        <v>479.01274999999998</v>
      </c>
      <c r="AF128" s="118">
        <f t="shared" si="76"/>
        <v>494.15800000000002</v>
      </c>
      <c r="AG128" s="118">
        <f t="shared" si="76"/>
        <v>522.23800000000006</v>
      </c>
      <c r="AH128" s="118">
        <f t="shared" si="76"/>
        <v>544.91475000000003</v>
      </c>
      <c r="AI128" s="118">
        <f t="shared" ref="AI128:BB128" si="77">AI30</f>
        <v>565.94624999999996</v>
      </c>
      <c r="AJ128" s="118">
        <f t="shared" si="77"/>
        <v>584.50824999999998</v>
      </c>
      <c r="AK128" s="118">
        <f t="shared" si="77"/>
        <v>595.06124999999997</v>
      </c>
      <c r="AL128" s="118">
        <f t="shared" si="77"/>
        <v>607.45725000000004</v>
      </c>
      <c r="AM128" s="118">
        <f t="shared" si="77"/>
        <v>619.90224999999998</v>
      </c>
      <c r="AN128" s="118">
        <f t="shared" si="77"/>
        <v>636.51874999999995</v>
      </c>
      <c r="AO128" s="118">
        <f t="shared" si="77"/>
        <v>648.69050000000004</v>
      </c>
      <c r="AP128" s="118">
        <f t="shared" si="77"/>
        <v>662.70825000000002</v>
      </c>
      <c r="AQ128" s="118">
        <f t="shared" si="77"/>
        <v>676.34100000000001</v>
      </c>
      <c r="AR128" s="118">
        <f t="shared" si="77"/>
        <v>689.09574999999995</v>
      </c>
      <c r="AS128" s="118">
        <f t="shared" si="77"/>
        <v>706.03200000000004</v>
      </c>
      <c r="AT128" s="118">
        <f t="shared" si="77"/>
        <v>727.39575000000002</v>
      </c>
      <c r="AU128" s="118">
        <f t="shared" si="77"/>
        <v>752.74625000000003</v>
      </c>
      <c r="AV128" s="118">
        <f t="shared" si="77"/>
        <v>776.08849999999995</v>
      </c>
      <c r="AW128" s="118">
        <f t="shared" si="77"/>
        <v>796.87699999999995</v>
      </c>
      <c r="AX128" s="118">
        <f t="shared" si="77"/>
        <v>814.12225000000001</v>
      </c>
      <c r="AY128" s="118">
        <f t="shared" si="77"/>
        <v>832.02449999999999</v>
      </c>
      <c r="AZ128" s="118">
        <f t="shared" si="77"/>
        <v>853.84649999999999</v>
      </c>
      <c r="BA128" s="118">
        <f t="shared" si="77"/>
        <v>871.96500000000003</v>
      </c>
      <c r="BB128" s="118">
        <f t="shared" si="77"/>
        <v>893.52475000000004</v>
      </c>
    </row>
    <row r="129" spans="2:54" s="939" customFormat="1" x14ac:dyDescent="0.2">
      <c r="B129" s="620" t="s">
        <v>735</v>
      </c>
      <c r="C129" s="118">
        <f t="shared" ref="C129:AH129" si="78">C31</f>
        <v>0</v>
      </c>
      <c r="D129" s="118">
        <f t="shared" si="78"/>
        <v>0</v>
      </c>
      <c r="E129" s="118">
        <f t="shared" si="78"/>
        <v>0</v>
      </c>
      <c r="F129" s="118">
        <f t="shared" si="78"/>
        <v>0</v>
      </c>
      <c r="G129" s="118">
        <f t="shared" si="78"/>
        <v>163.92400000000001</v>
      </c>
      <c r="H129" s="118">
        <f t="shared" si="78"/>
        <v>163.92400000000001</v>
      </c>
      <c r="I129" s="118">
        <f t="shared" si="78"/>
        <v>163.92400000000001</v>
      </c>
      <c r="J129" s="118">
        <f t="shared" si="78"/>
        <v>163.92400000000001</v>
      </c>
      <c r="K129" s="118">
        <f t="shared" si="78"/>
        <v>163.92400000000001</v>
      </c>
      <c r="L129" s="118">
        <f t="shared" si="78"/>
        <v>163.92400000000001</v>
      </c>
      <c r="M129" s="118">
        <f t="shared" si="78"/>
        <v>163.92400000000001</v>
      </c>
      <c r="N129" s="118">
        <f t="shared" si="78"/>
        <v>163.92400000000001</v>
      </c>
      <c r="O129" s="118">
        <f t="shared" si="78"/>
        <v>163.92400000000001</v>
      </c>
      <c r="P129" s="118">
        <f t="shared" si="78"/>
        <v>163.92400000000001</v>
      </c>
      <c r="Q129" s="118">
        <f t="shared" si="78"/>
        <v>163.92400000000001</v>
      </c>
      <c r="R129" s="118">
        <f t="shared" si="78"/>
        <v>163.92400000000001</v>
      </c>
      <c r="S129" s="118">
        <f t="shared" si="78"/>
        <v>163.92400000000001</v>
      </c>
      <c r="T129" s="118">
        <f t="shared" si="78"/>
        <v>163.92400000000001</v>
      </c>
      <c r="U129" s="118">
        <f t="shared" si="78"/>
        <v>163.92400000000001</v>
      </c>
      <c r="V129" s="118">
        <f t="shared" si="78"/>
        <v>163.92400000000001</v>
      </c>
      <c r="W129" s="118">
        <f t="shared" si="78"/>
        <v>163.92400000000001</v>
      </c>
      <c r="X129" s="118">
        <f t="shared" si="78"/>
        <v>163.58285032249998</v>
      </c>
      <c r="Y129" s="118">
        <f t="shared" si="78"/>
        <v>163.24170064500001</v>
      </c>
      <c r="Z129" s="118">
        <f t="shared" si="78"/>
        <v>162.90045064500001</v>
      </c>
      <c r="AA129" s="118">
        <f t="shared" si="78"/>
        <v>166.10070064500002</v>
      </c>
      <c r="AB129" s="118">
        <f t="shared" si="78"/>
        <v>169.6421003225</v>
      </c>
      <c r="AC129" s="118">
        <f t="shared" si="78"/>
        <v>173.18350000000001</v>
      </c>
      <c r="AD129" s="118">
        <f t="shared" si="78"/>
        <v>172.55175</v>
      </c>
      <c r="AE129" s="118">
        <f t="shared" si="78"/>
        <v>168.3785</v>
      </c>
      <c r="AF129" s="118">
        <f t="shared" si="78"/>
        <v>164.20525000000001</v>
      </c>
      <c r="AG129" s="118">
        <f t="shared" si="78"/>
        <v>160.03200000000001</v>
      </c>
      <c r="AH129" s="118">
        <f t="shared" si="78"/>
        <v>160.03200000000001</v>
      </c>
      <c r="AI129" s="118">
        <f t="shared" ref="AI129:BB129" si="79">AI31</f>
        <v>160.03200000000001</v>
      </c>
      <c r="AJ129" s="118">
        <f t="shared" si="79"/>
        <v>160.03200000000001</v>
      </c>
      <c r="AK129" s="118">
        <f t="shared" si="79"/>
        <v>160.03200000000001</v>
      </c>
      <c r="AL129" s="118">
        <f t="shared" si="79"/>
        <v>160.03200000000001</v>
      </c>
      <c r="AM129" s="118">
        <f t="shared" si="79"/>
        <v>160.03200000000001</v>
      </c>
      <c r="AN129" s="118">
        <f t="shared" si="79"/>
        <v>160.03200000000001</v>
      </c>
      <c r="AO129" s="118">
        <f t="shared" si="79"/>
        <v>160.03200000000001</v>
      </c>
      <c r="AP129" s="118">
        <f t="shared" si="79"/>
        <v>160.03200000000001</v>
      </c>
      <c r="AQ129" s="118">
        <f t="shared" si="79"/>
        <v>160.03200000000001</v>
      </c>
      <c r="AR129" s="118">
        <f t="shared" si="79"/>
        <v>160.03200000000001</v>
      </c>
      <c r="AS129" s="118">
        <f t="shared" si="79"/>
        <v>160.03200000000001</v>
      </c>
      <c r="AT129" s="118">
        <f t="shared" si="79"/>
        <v>160.03200000000001</v>
      </c>
      <c r="AU129" s="118">
        <f t="shared" si="79"/>
        <v>160.03200000000001</v>
      </c>
      <c r="AV129" s="118">
        <f t="shared" si="79"/>
        <v>160.03200000000001</v>
      </c>
      <c r="AW129" s="118">
        <f t="shared" si="79"/>
        <v>160.03200000000001</v>
      </c>
      <c r="AX129" s="118">
        <f t="shared" si="79"/>
        <v>160.03200000000001</v>
      </c>
      <c r="AY129" s="118">
        <f t="shared" si="79"/>
        <v>160.03200000000001</v>
      </c>
      <c r="AZ129" s="118">
        <f t="shared" si="79"/>
        <v>160.03200000000001</v>
      </c>
      <c r="BA129" s="118">
        <f t="shared" si="79"/>
        <v>160.03200000000001</v>
      </c>
      <c r="BB129" s="118">
        <f t="shared" si="79"/>
        <v>160.03200000000001</v>
      </c>
    </row>
    <row r="130" spans="2:54" s="939" customFormat="1" x14ac:dyDescent="0.2">
      <c r="B130" s="619" t="s">
        <v>1239</v>
      </c>
      <c r="C130" s="122">
        <f t="shared" ref="C130:AS130" si="80">C125-(C126*17%)</f>
        <v>0</v>
      </c>
      <c r="D130" s="122">
        <f t="shared" si="80"/>
        <v>0</v>
      </c>
      <c r="E130" s="122">
        <f t="shared" si="80"/>
        <v>0</v>
      </c>
      <c r="F130" s="122">
        <f t="shared" si="80"/>
        <v>0</v>
      </c>
      <c r="G130" s="122">
        <f t="shared" si="80"/>
        <v>5.3239999999999839</v>
      </c>
      <c r="H130" s="122">
        <f t="shared" si="80"/>
        <v>-1.5368800000000249</v>
      </c>
      <c r="I130" s="122">
        <f t="shared" si="80"/>
        <v>-9.8799250000000001</v>
      </c>
      <c r="J130" s="122">
        <f t="shared" si="80"/>
        <v>-15.336370000000031</v>
      </c>
      <c r="K130" s="122">
        <f t="shared" si="80"/>
        <v>-10.031912500000004</v>
      </c>
      <c r="L130" s="122">
        <f t="shared" si="80"/>
        <v>-6.4372725000000344</v>
      </c>
      <c r="M130" s="122">
        <f t="shared" si="80"/>
        <v>-7.5418150000000281</v>
      </c>
      <c r="N130" s="122">
        <f t="shared" si="80"/>
        <v>10.038622500000002</v>
      </c>
      <c r="O130" s="122">
        <f t="shared" si="80"/>
        <v>14.027207499999946</v>
      </c>
      <c r="P130" s="122">
        <f t="shared" si="80"/>
        <v>-0.8846325000000661</v>
      </c>
      <c r="Q130" s="122">
        <f t="shared" si="80"/>
        <v>-8.6603492334000833</v>
      </c>
      <c r="R130" s="122">
        <f t="shared" si="80"/>
        <v>-33.351530788600115</v>
      </c>
      <c r="S130" s="122">
        <f t="shared" si="80"/>
        <v>-36.834531512000076</v>
      </c>
      <c r="T130" s="122">
        <f t="shared" si="80"/>
        <v>-31.133789866200043</v>
      </c>
      <c r="U130" s="122">
        <f t="shared" si="80"/>
        <v>-27.022722312000031</v>
      </c>
      <c r="V130" s="122">
        <f t="shared" si="80"/>
        <v>-13.899273416199989</v>
      </c>
      <c r="W130" s="122">
        <f t="shared" si="80"/>
        <v>-9.5447925242000125</v>
      </c>
      <c r="X130" s="122">
        <f t="shared" si="80"/>
        <v>3.6738256088249486</v>
      </c>
      <c r="Y130" s="122">
        <f t="shared" si="80"/>
        <v>13.477170249049998</v>
      </c>
      <c r="Z130" s="122">
        <f t="shared" si="80"/>
        <v>14.602549048849987</v>
      </c>
      <c r="AA130" s="122">
        <f t="shared" si="80"/>
        <v>19.886972011049991</v>
      </c>
      <c r="AB130" s="122">
        <f t="shared" si="80"/>
        <v>24.932059227024972</v>
      </c>
      <c r="AC130" s="122">
        <f t="shared" si="80"/>
        <v>34.760500451599903</v>
      </c>
      <c r="AD130" s="122">
        <f t="shared" si="80"/>
        <v>53.487026410921878</v>
      </c>
      <c r="AE130" s="122">
        <f t="shared" si="80"/>
        <v>62.406574326321881</v>
      </c>
      <c r="AF130" s="122">
        <f t="shared" si="80"/>
        <v>66.521362599521922</v>
      </c>
      <c r="AG130" s="122">
        <f t="shared" si="80"/>
        <v>61.611838563122078</v>
      </c>
      <c r="AH130" s="122">
        <f t="shared" si="80"/>
        <v>53.945688854400132</v>
      </c>
      <c r="AI130" s="122">
        <f t="shared" si="80"/>
        <v>44.556291004200091</v>
      </c>
      <c r="AJ130" s="122">
        <f t="shared" si="80"/>
        <v>9.118631929800074</v>
      </c>
      <c r="AK130" s="122">
        <f t="shared" si="80"/>
        <v>5.8273511751999507</v>
      </c>
      <c r="AL130" s="122">
        <f t="shared" si="80"/>
        <v>3.0017033091999537</v>
      </c>
      <c r="AM130" s="122">
        <f t="shared" si="80"/>
        <v>6.0055066067999547</v>
      </c>
      <c r="AN130" s="122">
        <f t="shared" si="80"/>
        <v>25.345235729999956</v>
      </c>
      <c r="AO130" s="122">
        <f t="shared" si="80"/>
        <v>13.580471535399951</v>
      </c>
      <c r="AP130" s="122">
        <f t="shared" si="80"/>
        <v>1.1731395197999177</v>
      </c>
      <c r="AQ130" s="122">
        <f t="shared" si="80"/>
        <v>-7.6508714612000688</v>
      </c>
      <c r="AR130" s="122">
        <f t="shared" si="80"/>
        <v>-2.9937759836001021</v>
      </c>
      <c r="AS130" s="122">
        <f t="shared" si="80"/>
        <v>26.477357311799906</v>
      </c>
      <c r="AT130" s="122">
        <f t="shared" ref="AT130:AY130" si="81">AT125-(AT126*17%)</f>
        <v>42.96560907915115</v>
      </c>
      <c r="AU130" s="122">
        <f t="shared" si="81"/>
        <v>53.52503269935103</v>
      </c>
      <c r="AV130" s="122">
        <f t="shared" si="81"/>
        <v>59.619285690951202</v>
      </c>
      <c r="AW130" s="122">
        <f t="shared" si="81"/>
        <v>53.455149785351281</v>
      </c>
      <c r="AX130" s="122">
        <f t="shared" si="81"/>
        <v>52.718302936200175</v>
      </c>
      <c r="AY130" s="122">
        <f t="shared" si="81"/>
        <v>54.212385488800166</v>
      </c>
      <c r="AZ130" s="122">
        <f t="shared" ref="AZ130:BB130" si="82">AZ125-(AZ126*17%)</f>
        <v>69.390775204600047</v>
      </c>
      <c r="BA130" s="122">
        <f t="shared" si="82"/>
        <v>96.655784631400081</v>
      </c>
      <c r="BB130" s="122">
        <f t="shared" si="82"/>
        <v>127.51561469619985</v>
      </c>
    </row>
    <row r="131" spans="2:54" s="939" customFormat="1" x14ac:dyDescent="0.2">
      <c r="B131" s="619" t="s">
        <v>1240</v>
      </c>
      <c r="C131" s="122">
        <f t="shared" ref="C131:AS131" si="83">C125-(C126*12%)</f>
        <v>0</v>
      </c>
      <c r="D131" s="122">
        <f t="shared" si="83"/>
        <v>0</v>
      </c>
      <c r="E131" s="122">
        <f t="shared" si="83"/>
        <v>0</v>
      </c>
      <c r="F131" s="122">
        <f t="shared" si="83"/>
        <v>0</v>
      </c>
      <c r="G131" s="122">
        <f t="shared" si="83"/>
        <v>29.508599999999994</v>
      </c>
      <c r="H131" s="122">
        <f t="shared" si="83"/>
        <v>23.418419999999983</v>
      </c>
      <c r="I131" s="122">
        <f t="shared" si="83"/>
        <v>15.853200000000001</v>
      </c>
      <c r="J131" s="122">
        <f t="shared" si="83"/>
        <v>10.672079999999973</v>
      </c>
      <c r="K131" s="122">
        <f t="shared" si="83"/>
        <v>16.183650000000007</v>
      </c>
      <c r="L131" s="122">
        <f t="shared" si="83"/>
        <v>18.745889999999982</v>
      </c>
      <c r="M131" s="122">
        <f t="shared" si="83"/>
        <v>17.050559999999976</v>
      </c>
      <c r="N131" s="122">
        <f t="shared" si="83"/>
        <v>33.95391</v>
      </c>
      <c r="O131" s="122">
        <f t="shared" si="83"/>
        <v>36.40016999999996</v>
      </c>
      <c r="P131" s="122">
        <f t="shared" si="83"/>
        <v>21.377429999999947</v>
      </c>
      <c r="Q131" s="122">
        <f t="shared" si="83"/>
        <v>12.055250766599926</v>
      </c>
      <c r="R131" s="122">
        <f t="shared" si="83"/>
        <v>-14.038068288600101</v>
      </c>
      <c r="S131" s="122">
        <f t="shared" si="83"/>
        <v>-18.540631512000068</v>
      </c>
      <c r="T131" s="122">
        <f t="shared" si="83"/>
        <v>-14.322802366200033</v>
      </c>
      <c r="U131" s="122">
        <f t="shared" si="83"/>
        <v>-10.98772231200002</v>
      </c>
      <c r="V131" s="122">
        <f t="shared" si="83"/>
        <v>1.6156640838000129</v>
      </c>
      <c r="W131" s="122">
        <f t="shared" si="83"/>
        <v>6.0203074757999957</v>
      </c>
      <c r="X131" s="122">
        <f t="shared" si="83"/>
        <v>19.324270592699953</v>
      </c>
      <c r="Y131" s="122">
        <f t="shared" si="83"/>
        <v>29.264260216800004</v>
      </c>
      <c r="Z131" s="122">
        <f t="shared" si="83"/>
        <v>31.021101516599991</v>
      </c>
      <c r="AA131" s="122">
        <f t="shared" si="83"/>
        <v>36.339736978799998</v>
      </c>
      <c r="AB131" s="122">
        <f t="shared" si="83"/>
        <v>41.480116710899978</v>
      </c>
      <c r="AC131" s="122">
        <f t="shared" si="83"/>
        <v>51.770075451599908</v>
      </c>
      <c r="AD131" s="122">
        <f t="shared" si="83"/>
        <v>70.984038910921882</v>
      </c>
      <c r="AE131" s="122">
        <f t="shared" si="83"/>
        <v>80.790149326321881</v>
      </c>
      <c r="AF131" s="122">
        <f t="shared" si="83"/>
        <v>85.551462599521926</v>
      </c>
      <c r="AG131" s="122">
        <f t="shared" si="83"/>
        <v>81.84263856312208</v>
      </c>
      <c r="AH131" s="122">
        <f t="shared" si="83"/>
        <v>75.248351354400143</v>
      </c>
      <c r="AI131" s="122">
        <f t="shared" si="83"/>
        <v>66.571116004200093</v>
      </c>
      <c r="AJ131" s="122">
        <f t="shared" si="83"/>
        <v>30.881831929800072</v>
      </c>
      <c r="AK131" s="122">
        <f t="shared" si="83"/>
        <v>27.088926175199958</v>
      </c>
      <c r="AL131" s="122">
        <f t="shared" si="83"/>
        <v>23.174803309199966</v>
      </c>
      <c r="AM131" s="122">
        <f t="shared" si="83"/>
        <v>25.327119106799962</v>
      </c>
      <c r="AN131" s="122">
        <f t="shared" si="83"/>
        <v>45.126298229999954</v>
      </c>
      <c r="AO131" s="122">
        <f t="shared" si="83"/>
        <v>33.47768403539996</v>
      </c>
      <c r="AP131" s="122">
        <f t="shared" si="83"/>
        <v>22.375414519799918</v>
      </c>
      <c r="AQ131" s="122">
        <f t="shared" si="83"/>
        <v>14.471366038799935</v>
      </c>
      <c r="AR131" s="122">
        <f t="shared" si="83"/>
        <v>20.277499016399901</v>
      </c>
      <c r="AS131" s="122">
        <f t="shared" si="83"/>
        <v>50.882132311799907</v>
      </c>
      <c r="AT131" s="122">
        <f t="shared" ref="AT131:AY131" si="84">AT125-(AT126*12%)</f>
        <v>67.559609079151159</v>
      </c>
      <c r="AU131" s="122">
        <f t="shared" si="84"/>
        <v>78.631207699351052</v>
      </c>
      <c r="AV131" s="122">
        <f t="shared" si="84"/>
        <v>84.711835690951204</v>
      </c>
      <c r="AW131" s="122">
        <f t="shared" si="84"/>
        <v>78.436949785351288</v>
      </c>
      <c r="AX131" s="122">
        <f t="shared" si="84"/>
        <v>78.032602936200178</v>
      </c>
      <c r="AY131" s="122">
        <f t="shared" si="84"/>
        <v>79.910585488800166</v>
      </c>
      <c r="AZ131" s="122">
        <f t="shared" ref="AZ131:BB131" si="85">AZ125-(AZ126*12%)</f>
        <v>95.791762704600046</v>
      </c>
      <c r="BA131" s="122">
        <f t="shared" si="85"/>
        <v>124.0174096314001</v>
      </c>
      <c r="BB131" s="122">
        <f t="shared" si="85"/>
        <v>155.90023969619986</v>
      </c>
    </row>
    <row r="132" spans="2:54" s="939" customFormat="1" ht="22.5" customHeight="1" x14ac:dyDescent="0.2">
      <c r="B132" s="1143" t="s">
        <v>1241</v>
      </c>
      <c r="C132" s="459"/>
      <c r="D132" s="459"/>
      <c r="E132" s="459"/>
      <c r="F132" s="459"/>
      <c r="G132" s="459"/>
      <c r="H132" s="459"/>
      <c r="I132" s="459"/>
      <c r="J132" s="459"/>
      <c r="K132" s="459"/>
      <c r="L132" s="459"/>
      <c r="M132" s="459"/>
      <c r="N132" s="459"/>
      <c r="O132" s="459"/>
      <c r="AA132" s="941"/>
      <c r="AB132" s="941"/>
      <c r="AC132" s="941"/>
      <c r="AD132" s="941"/>
      <c r="AE132" s="941"/>
      <c r="AF132" s="941"/>
      <c r="AG132" s="941"/>
      <c r="AH132" s="941"/>
      <c r="AP132" s="1039"/>
      <c r="AQ132" s="1039"/>
      <c r="AR132" s="2"/>
      <c r="AS132" s="2"/>
      <c r="AT132" s="2"/>
      <c r="AU132" s="2"/>
      <c r="AV132" s="2"/>
      <c r="AW132" s="2"/>
      <c r="AX132" s="2"/>
      <c r="AY132" s="2"/>
      <c r="AZ132" s="2"/>
      <c r="BA132" s="2"/>
      <c r="BB132" s="2"/>
    </row>
    <row r="133" spans="2:54" s="939" customFormat="1" x14ac:dyDescent="0.2">
      <c r="B133" s="459"/>
      <c r="C133" s="459"/>
      <c r="D133" s="459"/>
      <c r="E133" s="459"/>
      <c r="F133" s="459"/>
      <c r="G133" s="459"/>
      <c r="H133" s="459"/>
      <c r="I133" s="459"/>
      <c r="J133" s="459"/>
      <c r="K133" s="459"/>
      <c r="L133" s="459"/>
      <c r="M133" s="459"/>
      <c r="N133" s="459"/>
      <c r="O133" s="459"/>
      <c r="AA133" s="941"/>
      <c r="AB133" s="941"/>
      <c r="AC133" s="941"/>
      <c r="AD133" s="941"/>
      <c r="AE133" s="941"/>
      <c r="AF133" s="941"/>
      <c r="AG133" s="941"/>
      <c r="AH133" s="941"/>
      <c r="AP133" s="1039"/>
      <c r="AQ133" s="1039"/>
      <c r="AR133" s="2"/>
      <c r="AS133" s="2"/>
      <c r="AT133" s="2"/>
      <c r="AU133" s="2"/>
      <c r="AV133" s="2"/>
      <c r="AW133" s="2"/>
      <c r="AX133" s="2"/>
      <c r="AY133" s="2"/>
      <c r="AZ133" s="2"/>
      <c r="BA133" s="2"/>
      <c r="BB133" s="2"/>
    </row>
    <row r="134" spans="2:54" s="939" customFormat="1" x14ac:dyDescent="0.2">
      <c r="B134" s="459"/>
      <c r="C134" s="459"/>
      <c r="D134" s="459"/>
      <c r="E134" s="459"/>
      <c r="F134" s="459"/>
      <c r="G134" s="459"/>
      <c r="H134" s="459"/>
      <c r="I134" s="459"/>
      <c r="J134" s="459"/>
      <c r="K134" s="459"/>
      <c r="L134" s="459"/>
      <c r="M134" s="459"/>
      <c r="N134" s="459"/>
      <c r="O134" s="459"/>
      <c r="AA134" s="941"/>
      <c r="AB134" s="941"/>
      <c r="AC134" s="941"/>
      <c r="AD134" s="941"/>
      <c r="AE134" s="941"/>
      <c r="AF134" s="941"/>
      <c r="AG134" s="941"/>
      <c r="AH134" s="941"/>
      <c r="AP134" s="1039"/>
      <c r="AQ134" s="1039"/>
      <c r="AR134" s="2"/>
      <c r="AS134" s="2"/>
      <c r="AT134" s="2"/>
      <c r="AU134" s="2"/>
      <c r="AV134" s="2"/>
      <c r="AW134" s="2"/>
      <c r="AX134" s="2"/>
      <c r="AY134" s="2"/>
      <c r="AZ134" s="2"/>
      <c r="BA134" s="2"/>
      <c r="BB134" s="2"/>
    </row>
    <row r="135" spans="2:54" s="939" customFormat="1" x14ac:dyDescent="0.2">
      <c r="B135" s="459"/>
      <c r="C135" s="459"/>
      <c r="D135" s="459"/>
      <c r="E135" s="459"/>
      <c r="F135" s="459"/>
      <c r="G135" s="459"/>
      <c r="H135" s="459"/>
      <c r="I135" s="459"/>
      <c r="J135" s="459"/>
      <c r="K135" s="459"/>
      <c r="L135" s="459"/>
      <c r="M135" s="459"/>
      <c r="N135" s="459"/>
      <c r="O135" s="459"/>
      <c r="AA135" s="941"/>
      <c r="AB135" s="941"/>
      <c r="AC135" s="941"/>
      <c r="AD135" s="941"/>
      <c r="AE135" s="941"/>
      <c r="AF135" s="941"/>
      <c r="AG135" s="941"/>
      <c r="AH135" s="941"/>
      <c r="AP135" s="1039"/>
      <c r="AQ135" s="1039"/>
      <c r="AR135" s="2"/>
      <c r="AS135" s="2"/>
      <c r="AT135" s="2"/>
      <c r="AU135" s="2"/>
      <c r="AV135" s="2"/>
      <c r="AW135" s="2"/>
      <c r="AX135" s="2"/>
      <c r="AY135" s="2"/>
      <c r="AZ135" s="2"/>
      <c r="BA135" s="2"/>
      <c r="BB135" s="2"/>
    </row>
    <row r="136" spans="2:54" s="939" customFormat="1" x14ac:dyDescent="0.2">
      <c r="B136" s="459"/>
      <c r="C136" s="459"/>
      <c r="D136" s="459"/>
      <c r="E136" s="459"/>
      <c r="F136" s="459"/>
      <c r="G136" s="459"/>
      <c r="H136" s="459"/>
      <c r="I136" s="459"/>
      <c r="J136" s="459"/>
      <c r="K136" s="459"/>
      <c r="L136" s="459"/>
      <c r="M136" s="459"/>
      <c r="N136" s="459"/>
      <c r="O136" s="459"/>
      <c r="AA136" s="941"/>
      <c r="AB136" s="941"/>
      <c r="AC136" s="941"/>
      <c r="AD136" s="941"/>
      <c r="AE136" s="941"/>
      <c r="AF136" s="941"/>
      <c r="AG136" s="941"/>
      <c r="AH136" s="941"/>
      <c r="AP136" s="1039"/>
      <c r="AQ136" s="1039"/>
      <c r="AR136" s="2"/>
      <c r="AS136" s="2"/>
      <c r="AT136" s="2"/>
      <c r="AU136" s="2"/>
      <c r="AV136" s="2"/>
      <c r="AW136" s="2"/>
      <c r="AX136" s="2"/>
      <c r="AY136" s="2"/>
      <c r="AZ136" s="2"/>
      <c r="BA136" s="2"/>
      <c r="BB136" s="2"/>
    </row>
    <row r="137" spans="2:54" s="939" customFormat="1" x14ac:dyDescent="0.2">
      <c r="B137" s="459"/>
      <c r="C137" s="459"/>
      <c r="D137" s="459"/>
      <c r="E137" s="459"/>
      <c r="F137" s="459"/>
      <c r="G137" s="459"/>
      <c r="H137" s="459"/>
      <c r="I137" s="459"/>
      <c r="J137" s="459"/>
      <c r="K137" s="459"/>
      <c r="L137" s="459"/>
      <c r="M137" s="459"/>
      <c r="N137" s="459"/>
      <c r="O137" s="459"/>
      <c r="AA137" s="941"/>
      <c r="AB137" s="941"/>
      <c r="AC137" s="941"/>
      <c r="AD137" s="941"/>
      <c r="AE137" s="941"/>
      <c r="AF137" s="941"/>
      <c r="AG137" s="941"/>
      <c r="AH137" s="941"/>
      <c r="AP137" s="1039"/>
      <c r="AQ137" s="1039"/>
      <c r="AR137" s="2"/>
      <c r="AS137" s="2"/>
      <c r="AT137" s="2"/>
      <c r="AU137" s="2"/>
      <c r="AV137" s="2"/>
      <c r="AW137" s="2"/>
      <c r="AX137" s="2"/>
      <c r="AY137" s="2"/>
      <c r="AZ137" s="2"/>
      <c r="BA137" s="2"/>
      <c r="BB137" s="2"/>
    </row>
    <row r="138" spans="2:54" s="939" customFormat="1" x14ac:dyDescent="0.2">
      <c r="B138" s="940"/>
      <c r="C138" s="459"/>
      <c r="D138" s="459"/>
      <c r="E138" s="459"/>
      <c r="F138" s="459"/>
      <c r="G138" s="459"/>
      <c r="H138" s="459"/>
      <c r="I138" s="459"/>
      <c r="J138" s="459"/>
      <c r="K138" s="459"/>
      <c r="L138" s="459"/>
      <c r="M138" s="459"/>
      <c r="N138" s="459"/>
      <c r="O138" s="459"/>
      <c r="AA138" s="942"/>
      <c r="AB138" s="942"/>
      <c r="AC138" s="942"/>
      <c r="AD138" s="942"/>
      <c r="AE138" s="942"/>
      <c r="AF138" s="942"/>
      <c r="AG138" s="942"/>
      <c r="AH138" s="942"/>
      <c r="AR138" s="268"/>
      <c r="AS138" s="268"/>
      <c r="AT138" s="268"/>
      <c r="AU138" s="268"/>
      <c r="AV138" s="268"/>
      <c r="AW138" s="268"/>
      <c r="AX138" s="268"/>
      <c r="AY138" s="268"/>
      <c r="AZ138" s="268"/>
      <c r="BA138" s="268"/>
      <c r="BB138" s="268"/>
    </row>
    <row r="139" spans="2:54" s="459" customFormat="1" x14ac:dyDescent="0.2">
      <c r="B139" s="1202"/>
      <c r="C139" s="554"/>
      <c r="D139" s="554"/>
      <c r="E139" s="554"/>
      <c r="F139" s="554"/>
      <c r="G139" s="554"/>
      <c r="H139" s="554"/>
      <c r="I139" s="554"/>
      <c r="J139" s="554"/>
      <c r="K139" s="554"/>
      <c r="L139" s="554"/>
      <c r="M139" s="554"/>
      <c r="N139" s="554"/>
      <c r="O139" s="554"/>
      <c r="P139" s="554"/>
      <c r="Q139" s="554"/>
      <c r="R139" s="1001"/>
      <c r="S139" s="554"/>
      <c r="T139" s="554"/>
      <c r="U139" s="554"/>
      <c r="V139" s="1001"/>
      <c r="W139" s="554"/>
      <c r="X139" s="554"/>
      <c r="Y139" s="554"/>
      <c r="Z139" s="554"/>
      <c r="AA139" s="554" t="s">
        <v>968</v>
      </c>
      <c r="AB139" s="554" t="s">
        <v>968</v>
      </c>
      <c r="AC139" s="554"/>
      <c r="AD139" s="554"/>
      <c r="AE139" s="554" t="s">
        <v>963</v>
      </c>
      <c r="AF139" s="554" t="s">
        <v>963</v>
      </c>
      <c r="AG139" s="554"/>
      <c r="AH139" s="554"/>
      <c r="AI139" s="554" t="s">
        <v>1009</v>
      </c>
      <c r="AJ139" s="554" t="s">
        <v>1009</v>
      </c>
      <c r="AK139" s="554"/>
      <c r="AL139" s="554"/>
      <c r="AM139" s="554" t="s">
        <v>1146</v>
      </c>
      <c r="AN139" s="554" t="s">
        <v>1146</v>
      </c>
      <c r="AO139" s="554"/>
      <c r="AP139" s="554"/>
      <c r="AQ139" s="554" t="s">
        <v>1210</v>
      </c>
      <c r="AR139" s="554" t="s">
        <v>1210</v>
      </c>
      <c r="AS139" s="554"/>
      <c r="AT139" s="554"/>
      <c r="AU139" s="554" t="s">
        <v>1275</v>
      </c>
      <c r="AV139" s="554" t="s">
        <v>1275</v>
      </c>
      <c r="AW139" s="554"/>
      <c r="AX139" s="554"/>
      <c r="AY139" s="554" t="s">
        <v>1331</v>
      </c>
      <c r="AZ139" s="554" t="s">
        <v>1331</v>
      </c>
      <c r="BA139" s="554"/>
      <c r="BB139" s="554"/>
    </row>
    <row r="140" spans="2:54" s="459" customFormat="1" x14ac:dyDescent="0.2">
      <c r="B140" s="1202"/>
      <c r="C140" s="554"/>
      <c r="D140" s="554"/>
      <c r="E140" s="554"/>
      <c r="F140" s="554"/>
      <c r="G140" s="554"/>
      <c r="H140" s="554"/>
      <c r="I140" s="554"/>
      <c r="J140" s="554"/>
      <c r="K140" s="554"/>
      <c r="L140" s="554"/>
      <c r="M140" s="554"/>
      <c r="N140" s="554"/>
      <c r="O140" s="856" t="e">
        <f>P140</f>
        <v>#REF!</v>
      </c>
      <c r="P140" s="856" t="e">
        <f>Q140</f>
        <v>#REF!</v>
      </c>
      <c r="Q140" s="856" t="e">
        <f>R140</f>
        <v>#REF!</v>
      </c>
      <c r="R140" s="856" t="e">
        <f>S140-1</f>
        <v>#REF!</v>
      </c>
      <c r="S140" s="856" t="e">
        <f>T140</f>
        <v>#REF!</v>
      </c>
      <c r="T140" s="856" t="e">
        <f>U140</f>
        <v>#REF!</v>
      </c>
      <c r="U140" s="856" t="e">
        <f>V140</f>
        <v>#REF!</v>
      </c>
      <c r="V140" s="856" t="e">
        <f>W140-1</f>
        <v>#REF!</v>
      </c>
      <c r="W140" s="856" t="e">
        <f>X140</f>
        <v>#REF!</v>
      </c>
      <c r="X140" s="856" t="e">
        <f>Z140</f>
        <v>#REF!</v>
      </c>
      <c r="Y140" s="856"/>
      <c r="Z140" s="856" t="e">
        <f>#REF!</f>
        <v>#REF!</v>
      </c>
      <c r="AA140" s="554" t="s">
        <v>1007</v>
      </c>
      <c r="AB140" s="554" t="s">
        <v>1007</v>
      </c>
      <c r="AC140" s="554" t="s">
        <v>1007</v>
      </c>
      <c r="AD140" s="554"/>
      <c r="AE140" s="554" t="s">
        <v>1006</v>
      </c>
      <c r="AF140" s="554" t="s">
        <v>1006</v>
      </c>
      <c r="AG140" s="554" t="s">
        <v>1006</v>
      </c>
      <c r="AH140" s="554"/>
      <c r="AI140" s="554" t="s">
        <v>1008</v>
      </c>
      <c r="AJ140" s="554" t="s">
        <v>1008</v>
      </c>
      <c r="AK140" s="554" t="s">
        <v>1008</v>
      </c>
      <c r="AL140" s="554"/>
      <c r="AM140" s="554" t="s">
        <v>1147</v>
      </c>
      <c r="AN140" s="554" t="s">
        <v>1147</v>
      </c>
      <c r="AO140" s="554" t="s">
        <v>1147</v>
      </c>
      <c r="AP140" s="554" t="s">
        <v>1147</v>
      </c>
      <c r="AQ140" s="554" t="s">
        <v>1195</v>
      </c>
      <c r="AR140" s="554" t="s">
        <v>1195</v>
      </c>
      <c r="AS140" s="554" t="s">
        <v>1195</v>
      </c>
      <c r="AT140" s="554"/>
      <c r="AU140" s="554" t="s">
        <v>1272</v>
      </c>
      <c r="AV140" s="554" t="s">
        <v>1272</v>
      </c>
      <c r="AW140" s="554" t="s">
        <v>1272</v>
      </c>
      <c r="AX140" s="554"/>
      <c r="AY140" s="554" t="s">
        <v>1328</v>
      </c>
      <c r="AZ140" s="554" t="s">
        <v>1328</v>
      </c>
      <c r="BA140" s="554" t="s">
        <v>1328</v>
      </c>
      <c r="BB140" s="554"/>
    </row>
    <row r="141" spans="2:54" s="459" customFormat="1" x14ac:dyDescent="0.2">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856">
        <f>AB141</f>
        <v>2018</v>
      </c>
      <c r="AB141" s="856">
        <f>AC141</f>
        <v>2018</v>
      </c>
      <c r="AC141" s="856">
        <f>AD141</f>
        <v>2018</v>
      </c>
      <c r="AD141" s="856">
        <f>AE141-1</f>
        <v>2018</v>
      </c>
      <c r="AE141" s="1104">
        <v>2019</v>
      </c>
      <c r="AF141" s="1104">
        <v>2019</v>
      </c>
      <c r="AG141" s="1104">
        <v>2019</v>
      </c>
      <c r="AH141" s="1104">
        <v>2019</v>
      </c>
      <c r="AI141" s="1104">
        <v>2020</v>
      </c>
      <c r="AJ141" s="1104">
        <v>2020</v>
      </c>
      <c r="AK141" s="1104">
        <v>2020</v>
      </c>
      <c r="AL141" s="1104">
        <v>2020</v>
      </c>
      <c r="AM141" s="1104">
        <v>2021</v>
      </c>
      <c r="AN141" s="1104">
        <v>2021</v>
      </c>
      <c r="AO141" s="1104">
        <v>2021</v>
      </c>
      <c r="AP141" s="1104">
        <v>2021</v>
      </c>
      <c r="AQ141" s="1104">
        <v>2022</v>
      </c>
      <c r="AR141" s="1104">
        <v>2022</v>
      </c>
      <c r="AS141" s="1104">
        <v>2022</v>
      </c>
      <c r="AT141" s="1104">
        <v>2022</v>
      </c>
      <c r="AU141" s="1104">
        <v>2023</v>
      </c>
      <c r="AV141" s="1104">
        <v>2023</v>
      </c>
      <c r="AW141" s="1104">
        <v>2023</v>
      </c>
      <c r="AX141" s="1104">
        <v>2023</v>
      </c>
      <c r="AY141" s="1104">
        <v>2024</v>
      </c>
      <c r="AZ141" s="1104">
        <v>2024</v>
      </c>
      <c r="BA141" s="1104">
        <v>2024</v>
      </c>
      <c r="BB141" s="1104">
        <v>2024</v>
      </c>
    </row>
    <row r="142" spans="2:54" s="939" customFormat="1" x14ac:dyDescent="0.2">
      <c r="C142" s="459"/>
      <c r="D142" s="459"/>
      <c r="E142" s="459"/>
      <c r="F142" s="459"/>
      <c r="G142" s="459"/>
      <c r="H142" s="459"/>
      <c r="I142" s="459"/>
      <c r="J142" s="459"/>
      <c r="K142" s="459"/>
      <c r="L142" s="459"/>
      <c r="M142" s="459"/>
      <c r="N142" s="459"/>
      <c r="O142" s="459"/>
      <c r="AE142" s="939" t="s">
        <v>1006</v>
      </c>
      <c r="AF142" s="939" t="s">
        <v>1006</v>
      </c>
      <c r="AG142" s="939" t="s">
        <v>1006</v>
      </c>
      <c r="AI142" s="939" t="s">
        <v>1008</v>
      </c>
      <c r="AJ142" s="939" t="s">
        <v>1008</v>
      </c>
      <c r="AK142" s="939" t="s">
        <v>1008</v>
      </c>
      <c r="AL142" s="939" t="s">
        <v>1008</v>
      </c>
      <c r="AM142" s="939" t="s">
        <v>1008</v>
      </c>
      <c r="AR142" s="268"/>
      <c r="AS142" s="268"/>
      <c r="AT142" s="268"/>
      <c r="AU142" s="268"/>
      <c r="AV142" s="268"/>
      <c r="AW142" s="268"/>
      <c r="AX142" s="268"/>
      <c r="AY142" s="268"/>
      <c r="AZ142" s="268"/>
      <c r="BA142" s="268"/>
      <c r="BB142" s="268"/>
    </row>
    <row r="143" spans="2:54" x14ac:dyDescent="0.2">
      <c r="B143" s="1105"/>
      <c r="C143" s="554"/>
      <c r="D143" s="554"/>
      <c r="E143" s="554"/>
      <c r="F143" s="554"/>
      <c r="G143" s="554"/>
      <c r="H143" s="554"/>
      <c r="I143" s="554"/>
      <c r="J143" s="554"/>
      <c r="K143" s="554"/>
      <c r="L143" s="554"/>
      <c r="M143" s="554"/>
      <c r="N143" s="554"/>
      <c r="O143" s="856"/>
      <c r="P143" s="856"/>
      <c r="Q143" s="856"/>
      <c r="R143" s="856">
        <f>V143-1</f>
        <v>2015</v>
      </c>
      <c r="S143" s="856"/>
      <c r="T143" s="856"/>
      <c r="U143" s="856"/>
      <c r="V143" s="856">
        <f>Z143-1</f>
        <v>2016</v>
      </c>
      <c r="W143" s="856"/>
      <c r="X143" s="856"/>
      <c r="Y143" s="856"/>
      <c r="Z143" s="856">
        <f>AD143-1</f>
        <v>2017</v>
      </c>
      <c r="AA143" s="856"/>
      <c r="AB143" s="856"/>
      <c r="AC143" s="856"/>
      <c r="AD143" s="856">
        <f>AH143-1</f>
        <v>2018</v>
      </c>
      <c r="AE143" s="857"/>
      <c r="AF143" s="857"/>
      <c r="AG143" s="857"/>
      <c r="AH143" s="857">
        <v>2019</v>
      </c>
      <c r="AI143" s="857"/>
      <c r="AJ143" s="857"/>
      <c r="AK143" s="857"/>
      <c r="AL143" s="857"/>
      <c r="AM143" s="857"/>
      <c r="AN143" s="268"/>
      <c r="AO143" s="268"/>
      <c r="AP143" s="268"/>
      <c r="AQ143" s="268"/>
    </row>
    <row r="144" spans="2:54" x14ac:dyDescent="0.2">
      <c r="B144" s="268"/>
      <c r="C144" s="554"/>
      <c r="D144" s="554"/>
      <c r="E144" s="554"/>
      <c r="F144" s="554"/>
      <c r="G144" s="554"/>
      <c r="H144" s="554"/>
      <c r="I144" s="554"/>
      <c r="J144" s="554"/>
      <c r="K144" s="554"/>
      <c r="L144" s="554"/>
      <c r="M144" s="554"/>
      <c r="N144" s="554"/>
      <c r="O144" s="554"/>
      <c r="P144" s="268"/>
      <c r="Q144" s="268"/>
      <c r="R144" s="268"/>
      <c r="S144" s="268"/>
      <c r="T144" s="268"/>
      <c r="U144" s="268"/>
      <c r="V144" s="268"/>
      <c r="W144" s="268"/>
      <c r="X144" s="268"/>
      <c r="Y144" s="268"/>
      <c r="Z144" s="268"/>
      <c r="AA144" s="1106"/>
      <c r="AB144" s="268"/>
      <c r="AC144" s="268"/>
      <c r="AD144" s="268"/>
      <c r="AE144" s="268"/>
      <c r="AF144" s="268"/>
      <c r="AG144" s="268"/>
      <c r="AH144" s="268"/>
      <c r="AI144" s="268"/>
      <c r="AJ144" s="268"/>
      <c r="AK144" s="268"/>
      <c r="AL144" s="268"/>
      <c r="AM144" s="268"/>
      <c r="AN144" s="268"/>
      <c r="AO144" s="268"/>
      <c r="AP144" s="268"/>
      <c r="AQ144" s="268"/>
    </row>
    <row r="145" spans="27:27" x14ac:dyDescent="0.2">
      <c r="AA145" s="1062"/>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2"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tabColor theme="6" tint="-0.249977111117893"/>
    <pageSetUpPr autoPageBreaks="0"/>
  </sheetPr>
  <dimension ref="A1:BD107"/>
  <sheetViews>
    <sheetView showGridLines="0" zoomScaleNormal="100" workbookViewId="0">
      <selection activeCell="E3" sqref="E3"/>
    </sheetView>
  </sheetViews>
  <sheetFormatPr defaultColWidth="9.28515625" defaultRowHeight="12.75" x14ac:dyDescent="0.2"/>
  <cols>
    <col min="1" max="1" width="1.42578125" style="2" customWidth="1"/>
    <col min="2" max="2" width="26.42578125" style="2" bestFit="1" customWidth="1"/>
    <col min="3" max="3" width="9.5703125" style="38" bestFit="1" customWidth="1"/>
    <col min="4" max="12" width="10.7109375" style="38" customWidth="1"/>
    <col min="13" max="13" width="19.5703125" style="38" bestFit="1" customWidth="1"/>
    <col min="14" max="14" width="17.5703125" style="38" customWidth="1"/>
    <col min="15" max="16" width="10.7109375" style="38" customWidth="1"/>
    <col min="17" max="17" width="10.7109375" style="2" customWidth="1"/>
    <col min="18" max="18" width="9.28515625" style="2"/>
    <col min="19" max="19" width="10.7109375" style="2" bestFit="1" customWidth="1"/>
    <col min="20" max="20" width="11" style="2" bestFit="1" customWidth="1"/>
    <col min="21" max="21" width="11" style="554" customWidth="1"/>
    <col min="22" max="22" width="11" style="268" bestFit="1" customWidth="1"/>
    <col min="23" max="23" width="11" style="2" bestFit="1" customWidth="1"/>
    <col min="24" max="24" width="12.28515625" style="2" bestFit="1" customWidth="1"/>
    <col min="25" max="25" width="14" style="2" bestFit="1" customWidth="1"/>
    <col min="26" max="30" width="11" style="2" bestFit="1" customWidth="1"/>
    <col min="31" max="31" width="9.28515625" style="2"/>
    <col min="32" max="36" width="11" style="2" bestFit="1" customWidth="1"/>
    <col min="37" max="37" width="9.28515625" style="2"/>
    <col min="38" max="42" width="11" style="2" bestFit="1" customWidth="1"/>
    <col min="43" max="43" width="9.28515625" style="2"/>
    <col min="44" max="46" width="11" style="2" bestFit="1" customWidth="1"/>
    <col min="47" max="47" width="9.28515625" style="2"/>
    <col min="48" max="51" width="11" style="2" bestFit="1" customWidth="1"/>
    <col min="52" max="52" width="9.28515625" style="2"/>
    <col min="53" max="56" width="11" style="2" bestFit="1" customWidth="1"/>
    <col min="57" max="16384" width="9.28515625" style="2"/>
  </cols>
  <sheetData>
    <row r="1" spans="1:56" s="581" customFormat="1" ht="12.75" customHeight="1" x14ac:dyDescent="0.2">
      <c r="A1" s="580"/>
      <c r="C1" s="803"/>
      <c r="D1" s="803"/>
      <c r="E1" s="803"/>
      <c r="F1" s="803"/>
      <c r="G1" s="803"/>
      <c r="H1" s="803"/>
      <c r="I1" s="803"/>
      <c r="J1" s="803"/>
      <c r="K1" s="803"/>
      <c r="L1" s="580"/>
      <c r="M1" s="580"/>
      <c r="N1" s="582"/>
      <c r="O1" s="580"/>
      <c r="P1" s="582"/>
      <c r="Q1" s="580"/>
      <c r="R1" s="582"/>
      <c r="S1" s="582"/>
      <c r="T1" s="580"/>
      <c r="U1" s="582"/>
      <c r="V1" s="580"/>
      <c r="W1" s="580"/>
      <c r="X1" s="580"/>
      <c r="Y1" s="582"/>
      <c r="Z1" s="580"/>
      <c r="AA1" s="580"/>
      <c r="AB1" s="580"/>
      <c r="AC1" s="580"/>
      <c r="AD1" s="580"/>
      <c r="AE1" s="582"/>
      <c r="AF1" s="580"/>
      <c r="AG1" s="580"/>
      <c r="AH1" s="580"/>
      <c r="AI1" s="580"/>
      <c r="AJ1" s="580"/>
      <c r="AK1" s="582"/>
      <c r="AL1" s="580"/>
      <c r="AM1" s="580"/>
      <c r="AN1" s="580"/>
      <c r="AO1" s="580"/>
      <c r="AP1" s="580"/>
      <c r="AQ1" s="582"/>
      <c r="AR1" s="580"/>
      <c r="AS1" s="580"/>
      <c r="AT1" s="580"/>
      <c r="AU1" s="582"/>
      <c r="AV1" s="580"/>
      <c r="AW1" s="580"/>
      <c r="AX1" s="580"/>
      <c r="AY1" s="580"/>
      <c r="AZ1" s="582"/>
      <c r="BA1" s="580"/>
      <c r="BB1" s="580"/>
      <c r="BC1" s="580"/>
      <c r="BD1" s="580"/>
    </row>
    <row r="2" spans="1:56" s="581" customFormat="1" ht="12.75" customHeight="1" x14ac:dyDescent="0.2">
      <c r="C2" s="803"/>
      <c r="D2" s="803"/>
      <c r="E2" s="803"/>
      <c r="F2" s="803"/>
      <c r="G2" s="803"/>
      <c r="H2" s="803"/>
      <c r="I2" s="803"/>
      <c r="J2" s="803"/>
      <c r="K2" s="80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row>
    <row r="3" spans="1:56" x14ac:dyDescent="0.2">
      <c r="A3" s="10"/>
      <c r="B3" s="10"/>
      <c r="C3" s="800"/>
      <c r="D3" s="800"/>
      <c r="E3" s="800"/>
      <c r="F3" s="800"/>
      <c r="G3" s="800"/>
      <c r="H3" s="800"/>
      <c r="I3" s="12"/>
      <c r="J3" s="800"/>
      <c r="K3" s="12"/>
      <c r="L3" s="12"/>
      <c r="M3" s="12"/>
      <c r="N3" s="12"/>
      <c r="O3" s="12"/>
      <c r="P3" s="12"/>
      <c r="U3" s="12"/>
      <c r="V3" s="2"/>
    </row>
    <row r="4" spans="1:56" customFormat="1" ht="13.5" thickBot="1" x14ac:dyDescent="0.25">
      <c r="H4" s="246"/>
      <c r="U4" s="786"/>
    </row>
    <row r="5" spans="1:56" customFormat="1" ht="51.75" thickBot="1" x14ac:dyDescent="0.25">
      <c r="B5" s="292" t="s">
        <v>388</v>
      </c>
      <c r="C5" s="293" t="s">
        <v>964</v>
      </c>
      <c r="D5" s="293" t="s">
        <v>965</v>
      </c>
      <c r="E5" s="293" t="s">
        <v>604</v>
      </c>
      <c r="F5" s="293" t="s">
        <v>966</v>
      </c>
      <c r="G5" s="293" t="s">
        <v>961</v>
      </c>
      <c r="H5" s="294" t="s">
        <v>605</v>
      </c>
      <c r="I5" s="292" t="s">
        <v>967</v>
      </c>
      <c r="J5" s="293" t="s">
        <v>1304</v>
      </c>
      <c r="K5" s="295" t="s">
        <v>970</v>
      </c>
      <c r="L5" s="1165"/>
      <c r="U5" s="611"/>
      <c r="V5" s="551"/>
    </row>
    <row r="6" spans="1:56" customFormat="1" ht="13.5" thickBot="1" x14ac:dyDescent="0.25">
      <c r="B6" s="1078">
        <v>2024</v>
      </c>
      <c r="C6" s="1079" t="s">
        <v>998</v>
      </c>
      <c r="D6" s="296"/>
      <c r="E6" s="296">
        <f>SUM(E7:E12)</f>
        <v>2.58</v>
      </c>
      <c r="F6" s="296"/>
      <c r="G6" s="296"/>
      <c r="H6" s="1080">
        <f>SUM(H7:H12)</f>
        <v>170119.45176000003</v>
      </c>
      <c r="I6" s="1081"/>
      <c r="J6" s="1243">
        <f>(1+J12)*(1+J11)*(1+J10)*(1+J9)*(1+J8)*(1+J7)-1</f>
        <v>9.6711141442911819E-2</v>
      </c>
      <c r="K6" s="811">
        <f>+H6/(SUM(IncSCons!AY50:BB50)-'Statments of changes in Equity'!I347)</f>
        <v>0.66368312413362951</v>
      </c>
      <c r="L6" s="1165"/>
      <c r="U6" s="611"/>
      <c r="V6" s="551"/>
    </row>
    <row r="7" spans="1:56" customFormat="1" ht="13.5" thickBot="1" x14ac:dyDescent="0.25">
      <c r="B7" s="298" t="s">
        <v>175</v>
      </c>
      <c r="C7" s="323">
        <v>45756</v>
      </c>
      <c r="D7" s="323">
        <v>45756</v>
      </c>
      <c r="E7" s="1130">
        <v>0.44</v>
      </c>
      <c r="F7" s="1144">
        <v>2024</v>
      </c>
      <c r="G7" s="1129">
        <v>45770</v>
      </c>
      <c r="H7" s="1145">
        <v>29012.61968</v>
      </c>
      <c r="I7" s="1198">
        <v>33</v>
      </c>
      <c r="J7" s="805">
        <f t="shared" ref="J7:J8" si="0">+E7/I7</f>
        <v>1.3333333333333334E-2</v>
      </c>
      <c r="K7" s="1252" t="s">
        <v>47</v>
      </c>
      <c r="L7" s="1165"/>
      <c r="U7" s="611"/>
      <c r="V7" s="551"/>
    </row>
    <row r="8" spans="1:56" customFormat="1" ht="13.5" thickBot="1" x14ac:dyDescent="0.25">
      <c r="B8" s="298" t="s">
        <v>389</v>
      </c>
      <c r="C8" s="323">
        <v>45756</v>
      </c>
      <c r="D8" s="323">
        <v>45756</v>
      </c>
      <c r="E8" s="1130">
        <v>0.15000000000000002</v>
      </c>
      <c r="F8" s="1144">
        <v>2024</v>
      </c>
      <c r="G8" s="1129">
        <v>45770</v>
      </c>
      <c r="H8" s="1145">
        <v>9890.6658000000007</v>
      </c>
      <c r="I8" s="1198">
        <v>33</v>
      </c>
      <c r="J8" s="805">
        <f t="shared" si="0"/>
        <v>4.5454545454545461E-3</v>
      </c>
      <c r="K8" s="1253"/>
      <c r="L8" s="1165"/>
      <c r="U8" s="611"/>
      <c r="V8" s="551"/>
    </row>
    <row r="9" spans="1:56" customFormat="1" ht="13.5" thickBot="1" x14ac:dyDescent="0.25">
      <c r="B9" s="298" t="s">
        <v>175</v>
      </c>
      <c r="C9" s="323">
        <v>45600</v>
      </c>
      <c r="D9" s="323">
        <v>45603</v>
      </c>
      <c r="E9" s="1130">
        <v>0.57999999999999996</v>
      </c>
      <c r="F9" s="1144" t="s">
        <v>1314</v>
      </c>
      <c r="G9" s="1129">
        <v>45615</v>
      </c>
      <c r="H9" s="1145">
        <v>38243.907759999995</v>
      </c>
      <c r="I9" s="1198">
        <v>30.4</v>
      </c>
      <c r="J9" s="805">
        <f>+E9/I9</f>
        <v>1.9078947368421053E-2</v>
      </c>
      <c r="K9" s="1254">
        <f>+SUM(H9:H10)/IncS!BG30</f>
        <v>0.59689000056149022</v>
      </c>
      <c r="L9" s="1165"/>
      <c r="M9" s="143"/>
      <c r="U9" s="611"/>
      <c r="V9" s="551"/>
    </row>
    <row r="10" spans="1:56" customFormat="1" ht="13.5" thickBot="1" x14ac:dyDescent="0.25">
      <c r="B10" s="298" t="s">
        <v>389</v>
      </c>
      <c r="C10" s="323">
        <v>45600</v>
      </c>
      <c r="D10" s="323">
        <v>45603</v>
      </c>
      <c r="E10" s="1130">
        <v>0.19</v>
      </c>
      <c r="F10" s="1144" t="s">
        <v>1314</v>
      </c>
      <c r="G10" s="1129">
        <v>45615</v>
      </c>
      <c r="H10" s="1145">
        <v>12528.17668</v>
      </c>
      <c r="I10" s="1198">
        <v>30.4</v>
      </c>
      <c r="J10" s="805">
        <f>+E10/I10</f>
        <v>6.2500000000000003E-3</v>
      </c>
      <c r="K10" s="1256"/>
      <c r="L10" s="1165"/>
      <c r="U10" s="611"/>
      <c r="V10" s="551"/>
    </row>
    <row r="11" spans="1:56" customFormat="1" ht="13.5" thickBot="1" x14ac:dyDescent="0.25">
      <c r="B11" s="298" t="s">
        <v>175</v>
      </c>
      <c r="C11" s="323">
        <v>45509</v>
      </c>
      <c r="D11" s="323">
        <v>45512</v>
      </c>
      <c r="E11" s="1130">
        <v>1.1200000000000001</v>
      </c>
      <c r="F11" s="1144" t="s">
        <v>1327</v>
      </c>
      <c r="G11" s="1129">
        <v>45525</v>
      </c>
      <c r="H11" s="1145">
        <v>73850.304640000002</v>
      </c>
      <c r="I11" s="1198">
        <v>24.18</v>
      </c>
      <c r="J11" s="805">
        <f>+E11/I11</f>
        <v>4.6319272125723746E-2</v>
      </c>
      <c r="K11" s="1254">
        <f>+SUM(H11:H12)/SUM(IncS!BD30:BE30)</f>
        <v>0.80015881674178435</v>
      </c>
      <c r="L11" s="1165"/>
      <c r="M11" s="143"/>
      <c r="U11" s="611"/>
      <c r="V11" s="551"/>
    </row>
    <row r="12" spans="1:56" customFormat="1" ht="13.5" thickBot="1" x14ac:dyDescent="0.25">
      <c r="B12" s="298" t="s">
        <v>389</v>
      </c>
      <c r="C12" s="323">
        <v>45509</v>
      </c>
      <c r="D12" s="323">
        <v>45512</v>
      </c>
      <c r="E12" s="1130">
        <v>0.1</v>
      </c>
      <c r="F12" s="1144" t="s">
        <v>1327</v>
      </c>
      <c r="G12" s="1129">
        <v>45525</v>
      </c>
      <c r="H12" s="1145">
        <v>6593.7772000000004</v>
      </c>
      <c r="I12" s="1198">
        <v>24.18</v>
      </c>
      <c r="J12" s="805">
        <f>+E12/I12</f>
        <v>4.1356492969396195E-3</v>
      </c>
      <c r="K12" s="1256"/>
      <c r="L12" s="1165"/>
      <c r="U12" s="611"/>
      <c r="V12" s="551"/>
    </row>
    <row r="13" spans="1:56" s="143" customFormat="1" ht="13.5" thickBot="1" x14ac:dyDescent="0.25">
      <c r="B13" s="1078">
        <v>2023</v>
      </c>
      <c r="C13" s="1079" t="s">
        <v>998</v>
      </c>
      <c r="D13" s="296"/>
      <c r="E13" s="296">
        <f>SUM(E14:E19)</f>
        <v>1.83</v>
      </c>
      <c r="F13" s="296"/>
      <c r="G13" s="296"/>
      <c r="H13" s="1080">
        <f>SUM(H14:H19)</f>
        <v>120666.12276</v>
      </c>
      <c r="I13" s="1081"/>
      <c r="J13" s="804">
        <f>(1+J19)*(1+J18)*(1+J17)*(1+J16)*(1+J15)*(1+J14)-1</f>
        <v>7.463775370321013E-2</v>
      </c>
      <c r="K13" s="811">
        <f>+H13/(SUM(IncS!AZ30:BC30)-'Statments of changes in Equity'!H271-'Statments of changes in Equity'!H281-'Statments of changes in Equity'!H291-'Statments of changes in Equity'!H301-'Statments of changes in Equity'!I303)</f>
        <v>0.82059518303396994</v>
      </c>
      <c r="U13" s="1082"/>
      <c r="V13" s="555"/>
    </row>
    <row r="14" spans="1:56" s="143" customFormat="1" ht="13.5" thickBot="1" x14ac:dyDescent="0.25">
      <c r="B14" s="298" t="s">
        <v>175</v>
      </c>
      <c r="C14" s="323">
        <v>45393</v>
      </c>
      <c r="D14" s="323">
        <v>45393</v>
      </c>
      <c r="E14" s="1130">
        <v>0.54</v>
      </c>
      <c r="F14" s="1144">
        <v>2023</v>
      </c>
      <c r="G14" s="1129">
        <v>45405</v>
      </c>
      <c r="H14" s="1145">
        <v>35606.39688</v>
      </c>
      <c r="I14" s="300">
        <v>27</v>
      </c>
      <c r="J14" s="805">
        <f t="shared" ref="J14:J19" si="1">+E14/I14</f>
        <v>0.02</v>
      </c>
      <c r="K14" s="1252" t="s">
        <v>47</v>
      </c>
      <c r="U14" s="1082"/>
      <c r="V14" s="555"/>
    </row>
    <row r="15" spans="1:56" s="143" customFormat="1" ht="13.5" thickBot="1" x14ac:dyDescent="0.25">
      <c r="B15" s="298" t="s">
        <v>389</v>
      </c>
      <c r="C15" s="323">
        <v>45393</v>
      </c>
      <c r="D15" s="323">
        <v>45393</v>
      </c>
      <c r="E15" s="1130">
        <v>0.18</v>
      </c>
      <c r="F15" s="1144">
        <v>2023</v>
      </c>
      <c r="G15" s="1129">
        <v>45405</v>
      </c>
      <c r="H15" s="1145">
        <v>11868.798959999998</v>
      </c>
      <c r="I15" s="300">
        <v>27</v>
      </c>
      <c r="J15" s="805">
        <f t="shared" si="1"/>
        <v>6.6666666666666662E-3</v>
      </c>
      <c r="K15" s="1253"/>
      <c r="U15" s="1082"/>
      <c r="V15" s="555"/>
    </row>
    <row r="16" spans="1:56" s="143" customFormat="1" ht="13.5" thickBot="1" x14ac:dyDescent="0.25">
      <c r="B16" s="298" t="s">
        <v>175</v>
      </c>
      <c r="C16" s="323">
        <v>45236</v>
      </c>
      <c r="D16" s="1129">
        <v>45240</v>
      </c>
      <c r="E16" s="1130">
        <v>0.4</v>
      </c>
      <c r="F16" s="1144" t="s">
        <v>1246</v>
      </c>
      <c r="G16" s="1129">
        <v>45253</v>
      </c>
      <c r="H16" s="1145">
        <v>26375.108800000002</v>
      </c>
      <c r="I16" s="300">
        <v>24</v>
      </c>
      <c r="J16" s="805">
        <f t="shared" si="1"/>
        <v>1.6666666666666666E-2</v>
      </c>
      <c r="K16" s="1254">
        <f>+SUM(H16:H17)/(IncS!BB30-'Statments of changes in Equity'!H291)</f>
        <v>0.72409913434394679</v>
      </c>
      <c r="L16" s="1142"/>
      <c r="U16" s="1082"/>
      <c r="V16" s="555"/>
    </row>
    <row r="17" spans="2:22" s="143" customFormat="1" ht="13.5" thickBot="1" x14ac:dyDescent="0.25">
      <c r="B17" s="298" t="s">
        <v>389</v>
      </c>
      <c r="C17" s="323">
        <v>45236</v>
      </c>
      <c r="D17" s="1129">
        <v>45240</v>
      </c>
      <c r="E17" s="1130">
        <v>0.14000000000000001</v>
      </c>
      <c r="F17" s="1144" t="s">
        <v>1246</v>
      </c>
      <c r="G17" s="1129">
        <v>45253</v>
      </c>
      <c r="H17" s="1145">
        <v>9231.2880800000003</v>
      </c>
      <c r="I17" s="300">
        <v>24</v>
      </c>
      <c r="J17" s="805">
        <f t="shared" si="1"/>
        <v>5.8333333333333336E-3</v>
      </c>
      <c r="K17" s="1256"/>
      <c r="L17" s="1142"/>
      <c r="U17" s="1082"/>
      <c r="V17" s="555"/>
    </row>
    <row r="18" spans="2:22" customFormat="1" ht="13.5" thickBot="1" x14ac:dyDescent="0.25">
      <c r="B18" s="298" t="s">
        <v>175</v>
      </c>
      <c r="C18" s="323">
        <v>45141</v>
      </c>
      <c r="D18" s="1129">
        <v>45147</v>
      </c>
      <c r="E18" s="1130">
        <v>0.43</v>
      </c>
      <c r="F18" s="1144" t="s">
        <v>1271</v>
      </c>
      <c r="G18" s="1129">
        <v>45155</v>
      </c>
      <c r="H18" s="1145">
        <v>28353.241959999999</v>
      </c>
      <c r="I18" s="300">
        <v>24.4</v>
      </c>
      <c r="J18" s="805">
        <f t="shared" si="1"/>
        <v>1.7622950819672131E-2</v>
      </c>
      <c r="K18" s="1254">
        <f>+SUM(H18:H19)/(SUM(IncS!AZ30:BA30)-SUM('Statments of changes in Equity'!H271,'Statments of changes in Equity'!H281))</f>
        <v>0.59255442997118613</v>
      </c>
      <c r="L18" s="1142"/>
      <c r="M18" s="1046"/>
      <c r="U18" s="582"/>
      <c r="V18" s="551"/>
    </row>
    <row r="19" spans="2:22" customFormat="1" ht="13.5" thickBot="1" x14ac:dyDescent="0.25">
      <c r="B19" s="298" t="s">
        <v>389</v>
      </c>
      <c r="C19" s="323">
        <v>45141</v>
      </c>
      <c r="D19" s="1129">
        <v>45147</v>
      </c>
      <c r="E19" s="1130">
        <v>0.14000000000000001</v>
      </c>
      <c r="F19" s="1144" t="s">
        <v>1271</v>
      </c>
      <c r="G19" s="1129">
        <v>45155</v>
      </c>
      <c r="H19" s="1145">
        <v>9231.2880800000003</v>
      </c>
      <c r="I19" s="300">
        <v>24.4</v>
      </c>
      <c r="J19" s="805">
        <f t="shared" si="1"/>
        <v>5.7377049180327875E-3</v>
      </c>
      <c r="K19" s="1255"/>
      <c r="L19" s="1199"/>
      <c r="U19" s="582"/>
      <c r="V19" s="551"/>
    </row>
    <row r="20" spans="2:22" s="143" customFormat="1" ht="13.5" thickBot="1" x14ac:dyDescent="0.25">
      <c r="B20" s="1078">
        <v>2022</v>
      </c>
      <c r="C20" s="1079" t="s">
        <v>998</v>
      </c>
      <c r="D20" s="296"/>
      <c r="E20" s="296">
        <f>SUM(E21:E26)</f>
        <v>1.3829172728999999</v>
      </c>
      <c r="F20" s="296"/>
      <c r="G20" s="296"/>
      <c r="H20" s="1080">
        <f>SUM(H21:H26)</f>
        <v>91186.483841500012</v>
      </c>
      <c r="I20" s="1081"/>
      <c r="J20" s="804">
        <f>(1+J26)*(1+J25)*(1+J24)*(1+J23)*(1+J22)*(1+J21)-1</f>
        <v>8.2856159206552205E-2</v>
      </c>
      <c r="K20" s="811">
        <f>+H20/(SUM(IncS!AV30:AY30)-'Statments of changes in Equity'!H249-'Statments of changes in Equity'!H245-'Statments of changes in Equity'!H255-'Statments of changes in Equity'!H261-'Statments of changes in Equity'!I263)</f>
        <v>0.70125262096660579</v>
      </c>
      <c r="U20" s="1082"/>
      <c r="V20" s="555"/>
    </row>
    <row r="21" spans="2:22" customFormat="1" ht="13.5" thickBot="1" x14ac:dyDescent="0.25">
      <c r="B21" s="298" t="s">
        <v>175</v>
      </c>
      <c r="C21" s="323">
        <v>45028</v>
      </c>
      <c r="D21" s="1129">
        <v>45028</v>
      </c>
      <c r="E21" s="1130">
        <v>0.45</v>
      </c>
      <c r="F21" s="1144">
        <v>2022</v>
      </c>
      <c r="G21" s="1129">
        <v>45040</v>
      </c>
      <c r="H21" s="1145">
        <v>29671.997400000004</v>
      </c>
      <c r="I21" s="300">
        <v>18</v>
      </c>
      <c r="J21" s="805">
        <f t="shared" ref="J21:J26" si="2">+E21/I21</f>
        <v>2.5000000000000001E-2</v>
      </c>
      <c r="K21" s="812" t="s">
        <v>47</v>
      </c>
      <c r="L21" s="1142"/>
      <c r="M21" s="1046"/>
      <c r="U21" s="582"/>
      <c r="V21" s="551"/>
    </row>
    <row r="22" spans="2:22" customFormat="1" ht="13.5" thickBot="1" x14ac:dyDescent="0.25">
      <c r="B22" s="298" t="s">
        <v>389</v>
      </c>
      <c r="C22" s="323">
        <v>45028</v>
      </c>
      <c r="D22" s="1129">
        <v>45028</v>
      </c>
      <c r="E22" s="1130">
        <v>0.15</v>
      </c>
      <c r="F22" s="1144">
        <v>2022</v>
      </c>
      <c r="G22" s="1129">
        <v>45040</v>
      </c>
      <c r="H22" s="1145">
        <v>9890.6657999999989</v>
      </c>
      <c r="I22" s="300">
        <v>18</v>
      </c>
      <c r="J22" s="805">
        <f t="shared" si="2"/>
        <v>8.3333333333333332E-3</v>
      </c>
      <c r="K22" s="812" t="s">
        <v>47</v>
      </c>
      <c r="L22" s="1142"/>
      <c r="U22" s="582"/>
      <c r="V22" s="551"/>
    </row>
    <row r="23" spans="2:22" customFormat="1" ht="13.5" thickBot="1" x14ac:dyDescent="0.25">
      <c r="B23" s="298" t="s">
        <v>175</v>
      </c>
      <c r="C23" s="323">
        <v>44868</v>
      </c>
      <c r="D23" s="1129">
        <v>44873</v>
      </c>
      <c r="E23" s="1130">
        <v>0.31</v>
      </c>
      <c r="F23" s="1130" t="s">
        <v>1190</v>
      </c>
      <c r="G23" s="1129">
        <v>44886</v>
      </c>
      <c r="H23" s="1069">
        <v>20440.709320000002</v>
      </c>
      <c r="I23" s="300">
        <v>21.2</v>
      </c>
      <c r="J23" s="805">
        <f t="shared" si="2"/>
        <v>1.4622641509433962E-2</v>
      </c>
      <c r="K23" s="812" t="s">
        <v>47</v>
      </c>
      <c r="L23" s="1166"/>
      <c r="M23" s="1046"/>
      <c r="U23" s="582"/>
      <c r="V23" s="551"/>
    </row>
    <row r="24" spans="2:22" customFormat="1" ht="13.5" thickBot="1" x14ac:dyDescent="0.25">
      <c r="B24" s="298" t="s">
        <v>389</v>
      </c>
      <c r="C24" s="323">
        <v>44868</v>
      </c>
      <c r="D24" s="1129">
        <v>44873</v>
      </c>
      <c r="E24" s="1130">
        <v>0.1</v>
      </c>
      <c r="F24" s="1130" t="s">
        <v>1190</v>
      </c>
      <c r="G24" s="1129">
        <v>44886</v>
      </c>
      <c r="H24" s="1069">
        <v>6593.7772000000004</v>
      </c>
      <c r="I24" s="300">
        <v>21.2</v>
      </c>
      <c r="J24" s="805">
        <f t="shared" si="2"/>
        <v>4.7169811320754724E-3</v>
      </c>
      <c r="K24" s="812" t="s">
        <v>47</v>
      </c>
      <c r="U24" s="582"/>
      <c r="V24" s="551"/>
    </row>
    <row r="25" spans="2:22" customFormat="1" ht="13.5" thickBot="1" x14ac:dyDescent="0.25">
      <c r="B25" s="298" t="s">
        <v>175</v>
      </c>
      <c r="C25" s="323">
        <v>44776</v>
      </c>
      <c r="D25" s="323">
        <v>44781</v>
      </c>
      <c r="E25" s="299">
        <v>0.27968795470000002</v>
      </c>
      <c r="F25" s="299" t="s">
        <v>1204</v>
      </c>
      <c r="G25" s="323">
        <v>44791</v>
      </c>
      <c r="H25" s="1069">
        <v>18442.000591125005</v>
      </c>
      <c r="I25" s="300">
        <v>13.5</v>
      </c>
      <c r="J25" s="805">
        <f t="shared" si="2"/>
        <v>2.0717626274074075E-2</v>
      </c>
      <c r="K25" s="812" t="s">
        <v>47</v>
      </c>
      <c r="L25" s="866"/>
      <c r="M25" s="1046"/>
      <c r="U25" s="582"/>
      <c r="V25" s="551"/>
    </row>
    <row r="26" spans="2:22" customFormat="1" ht="13.5" thickBot="1" x14ac:dyDescent="0.25">
      <c r="B26" s="298" t="s">
        <v>389</v>
      </c>
      <c r="C26" s="323">
        <v>44776</v>
      </c>
      <c r="D26" s="323">
        <v>44781</v>
      </c>
      <c r="E26" s="299">
        <v>9.3229318199999994E-2</v>
      </c>
      <c r="F26" s="299" t="s">
        <v>1204</v>
      </c>
      <c r="G26" s="323">
        <v>44791</v>
      </c>
      <c r="H26" s="1069">
        <v>6147.3335303750036</v>
      </c>
      <c r="I26" s="300">
        <v>13.5</v>
      </c>
      <c r="J26" s="805">
        <f t="shared" si="2"/>
        <v>6.9058754222222221E-3</v>
      </c>
      <c r="K26" s="812" t="s">
        <v>47</v>
      </c>
      <c r="U26" s="582"/>
      <c r="V26" s="551"/>
    </row>
    <row r="27" spans="2:22" s="143" customFormat="1" ht="13.5" thickBot="1" x14ac:dyDescent="0.25">
      <c r="B27" s="1078">
        <v>2021</v>
      </c>
      <c r="C27" s="1079" t="s">
        <v>998</v>
      </c>
      <c r="D27" s="296"/>
      <c r="E27" s="296">
        <f>SUM(E28:E33)</f>
        <v>0.93441733748207756</v>
      </c>
      <c r="F27" s="296"/>
      <c r="G27" s="296"/>
      <c r="H27" s="1080">
        <f>SUM(H28:H33)</f>
        <v>61613.397350454012</v>
      </c>
      <c r="I27" s="1081"/>
      <c r="J27" s="804">
        <f>+(1+J30)*(1+J31)*(1+J32)*(1+J33)*(1+J29)*(1+J28)-1</f>
        <v>5.8030245214607756E-2</v>
      </c>
      <c r="K27" s="811">
        <f>H27/(SUM(IncS!AR28:AU28)-SUM('Statments of changes in Equity'!I240,'Statments of changes in Equity'!H234,'Statments of changes in Equity'!H228,'Statments of changes in Equity'!H222,'Statments of changes in Equity'!H217))</f>
        <v>0.7090504272751571</v>
      </c>
      <c r="U27" s="1082"/>
      <c r="V27" s="555"/>
    </row>
    <row r="28" spans="2:22" customFormat="1" ht="13.5" thickBot="1" x14ac:dyDescent="0.25">
      <c r="B28" s="298" t="s">
        <v>175</v>
      </c>
      <c r="C28" s="323">
        <v>44633</v>
      </c>
      <c r="D28" s="323">
        <v>44633</v>
      </c>
      <c r="E28" s="299">
        <v>0.25408205109999998</v>
      </c>
      <c r="F28" s="801">
        <v>2021</v>
      </c>
      <c r="G28" s="323">
        <v>44678</v>
      </c>
      <c r="H28" s="1069">
        <v>16753.604352111015</v>
      </c>
      <c r="I28" s="300">
        <v>14.48</v>
      </c>
      <c r="J28" s="805">
        <f t="shared" ref="J28:J33" si="3">+E28/I28</f>
        <v>1.7547102976519336E-2</v>
      </c>
      <c r="K28" s="812" t="s">
        <v>47</v>
      </c>
      <c r="L28" s="866"/>
      <c r="M28" s="1046"/>
      <c r="U28" s="582"/>
      <c r="V28" s="551"/>
    </row>
    <row r="29" spans="2:22" customFormat="1" ht="13.5" thickBot="1" x14ac:dyDescent="0.25">
      <c r="B29" s="298" t="s">
        <v>389</v>
      </c>
      <c r="C29" s="323">
        <v>44633</v>
      </c>
      <c r="D29" s="323">
        <v>44633</v>
      </c>
      <c r="E29" s="299">
        <v>8.4694016999999996E-2</v>
      </c>
      <c r="F29" s="801">
        <v>2021</v>
      </c>
      <c r="G29" s="323">
        <v>44678</v>
      </c>
      <c r="H29" s="1069">
        <v>5584.534784037005</v>
      </c>
      <c r="I29" s="300">
        <v>14.48</v>
      </c>
      <c r="J29" s="805">
        <f t="shared" si="3"/>
        <v>5.8490343232044193E-3</v>
      </c>
      <c r="K29" s="812" t="s">
        <v>47</v>
      </c>
      <c r="M29" s="1075"/>
      <c r="U29" s="582"/>
      <c r="V29" s="551"/>
    </row>
    <row r="30" spans="2:22" customFormat="1" ht="13.5" thickBot="1" x14ac:dyDescent="0.25">
      <c r="B30" s="298" t="s">
        <v>175</v>
      </c>
      <c r="C30" s="323">
        <v>44504</v>
      </c>
      <c r="D30" s="323">
        <v>44509</v>
      </c>
      <c r="E30" s="299">
        <v>0.19470983950000001</v>
      </c>
      <c r="F30" s="299" t="s">
        <v>1098</v>
      </c>
      <c r="G30" s="323">
        <v>44519</v>
      </c>
      <c r="H30" s="1069">
        <v>12838.733003107593</v>
      </c>
      <c r="I30" s="300">
        <v>15</v>
      </c>
      <c r="J30" s="805">
        <f t="shared" si="3"/>
        <v>1.2980655966666668E-2</v>
      </c>
      <c r="K30" s="812" t="s">
        <v>47</v>
      </c>
      <c r="L30" s="1040"/>
      <c r="M30" s="1075"/>
      <c r="U30" s="582"/>
      <c r="V30" s="551"/>
    </row>
    <row r="31" spans="2:22" customFormat="1" ht="13.5" thickBot="1" x14ac:dyDescent="0.25">
      <c r="B31" s="298" t="s">
        <v>389</v>
      </c>
      <c r="C31" s="323">
        <v>44504</v>
      </c>
      <c r="D31" s="323">
        <v>44509</v>
      </c>
      <c r="E31" s="299">
        <v>6.4903279899999999E-2</v>
      </c>
      <c r="F31" s="299" t="s">
        <v>1098</v>
      </c>
      <c r="G31" s="323">
        <v>44519</v>
      </c>
      <c r="H31" s="1069">
        <v>4279.5776720983831</v>
      </c>
      <c r="I31" s="300">
        <v>15</v>
      </c>
      <c r="J31" s="805">
        <f t="shared" si="3"/>
        <v>4.3268853266666667E-3</v>
      </c>
      <c r="K31" s="812" t="s">
        <v>47</v>
      </c>
      <c r="L31" s="1015"/>
      <c r="M31" s="1075"/>
      <c r="U31" s="582"/>
      <c r="V31" s="551"/>
    </row>
    <row r="32" spans="2:22" customFormat="1" ht="13.5" thickBot="1" x14ac:dyDescent="0.25">
      <c r="B32" s="298" t="s">
        <v>175</v>
      </c>
      <c r="C32" s="323">
        <v>44412</v>
      </c>
      <c r="D32" s="323">
        <v>44417</v>
      </c>
      <c r="E32" s="299">
        <v>0.25202111248655812</v>
      </c>
      <c r="F32" s="299" t="s">
        <v>1146</v>
      </c>
      <c r="G32" s="323">
        <v>44427</v>
      </c>
      <c r="H32" s="1069">
        <v>16617.710654325001</v>
      </c>
      <c r="I32" s="300">
        <v>20.94</v>
      </c>
      <c r="J32" s="805">
        <f t="shared" si="3"/>
        <v>1.2035392191335153E-2</v>
      </c>
      <c r="K32" s="812" t="s">
        <v>47</v>
      </c>
      <c r="L32" s="866"/>
      <c r="M32" s="1075"/>
      <c r="U32" s="582"/>
      <c r="V32" s="551"/>
    </row>
    <row r="33" spans="2:22" customFormat="1" ht="13.5" thickBot="1" x14ac:dyDescent="0.25">
      <c r="B33" s="298" t="s">
        <v>389</v>
      </c>
      <c r="C33" s="323">
        <v>44412</v>
      </c>
      <c r="D33" s="323">
        <v>44417</v>
      </c>
      <c r="E33" s="299">
        <v>8.4007037495519382E-2</v>
      </c>
      <c r="F33" s="299" t="s">
        <v>1146</v>
      </c>
      <c r="G33" s="323">
        <v>44427</v>
      </c>
      <c r="H33" s="1069">
        <v>5539.2368847750104</v>
      </c>
      <c r="I33" s="300">
        <v>20.94</v>
      </c>
      <c r="J33" s="805">
        <f t="shared" si="3"/>
        <v>4.0117973971117177E-3</v>
      </c>
      <c r="K33" s="812" t="s">
        <v>47</v>
      </c>
      <c r="U33" s="582"/>
      <c r="V33" s="551"/>
    </row>
    <row r="34" spans="2:22" s="143" customFormat="1" ht="13.5" thickBot="1" x14ac:dyDescent="0.25">
      <c r="B34" s="1078">
        <v>2020</v>
      </c>
      <c r="C34" s="1079" t="s">
        <v>998</v>
      </c>
      <c r="D34" s="296"/>
      <c r="E34" s="296">
        <f>SUM(E35:E38)</f>
        <v>0.53038320168749375</v>
      </c>
      <c r="F34" s="296"/>
      <c r="G34" s="296"/>
      <c r="H34" s="1080">
        <f>SUM(H35:H38)</f>
        <v>34972.286625499997</v>
      </c>
      <c r="I34" s="1081"/>
      <c r="J34" s="804">
        <f>+(1+J35)*(1+J36)*(1+J38)*(1+J37)-1</f>
        <v>2.3874745773391215E-2</v>
      </c>
      <c r="K34" s="811">
        <f>H34/(SUM(IncS!AN30:AQ30)-SUM('Statments of changes in Equity'!H178,'Statments of changes in Equity'!H188,'Statments of changes in Equity'!H198,'Statments of changes in Equity'!H210,'Statments of changes in Equity'!I212))</f>
        <v>0.63113124625359629</v>
      </c>
      <c r="U34" s="1082"/>
      <c r="V34" s="555"/>
    </row>
    <row r="35" spans="2:22" customFormat="1" ht="13.5" thickBot="1" x14ac:dyDescent="0.25">
      <c r="B35" s="298" t="s">
        <v>175</v>
      </c>
      <c r="C35" s="323">
        <v>44299</v>
      </c>
      <c r="D35" s="323">
        <v>44299</v>
      </c>
      <c r="E35" s="299">
        <v>0.14264701321914552</v>
      </c>
      <c r="F35" s="801">
        <v>2020</v>
      </c>
      <c r="G35" s="323">
        <v>44313</v>
      </c>
      <c r="H35" s="1069">
        <v>9405.8262341249992</v>
      </c>
      <c r="I35" s="300">
        <v>21.38</v>
      </c>
      <c r="J35" s="805">
        <f>+E35/I35</f>
        <v>6.6719837801284161E-3</v>
      </c>
      <c r="K35" s="812" t="s">
        <v>47</v>
      </c>
      <c r="L35" s="866"/>
      <c r="U35" s="582"/>
      <c r="V35" s="551"/>
    </row>
    <row r="36" spans="2:22" customFormat="1" ht="13.5" thickBot="1" x14ac:dyDescent="0.25">
      <c r="B36" s="298" t="s">
        <v>389</v>
      </c>
      <c r="C36" s="323">
        <v>44299</v>
      </c>
      <c r="D36" s="323">
        <v>44299</v>
      </c>
      <c r="E36" s="299">
        <v>4.7549004406381781E-2</v>
      </c>
      <c r="F36" s="801">
        <v>2020</v>
      </c>
      <c r="G36" s="323">
        <v>44313</v>
      </c>
      <c r="H36" s="1069">
        <v>3135.2754113750002</v>
      </c>
      <c r="I36" s="300">
        <v>21.38</v>
      </c>
      <c r="J36" s="805">
        <f>+E36/I36</f>
        <v>2.223994593376136E-3</v>
      </c>
      <c r="K36" s="812" t="s">
        <v>47</v>
      </c>
      <c r="U36" s="582"/>
      <c r="V36" s="551"/>
    </row>
    <row r="37" spans="2:22" customFormat="1" ht="13.5" thickBot="1" x14ac:dyDescent="0.25">
      <c r="B37" s="298" t="s">
        <v>175</v>
      </c>
      <c r="C37" s="323">
        <v>44141</v>
      </c>
      <c r="D37" s="323">
        <v>44146</v>
      </c>
      <c r="E37" s="299">
        <v>0.25514038804647488</v>
      </c>
      <c r="F37" s="299" t="s">
        <v>1099</v>
      </c>
      <c r="G37" s="323">
        <v>44159</v>
      </c>
      <c r="H37" s="1069">
        <v>16823.388735</v>
      </c>
      <c r="I37" s="300">
        <v>23</v>
      </c>
      <c r="J37" s="805">
        <f>+E37/I37</f>
        <v>1.1093060349846733E-2</v>
      </c>
      <c r="K37" s="812" t="s">
        <v>47</v>
      </c>
      <c r="L37" s="866"/>
      <c r="U37" s="582"/>
      <c r="V37" s="551"/>
    </row>
    <row r="38" spans="2:22" customFormat="1" ht="13.5" thickBot="1" x14ac:dyDescent="0.25">
      <c r="B38" s="298" t="s">
        <v>389</v>
      </c>
      <c r="C38" s="323">
        <v>44141</v>
      </c>
      <c r="D38" s="323">
        <v>44146</v>
      </c>
      <c r="E38" s="299">
        <v>8.504679601549163E-2</v>
      </c>
      <c r="F38" s="299" t="s">
        <v>1099</v>
      </c>
      <c r="G38" s="323">
        <v>44159</v>
      </c>
      <c r="H38" s="1069">
        <v>5607.7962450000005</v>
      </c>
      <c r="I38" s="300">
        <v>23</v>
      </c>
      <c r="J38" s="805">
        <f>+E38/I38</f>
        <v>3.6976867832822446E-3</v>
      </c>
      <c r="K38" s="812" t="s">
        <v>47</v>
      </c>
      <c r="U38" s="582"/>
      <c r="V38" s="551"/>
    </row>
    <row r="39" spans="2:22" s="143" customFormat="1" ht="13.5" thickBot="1" x14ac:dyDescent="0.25">
      <c r="B39" s="1078">
        <v>2019</v>
      </c>
      <c r="C39" s="1079" t="s">
        <v>998</v>
      </c>
      <c r="D39" s="296"/>
      <c r="E39" s="296">
        <f>SUM(E40:E43)</f>
        <v>1.1407508168180807</v>
      </c>
      <c r="F39" s="296"/>
      <c r="G39" s="296"/>
      <c r="H39" s="1080">
        <v>75263.667872909704</v>
      </c>
      <c r="I39" s="1081"/>
      <c r="J39" s="804">
        <f>+(1+J40)*(1+J41)*(1+J43)*(1+J42)-1</f>
        <v>3.7116854063646398E-2</v>
      </c>
      <c r="K39" s="811">
        <f>H39/(SUM(IncS!AJ28:AM28)-SUM('Statments of changes in Equity'!H169,'Statments of changes in Equity'!H159,'Statments of changes in Equity'!H147,'Statments of changes in Equity'!H135))</f>
        <v>0.42706846109878793</v>
      </c>
      <c r="U39" s="1082"/>
      <c r="V39" s="555"/>
    </row>
    <row r="40" spans="2:22" customFormat="1" ht="13.5" thickBot="1" x14ac:dyDescent="0.25">
      <c r="B40" s="298" t="s">
        <v>175</v>
      </c>
      <c r="C40" s="323">
        <v>43776</v>
      </c>
      <c r="D40" s="323">
        <v>43781</v>
      </c>
      <c r="E40" s="299">
        <f>H40/66002.915</f>
        <v>0.51924924487702251</v>
      </c>
      <c r="F40" s="299" t="s">
        <v>962</v>
      </c>
      <c r="G40" s="323">
        <v>43795</v>
      </c>
      <c r="H40" s="1069">
        <v>34271.963773432297</v>
      </c>
      <c r="I40" s="300">
        <v>30.5</v>
      </c>
      <c r="J40" s="805">
        <f>+E40/I40</f>
        <v>1.7024565405804017E-2</v>
      </c>
      <c r="K40" s="812" t="s">
        <v>47</v>
      </c>
      <c r="L40" s="866"/>
      <c r="U40" s="582"/>
      <c r="V40" s="551"/>
    </row>
    <row r="41" spans="2:22" customFormat="1" ht="13.5" thickBot="1" x14ac:dyDescent="0.25">
      <c r="B41" s="298" t="s">
        <v>389</v>
      </c>
      <c r="C41" s="323">
        <v>43776</v>
      </c>
      <c r="D41" s="323">
        <v>43781</v>
      </c>
      <c r="E41" s="299">
        <f>H41/66002.915</f>
        <v>0.17308308162567418</v>
      </c>
      <c r="F41" s="299" t="s">
        <v>962</v>
      </c>
      <c r="G41" s="323">
        <v>43795</v>
      </c>
      <c r="H41" s="1069">
        <v>11423.987924477433</v>
      </c>
      <c r="I41" s="300">
        <v>30.5</v>
      </c>
      <c r="J41" s="805">
        <f>+E41/I41</f>
        <v>5.6748551352680055E-3</v>
      </c>
      <c r="K41" s="812" t="s">
        <v>47</v>
      </c>
      <c r="U41" s="582"/>
      <c r="V41" s="551"/>
    </row>
    <row r="42" spans="2:22" customFormat="1" ht="13.5" thickBot="1" x14ac:dyDescent="0.25">
      <c r="B42" s="298" t="s">
        <v>175</v>
      </c>
      <c r="C42" s="323">
        <v>43706</v>
      </c>
      <c r="D42" s="323">
        <v>43712</v>
      </c>
      <c r="E42" s="299">
        <v>0.33631386773653804</v>
      </c>
      <c r="F42" s="299" t="s">
        <v>963</v>
      </c>
      <c r="G42" s="323">
        <v>43724</v>
      </c>
      <c r="H42" s="1069">
        <v>22175.787131250003</v>
      </c>
      <c r="I42" s="300">
        <v>32.11</v>
      </c>
      <c r="J42" s="805">
        <f>+E42/I42</f>
        <v>1.0473804663236937E-2</v>
      </c>
      <c r="K42" s="812" t="s">
        <v>47</v>
      </c>
      <c r="U42" s="582"/>
      <c r="V42" s="551"/>
    </row>
    <row r="43" spans="2:22" customFormat="1" ht="13.5" thickBot="1" x14ac:dyDescent="0.25">
      <c r="B43" s="298" t="s">
        <v>389</v>
      </c>
      <c r="C43" s="323">
        <v>43706</v>
      </c>
      <c r="D43" s="323">
        <v>43712</v>
      </c>
      <c r="E43" s="299">
        <v>0.11210462257884601</v>
      </c>
      <c r="F43" s="299" t="s">
        <v>963</v>
      </c>
      <c r="G43" s="323">
        <v>43724</v>
      </c>
      <c r="H43" s="1069">
        <v>7391.9290437500003</v>
      </c>
      <c r="I43" s="300">
        <v>32.11</v>
      </c>
      <c r="J43" s="805">
        <f>+E43/I43</f>
        <v>3.491268221078979E-3</v>
      </c>
      <c r="K43" s="812" t="s">
        <v>47</v>
      </c>
      <c r="N43" s="851"/>
      <c r="U43" s="582"/>
      <c r="V43" s="551"/>
    </row>
    <row r="44" spans="2:22" s="143" customFormat="1" ht="13.5" thickBot="1" x14ac:dyDescent="0.25">
      <c r="B44" s="1078">
        <v>2018</v>
      </c>
      <c r="C44" s="1083" t="s">
        <v>998</v>
      </c>
      <c r="D44" s="818"/>
      <c r="E44" s="296">
        <f>SUM(E45:E50)</f>
        <v>0.98501053387123905</v>
      </c>
      <c r="F44" s="296"/>
      <c r="G44" s="818"/>
      <c r="H44" s="1080">
        <f>SUM(H45:H50)</f>
        <v>64949.399999999994</v>
      </c>
      <c r="I44" s="1081"/>
      <c r="J44" s="804">
        <f>+(1+J47)*(1+J48)*(1+J49)*(1+J50)*(1+J46)*(1+J45)-1</f>
        <v>4.3428823432162256E-2</v>
      </c>
      <c r="K44" s="811">
        <f>H44/(SUM(IncS!AF28:AI28)-SUM('Statments of changes in Equity'!H123,'Statments of changes in Equity'!H111,'Statments of changes in Equity'!H100,'Statments of changes in Equity'!H90))</f>
        <v>0.68916576941998764</v>
      </c>
      <c r="M44" s="1142"/>
      <c r="U44" s="1082"/>
      <c r="V44" s="555"/>
    </row>
    <row r="45" spans="2:22" customFormat="1" ht="13.5" thickBot="1" x14ac:dyDescent="0.25">
      <c r="B45" s="298" t="s">
        <v>175</v>
      </c>
      <c r="C45" s="323">
        <v>43579</v>
      </c>
      <c r="D45" s="323">
        <v>43579</v>
      </c>
      <c r="E45" s="299">
        <v>0.3219582058368608</v>
      </c>
      <c r="F45" s="801">
        <v>2018</v>
      </c>
      <c r="G45" s="323">
        <v>43592</v>
      </c>
      <c r="H45" s="1069">
        <v>21229.206769999997</v>
      </c>
      <c r="I45" s="300">
        <v>29.02</v>
      </c>
      <c r="J45" s="805">
        <f t="shared" ref="J45:J50" si="4">+E45/I45</f>
        <v>1.1094355817948339E-2</v>
      </c>
      <c r="K45" s="812" t="s">
        <v>47</v>
      </c>
      <c r="M45" s="850"/>
      <c r="U45" s="582"/>
      <c r="V45" s="551"/>
    </row>
    <row r="46" spans="2:22" customFormat="1" ht="13.5" thickBot="1" x14ac:dyDescent="0.25">
      <c r="B46" s="298" t="s">
        <v>389</v>
      </c>
      <c r="C46" s="323">
        <v>43579</v>
      </c>
      <c r="D46" s="323">
        <v>43579</v>
      </c>
      <c r="E46" s="299">
        <v>0.10731940199617299</v>
      </c>
      <c r="F46" s="801">
        <v>2018</v>
      </c>
      <c r="G46" s="323">
        <v>43592</v>
      </c>
      <c r="H46" s="1069">
        <v>7076.4022599999989</v>
      </c>
      <c r="I46" s="300">
        <v>29.02</v>
      </c>
      <c r="J46" s="805">
        <f t="shared" si="4"/>
        <v>3.6981186077247757E-3</v>
      </c>
      <c r="K46" s="812" t="s">
        <v>47</v>
      </c>
      <c r="U46" s="582"/>
      <c r="V46" s="551"/>
    </row>
    <row r="47" spans="2:22" customFormat="1" ht="13.5" thickBot="1" x14ac:dyDescent="0.25">
      <c r="B47" s="298" t="s">
        <v>175</v>
      </c>
      <c r="C47" s="323">
        <v>43412</v>
      </c>
      <c r="D47" s="323">
        <v>43417</v>
      </c>
      <c r="E47" s="299">
        <v>0.17690879603120388</v>
      </c>
      <c r="F47" s="323" t="s">
        <v>969</v>
      </c>
      <c r="G47" s="323">
        <v>43430</v>
      </c>
      <c r="H47" s="1069">
        <v>11664.97186</v>
      </c>
      <c r="I47" s="300">
        <v>21.82</v>
      </c>
      <c r="J47" s="805">
        <f t="shared" si="4"/>
        <v>8.1076441810817544E-3</v>
      </c>
      <c r="K47" s="812" t="s">
        <v>47</v>
      </c>
      <c r="U47" s="582"/>
      <c r="V47" s="551"/>
    </row>
    <row r="48" spans="2:22" customFormat="1" ht="13.5" thickBot="1" x14ac:dyDescent="0.25">
      <c r="B48" s="298" t="s">
        <v>389</v>
      </c>
      <c r="C48" s="323">
        <v>43412</v>
      </c>
      <c r="D48" s="323">
        <v>43417</v>
      </c>
      <c r="E48" s="299">
        <v>5.8969598677067955E-2</v>
      </c>
      <c r="F48" s="323" t="s">
        <v>969</v>
      </c>
      <c r="G48" s="323">
        <v>43430</v>
      </c>
      <c r="H48" s="1069">
        <v>3888.32395</v>
      </c>
      <c r="I48" s="300">
        <v>21.82</v>
      </c>
      <c r="J48" s="805">
        <f t="shared" si="4"/>
        <v>2.7025480603605845E-3</v>
      </c>
      <c r="K48" s="812" t="s">
        <v>47</v>
      </c>
      <c r="U48" s="582"/>
      <c r="V48" s="551"/>
    </row>
    <row r="49" spans="2:22" customFormat="1" ht="13.5" thickBot="1" x14ac:dyDescent="0.25">
      <c r="B49" s="298" t="s">
        <v>175</v>
      </c>
      <c r="C49" s="323">
        <v>43319</v>
      </c>
      <c r="D49" s="323">
        <v>43322</v>
      </c>
      <c r="E49" s="299">
        <v>0.23989089849745004</v>
      </c>
      <c r="F49" s="323" t="s">
        <v>968</v>
      </c>
      <c r="G49" s="323">
        <v>43334</v>
      </c>
      <c r="H49" s="1069">
        <v>15817.871370000001</v>
      </c>
      <c r="I49" s="300">
        <v>18.7</v>
      </c>
      <c r="J49" s="805">
        <f t="shared" si="4"/>
        <v>1.2828390293981286E-2</v>
      </c>
      <c r="K49" s="812" t="s">
        <v>47</v>
      </c>
      <c r="U49" s="582"/>
      <c r="V49" s="551"/>
    </row>
    <row r="50" spans="2:22" customFormat="1" ht="13.5" thickBot="1" x14ac:dyDescent="0.25">
      <c r="B50" s="298" t="s">
        <v>389</v>
      </c>
      <c r="C50" s="323">
        <v>43319</v>
      </c>
      <c r="D50" s="323">
        <v>43322</v>
      </c>
      <c r="E50" s="299">
        <v>7.9963632832483339E-2</v>
      </c>
      <c r="F50" s="323" t="s">
        <v>968</v>
      </c>
      <c r="G50" s="323">
        <v>43334</v>
      </c>
      <c r="H50" s="1069">
        <v>5272.6237899999996</v>
      </c>
      <c r="I50" s="300">
        <v>18.7</v>
      </c>
      <c r="J50" s="805">
        <f t="shared" si="4"/>
        <v>4.2761300979937619E-3</v>
      </c>
      <c r="K50" s="812" t="s">
        <v>47</v>
      </c>
      <c r="U50" s="582"/>
      <c r="V50" s="551"/>
    </row>
    <row r="51" spans="2:22" s="143" customFormat="1" ht="13.5" thickBot="1" x14ac:dyDescent="0.25">
      <c r="B51" s="1078">
        <v>2017</v>
      </c>
      <c r="C51" s="1083" t="s">
        <v>998</v>
      </c>
      <c r="D51" s="818" t="s">
        <v>47</v>
      </c>
      <c r="E51" s="296">
        <f>+SUM(E52:E56)</f>
        <v>0.92519832862065488</v>
      </c>
      <c r="F51" s="296" t="s">
        <v>47</v>
      </c>
      <c r="G51" s="818" t="s">
        <v>47</v>
      </c>
      <c r="H51" s="1080">
        <f>SUM(H52:H56)</f>
        <v>61249.19999999999</v>
      </c>
      <c r="I51" s="1081"/>
      <c r="J51" s="804">
        <f>SUM(J52:J56)</f>
        <v>4.8503154015015842E-2</v>
      </c>
      <c r="K51" s="811">
        <f>+H51/(SUM(IncSCons!W48:Z48)-'Statments of changes in Equity'!I83)</f>
        <v>0.60000519915948858</v>
      </c>
      <c r="U51" s="1082"/>
      <c r="V51" s="555"/>
    </row>
    <row r="52" spans="2:22" customFormat="1" ht="13.5" thickBot="1" x14ac:dyDescent="0.25">
      <c r="B52" s="298" t="s">
        <v>175</v>
      </c>
      <c r="C52" s="323">
        <v>43210</v>
      </c>
      <c r="D52" s="323" t="s">
        <v>47</v>
      </c>
      <c r="E52" s="299">
        <v>0.41501539709288326</v>
      </c>
      <c r="F52" s="299" t="s">
        <v>47</v>
      </c>
      <c r="G52" s="323" t="s">
        <v>47</v>
      </c>
      <c r="H52" s="1069">
        <v>27365.190629999997</v>
      </c>
      <c r="I52" s="300">
        <v>22</v>
      </c>
      <c r="J52" s="805">
        <f>+E52/I52</f>
        <v>1.8864336231494694E-2</v>
      </c>
      <c r="K52" s="812" t="s">
        <v>47</v>
      </c>
      <c r="U52" s="582"/>
      <c r="V52" s="551"/>
    </row>
    <row r="53" spans="2:22" customFormat="1" ht="13.5" thickBot="1" x14ac:dyDescent="0.25">
      <c r="B53" s="298" t="s">
        <v>389</v>
      </c>
      <c r="C53" s="323">
        <v>43210</v>
      </c>
      <c r="D53" s="323" t="s">
        <v>47</v>
      </c>
      <c r="E53" s="299">
        <v>0.17426416273209835</v>
      </c>
      <c r="F53" s="299" t="s">
        <v>47</v>
      </c>
      <c r="G53" s="323" t="s">
        <v>47</v>
      </c>
      <c r="H53" s="1069">
        <v>11490.590629999999</v>
      </c>
      <c r="I53" s="300">
        <v>22</v>
      </c>
      <c r="J53" s="805">
        <f>+E53/I53</f>
        <v>7.9210983060044714E-3</v>
      </c>
      <c r="K53" s="812" t="s">
        <v>47</v>
      </c>
      <c r="U53" s="582"/>
      <c r="V53" s="551"/>
    </row>
    <row r="54" spans="2:22" customFormat="1" ht="13.5" thickBot="1" x14ac:dyDescent="0.25">
      <c r="B54" s="298" t="s">
        <v>389</v>
      </c>
      <c r="C54" s="323" t="s">
        <v>1466</v>
      </c>
      <c r="D54" s="323" t="s">
        <v>47</v>
      </c>
      <c r="E54" s="299">
        <v>5.7959384397836655E-2</v>
      </c>
      <c r="F54" s="299" t="s">
        <v>47</v>
      </c>
      <c r="G54" s="323" t="s">
        <v>47</v>
      </c>
      <c r="H54" s="1069">
        <f>7643.41874/2</f>
        <v>3821.70937</v>
      </c>
      <c r="I54" s="300">
        <v>18.149999999999999</v>
      </c>
      <c r="J54" s="805">
        <f>+E54/I54</f>
        <v>3.1933545122775019E-3</v>
      </c>
      <c r="K54" s="812" t="s">
        <v>47</v>
      </c>
      <c r="U54" s="580">
        <v>43045</v>
      </c>
      <c r="V54" s="551"/>
    </row>
    <row r="55" spans="2:22" customFormat="1" ht="13.5" thickBot="1" x14ac:dyDescent="0.25">
      <c r="B55" s="298" t="s">
        <v>175</v>
      </c>
      <c r="C55" s="323" t="s">
        <v>1466</v>
      </c>
      <c r="D55" s="323" t="s">
        <v>47</v>
      </c>
      <c r="E55" s="299">
        <v>5.7959384397836655E-2</v>
      </c>
      <c r="F55" s="299" t="s">
        <v>47</v>
      </c>
      <c r="G55" s="323" t="s">
        <v>47</v>
      </c>
      <c r="H55" s="1069">
        <f>7643.41874/2</f>
        <v>3821.70937</v>
      </c>
      <c r="I55" s="300">
        <v>18.149999999999999</v>
      </c>
      <c r="J55" s="805">
        <f>+E55/I55</f>
        <v>3.1933545122775019E-3</v>
      </c>
      <c r="K55" s="812" t="s">
        <v>47</v>
      </c>
      <c r="U55" s="580">
        <v>43045</v>
      </c>
      <c r="V55" s="551"/>
    </row>
    <row r="56" spans="2:22" customFormat="1" ht="13.5" thickBot="1" x14ac:dyDescent="0.25">
      <c r="B56" s="298" t="s">
        <v>175</v>
      </c>
      <c r="C56" s="323" t="s">
        <v>1467</v>
      </c>
      <c r="D56" s="323" t="s">
        <v>47</v>
      </c>
      <c r="E56" s="299">
        <v>0.22</v>
      </c>
      <c r="F56" s="299" t="s">
        <v>47</v>
      </c>
      <c r="G56" s="323" t="s">
        <v>47</v>
      </c>
      <c r="H56" s="1069">
        <v>14750</v>
      </c>
      <c r="I56" s="300">
        <v>14.35</v>
      </c>
      <c r="J56" s="805">
        <f>+E56/I56</f>
        <v>1.5331010452961672E-2</v>
      </c>
      <c r="K56" s="812" t="s">
        <v>47</v>
      </c>
      <c r="U56" s="580">
        <v>42951</v>
      </c>
      <c r="V56" s="551"/>
    </row>
    <row r="57" spans="2:22" customFormat="1" ht="13.5" thickBot="1" x14ac:dyDescent="0.25">
      <c r="B57" s="572">
        <v>2016</v>
      </c>
      <c r="C57" s="573" t="s">
        <v>998</v>
      </c>
      <c r="D57" s="802" t="s">
        <v>47</v>
      </c>
      <c r="E57" s="296">
        <f>+E58</f>
        <v>0.12120676791320506</v>
      </c>
      <c r="F57" s="802" t="s">
        <v>47</v>
      </c>
      <c r="G57" s="802" t="s">
        <v>47</v>
      </c>
      <c r="H57" s="1070">
        <f>+H58</f>
        <v>8000</v>
      </c>
      <c r="I57" s="302"/>
      <c r="J57" s="806">
        <f>+J58</f>
        <v>9.294997539356217E-3</v>
      </c>
      <c r="K57" s="817" t="s">
        <v>47</v>
      </c>
      <c r="U57" s="582"/>
      <c r="V57" s="551"/>
    </row>
    <row r="58" spans="2:22" customFormat="1" ht="13.5" thickBot="1" x14ac:dyDescent="0.25">
      <c r="B58" s="298" t="s">
        <v>175</v>
      </c>
      <c r="C58" s="323" t="s">
        <v>1468</v>
      </c>
      <c r="D58" s="299" t="s">
        <v>47</v>
      </c>
      <c r="E58" s="299">
        <f>+H58/66002.915</f>
        <v>0.12120676791320506</v>
      </c>
      <c r="F58" s="299" t="s">
        <v>47</v>
      </c>
      <c r="G58" s="299" t="s">
        <v>47</v>
      </c>
      <c r="H58" s="1069">
        <v>8000</v>
      </c>
      <c r="I58" s="300">
        <v>13.04</v>
      </c>
      <c r="J58" s="805">
        <f>+E58/I58</f>
        <v>9.294997539356217E-3</v>
      </c>
      <c r="K58" s="812" t="s">
        <v>47</v>
      </c>
      <c r="U58" s="580">
        <v>42853</v>
      </c>
      <c r="V58" s="551"/>
    </row>
    <row r="59" spans="2:22" customFormat="1" ht="13.5" thickBot="1" x14ac:dyDescent="0.25">
      <c r="B59" s="572">
        <v>2015</v>
      </c>
      <c r="C59" s="573" t="s">
        <v>998</v>
      </c>
      <c r="D59" s="802" t="s">
        <v>47</v>
      </c>
      <c r="E59" s="296">
        <f>+E60</f>
        <v>7.5829136000000005E-2</v>
      </c>
      <c r="F59" s="802" t="s">
        <v>47</v>
      </c>
      <c r="G59" s="802" t="s">
        <v>47</v>
      </c>
      <c r="H59" s="1070">
        <f>+H60</f>
        <v>5000</v>
      </c>
      <c r="I59" s="297"/>
      <c r="J59" s="806">
        <f>+J60</f>
        <v>1.4443644952380954E-2</v>
      </c>
      <c r="K59" s="817" t="s">
        <v>47</v>
      </c>
      <c r="U59" s="582"/>
      <c r="V59" s="551"/>
    </row>
    <row r="60" spans="2:22" s="143" customFormat="1" ht="13.5" thickBot="1" x14ac:dyDescent="0.25">
      <c r="B60" s="1084" t="s">
        <v>390</v>
      </c>
      <c r="C60" s="1085" t="s">
        <v>1469</v>
      </c>
      <c r="D60" s="1086" t="s">
        <v>47</v>
      </c>
      <c r="E60" s="1086">
        <v>7.5829136000000005E-2</v>
      </c>
      <c r="F60" s="1086" t="s">
        <v>47</v>
      </c>
      <c r="G60" s="1086" t="s">
        <v>47</v>
      </c>
      <c r="H60" s="1087">
        <v>5000</v>
      </c>
      <c r="I60" s="1088">
        <v>5.25</v>
      </c>
      <c r="J60" s="1089">
        <f>+E60/I60</f>
        <v>1.4443644952380954E-2</v>
      </c>
      <c r="K60" s="1090" t="s">
        <v>47</v>
      </c>
      <c r="U60" s="1091">
        <v>42247</v>
      </c>
      <c r="V60" s="555"/>
    </row>
    <row r="61" spans="2:22" customFormat="1" ht="13.5" thickBot="1" x14ac:dyDescent="0.25">
      <c r="B61" s="572">
        <v>2014</v>
      </c>
      <c r="C61" s="573" t="s">
        <v>998</v>
      </c>
      <c r="D61" s="301" t="s">
        <v>47</v>
      </c>
      <c r="E61" s="301">
        <v>0</v>
      </c>
      <c r="F61" s="301" t="s">
        <v>47</v>
      </c>
      <c r="G61" s="301" t="s">
        <v>47</v>
      </c>
      <c r="H61" s="1068">
        <v>0</v>
      </c>
      <c r="I61" s="302"/>
      <c r="J61" s="807">
        <v>0</v>
      </c>
      <c r="K61" s="813" t="s">
        <v>47</v>
      </c>
      <c r="U61" s="582"/>
      <c r="V61" s="551"/>
    </row>
    <row r="62" spans="2:22" s="143" customFormat="1" ht="13.5" thickBot="1" x14ac:dyDescent="0.25">
      <c r="B62" s="1078">
        <v>2013</v>
      </c>
      <c r="C62" s="1079" t="s">
        <v>998</v>
      </c>
      <c r="D62" s="1092" t="s">
        <v>47</v>
      </c>
      <c r="E62" s="1092">
        <f>+SUM(E63:E67)</f>
        <v>0.71252089766017623</v>
      </c>
      <c r="F62" s="1092" t="s">
        <v>47</v>
      </c>
      <c r="G62" s="1092" t="s">
        <v>47</v>
      </c>
      <c r="H62" s="1080">
        <f>SUM(H63:H67)</f>
        <v>46982</v>
      </c>
      <c r="I62" s="1081"/>
      <c r="J62" s="1093">
        <v>3.3724554791290516E-2</v>
      </c>
      <c r="K62" s="1094" t="s">
        <v>47</v>
      </c>
      <c r="U62" s="1082"/>
      <c r="V62" s="555"/>
    </row>
    <row r="63" spans="2:22" customFormat="1" ht="13.5" thickBot="1" x14ac:dyDescent="0.25">
      <c r="B63" s="298" t="s">
        <v>390</v>
      </c>
      <c r="C63" s="323" t="s">
        <v>1470</v>
      </c>
      <c r="D63" s="299" t="s">
        <v>47</v>
      </c>
      <c r="E63" s="299">
        <v>0.25754607966017629</v>
      </c>
      <c r="F63" s="299" t="s">
        <v>47</v>
      </c>
      <c r="G63" s="299" t="s">
        <v>47</v>
      </c>
      <c r="H63" s="1069">
        <v>16982</v>
      </c>
      <c r="I63" s="300">
        <v>19.100000000000001</v>
      </c>
      <c r="J63" s="805">
        <v>1.3484087940323365E-2</v>
      </c>
      <c r="K63" s="812" t="s">
        <v>47</v>
      </c>
      <c r="U63" s="580">
        <v>41758</v>
      </c>
      <c r="V63" s="551"/>
    </row>
    <row r="64" spans="2:22" customFormat="1" ht="13.5" thickBot="1" x14ac:dyDescent="0.25">
      <c r="B64" s="298" t="s">
        <v>175</v>
      </c>
      <c r="C64" s="323" t="s">
        <v>1471</v>
      </c>
      <c r="D64" s="299" t="s">
        <v>47</v>
      </c>
      <c r="E64" s="299">
        <v>0.15165827300000001</v>
      </c>
      <c r="F64" s="299" t="s">
        <v>47</v>
      </c>
      <c r="G64" s="299" t="s">
        <v>47</v>
      </c>
      <c r="H64" s="1069">
        <v>10000</v>
      </c>
      <c r="I64" s="300">
        <v>21.28</v>
      </c>
      <c r="J64" s="805">
        <v>7.1267985432330828E-3</v>
      </c>
      <c r="K64" s="812" t="s">
        <v>47</v>
      </c>
      <c r="U64" s="580">
        <v>41590</v>
      </c>
      <c r="V64" s="551"/>
    </row>
    <row r="65" spans="2:22" customFormat="1" ht="13.5" thickBot="1" x14ac:dyDescent="0.25">
      <c r="B65" s="303" t="s">
        <v>389</v>
      </c>
      <c r="C65" s="323" t="s">
        <v>1471</v>
      </c>
      <c r="D65" s="299" t="s">
        <v>47</v>
      </c>
      <c r="E65" s="299">
        <v>7.5829136000000005E-2</v>
      </c>
      <c r="F65" s="299" t="s">
        <v>47</v>
      </c>
      <c r="G65" s="299" t="s">
        <v>47</v>
      </c>
      <c r="H65" s="1069">
        <v>5000</v>
      </c>
      <c r="I65" s="300">
        <v>21.28</v>
      </c>
      <c r="J65" s="805">
        <v>3.5633992481203009E-3</v>
      </c>
      <c r="K65" s="812" t="s">
        <v>47</v>
      </c>
      <c r="U65" s="580">
        <v>41590</v>
      </c>
      <c r="V65" s="551"/>
    </row>
    <row r="66" spans="2:22" customFormat="1" ht="13.5" thickBot="1" x14ac:dyDescent="0.25">
      <c r="B66" s="298" t="s">
        <v>175</v>
      </c>
      <c r="C66" s="323" t="s">
        <v>1472</v>
      </c>
      <c r="D66" s="299" t="s">
        <v>47</v>
      </c>
      <c r="E66" s="299">
        <v>0.13649244499999999</v>
      </c>
      <c r="F66" s="299" t="s">
        <v>47</v>
      </c>
      <c r="G66" s="299" t="s">
        <v>47</v>
      </c>
      <c r="H66" s="1069">
        <v>9000</v>
      </c>
      <c r="I66" s="300">
        <v>23.82</v>
      </c>
      <c r="J66" s="805">
        <v>5.7301614189756503E-3</v>
      </c>
      <c r="K66" s="812" t="s">
        <v>47</v>
      </c>
      <c r="U66" s="580">
        <v>41502</v>
      </c>
      <c r="V66" s="551"/>
    </row>
    <row r="67" spans="2:22" customFormat="1" ht="13.5" thickBot="1" x14ac:dyDescent="0.25">
      <c r="B67" s="303" t="s">
        <v>389</v>
      </c>
      <c r="C67" s="323" t="s">
        <v>1472</v>
      </c>
      <c r="D67" s="299" t="s">
        <v>47</v>
      </c>
      <c r="E67" s="299">
        <v>9.0994963999999998E-2</v>
      </c>
      <c r="F67" s="299" t="s">
        <v>47</v>
      </c>
      <c r="G67" s="299" t="s">
        <v>47</v>
      </c>
      <c r="H67" s="1069">
        <v>6000</v>
      </c>
      <c r="I67" s="300">
        <v>23.82</v>
      </c>
      <c r="J67" s="805">
        <v>3.820107640638119E-3</v>
      </c>
      <c r="K67" s="812" t="s">
        <v>47</v>
      </c>
      <c r="U67" s="580">
        <v>41502</v>
      </c>
      <c r="V67" s="551"/>
    </row>
    <row r="68" spans="2:22" s="143" customFormat="1" ht="13.5" thickBot="1" x14ac:dyDescent="0.25">
      <c r="B68" s="1078">
        <v>2012</v>
      </c>
      <c r="C68" s="1079" t="s">
        <v>998</v>
      </c>
      <c r="D68" s="1092" t="s">
        <v>47</v>
      </c>
      <c r="E68" s="1092">
        <f>+SUM(E69:E73)</f>
        <v>0.97061294599999992</v>
      </c>
      <c r="F68" s="1092" t="s">
        <v>47</v>
      </c>
      <c r="G68" s="1092" t="s">
        <v>47</v>
      </c>
      <c r="H68" s="1080">
        <f>SUM(H69:H73)</f>
        <v>64016.809766571561</v>
      </c>
      <c r="I68" s="1081"/>
      <c r="J68" s="1093">
        <v>3.228322430648245E-2</v>
      </c>
      <c r="K68" s="1094" t="s">
        <v>47</v>
      </c>
      <c r="U68" s="1082"/>
      <c r="V68" s="555"/>
    </row>
    <row r="69" spans="2:22" customFormat="1" ht="13.5" thickBot="1" x14ac:dyDescent="0.25">
      <c r="B69" s="298" t="s">
        <v>175</v>
      </c>
      <c r="C69" s="323" t="s">
        <v>1473</v>
      </c>
      <c r="D69" s="299" t="s">
        <v>47</v>
      </c>
      <c r="E69" s="299">
        <v>0.45497481899999997</v>
      </c>
      <c r="F69" s="299" t="s">
        <v>47</v>
      </c>
      <c r="G69" s="299" t="s">
        <v>47</v>
      </c>
      <c r="H69" s="1069">
        <v>30000</v>
      </c>
      <c r="I69" s="300">
        <v>27.01</v>
      </c>
      <c r="J69" s="805">
        <v>1.6844680451684559E-2</v>
      </c>
      <c r="K69" s="812" t="s">
        <v>47</v>
      </c>
      <c r="U69" s="580">
        <v>41394</v>
      </c>
      <c r="V69" s="551"/>
    </row>
    <row r="70" spans="2:22" customFormat="1" ht="13.5" thickBot="1" x14ac:dyDescent="0.25">
      <c r="B70" s="298" t="s">
        <v>175</v>
      </c>
      <c r="C70" s="323" t="s">
        <v>1474</v>
      </c>
      <c r="D70" s="299" t="s">
        <v>47</v>
      </c>
      <c r="E70" s="299">
        <v>0.121326618</v>
      </c>
      <c r="F70" s="299" t="s">
        <v>47</v>
      </c>
      <c r="G70" s="299" t="s">
        <v>47</v>
      </c>
      <c r="H70" s="1069">
        <v>8000</v>
      </c>
      <c r="I70" s="300">
        <v>34.35</v>
      </c>
      <c r="J70" s="805">
        <v>3.5320703930131004E-3</v>
      </c>
      <c r="K70" s="812" t="s">
        <v>47</v>
      </c>
      <c r="U70" s="580">
        <v>41221</v>
      </c>
      <c r="V70" s="551"/>
    </row>
    <row r="71" spans="2:22" customFormat="1" ht="13.5" thickBot="1" x14ac:dyDescent="0.25">
      <c r="B71" s="298" t="s">
        <v>389</v>
      </c>
      <c r="C71" s="323" t="s">
        <v>1474</v>
      </c>
      <c r="D71" s="299" t="s">
        <v>47</v>
      </c>
      <c r="E71" s="299">
        <v>0.13649244499999999</v>
      </c>
      <c r="F71" s="299" t="s">
        <v>47</v>
      </c>
      <c r="G71" s="299" t="s">
        <v>47</v>
      </c>
      <c r="H71" s="1069">
        <v>9000</v>
      </c>
      <c r="I71" s="300">
        <v>34.35</v>
      </c>
      <c r="J71" s="805">
        <v>3.9735791848617167E-3</v>
      </c>
      <c r="K71" s="812" t="s">
        <v>47</v>
      </c>
      <c r="U71" s="580">
        <v>41221</v>
      </c>
      <c r="V71" s="551"/>
    </row>
    <row r="72" spans="2:22" customFormat="1" ht="13.5" thickBot="1" x14ac:dyDescent="0.25">
      <c r="B72" s="298" t="s">
        <v>175</v>
      </c>
      <c r="C72" s="323" t="s">
        <v>1475</v>
      </c>
      <c r="D72" s="299" t="s">
        <v>47</v>
      </c>
      <c r="E72" s="299">
        <v>0.15165827300000001</v>
      </c>
      <c r="F72" s="299" t="s">
        <v>47</v>
      </c>
      <c r="G72" s="299" t="s">
        <v>47</v>
      </c>
      <c r="H72" s="1069">
        <f>(E72*66002915)/1000</f>
        <v>10009.888101865796</v>
      </c>
      <c r="I72" s="300">
        <v>32.5</v>
      </c>
      <c r="J72" s="805">
        <v>4.6664084000000005E-3</v>
      </c>
      <c r="K72" s="812" t="s">
        <v>47</v>
      </c>
      <c r="U72" s="580">
        <v>41138</v>
      </c>
      <c r="V72" s="551"/>
    </row>
    <row r="73" spans="2:22" customFormat="1" ht="13.5" thickBot="1" x14ac:dyDescent="0.25">
      <c r="B73" s="303" t="s">
        <v>389</v>
      </c>
      <c r="C73" s="323" t="s">
        <v>1475</v>
      </c>
      <c r="D73" s="299" t="s">
        <v>47</v>
      </c>
      <c r="E73" s="299">
        <v>0.106160791</v>
      </c>
      <c r="F73" s="299" t="s">
        <v>47</v>
      </c>
      <c r="G73" s="299" t="s">
        <v>47</v>
      </c>
      <c r="H73" s="1069">
        <f>(E73*66002915)/1000</f>
        <v>7006.9216647057656</v>
      </c>
      <c r="I73" s="300">
        <v>32.5</v>
      </c>
      <c r="J73" s="805">
        <v>3.2664858769230771E-3</v>
      </c>
      <c r="K73" s="812" t="s">
        <v>47</v>
      </c>
      <c r="U73" s="580">
        <v>41138</v>
      </c>
      <c r="V73" s="551"/>
    </row>
    <row r="74" spans="2:22" s="143" customFormat="1" ht="13.5" thickBot="1" x14ac:dyDescent="0.25">
      <c r="B74" s="1078">
        <v>2011</v>
      </c>
      <c r="C74" s="1079" t="s">
        <v>998</v>
      </c>
      <c r="D74" s="1092" t="s">
        <v>47</v>
      </c>
      <c r="E74" s="1092">
        <f>SUM(E75:E79)</f>
        <v>1.0009447819999999</v>
      </c>
      <c r="F74" s="1092" t="s">
        <v>47</v>
      </c>
      <c r="G74" s="1092" t="s">
        <v>47</v>
      </c>
      <c r="H74" s="1080">
        <f>SUM(H75:H79)</f>
        <v>66065.273366039532</v>
      </c>
      <c r="I74" s="1081"/>
      <c r="J74" s="1093">
        <v>4.1651064127491179E-2</v>
      </c>
      <c r="K74" s="1094" t="s">
        <v>47</v>
      </c>
      <c r="U74" s="1082"/>
      <c r="V74" s="555"/>
    </row>
    <row r="75" spans="2:22" customFormat="1" ht="13.5" thickBot="1" x14ac:dyDescent="0.25">
      <c r="B75" s="298" t="s">
        <v>175</v>
      </c>
      <c r="C75" s="323" t="s">
        <v>1476</v>
      </c>
      <c r="D75" s="299" t="s">
        <v>47</v>
      </c>
      <c r="E75" s="299">
        <v>0.45497500000000002</v>
      </c>
      <c r="F75" s="299" t="s">
        <v>47</v>
      </c>
      <c r="G75" s="299" t="s">
        <v>47</v>
      </c>
      <c r="H75" s="1069">
        <f>(E75*66002915)/1000</f>
        <v>30029.676252125002</v>
      </c>
      <c r="I75" s="300">
        <v>29.64</v>
      </c>
      <c r="J75" s="805">
        <v>1.5350033738191634E-2</v>
      </c>
      <c r="K75" s="812" t="s">
        <v>47</v>
      </c>
      <c r="U75" s="580">
        <v>41009</v>
      </c>
      <c r="V75" s="551"/>
    </row>
    <row r="76" spans="2:22" customFormat="1" ht="13.5" thickBot="1" x14ac:dyDescent="0.25">
      <c r="B76" s="298" t="s">
        <v>175</v>
      </c>
      <c r="C76" s="323" t="s">
        <v>1477</v>
      </c>
      <c r="D76" s="299" t="s">
        <v>47</v>
      </c>
      <c r="E76" s="299">
        <v>0.15165827300000001</v>
      </c>
      <c r="F76" s="299" t="s">
        <v>47</v>
      </c>
      <c r="G76" s="299" t="s">
        <v>47</v>
      </c>
      <c r="H76" s="1069">
        <f>(E76*66002915)/1000</f>
        <v>10009.888101865796</v>
      </c>
      <c r="I76" s="300">
        <v>22.666989999999998</v>
      </c>
      <c r="J76" s="805">
        <v>6.6907107207441318E-3</v>
      </c>
      <c r="K76" s="812" t="s">
        <v>47</v>
      </c>
      <c r="U76" s="580">
        <v>40855</v>
      </c>
      <c r="V76" s="551"/>
    </row>
    <row r="77" spans="2:22" customFormat="1" ht="13.5" thickBot="1" x14ac:dyDescent="0.25">
      <c r="B77" s="303" t="s">
        <v>389</v>
      </c>
      <c r="C77" s="323" t="s">
        <v>1477</v>
      </c>
      <c r="D77" s="304" t="s">
        <v>47</v>
      </c>
      <c r="E77" s="304">
        <v>0.121326618</v>
      </c>
      <c r="F77" s="304" t="s">
        <v>47</v>
      </c>
      <c r="G77" s="304" t="s">
        <v>47</v>
      </c>
      <c r="H77" s="1071">
        <f>(E77*66002915)/1000</f>
        <v>8007.9104550914699</v>
      </c>
      <c r="I77" s="300">
        <v>22.666989999999998</v>
      </c>
      <c r="J77" s="808">
        <v>5.352568558948498E-3</v>
      </c>
      <c r="K77" s="814" t="s">
        <v>47</v>
      </c>
      <c r="U77" s="580">
        <v>40855</v>
      </c>
      <c r="V77" s="551"/>
    </row>
    <row r="78" spans="2:22" customFormat="1" ht="13.5" thickBot="1" x14ac:dyDescent="0.25">
      <c r="B78" s="303" t="s">
        <v>175</v>
      </c>
      <c r="C78" s="323" t="s">
        <v>1478</v>
      </c>
      <c r="D78" s="304" t="s">
        <v>47</v>
      </c>
      <c r="E78" s="304">
        <v>0.15165827300000001</v>
      </c>
      <c r="F78" s="304" t="s">
        <v>47</v>
      </c>
      <c r="G78" s="304" t="s">
        <v>47</v>
      </c>
      <c r="H78" s="1071">
        <f>(E78*66002915)/1000</f>
        <v>10009.888101865796</v>
      </c>
      <c r="I78" s="300">
        <v>19.146419999999999</v>
      </c>
      <c r="J78" s="808">
        <v>7.9209728502769722E-3</v>
      </c>
      <c r="K78" s="814" t="s">
        <v>47</v>
      </c>
      <c r="U78" s="580">
        <v>40766</v>
      </c>
      <c r="V78" s="551"/>
    </row>
    <row r="79" spans="2:22" customFormat="1" ht="13.5" thickBot="1" x14ac:dyDescent="0.25">
      <c r="B79" s="305" t="s">
        <v>389</v>
      </c>
      <c r="C79" s="323" t="s">
        <v>1478</v>
      </c>
      <c r="D79" s="306" t="s">
        <v>47</v>
      </c>
      <c r="E79" s="306">
        <v>0.121326618</v>
      </c>
      <c r="F79" s="306" t="s">
        <v>47</v>
      </c>
      <c r="G79" s="306" t="s">
        <v>47</v>
      </c>
      <c r="H79" s="1072">
        <f>(E79*66002915)/1000</f>
        <v>8007.9104550914699</v>
      </c>
      <c r="I79" s="307">
        <v>19.146419999999999</v>
      </c>
      <c r="J79" s="809">
        <v>6.3367782593299424E-3</v>
      </c>
      <c r="K79" s="815" t="s">
        <v>47</v>
      </c>
      <c r="U79" s="580">
        <v>40766</v>
      </c>
      <c r="V79" s="551"/>
    </row>
    <row r="80" spans="2:22" s="143" customFormat="1" ht="13.5" thickBot="1" x14ac:dyDescent="0.25">
      <c r="B80" s="1078">
        <v>2010</v>
      </c>
      <c r="C80" s="1079" t="s">
        <v>998</v>
      </c>
      <c r="D80" s="1092" t="s">
        <v>47</v>
      </c>
      <c r="E80" s="1092">
        <f>SUM(E81:E85)</f>
        <v>0.94786420400000004</v>
      </c>
      <c r="F80" s="1092" t="s">
        <v>47</v>
      </c>
      <c r="G80" s="1092" t="s">
        <v>47</v>
      </c>
      <c r="H80" s="1080">
        <f>SUM(H81:H85)</f>
        <v>62561.800488154659</v>
      </c>
      <c r="I80" s="1081"/>
      <c r="J80" s="1093">
        <v>4.7072267578705425E-2</v>
      </c>
      <c r="K80" s="1094" t="s">
        <v>47</v>
      </c>
      <c r="U80" s="1082"/>
      <c r="V80" s="555"/>
    </row>
    <row r="81" spans="2:22" customFormat="1" ht="13.5" thickBot="1" x14ac:dyDescent="0.25">
      <c r="B81" s="308" t="s">
        <v>175</v>
      </c>
      <c r="C81" s="323" t="s">
        <v>1479</v>
      </c>
      <c r="D81" s="309" t="s">
        <v>47</v>
      </c>
      <c r="E81" s="309">
        <v>0.45497481899999997</v>
      </c>
      <c r="F81" s="309" t="s">
        <v>47</v>
      </c>
      <c r="G81" s="309" t="s">
        <v>47</v>
      </c>
      <c r="H81" s="1073">
        <f>(E81*66002915)/1000</f>
        <v>30029.664305597384</v>
      </c>
      <c r="I81" s="310">
        <v>25.426259999999999</v>
      </c>
      <c r="J81" s="810">
        <v>1.7893894697843884E-2</v>
      </c>
      <c r="K81" s="816" t="s">
        <v>47</v>
      </c>
      <c r="U81" s="580">
        <v>40637</v>
      </c>
      <c r="V81" s="551"/>
    </row>
    <row r="82" spans="2:22" customFormat="1" ht="13.5" thickBot="1" x14ac:dyDescent="0.25">
      <c r="B82" s="303" t="s">
        <v>389</v>
      </c>
      <c r="C82" s="323" t="s">
        <v>1480</v>
      </c>
      <c r="D82" s="304" t="s">
        <v>47</v>
      </c>
      <c r="E82" s="304">
        <v>0.113743704</v>
      </c>
      <c r="F82" s="304" t="s">
        <v>47</v>
      </c>
      <c r="G82" s="304" t="s">
        <v>47</v>
      </c>
      <c r="H82" s="1071">
        <f>(E82*66002915)/1000</f>
        <v>7507.41602689716</v>
      </c>
      <c r="I82" s="311">
        <v>21.499569999999999</v>
      </c>
      <c r="J82" s="808">
        <v>5.2905106474222512E-3</v>
      </c>
      <c r="K82" s="814" t="s">
        <v>47</v>
      </c>
      <c r="U82" s="580">
        <v>40486</v>
      </c>
      <c r="V82" s="551"/>
    </row>
    <row r="83" spans="2:22" customFormat="1" ht="13.5" thickBot="1" x14ac:dyDescent="0.25">
      <c r="B83" s="303" t="s">
        <v>175</v>
      </c>
      <c r="C83" s="323" t="s">
        <v>1480</v>
      </c>
      <c r="D83" s="304" t="s">
        <v>47</v>
      </c>
      <c r="E83" s="304">
        <v>0.13649244499999999</v>
      </c>
      <c r="F83" s="304" t="s">
        <v>47</v>
      </c>
      <c r="G83" s="304" t="s">
        <v>47</v>
      </c>
      <c r="H83" s="1071">
        <f>(E83*66002915)/1000</f>
        <v>9008.8992454771742</v>
      </c>
      <c r="I83" s="311">
        <v>21.499569999999999</v>
      </c>
      <c r="J83" s="808">
        <v>6.3486127862092123E-3</v>
      </c>
      <c r="K83" s="814" t="s">
        <v>47</v>
      </c>
      <c r="U83" s="580">
        <v>40486</v>
      </c>
      <c r="V83" s="551"/>
    </row>
    <row r="84" spans="2:22" customFormat="1" ht="13.5" thickBot="1" x14ac:dyDescent="0.25">
      <c r="B84" s="303" t="s">
        <v>175</v>
      </c>
      <c r="C84" s="323" t="s">
        <v>1481</v>
      </c>
      <c r="D84" s="304" t="s">
        <v>47</v>
      </c>
      <c r="E84" s="304">
        <v>0.106160791</v>
      </c>
      <c r="F84" s="304" t="s">
        <v>47</v>
      </c>
      <c r="G84" s="304" t="s">
        <v>47</v>
      </c>
      <c r="H84" s="1071">
        <f>(E84*66002915)/1000</f>
        <v>7006.9216647057656</v>
      </c>
      <c r="I84" s="311">
        <v>13.83487</v>
      </c>
      <c r="J84" s="808">
        <v>7.673421651233441E-3</v>
      </c>
      <c r="K84" s="814" t="s">
        <v>47</v>
      </c>
      <c r="U84" s="580">
        <v>40394</v>
      </c>
      <c r="V84" s="551"/>
    </row>
    <row r="85" spans="2:22" customFormat="1" ht="13.5" thickBot="1" x14ac:dyDescent="0.25">
      <c r="B85" s="305" t="s">
        <v>389</v>
      </c>
      <c r="C85" s="323" t="s">
        <v>1481</v>
      </c>
      <c r="D85" s="306" t="s">
        <v>47</v>
      </c>
      <c r="E85" s="306">
        <v>0.13649244499999999</v>
      </c>
      <c r="F85" s="306" t="s">
        <v>47</v>
      </c>
      <c r="G85" s="306" t="s">
        <v>47</v>
      </c>
      <c r="H85" s="1072">
        <f>(E85*66002915)/1000</f>
        <v>9008.8992454771742</v>
      </c>
      <c r="I85" s="307">
        <v>13.83487</v>
      </c>
      <c r="J85" s="809">
        <v>9.8658277959966373E-3</v>
      </c>
      <c r="K85" s="815" t="s">
        <v>47</v>
      </c>
      <c r="U85" s="580">
        <v>40394</v>
      </c>
      <c r="V85" s="551"/>
    </row>
    <row r="86" spans="2:22" s="143" customFormat="1" ht="13.5" thickBot="1" x14ac:dyDescent="0.25">
      <c r="B86" s="1078">
        <v>2009</v>
      </c>
      <c r="C86" s="1079" t="s">
        <v>998</v>
      </c>
      <c r="D86" s="1092" t="s">
        <v>47</v>
      </c>
      <c r="E86" s="1092">
        <f>SUM(E87:E89)</f>
        <v>0.90994963800000006</v>
      </c>
      <c r="F86" s="1092" t="s">
        <v>47</v>
      </c>
      <c r="G86" s="1092" t="s">
        <v>47</v>
      </c>
      <c r="H86" s="1080">
        <f>SUM(H87:H89)</f>
        <v>60059.328611194775</v>
      </c>
      <c r="I86" s="1081"/>
      <c r="J86" s="1093">
        <v>7.4373183260360909E-2</v>
      </c>
      <c r="K86" s="1094" t="s">
        <v>47</v>
      </c>
      <c r="U86" s="1082"/>
      <c r="V86" s="555"/>
    </row>
    <row r="87" spans="2:22" customFormat="1" ht="13.5" thickBot="1" x14ac:dyDescent="0.25">
      <c r="B87" s="308" t="s">
        <v>175</v>
      </c>
      <c r="C87" s="323" t="s">
        <v>1482</v>
      </c>
      <c r="D87" s="309" t="s">
        <v>47</v>
      </c>
      <c r="E87" s="309">
        <v>0.45497481899999997</v>
      </c>
      <c r="F87" s="309" t="s">
        <v>47</v>
      </c>
      <c r="G87" s="309" t="s">
        <v>47</v>
      </c>
      <c r="H87" s="1073">
        <f>(E87*66002915)/1000</f>
        <v>30029.664305597384</v>
      </c>
      <c r="I87" s="310">
        <v>14.230840000000001</v>
      </c>
      <c r="J87" s="810">
        <v>3.1971044506157044E-2</v>
      </c>
      <c r="K87" s="816" t="s">
        <v>47</v>
      </c>
      <c r="U87" s="580">
        <v>40288</v>
      </c>
      <c r="V87" s="551"/>
    </row>
    <row r="88" spans="2:22" customFormat="1" ht="13.5" thickBot="1" x14ac:dyDescent="0.25">
      <c r="B88" s="303" t="s">
        <v>175</v>
      </c>
      <c r="C88" s="323" t="s">
        <v>1483</v>
      </c>
      <c r="D88" s="304" t="s">
        <v>47</v>
      </c>
      <c r="E88" s="304">
        <v>0.15165827300000001</v>
      </c>
      <c r="F88" s="304" t="s">
        <v>47</v>
      </c>
      <c r="G88" s="304" t="s">
        <v>47</v>
      </c>
      <c r="H88" s="1071">
        <f>(E88*66002915)/1000</f>
        <v>10009.888101865796</v>
      </c>
      <c r="I88" s="311">
        <v>10.90006</v>
      </c>
      <c r="J88" s="808">
        <v>1.3913526439304005E-2</v>
      </c>
      <c r="K88" s="814" t="s">
        <v>47</v>
      </c>
      <c r="U88" s="580">
        <v>40114</v>
      </c>
      <c r="V88" s="551"/>
    </row>
    <row r="89" spans="2:22" customFormat="1" ht="13.5" thickBot="1" x14ac:dyDescent="0.25">
      <c r="B89" s="305" t="s">
        <v>175</v>
      </c>
      <c r="C89" s="323" t="s">
        <v>1484</v>
      </c>
      <c r="D89" s="306" t="s">
        <v>47</v>
      </c>
      <c r="E89" s="306">
        <v>0.30331654600000002</v>
      </c>
      <c r="F89" s="306" t="s">
        <v>47</v>
      </c>
      <c r="G89" s="306" t="s">
        <v>47</v>
      </c>
      <c r="H89" s="1072">
        <f>(E89*66002915)/1000</f>
        <v>20019.776203731592</v>
      </c>
      <c r="I89" s="307">
        <v>10.646940000000001</v>
      </c>
      <c r="J89" s="809">
        <v>2.8488612314899867E-2</v>
      </c>
      <c r="K89" s="815" t="s">
        <v>47</v>
      </c>
      <c r="U89" s="580">
        <v>40038</v>
      </c>
      <c r="V89" s="551"/>
    </row>
    <row r="90" spans="2:22" s="143" customFormat="1" ht="13.5" thickBot="1" x14ac:dyDescent="0.25">
      <c r="B90" s="1078">
        <v>2008</v>
      </c>
      <c r="C90" s="1079" t="s">
        <v>998</v>
      </c>
      <c r="D90" s="1092" t="s">
        <v>47</v>
      </c>
      <c r="E90" s="1092">
        <f>SUM(E91:E94)</f>
        <v>0.81750044099999997</v>
      </c>
      <c r="F90" s="1092" t="s">
        <v>47</v>
      </c>
      <c r="G90" s="1092" t="s">
        <v>47</v>
      </c>
      <c r="H90" s="1080">
        <f>SUM(H91:H94)</f>
        <v>53957.412119785513</v>
      </c>
      <c r="I90" s="1081"/>
      <c r="J90" s="1093">
        <v>0.14050388619135468</v>
      </c>
      <c r="K90" s="1094" t="s">
        <v>47</v>
      </c>
      <c r="U90" s="1082"/>
      <c r="V90" s="555"/>
    </row>
    <row r="91" spans="2:22" customFormat="1" ht="13.5" thickBot="1" x14ac:dyDescent="0.25">
      <c r="B91" s="308" t="s">
        <v>175</v>
      </c>
      <c r="C91" s="323" t="s">
        <v>1485</v>
      </c>
      <c r="D91" s="309" t="s">
        <v>47</v>
      </c>
      <c r="E91" s="309">
        <v>0.18679222600000001</v>
      </c>
      <c r="F91" s="309" t="s">
        <v>47</v>
      </c>
      <c r="G91" s="309" t="s">
        <v>47</v>
      </c>
      <c r="H91" s="1073">
        <f>(E91*66002915)/1000</f>
        <v>12328.831415338789</v>
      </c>
      <c r="I91" s="310">
        <v>5.6700999999999997</v>
      </c>
      <c r="J91" s="810">
        <v>3.2943374190931379E-2</v>
      </c>
      <c r="K91" s="816" t="s">
        <v>47</v>
      </c>
      <c r="U91" s="580">
        <v>39933</v>
      </c>
      <c r="V91" s="551"/>
    </row>
    <row r="92" spans="2:22" customFormat="1" ht="13.5" thickBot="1" x14ac:dyDescent="0.25">
      <c r="B92" s="303" t="s">
        <v>175</v>
      </c>
      <c r="C92" s="323" t="s">
        <v>1486</v>
      </c>
      <c r="D92" s="304" t="s">
        <v>47</v>
      </c>
      <c r="E92" s="304">
        <v>0.18196177999999999</v>
      </c>
      <c r="F92" s="304" t="s">
        <v>47</v>
      </c>
      <c r="G92" s="304" t="s">
        <v>47</v>
      </c>
      <c r="H92" s="1071">
        <f>(E92*66002915)/1000</f>
        <v>12010.007898588699</v>
      </c>
      <c r="I92" s="311">
        <v>4.8221550000000004</v>
      </c>
      <c r="J92" s="808">
        <v>3.7734535700324846E-2</v>
      </c>
      <c r="K92" s="814" t="s">
        <v>47</v>
      </c>
      <c r="U92" s="580">
        <v>39881</v>
      </c>
      <c r="V92" s="551"/>
    </row>
    <row r="93" spans="2:22" customFormat="1" ht="13.5" thickBot="1" x14ac:dyDescent="0.25">
      <c r="B93" s="303" t="s">
        <v>175</v>
      </c>
      <c r="C93" s="323" t="s">
        <v>1487</v>
      </c>
      <c r="D93" s="304" t="s">
        <v>47</v>
      </c>
      <c r="E93" s="304">
        <v>0.22726268899999999</v>
      </c>
      <c r="F93" s="304" t="s">
        <v>47</v>
      </c>
      <c r="G93" s="304" t="s">
        <v>47</v>
      </c>
      <c r="H93" s="1071">
        <f>(E93*66002915)/1000</f>
        <v>14999.999944738434</v>
      </c>
      <c r="I93" s="311">
        <v>4.743188</v>
      </c>
      <c r="J93" s="808">
        <v>4.7913489619218125E-2</v>
      </c>
      <c r="K93" s="814" t="s">
        <v>47</v>
      </c>
      <c r="U93" s="580">
        <v>39734</v>
      </c>
      <c r="V93" s="551"/>
    </row>
    <row r="94" spans="2:22" customFormat="1" ht="13.5" thickBot="1" x14ac:dyDescent="0.25">
      <c r="B94" s="305" t="s">
        <v>175</v>
      </c>
      <c r="C94" s="323" t="s">
        <v>1488</v>
      </c>
      <c r="D94" s="306" t="s">
        <v>47</v>
      </c>
      <c r="E94" s="306">
        <v>0.22148374600000001</v>
      </c>
      <c r="F94" s="306" t="s">
        <v>47</v>
      </c>
      <c r="G94" s="306" t="s">
        <v>47</v>
      </c>
      <c r="H94" s="1072">
        <f>(E94*66002915)/1000</f>
        <v>14618.57286111959</v>
      </c>
      <c r="I94" s="307">
        <v>10.10765</v>
      </c>
      <c r="J94" s="809">
        <v>2.1912486680880326E-2</v>
      </c>
      <c r="K94" s="815" t="s">
        <v>47</v>
      </c>
      <c r="U94" s="580">
        <v>39687</v>
      </c>
      <c r="V94" s="551"/>
    </row>
    <row r="95" spans="2:22" s="143" customFormat="1" ht="13.5" thickBot="1" x14ac:dyDescent="0.25">
      <c r="B95" s="1078">
        <v>2007</v>
      </c>
      <c r="C95" s="1079" t="s">
        <v>998</v>
      </c>
      <c r="D95" s="1092" t="s">
        <v>47</v>
      </c>
      <c r="E95" s="1092">
        <f>SUM(E96:E99)</f>
        <v>0.61692552099999998</v>
      </c>
      <c r="F95" s="1092" t="s">
        <v>47</v>
      </c>
      <c r="G95" s="1092" t="s">
        <v>47</v>
      </c>
      <c r="H95" s="1080">
        <f>SUM(H96:H99)</f>
        <v>40718.882723893716</v>
      </c>
      <c r="I95" s="1081"/>
      <c r="J95" s="1093">
        <v>3.9360405218608084E-2</v>
      </c>
      <c r="K95" s="1094" t="s">
        <v>47</v>
      </c>
      <c r="U95" s="1082"/>
      <c r="V95" s="555"/>
    </row>
    <row r="96" spans="2:22" customFormat="1" ht="13.5" thickBot="1" x14ac:dyDescent="0.25">
      <c r="B96" s="308" t="s">
        <v>175</v>
      </c>
      <c r="C96" s="323" t="s">
        <v>1489</v>
      </c>
      <c r="D96" s="309" t="s">
        <v>47</v>
      </c>
      <c r="E96" s="309">
        <v>8.9336303000000006E-2</v>
      </c>
      <c r="F96" s="309" t="s">
        <v>47</v>
      </c>
      <c r="G96" s="309" t="s">
        <v>47</v>
      </c>
      <c r="H96" s="1073">
        <f>(E96*66002915)/1000</f>
        <v>5896.4564133232452</v>
      </c>
      <c r="I96" s="310">
        <v>12.94295</v>
      </c>
      <c r="J96" s="810">
        <v>6.9023138465342145E-3</v>
      </c>
      <c r="K96" s="816" t="s">
        <v>47</v>
      </c>
      <c r="U96" s="580">
        <v>39561</v>
      </c>
      <c r="V96" s="551"/>
    </row>
    <row r="97" spans="2:22" customFormat="1" ht="13.5" thickBot="1" x14ac:dyDescent="0.25">
      <c r="B97" s="303" t="s">
        <v>175</v>
      </c>
      <c r="C97" s="323" t="s">
        <v>1490</v>
      </c>
      <c r="D97" s="304" t="s">
        <v>47</v>
      </c>
      <c r="E97" s="304">
        <v>0.30877103</v>
      </c>
      <c r="F97" s="304" t="s">
        <v>47</v>
      </c>
      <c r="G97" s="304" t="s">
        <v>47</v>
      </c>
      <c r="H97" s="1071">
        <f>(E97*66002915)/1000</f>
        <v>20379.788047552451</v>
      </c>
      <c r="I97" s="311">
        <v>13.31301</v>
      </c>
      <c r="J97" s="808">
        <v>2.3193179453782426E-2</v>
      </c>
      <c r="K97" s="814" t="s">
        <v>47</v>
      </c>
      <c r="U97" s="580">
        <v>39524</v>
      </c>
      <c r="V97" s="551"/>
    </row>
    <row r="98" spans="2:22" customFormat="1" ht="13.5" thickBot="1" x14ac:dyDescent="0.25">
      <c r="B98" s="303" t="s">
        <v>175</v>
      </c>
      <c r="C98" s="323" t="s">
        <v>1491</v>
      </c>
      <c r="D98" s="304" t="s">
        <v>47</v>
      </c>
      <c r="E98" s="304">
        <v>0.109409094</v>
      </c>
      <c r="F98" s="304" t="s">
        <v>47</v>
      </c>
      <c r="G98" s="304" t="s">
        <v>47</v>
      </c>
      <c r="H98" s="1071">
        <f>(E98*66002915)/1000</f>
        <v>7221.3191315090098</v>
      </c>
      <c r="I98" s="311">
        <v>22.609860000000001</v>
      </c>
      <c r="J98" s="808">
        <v>4.838999180003768E-3</v>
      </c>
      <c r="K98" s="814" t="s">
        <v>47</v>
      </c>
      <c r="U98" s="580">
        <v>39395</v>
      </c>
      <c r="V98" s="551"/>
    </row>
    <row r="99" spans="2:22" customFormat="1" ht="13.5" thickBot="1" x14ac:dyDescent="0.25">
      <c r="B99" s="305" t="s">
        <v>175</v>
      </c>
      <c r="C99" s="324" t="s">
        <v>1492</v>
      </c>
      <c r="D99" s="306" t="s">
        <v>47</v>
      </c>
      <c r="E99" s="306">
        <v>0.109409094</v>
      </c>
      <c r="F99" s="306" t="s">
        <v>47</v>
      </c>
      <c r="G99" s="306" t="s">
        <v>47</v>
      </c>
      <c r="H99" s="1072">
        <f>(E99*66002915)/1000</f>
        <v>7221.3191315090098</v>
      </c>
      <c r="I99" s="307">
        <v>24.720120000000001</v>
      </c>
      <c r="J99" s="809">
        <v>4.4259127382876781E-3</v>
      </c>
      <c r="K99" s="815" t="s">
        <v>47</v>
      </c>
      <c r="U99" s="580">
        <v>39304</v>
      </c>
      <c r="V99" s="551"/>
    </row>
    <row r="100" spans="2:22" customFormat="1" x14ac:dyDescent="0.2">
      <c r="H100" s="246"/>
      <c r="U100" s="551"/>
      <c r="V100" s="551"/>
    </row>
    <row r="101" spans="2:22" customFormat="1" x14ac:dyDescent="0.2">
      <c r="H101" s="246"/>
      <c r="U101" s="551"/>
      <c r="V101" s="551"/>
    </row>
    <row r="102" spans="2:22" customFormat="1" x14ac:dyDescent="0.2">
      <c r="H102" s="246"/>
      <c r="U102" s="551"/>
      <c r="V102" s="551"/>
    </row>
    <row r="103" spans="2:22" customFormat="1" x14ac:dyDescent="0.2">
      <c r="H103" s="246"/>
      <c r="U103" s="551"/>
      <c r="V103" s="551"/>
    </row>
    <row r="104" spans="2:22" customFormat="1" x14ac:dyDescent="0.2">
      <c r="H104" s="246"/>
      <c r="U104" s="551"/>
      <c r="V104" s="551"/>
    </row>
    <row r="105" spans="2:22" customFormat="1" x14ac:dyDescent="0.2">
      <c r="H105" s="246"/>
      <c r="U105" s="551"/>
      <c r="V105" s="551"/>
    </row>
    <row r="106" spans="2:22" customFormat="1" x14ac:dyDescent="0.2">
      <c r="H106" s="246"/>
      <c r="U106" s="551"/>
      <c r="V106" s="551"/>
    </row>
    <row r="107" spans="2:22" x14ac:dyDescent="0.2">
      <c r="U107" s="551"/>
    </row>
  </sheetData>
  <sheetProtection formatCells="0" formatColumns="0" formatRows="0" insertColumns="0" insertRows="0" insertHyperlinks="0" deleteColumns="0" deleteRows="0" selectLockedCells="1" selectUnlockedCells="1"/>
  <mergeCells count="6">
    <mergeCell ref="K7:K8"/>
    <mergeCell ref="K18:K19"/>
    <mergeCell ref="K16:K17"/>
    <mergeCell ref="K11:K12"/>
    <mergeCell ref="K14:K15"/>
    <mergeCell ref="K9:K10"/>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
    <tabColor theme="0" tint="-0.499984740745262"/>
    <pageSetUpPr autoPageBreaks="0"/>
  </sheetPr>
  <dimension ref="A1:DD347"/>
  <sheetViews>
    <sheetView showGridLines="0" zoomScaleNormal="100" workbookViewId="0">
      <pane xSplit="2" ySplit="4" topLeftCell="CN5" activePane="bottomRight" state="frozen"/>
      <selection activeCell="G3" sqref="G3"/>
      <selection pane="topRight" activeCell="G3" sqref="G3"/>
      <selection pane="bottomLeft" activeCell="G3" sqref="G3"/>
      <selection pane="bottomRight" activeCell="DD4" sqref="DD4"/>
    </sheetView>
  </sheetViews>
  <sheetFormatPr defaultColWidth="9.28515625" defaultRowHeight="15" outlineLevelCol="1" x14ac:dyDescent="0.25"/>
  <cols>
    <col min="1" max="1" width="2.7109375" style="263" customWidth="1"/>
    <col min="2" max="2" width="26.28515625" style="263" customWidth="1"/>
    <col min="3" max="12" width="9.28515625" style="263" customWidth="1" outlineLevel="1"/>
    <col min="13" max="16" width="9.7109375" style="263" customWidth="1" outlineLevel="1"/>
    <col min="17" max="23" width="9.7109375" style="341" customWidth="1" outlineLevel="1"/>
    <col min="24" max="45" width="9.28515625" style="263" customWidth="1" outlineLevel="1"/>
    <col min="46" max="105" width="9.28515625" style="263" customWidth="1"/>
    <col min="106" max="16384" width="9.28515625" style="263"/>
  </cols>
  <sheetData>
    <row r="1" spans="2:108" s="578" customFormat="1" x14ac:dyDescent="0.25">
      <c r="C1" s="1109"/>
      <c r="D1" s="1109"/>
      <c r="E1" s="1109"/>
      <c r="F1" s="1109"/>
      <c r="G1" s="1109"/>
      <c r="H1" s="1109"/>
      <c r="I1" s="1109"/>
      <c r="J1" s="1109"/>
      <c r="K1" s="1109"/>
      <c r="L1" s="1109"/>
      <c r="M1" s="1109"/>
      <c r="N1" s="1109"/>
      <c r="O1" s="1109"/>
      <c r="P1" s="1109"/>
      <c r="Q1" s="1110"/>
      <c r="R1" s="1110"/>
      <c r="S1" s="1110"/>
      <c r="T1" s="1110"/>
      <c r="U1" s="1110"/>
      <c r="V1" s="1110"/>
      <c r="W1" s="1110"/>
      <c r="X1" s="1109"/>
      <c r="Y1" s="1109"/>
      <c r="Z1" s="1109"/>
      <c r="AA1" s="1109"/>
      <c r="AB1" s="1109"/>
      <c r="AC1" s="1109"/>
      <c r="AD1" s="1109"/>
      <c r="AE1" s="1109"/>
      <c r="AF1" s="1109"/>
      <c r="AG1" s="1109"/>
      <c r="AH1" s="1109"/>
      <c r="AI1" s="1109"/>
      <c r="AJ1" s="1109"/>
      <c r="AK1" s="1109"/>
      <c r="AL1" s="1109"/>
      <c r="AM1" s="1109"/>
      <c r="AN1" s="1109"/>
      <c r="AO1" s="1111"/>
      <c r="AP1" s="1111"/>
      <c r="AQ1" s="1111"/>
      <c r="AR1" s="1111"/>
      <c r="AS1" s="1111"/>
      <c r="AT1" s="1111"/>
      <c r="AU1" s="1111"/>
      <c r="AV1" s="1112"/>
      <c r="AW1" s="1111"/>
      <c r="AX1" s="1111"/>
      <c r="AY1" s="1111"/>
      <c r="AZ1" s="1111"/>
      <c r="BA1" s="1111"/>
      <c r="BB1" s="1111"/>
      <c r="BC1" s="1111"/>
      <c r="BD1" s="1111"/>
      <c r="BE1" s="1111"/>
      <c r="BF1" s="1111"/>
      <c r="BG1" s="1111"/>
      <c r="BH1" s="1111"/>
      <c r="BI1" s="1111"/>
      <c r="BJ1" s="1111"/>
      <c r="BK1" s="1111"/>
      <c r="BL1" s="1111"/>
      <c r="BM1" s="1111"/>
      <c r="BN1" s="1111"/>
      <c r="BO1" s="1111"/>
      <c r="BP1" s="1111"/>
      <c r="BQ1" s="1111"/>
      <c r="BR1" s="1111"/>
      <c r="BS1" s="1111"/>
      <c r="BT1" s="1111"/>
      <c r="BU1" s="1111"/>
      <c r="BV1" s="1111"/>
      <c r="BW1" s="1111"/>
      <c r="BX1" s="1111"/>
      <c r="BY1" s="1111"/>
      <c r="BZ1" s="1111"/>
      <c r="CA1" s="1111"/>
      <c r="CB1" s="1111"/>
      <c r="CC1" s="1111"/>
      <c r="CD1" s="1111"/>
      <c r="CE1" s="1111"/>
      <c r="CF1" s="1111"/>
      <c r="CG1" s="1111"/>
      <c r="CH1" s="1111"/>
      <c r="CI1" s="1111"/>
      <c r="CJ1" s="1111"/>
      <c r="CK1" s="1111"/>
      <c r="CL1" s="1111"/>
      <c r="CM1" s="1111"/>
      <c r="CN1" s="1111"/>
      <c r="CO1" s="1111"/>
      <c r="CP1" s="1111"/>
      <c r="CQ1" s="1111"/>
      <c r="CR1" s="1111"/>
      <c r="CS1" s="1111"/>
      <c r="CT1" s="1111"/>
      <c r="CU1" s="1111"/>
      <c r="CV1" s="1111"/>
      <c r="CW1" s="1111"/>
      <c r="CX1" s="1111"/>
      <c r="CY1" s="1111"/>
      <c r="CZ1" s="1111"/>
      <c r="DA1" s="1111"/>
      <c r="DB1" s="1111"/>
      <c r="DC1" s="1111"/>
      <c r="DD1" s="1111"/>
    </row>
    <row r="2" spans="2:108" s="578" customFormat="1" ht="15" customHeight="1" x14ac:dyDescent="0.25">
      <c r="Q2" s="579"/>
      <c r="R2" s="579"/>
      <c r="S2" s="579"/>
      <c r="T2" s="579"/>
      <c r="U2" s="579"/>
      <c r="V2" s="579"/>
      <c r="W2" s="579"/>
      <c r="AP2" s="836"/>
      <c r="AQ2" s="835"/>
      <c r="AR2" s="835"/>
      <c r="AS2" s="835"/>
      <c r="AT2" s="835"/>
      <c r="AU2" s="835"/>
      <c r="AV2" s="943"/>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5"/>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row>
    <row r="3" spans="2:108" x14ac:dyDescent="0.25">
      <c r="AP3" s="836"/>
      <c r="AQ3" s="835"/>
      <c r="AR3" s="835"/>
      <c r="AS3" s="835"/>
      <c r="AT3" s="835"/>
      <c r="AU3" s="835"/>
      <c r="AV3" s="944"/>
      <c r="AW3" s="819" t="s">
        <v>1103</v>
      </c>
      <c r="AX3" s="819"/>
      <c r="AY3" s="819"/>
      <c r="AZ3" s="819"/>
      <c r="BA3" s="819"/>
      <c r="BB3" s="819"/>
      <c r="BC3" s="819"/>
      <c r="BD3" s="819"/>
      <c r="BE3" s="819"/>
      <c r="BF3" s="819"/>
      <c r="BG3" s="819"/>
      <c r="BH3" s="819"/>
      <c r="BI3" s="819"/>
      <c r="BJ3" s="819"/>
      <c r="BK3" s="819"/>
      <c r="BL3" s="819"/>
      <c r="BM3" s="819"/>
      <c r="BN3" s="837"/>
      <c r="BO3" s="837"/>
      <c r="BP3" s="837"/>
      <c r="BQ3" s="837"/>
      <c r="BR3" s="837"/>
      <c r="BS3" s="837"/>
      <c r="BT3" s="837"/>
      <c r="BU3" s="837"/>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row>
    <row r="4" spans="2:108" x14ac:dyDescent="0.25">
      <c r="C4" s="264">
        <v>42522</v>
      </c>
      <c r="D4" s="264">
        <v>42552</v>
      </c>
      <c r="E4" s="264">
        <v>42583</v>
      </c>
      <c r="F4" s="264">
        <v>42614</v>
      </c>
      <c r="G4" s="264">
        <v>42644</v>
      </c>
      <c r="H4" s="264">
        <v>42675</v>
      </c>
      <c r="I4" s="264">
        <v>42705</v>
      </c>
      <c r="J4" s="264">
        <v>42736</v>
      </c>
      <c r="K4" s="264">
        <v>42767</v>
      </c>
      <c r="L4" s="264">
        <v>42795</v>
      </c>
      <c r="M4" s="264">
        <v>42826</v>
      </c>
      <c r="N4" s="264">
        <v>42856</v>
      </c>
      <c r="O4" s="264">
        <v>42887</v>
      </c>
      <c r="P4" s="264">
        <v>42917</v>
      </c>
      <c r="Q4" s="264">
        <v>42948</v>
      </c>
      <c r="R4" s="264">
        <v>42979</v>
      </c>
      <c r="S4" s="264">
        <v>43009</v>
      </c>
      <c r="T4" s="264">
        <v>43040</v>
      </c>
      <c r="U4" s="264">
        <v>43070</v>
      </c>
      <c r="V4" s="264">
        <v>43101</v>
      </c>
      <c r="W4" s="264">
        <v>43132</v>
      </c>
      <c r="X4" s="264">
        <v>43160</v>
      </c>
      <c r="Y4" s="264">
        <v>43191</v>
      </c>
      <c r="Z4" s="264">
        <v>43221</v>
      </c>
      <c r="AA4" s="264">
        <v>43252</v>
      </c>
      <c r="AB4" s="264">
        <v>43283</v>
      </c>
      <c r="AC4" s="264">
        <v>43314</v>
      </c>
      <c r="AD4" s="264">
        <v>43345</v>
      </c>
      <c r="AE4" s="264">
        <v>43376</v>
      </c>
      <c r="AF4" s="264">
        <v>43407</v>
      </c>
      <c r="AG4" s="264">
        <v>43437</v>
      </c>
      <c r="AH4" s="264">
        <v>43468</v>
      </c>
      <c r="AI4" s="264">
        <v>43499</v>
      </c>
      <c r="AJ4" s="264">
        <v>43527</v>
      </c>
      <c r="AK4" s="264">
        <v>43558</v>
      </c>
      <c r="AL4" s="264">
        <v>43587</v>
      </c>
      <c r="AM4" s="264">
        <v>43618</v>
      </c>
      <c r="AN4" s="264">
        <v>43647</v>
      </c>
      <c r="AO4" s="264">
        <v>43678</v>
      </c>
      <c r="AP4" s="264">
        <v>43709</v>
      </c>
      <c r="AQ4" s="264">
        <v>43739</v>
      </c>
      <c r="AR4" s="264">
        <v>43770</v>
      </c>
      <c r="AS4" s="264">
        <v>43800</v>
      </c>
      <c r="AT4" s="264">
        <v>43831</v>
      </c>
      <c r="AU4" s="264">
        <v>43862</v>
      </c>
      <c r="AV4" s="946">
        <v>43891</v>
      </c>
      <c r="AW4" s="264">
        <v>43922</v>
      </c>
      <c r="AX4" s="264">
        <v>43952</v>
      </c>
      <c r="AY4" s="264">
        <v>43983</v>
      </c>
      <c r="AZ4" s="264">
        <v>44013</v>
      </c>
      <c r="BA4" s="264">
        <v>44044</v>
      </c>
      <c r="BB4" s="264">
        <v>44075</v>
      </c>
      <c r="BC4" s="264">
        <v>44105</v>
      </c>
      <c r="BD4" s="264">
        <v>44136</v>
      </c>
      <c r="BE4" s="264">
        <v>44166</v>
      </c>
      <c r="BF4" s="264">
        <v>44197</v>
      </c>
      <c r="BG4" s="264">
        <v>44228</v>
      </c>
      <c r="BH4" s="264">
        <v>44256</v>
      </c>
      <c r="BI4" s="264">
        <v>44287</v>
      </c>
      <c r="BJ4" s="264">
        <v>44317</v>
      </c>
      <c r="BK4" s="264">
        <v>44348</v>
      </c>
      <c r="BL4" s="264">
        <v>44378</v>
      </c>
      <c r="BM4" s="264">
        <v>44409</v>
      </c>
      <c r="BN4" s="264">
        <v>44440</v>
      </c>
      <c r="BO4" s="264">
        <v>44470</v>
      </c>
      <c r="BP4" s="264">
        <v>44501</v>
      </c>
      <c r="BQ4" s="264">
        <v>44531</v>
      </c>
      <c r="BR4" s="264">
        <v>44562</v>
      </c>
      <c r="BS4" s="264">
        <v>44593</v>
      </c>
      <c r="BT4" s="264">
        <v>44622</v>
      </c>
      <c r="BU4" s="264">
        <v>44654</v>
      </c>
      <c r="BV4" s="264">
        <v>44685</v>
      </c>
      <c r="BW4" s="264">
        <v>44716</v>
      </c>
      <c r="BX4" s="264">
        <v>44746</v>
      </c>
      <c r="BY4" s="264">
        <v>44774</v>
      </c>
      <c r="BZ4" s="264">
        <v>44805</v>
      </c>
      <c r="CA4" s="264">
        <v>44835</v>
      </c>
      <c r="CB4" s="264">
        <v>44866</v>
      </c>
      <c r="CC4" s="264">
        <v>44896</v>
      </c>
      <c r="CD4" s="264">
        <v>44927</v>
      </c>
      <c r="CE4" s="264">
        <v>44958</v>
      </c>
      <c r="CF4" s="264">
        <v>44986</v>
      </c>
      <c r="CG4" s="264">
        <v>45017</v>
      </c>
      <c r="CH4" s="264">
        <v>45047</v>
      </c>
      <c r="CI4" s="264">
        <v>45078</v>
      </c>
      <c r="CJ4" s="264">
        <v>45108</v>
      </c>
      <c r="CK4" s="264">
        <v>45139</v>
      </c>
      <c r="CL4" s="264">
        <v>45170</v>
      </c>
      <c r="CM4" s="264">
        <v>45200</v>
      </c>
      <c r="CN4" s="264">
        <v>45231</v>
      </c>
      <c r="CO4" s="264">
        <v>45261</v>
      </c>
      <c r="CP4" s="264">
        <v>45292</v>
      </c>
      <c r="CQ4" s="264">
        <v>45323</v>
      </c>
      <c r="CR4" s="264">
        <v>45352</v>
      </c>
      <c r="CS4" s="264">
        <v>45383</v>
      </c>
      <c r="CT4" s="264">
        <v>45413</v>
      </c>
      <c r="CU4" s="264">
        <v>45444</v>
      </c>
      <c r="CV4" s="264">
        <v>45474</v>
      </c>
      <c r="CW4" s="264">
        <v>45505</v>
      </c>
      <c r="CX4" s="264">
        <v>45536</v>
      </c>
      <c r="CY4" s="264">
        <v>45566</v>
      </c>
      <c r="CZ4" s="264">
        <v>45597</v>
      </c>
      <c r="DA4" s="264">
        <v>45627</v>
      </c>
      <c r="DB4" s="264">
        <v>45658</v>
      </c>
      <c r="DC4" s="264">
        <v>45689</v>
      </c>
      <c r="DD4" s="264">
        <v>45717</v>
      </c>
    </row>
    <row r="5" spans="2:108" x14ac:dyDescent="0.25">
      <c r="X5" s="341"/>
      <c r="Y5" s="341"/>
      <c r="Z5" s="341"/>
      <c r="AA5" s="341"/>
      <c r="AB5" s="341"/>
      <c r="AC5" s="341"/>
      <c r="AD5" s="341"/>
      <c r="AE5" s="341"/>
      <c r="AF5" s="341"/>
      <c r="AG5" s="341"/>
      <c r="AH5" s="341"/>
      <c r="AI5" s="341"/>
      <c r="AJ5" s="341"/>
      <c r="AK5" s="341"/>
      <c r="AL5" s="341"/>
      <c r="AM5" s="341"/>
      <c r="AN5" s="341"/>
      <c r="AO5" s="341"/>
      <c r="AP5" s="341"/>
      <c r="AQ5" s="341"/>
      <c r="AR5" s="341"/>
      <c r="AS5" s="341"/>
      <c r="AV5" s="945"/>
    </row>
    <row r="6" spans="2:108" x14ac:dyDescent="0.25">
      <c r="B6" s="113" t="s">
        <v>1366</v>
      </c>
      <c r="C6" s="264">
        <f>C$4</f>
        <v>42522</v>
      </c>
      <c r="D6" s="264">
        <f t="shared" ref="D6:BO6" si="0">D$4</f>
        <v>42552</v>
      </c>
      <c r="E6" s="264">
        <f t="shared" si="0"/>
        <v>42583</v>
      </c>
      <c r="F6" s="264">
        <f t="shared" si="0"/>
        <v>42614</v>
      </c>
      <c r="G6" s="264">
        <f t="shared" si="0"/>
        <v>42644</v>
      </c>
      <c r="H6" s="264">
        <f t="shared" si="0"/>
        <v>42675</v>
      </c>
      <c r="I6" s="264">
        <f t="shared" si="0"/>
        <v>42705</v>
      </c>
      <c r="J6" s="264">
        <f t="shared" si="0"/>
        <v>42736</v>
      </c>
      <c r="K6" s="264">
        <f t="shared" si="0"/>
        <v>42767</v>
      </c>
      <c r="L6" s="264">
        <f t="shared" si="0"/>
        <v>42795</v>
      </c>
      <c r="M6" s="264">
        <f t="shared" si="0"/>
        <v>42826</v>
      </c>
      <c r="N6" s="264">
        <f t="shared" si="0"/>
        <v>42856</v>
      </c>
      <c r="O6" s="264">
        <f t="shared" si="0"/>
        <v>42887</v>
      </c>
      <c r="P6" s="264">
        <f t="shared" si="0"/>
        <v>42917</v>
      </c>
      <c r="Q6" s="264">
        <f t="shared" si="0"/>
        <v>42948</v>
      </c>
      <c r="R6" s="264">
        <f t="shared" si="0"/>
        <v>42979</v>
      </c>
      <c r="S6" s="264">
        <f t="shared" si="0"/>
        <v>43009</v>
      </c>
      <c r="T6" s="264">
        <f t="shared" si="0"/>
        <v>43040</v>
      </c>
      <c r="U6" s="264">
        <f t="shared" si="0"/>
        <v>43070</v>
      </c>
      <c r="V6" s="264">
        <f t="shared" si="0"/>
        <v>43101</v>
      </c>
      <c r="W6" s="264">
        <f t="shared" si="0"/>
        <v>43132</v>
      </c>
      <c r="X6" s="264">
        <f t="shared" si="0"/>
        <v>43160</v>
      </c>
      <c r="Y6" s="264">
        <f t="shared" si="0"/>
        <v>43191</v>
      </c>
      <c r="Z6" s="264">
        <f t="shared" si="0"/>
        <v>43221</v>
      </c>
      <c r="AA6" s="264">
        <f t="shared" si="0"/>
        <v>43252</v>
      </c>
      <c r="AB6" s="264">
        <f t="shared" si="0"/>
        <v>43283</v>
      </c>
      <c r="AC6" s="264">
        <f t="shared" si="0"/>
        <v>43314</v>
      </c>
      <c r="AD6" s="264">
        <f t="shared" si="0"/>
        <v>43345</v>
      </c>
      <c r="AE6" s="264">
        <f t="shared" si="0"/>
        <v>43376</v>
      </c>
      <c r="AF6" s="264">
        <f t="shared" si="0"/>
        <v>43407</v>
      </c>
      <c r="AG6" s="264">
        <f t="shared" si="0"/>
        <v>43437</v>
      </c>
      <c r="AH6" s="264">
        <f t="shared" si="0"/>
        <v>43468</v>
      </c>
      <c r="AI6" s="264">
        <f t="shared" si="0"/>
        <v>43499</v>
      </c>
      <c r="AJ6" s="264">
        <f t="shared" si="0"/>
        <v>43527</v>
      </c>
      <c r="AK6" s="264">
        <f t="shared" si="0"/>
        <v>43558</v>
      </c>
      <c r="AL6" s="264">
        <f t="shared" si="0"/>
        <v>43587</v>
      </c>
      <c r="AM6" s="264">
        <f t="shared" si="0"/>
        <v>43618</v>
      </c>
      <c r="AN6" s="264">
        <f t="shared" si="0"/>
        <v>43647</v>
      </c>
      <c r="AO6" s="264">
        <f t="shared" si="0"/>
        <v>43678</v>
      </c>
      <c r="AP6" s="264">
        <f t="shared" si="0"/>
        <v>43709</v>
      </c>
      <c r="AQ6" s="264">
        <f t="shared" si="0"/>
        <v>43739</v>
      </c>
      <c r="AR6" s="264">
        <f t="shared" si="0"/>
        <v>43770</v>
      </c>
      <c r="AS6" s="264">
        <f t="shared" si="0"/>
        <v>43800</v>
      </c>
      <c r="AT6" s="264">
        <f t="shared" si="0"/>
        <v>43831</v>
      </c>
      <c r="AU6" s="264">
        <f t="shared" si="0"/>
        <v>43862</v>
      </c>
      <c r="AV6" s="264">
        <f t="shared" si="0"/>
        <v>43891</v>
      </c>
      <c r="AW6" s="264">
        <f t="shared" si="0"/>
        <v>43922</v>
      </c>
      <c r="AX6" s="264">
        <f t="shared" si="0"/>
        <v>43952</v>
      </c>
      <c r="AY6" s="264">
        <f t="shared" si="0"/>
        <v>43983</v>
      </c>
      <c r="AZ6" s="264">
        <f t="shared" si="0"/>
        <v>44013</v>
      </c>
      <c r="BA6" s="264">
        <f t="shared" si="0"/>
        <v>44044</v>
      </c>
      <c r="BB6" s="264">
        <f t="shared" si="0"/>
        <v>44075</v>
      </c>
      <c r="BC6" s="264">
        <f t="shared" si="0"/>
        <v>44105</v>
      </c>
      <c r="BD6" s="264">
        <f t="shared" si="0"/>
        <v>44136</v>
      </c>
      <c r="BE6" s="264">
        <f t="shared" si="0"/>
        <v>44166</v>
      </c>
      <c r="BF6" s="264">
        <f t="shared" si="0"/>
        <v>44197</v>
      </c>
      <c r="BG6" s="264">
        <f t="shared" si="0"/>
        <v>44228</v>
      </c>
      <c r="BH6" s="264">
        <f t="shared" si="0"/>
        <v>44256</v>
      </c>
      <c r="BI6" s="264">
        <f t="shared" si="0"/>
        <v>44287</v>
      </c>
      <c r="BJ6" s="264">
        <f t="shared" si="0"/>
        <v>44317</v>
      </c>
      <c r="BK6" s="264">
        <f t="shared" si="0"/>
        <v>44348</v>
      </c>
      <c r="BL6" s="264">
        <f t="shared" si="0"/>
        <v>44378</v>
      </c>
      <c r="BM6" s="264">
        <f t="shared" si="0"/>
        <v>44409</v>
      </c>
      <c r="BN6" s="264">
        <f t="shared" si="0"/>
        <v>44440</v>
      </c>
      <c r="BO6" s="264">
        <f t="shared" si="0"/>
        <v>44470</v>
      </c>
      <c r="BP6" s="264">
        <f t="shared" ref="BP6:DD6" si="1">BP$4</f>
        <v>44501</v>
      </c>
      <c r="BQ6" s="264">
        <f t="shared" si="1"/>
        <v>44531</v>
      </c>
      <c r="BR6" s="264">
        <f t="shared" si="1"/>
        <v>44562</v>
      </c>
      <c r="BS6" s="264">
        <f t="shared" si="1"/>
        <v>44593</v>
      </c>
      <c r="BT6" s="264">
        <f t="shared" si="1"/>
        <v>44622</v>
      </c>
      <c r="BU6" s="264">
        <f t="shared" si="1"/>
        <v>44654</v>
      </c>
      <c r="BV6" s="264">
        <f t="shared" si="1"/>
        <v>44685</v>
      </c>
      <c r="BW6" s="264">
        <f t="shared" si="1"/>
        <v>44716</v>
      </c>
      <c r="BX6" s="264">
        <f t="shared" si="1"/>
        <v>44746</v>
      </c>
      <c r="BY6" s="264">
        <f t="shared" si="1"/>
        <v>44774</v>
      </c>
      <c r="BZ6" s="264">
        <f t="shared" si="1"/>
        <v>44805</v>
      </c>
      <c r="CA6" s="264">
        <f t="shared" si="1"/>
        <v>44835</v>
      </c>
      <c r="CB6" s="264">
        <f t="shared" si="1"/>
        <v>44866</v>
      </c>
      <c r="CC6" s="264">
        <f t="shared" si="1"/>
        <v>44896</v>
      </c>
      <c r="CD6" s="264">
        <f t="shared" si="1"/>
        <v>44927</v>
      </c>
      <c r="CE6" s="264">
        <f t="shared" si="1"/>
        <v>44958</v>
      </c>
      <c r="CF6" s="264">
        <f t="shared" si="1"/>
        <v>44986</v>
      </c>
      <c r="CG6" s="264">
        <f t="shared" si="1"/>
        <v>45017</v>
      </c>
      <c r="CH6" s="264">
        <f t="shared" si="1"/>
        <v>45047</v>
      </c>
      <c r="CI6" s="264">
        <f t="shared" si="1"/>
        <v>45078</v>
      </c>
      <c r="CJ6" s="264">
        <f t="shared" si="1"/>
        <v>45108</v>
      </c>
      <c r="CK6" s="264">
        <f t="shared" si="1"/>
        <v>45139</v>
      </c>
      <c r="CL6" s="264">
        <f t="shared" si="1"/>
        <v>45170</v>
      </c>
      <c r="CM6" s="264">
        <f t="shared" si="1"/>
        <v>45200</v>
      </c>
      <c r="CN6" s="264">
        <f t="shared" si="1"/>
        <v>45231</v>
      </c>
      <c r="CO6" s="264">
        <f t="shared" si="1"/>
        <v>45261</v>
      </c>
      <c r="CP6" s="264">
        <f t="shared" si="1"/>
        <v>45292</v>
      </c>
      <c r="CQ6" s="264">
        <f t="shared" si="1"/>
        <v>45323</v>
      </c>
      <c r="CR6" s="264">
        <f t="shared" si="1"/>
        <v>45352</v>
      </c>
      <c r="CS6" s="264">
        <f t="shared" si="1"/>
        <v>45383</v>
      </c>
      <c r="CT6" s="264">
        <f t="shared" si="1"/>
        <v>45413</v>
      </c>
      <c r="CU6" s="264">
        <f t="shared" si="1"/>
        <v>45444</v>
      </c>
      <c r="CV6" s="264">
        <f t="shared" si="1"/>
        <v>45474</v>
      </c>
      <c r="CW6" s="264">
        <f t="shared" si="1"/>
        <v>45505</v>
      </c>
      <c r="CX6" s="264">
        <f t="shared" si="1"/>
        <v>45536</v>
      </c>
      <c r="CY6" s="264">
        <f t="shared" si="1"/>
        <v>45566</v>
      </c>
      <c r="CZ6" s="264">
        <f t="shared" si="1"/>
        <v>45597</v>
      </c>
      <c r="DA6" s="264">
        <f t="shared" si="1"/>
        <v>45627</v>
      </c>
      <c r="DB6" s="264">
        <f t="shared" si="1"/>
        <v>45658</v>
      </c>
      <c r="DC6" s="264">
        <f t="shared" si="1"/>
        <v>45689</v>
      </c>
      <c r="DD6" s="264">
        <f t="shared" si="1"/>
        <v>45717</v>
      </c>
    </row>
    <row r="7" spans="2:108" x14ac:dyDescent="0.25">
      <c r="B7" s="117" t="s">
        <v>131</v>
      </c>
      <c r="C7" s="353" t="s">
        <v>47</v>
      </c>
      <c r="D7" s="353" t="s">
        <v>47</v>
      </c>
      <c r="E7" s="353" t="s">
        <v>47</v>
      </c>
      <c r="F7" s="353" t="s">
        <v>47</v>
      </c>
      <c r="G7" s="353" t="s">
        <v>47</v>
      </c>
      <c r="H7" s="353" t="s">
        <v>47</v>
      </c>
      <c r="I7" s="353" t="s">
        <v>47</v>
      </c>
      <c r="J7" s="353" t="s">
        <v>47</v>
      </c>
      <c r="K7" s="353" t="s">
        <v>47</v>
      </c>
      <c r="L7" s="353" t="s">
        <v>47</v>
      </c>
      <c r="M7" s="353" t="s">
        <v>47</v>
      </c>
      <c r="N7" s="353" t="s">
        <v>47</v>
      </c>
      <c r="O7" s="353" t="s">
        <v>47</v>
      </c>
      <c r="P7" s="353" t="s">
        <v>47</v>
      </c>
      <c r="Q7" s="353" t="s">
        <v>47</v>
      </c>
      <c r="R7" s="353" t="s">
        <v>47</v>
      </c>
      <c r="S7" s="353" t="s">
        <v>47</v>
      </c>
      <c r="T7" s="353" t="s">
        <v>47</v>
      </c>
      <c r="U7" s="597" t="s">
        <v>47</v>
      </c>
      <c r="V7" s="597" t="s">
        <v>47</v>
      </c>
      <c r="W7" s="597" t="s">
        <v>47</v>
      </c>
      <c r="X7" s="597" t="s">
        <v>47</v>
      </c>
      <c r="Y7" s="597" t="s">
        <v>47</v>
      </c>
      <c r="Z7" s="597" t="s">
        <v>47</v>
      </c>
      <c r="AA7" s="597" t="s">
        <v>47</v>
      </c>
      <c r="AB7" s="597" t="s">
        <v>47</v>
      </c>
      <c r="AC7" s="597" t="s">
        <v>47</v>
      </c>
      <c r="AD7" s="597" t="s">
        <v>47</v>
      </c>
      <c r="AE7" s="597" t="s">
        <v>47</v>
      </c>
      <c r="AF7" s="597" t="s">
        <v>47</v>
      </c>
      <c r="AG7" s="597" t="s">
        <v>47</v>
      </c>
      <c r="AH7" s="597" t="s">
        <v>47</v>
      </c>
      <c r="AI7" s="597" t="s">
        <v>47</v>
      </c>
      <c r="AJ7" s="597" t="s">
        <v>47</v>
      </c>
      <c r="AK7" s="597" t="s">
        <v>47</v>
      </c>
      <c r="AL7" s="597" t="s">
        <v>47</v>
      </c>
      <c r="AM7" s="597" t="s">
        <v>47</v>
      </c>
      <c r="AN7" s="597" t="s">
        <v>47</v>
      </c>
      <c r="AO7" s="597" t="s">
        <v>47</v>
      </c>
      <c r="AP7" s="597" t="s">
        <v>47</v>
      </c>
      <c r="AQ7" s="597" t="s">
        <v>47</v>
      </c>
      <c r="AR7" s="597" t="s">
        <v>47</v>
      </c>
      <c r="AS7" s="597" t="s">
        <v>47</v>
      </c>
      <c r="AT7" s="597" t="s">
        <v>47</v>
      </c>
      <c r="AU7" s="597" t="s">
        <v>47</v>
      </c>
      <c r="AV7" s="597" t="s">
        <v>47</v>
      </c>
      <c r="AW7" s="1038" t="s">
        <v>47</v>
      </c>
      <c r="AX7" s="597" t="s">
        <v>47</v>
      </c>
      <c r="AY7" s="597" t="s">
        <v>47</v>
      </c>
      <c r="AZ7" s="597" t="s">
        <v>47</v>
      </c>
      <c r="BA7" s="597" t="s">
        <v>47</v>
      </c>
      <c r="BB7" s="597" t="s">
        <v>47</v>
      </c>
      <c r="BC7" s="597" t="s">
        <v>47</v>
      </c>
      <c r="BD7" s="597" t="s">
        <v>47</v>
      </c>
      <c r="BE7" s="597" t="s">
        <v>47</v>
      </c>
      <c r="BF7" s="597" t="s">
        <v>47</v>
      </c>
      <c r="BG7" s="597" t="s">
        <v>47</v>
      </c>
      <c r="BH7" s="597" t="s">
        <v>47</v>
      </c>
      <c r="BI7" s="597" t="s">
        <v>47</v>
      </c>
      <c r="BJ7" s="597" t="s">
        <v>47</v>
      </c>
      <c r="BK7" s="597" t="s">
        <v>47</v>
      </c>
      <c r="BL7" s="597" t="s">
        <v>47</v>
      </c>
      <c r="BM7" s="597" t="s">
        <v>47</v>
      </c>
      <c r="BN7" s="597" t="s">
        <v>47</v>
      </c>
      <c r="BO7" s="597" t="s">
        <v>47</v>
      </c>
      <c r="BP7" s="597" t="s">
        <v>47</v>
      </c>
      <c r="BQ7" s="597" t="s">
        <v>47</v>
      </c>
      <c r="BR7" s="597" t="s">
        <v>47</v>
      </c>
      <c r="BS7" s="597" t="s">
        <v>47</v>
      </c>
      <c r="BT7" s="597" t="s">
        <v>47</v>
      </c>
      <c r="BU7" s="597" t="s">
        <v>47</v>
      </c>
      <c r="BV7" s="597" t="s">
        <v>47</v>
      </c>
      <c r="BW7" s="597" t="s">
        <v>47</v>
      </c>
      <c r="BX7" s="597" t="s">
        <v>47</v>
      </c>
      <c r="BY7" s="597" t="s">
        <v>47</v>
      </c>
      <c r="BZ7" s="597" t="s">
        <v>47</v>
      </c>
      <c r="CA7" s="597" t="s">
        <v>47</v>
      </c>
      <c r="CB7" s="597" t="s">
        <v>47</v>
      </c>
      <c r="CC7" s="597" t="s">
        <v>47</v>
      </c>
      <c r="CD7" s="597" t="s">
        <v>47</v>
      </c>
      <c r="CE7" s="597" t="s">
        <v>47</v>
      </c>
      <c r="CF7" s="597" t="s">
        <v>47</v>
      </c>
      <c r="CG7" s="597" t="s">
        <v>47</v>
      </c>
      <c r="CH7" s="597" t="s">
        <v>47</v>
      </c>
      <c r="CI7" s="597" t="s">
        <v>47</v>
      </c>
      <c r="CJ7" s="597" t="s">
        <v>47</v>
      </c>
      <c r="CK7" s="597" t="s">
        <v>47</v>
      </c>
      <c r="CL7" s="597" t="s">
        <v>47</v>
      </c>
      <c r="CM7" s="597" t="s">
        <v>47</v>
      </c>
      <c r="CN7" s="597" t="s">
        <v>47</v>
      </c>
      <c r="CO7" s="597" t="s">
        <v>47</v>
      </c>
      <c r="CP7" s="597" t="s">
        <v>47</v>
      </c>
      <c r="CQ7" s="597" t="s">
        <v>47</v>
      </c>
      <c r="CR7" s="597" t="s">
        <v>47</v>
      </c>
      <c r="CS7" s="597" t="s">
        <v>47</v>
      </c>
      <c r="CT7" s="597" t="s">
        <v>47</v>
      </c>
      <c r="CU7" s="597" t="s">
        <v>47</v>
      </c>
      <c r="CV7" s="597" t="s">
        <v>47</v>
      </c>
      <c r="CW7" s="597" t="s">
        <v>47</v>
      </c>
      <c r="CX7" s="597" t="s">
        <v>47</v>
      </c>
      <c r="CY7" s="597" t="s">
        <v>47</v>
      </c>
      <c r="CZ7" s="597" t="s">
        <v>47</v>
      </c>
      <c r="DA7" s="597" t="s">
        <v>47</v>
      </c>
      <c r="DB7" s="597" t="s">
        <v>47</v>
      </c>
      <c r="DC7" s="597" t="s">
        <v>47</v>
      </c>
      <c r="DD7" s="597" t="s">
        <v>47</v>
      </c>
    </row>
    <row r="8" spans="2:108" x14ac:dyDescent="0.25">
      <c r="B8" s="117" t="s">
        <v>135</v>
      </c>
      <c r="C8" s="353" t="s">
        <v>47</v>
      </c>
      <c r="D8" s="353" t="s">
        <v>47</v>
      </c>
      <c r="E8" s="353" t="s">
        <v>47</v>
      </c>
      <c r="F8" s="353" t="s">
        <v>47</v>
      </c>
      <c r="G8" s="353" t="s">
        <v>47</v>
      </c>
      <c r="H8" s="353" t="s">
        <v>47</v>
      </c>
      <c r="I8" s="353" t="s">
        <v>47</v>
      </c>
      <c r="J8" s="353" t="s">
        <v>47</v>
      </c>
      <c r="K8" s="353" t="s">
        <v>47</v>
      </c>
      <c r="L8" s="353" t="s">
        <v>47</v>
      </c>
      <c r="M8" s="353" t="s">
        <v>47</v>
      </c>
      <c r="N8" s="353" t="s">
        <v>47</v>
      </c>
      <c r="O8" s="353" t="s">
        <v>47</v>
      </c>
      <c r="P8" s="353" t="s">
        <v>47</v>
      </c>
      <c r="Q8" s="353" t="s">
        <v>47</v>
      </c>
      <c r="R8" s="353" t="s">
        <v>47</v>
      </c>
      <c r="S8" s="353" t="s">
        <v>47</v>
      </c>
      <c r="T8" s="353" t="s">
        <v>47</v>
      </c>
      <c r="U8" s="353" t="s">
        <v>47</v>
      </c>
      <c r="V8" s="353" t="s">
        <v>47</v>
      </c>
      <c r="W8" s="353" t="s">
        <v>47</v>
      </c>
      <c r="X8" s="353" t="s">
        <v>47</v>
      </c>
      <c r="Y8" s="353" t="s">
        <v>47</v>
      </c>
      <c r="Z8" s="597" t="s">
        <v>47</v>
      </c>
      <c r="AA8" s="353" t="s">
        <v>47</v>
      </c>
      <c r="AB8" s="353" t="s">
        <v>47</v>
      </c>
      <c r="AC8" s="353" t="s">
        <v>47</v>
      </c>
      <c r="AD8" s="353" t="s">
        <v>47</v>
      </c>
      <c r="AE8" s="353" t="s">
        <v>47</v>
      </c>
      <c r="AF8" s="353" t="s">
        <v>47</v>
      </c>
      <c r="AG8" s="353" t="s">
        <v>47</v>
      </c>
      <c r="AH8" s="353" t="s">
        <v>47</v>
      </c>
      <c r="AI8" s="353" t="s">
        <v>47</v>
      </c>
      <c r="AJ8" s="353" t="s">
        <v>47</v>
      </c>
      <c r="AK8" s="353" t="s">
        <v>47</v>
      </c>
      <c r="AL8" s="353" t="s">
        <v>47</v>
      </c>
      <c r="AM8" s="353" t="s">
        <v>47</v>
      </c>
      <c r="AN8" s="353" t="s">
        <v>47</v>
      </c>
      <c r="AO8" s="353" t="s">
        <v>47</v>
      </c>
      <c r="AP8" s="353" t="s">
        <v>47</v>
      </c>
      <c r="AQ8" s="353" t="s">
        <v>47</v>
      </c>
      <c r="AR8" s="353" t="s">
        <v>47</v>
      </c>
      <c r="AS8" s="353" t="s">
        <v>47</v>
      </c>
      <c r="AT8" s="353" t="s">
        <v>47</v>
      </c>
      <c r="AU8" s="353" t="s">
        <v>47</v>
      </c>
      <c r="AV8" s="353" t="s">
        <v>47</v>
      </c>
      <c r="AW8" s="1038" t="s">
        <v>47</v>
      </c>
      <c r="AX8" s="597" t="s">
        <v>47</v>
      </c>
      <c r="AY8" s="597" t="s">
        <v>47</v>
      </c>
      <c r="AZ8" s="597" t="s">
        <v>47</v>
      </c>
      <c r="BA8" s="597" t="s">
        <v>47</v>
      </c>
      <c r="BB8" s="597" t="s">
        <v>47</v>
      </c>
      <c r="BC8" s="597" t="s">
        <v>47</v>
      </c>
      <c r="BD8" s="597" t="s">
        <v>47</v>
      </c>
      <c r="BE8" s="597" t="s">
        <v>47</v>
      </c>
      <c r="BF8" s="597" t="s">
        <v>47</v>
      </c>
      <c r="BG8" s="597" t="s">
        <v>47</v>
      </c>
      <c r="BH8" s="597" t="s">
        <v>47</v>
      </c>
      <c r="BI8" s="597" t="s">
        <v>47</v>
      </c>
      <c r="BJ8" s="597" t="s">
        <v>47</v>
      </c>
      <c r="BK8" s="597" t="s">
        <v>47</v>
      </c>
      <c r="BL8" s="597" t="s">
        <v>47</v>
      </c>
      <c r="BM8" s="597" t="s">
        <v>47</v>
      </c>
      <c r="BN8" s="597" t="s">
        <v>47</v>
      </c>
      <c r="BO8" s="597" t="s">
        <v>47</v>
      </c>
      <c r="BP8" s="597" t="s">
        <v>47</v>
      </c>
      <c r="BQ8" s="597" t="s">
        <v>47</v>
      </c>
      <c r="BR8" s="597" t="s">
        <v>47</v>
      </c>
      <c r="BS8" s="597" t="s">
        <v>47</v>
      </c>
      <c r="BT8" s="597" t="s">
        <v>47</v>
      </c>
      <c r="BU8" s="597" t="s">
        <v>47</v>
      </c>
      <c r="BV8" s="597" t="s">
        <v>47</v>
      </c>
      <c r="BW8" s="597" t="s">
        <v>47</v>
      </c>
      <c r="BX8" s="597" t="s">
        <v>47</v>
      </c>
      <c r="BY8" s="597" t="s">
        <v>47</v>
      </c>
      <c r="BZ8" s="597" t="s">
        <v>47</v>
      </c>
      <c r="CA8" s="597" t="s">
        <v>47</v>
      </c>
      <c r="CB8" s="597" t="s">
        <v>47</v>
      </c>
      <c r="CC8" s="597" t="s">
        <v>47</v>
      </c>
      <c r="CD8" s="597" t="s">
        <v>47</v>
      </c>
      <c r="CE8" s="597" t="s">
        <v>47</v>
      </c>
      <c r="CF8" s="597" t="s">
        <v>47</v>
      </c>
      <c r="CG8" s="597" t="s">
        <v>47</v>
      </c>
      <c r="CH8" s="597" t="s">
        <v>47</v>
      </c>
      <c r="CI8" s="597" t="s">
        <v>47</v>
      </c>
      <c r="CJ8" s="597" t="s">
        <v>47</v>
      </c>
      <c r="CK8" s="597" t="s">
        <v>47</v>
      </c>
      <c r="CL8" s="597" t="s">
        <v>47</v>
      </c>
      <c r="CM8" s="597" t="s">
        <v>47</v>
      </c>
      <c r="CN8" s="597" t="s">
        <v>47</v>
      </c>
      <c r="CO8" s="597" t="s">
        <v>47</v>
      </c>
      <c r="CP8" s="597" t="s">
        <v>47</v>
      </c>
      <c r="CQ8" s="597" t="s">
        <v>47</v>
      </c>
      <c r="CR8" s="597" t="s">
        <v>47</v>
      </c>
      <c r="CS8" s="597" t="s">
        <v>47</v>
      </c>
      <c r="CT8" s="597" t="s">
        <v>47</v>
      </c>
      <c r="CU8" s="597" t="s">
        <v>47</v>
      </c>
      <c r="CV8" s="597" t="s">
        <v>47</v>
      </c>
      <c r="CW8" s="597" t="s">
        <v>47</v>
      </c>
      <c r="CX8" s="597" t="s">
        <v>47</v>
      </c>
      <c r="CY8" s="597" t="s">
        <v>47</v>
      </c>
      <c r="CZ8" s="597" t="s">
        <v>47</v>
      </c>
      <c r="DA8" s="597" t="s">
        <v>47</v>
      </c>
      <c r="DB8" s="597" t="s">
        <v>47</v>
      </c>
      <c r="DC8" s="597" t="s">
        <v>47</v>
      </c>
      <c r="DD8" s="597" t="s">
        <v>47</v>
      </c>
    </row>
    <row r="9" spans="2:108" x14ac:dyDescent="0.25">
      <c r="B9" s="117" t="s">
        <v>136</v>
      </c>
      <c r="C9" s="353" t="s">
        <v>47</v>
      </c>
      <c r="D9" s="353" t="s">
        <v>47</v>
      </c>
      <c r="E9" s="353" t="s">
        <v>47</v>
      </c>
      <c r="F9" s="353" t="s">
        <v>47</v>
      </c>
      <c r="G9" s="353" t="s">
        <v>47</v>
      </c>
      <c r="H9" s="353" t="s">
        <v>47</v>
      </c>
      <c r="I9" s="353" t="s">
        <v>47</v>
      </c>
      <c r="J9" s="353" t="s">
        <v>47</v>
      </c>
      <c r="K9" s="353" t="s">
        <v>47</v>
      </c>
      <c r="L9" s="353" t="s">
        <v>47</v>
      </c>
      <c r="M9" s="353" t="s">
        <v>47</v>
      </c>
      <c r="N9" s="353" t="s">
        <v>47</v>
      </c>
      <c r="O9" s="353" t="s">
        <v>47</v>
      </c>
      <c r="P9" s="353" t="s">
        <v>47</v>
      </c>
      <c r="Q9" s="353" t="s">
        <v>47</v>
      </c>
      <c r="R9" s="353" t="s">
        <v>47</v>
      </c>
      <c r="S9" s="353" t="s">
        <v>47</v>
      </c>
      <c r="T9" s="353" t="s">
        <v>47</v>
      </c>
      <c r="U9" s="353" t="s">
        <v>47</v>
      </c>
      <c r="V9" s="597" t="s">
        <v>47</v>
      </c>
      <c r="W9" s="597" t="s">
        <v>47</v>
      </c>
      <c r="X9" s="597" t="s">
        <v>47</v>
      </c>
      <c r="Y9" s="597" t="s">
        <v>47</v>
      </c>
      <c r="Z9" s="597" t="s">
        <v>47</v>
      </c>
      <c r="AA9" s="597" t="s">
        <v>47</v>
      </c>
      <c r="AB9" s="597" t="s">
        <v>47</v>
      </c>
      <c r="AC9" s="597" t="s">
        <v>47</v>
      </c>
      <c r="AD9" s="597" t="s">
        <v>47</v>
      </c>
      <c r="AE9" s="597" t="s">
        <v>47</v>
      </c>
      <c r="AF9" s="597" t="s">
        <v>47</v>
      </c>
      <c r="AG9" s="597" t="s">
        <v>47</v>
      </c>
      <c r="AH9" s="597" t="s">
        <v>47</v>
      </c>
      <c r="AI9" s="597" t="s">
        <v>47</v>
      </c>
      <c r="AJ9" s="597" t="s">
        <v>47</v>
      </c>
      <c r="AK9" s="597" t="s">
        <v>47</v>
      </c>
      <c r="AL9" s="597" t="s">
        <v>47</v>
      </c>
      <c r="AM9" s="597" t="s">
        <v>47</v>
      </c>
      <c r="AN9" s="597" t="s">
        <v>47</v>
      </c>
      <c r="AO9" s="597" t="s">
        <v>47</v>
      </c>
      <c r="AP9" s="597" t="s">
        <v>47</v>
      </c>
      <c r="AQ9" s="597" t="s">
        <v>47</v>
      </c>
      <c r="AR9" s="597" t="s">
        <v>47</v>
      </c>
      <c r="AS9" s="597" t="s">
        <v>47</v>
      </c>
      <c r="AT9" s="597" t="s">
        <v>47</v>
      </c>
      <c r="AU9" s="597" t="s">
        <v>47</v>
      </c>
      <c r="AV9" s="597" t="s">
        <v>47</v>
      </c>
      <c r="AW9" s="1038" t="s">
        <v>47</v>
      </c>
      <c r="AX9" s="597" t="s">
        <v>47</v>
      </c>
      <c r="AY9" s="597" t="s">
        <v>47</v>
      </c>
      <c r="AZ9" s="597" t="s">
        <v>47</v>
      </c>
      <c r="BA9" s="597" t="s">
        <v>47</v>
      </c>
      <c r="BB9" s="597" t="s">
        <v>47</v>
      </c>
      <c r="BC9" s="597" t="s">
        <v>47</v>
      </c>
      <c r="BD9" s="597" t="s">
        <v>47</v>
      </c>
      <c r="BE9" s="597" t="s">
        <v>47</v>
      </c>
      <c r="BF9" s="597" t="s">
        <v>47</v>
      </c>
      <c r="BG9" s="597" t="s">
        <v>47</v>
      </c>
      <c r="BH9" s="597" t="s">
        <v>47</v>
      </c>
      <c r="BI9" s="597" t="s">
        <v>47</v>
      </c>
      <c r="BJ9" s="597" t="s">
        <v>47</v>
      </c>
      <c r="BK9" s="597" t="s">
        <v>47</v>
      </c>
      <c r="BL9" s="597" t="s">
        <v>47</v>
      </c>
      <c r="BM9" s="597" t="s">
        <v>47</v>
      </c>
      <c r="BN9" s="597" t="s">
        <v>47</v>
      </c>
      <c r="BO9" s="597" t="s">
        <v>47</v>
      </c>
      <c r="BP9" s="597" t="s">
        <v>47</v>
      </c>
      <c r="BQ9" s="597" t="s">
        <v>47</v>
      </c>
      <c r="BR9" s="597" t="s">
        <v>47</v>
      </c>
      <c r="BS9" s="597" t="s">
        <v>47</v>
      </c>
      <c r="BT9" s="597" t="s">
        <v>47</v>
      </c>
      <c r="BU9" s="597" t="s">
        <v>47</v>
      </c>
      <c r="BV9" s="597" t="s">
        <v>47</v>
      </c>
      <c r="BW9" s="597" t="s">
        <v>47</v>
      </c>
      <c r="BX9" s="597" t="s">
        <v>47</v>
      </c>
      <c r="BY9" s="597" t="s">
        <v>47</v>
      </c>
      <c r="BZ9" s="597" t="s">
        <v>47</v>
      </c>
      <c r="CA9" s="597" t="s">
        <v>47</v>
      </c>
      <c r="CB9" s="597" t="s">
        <v>47</v>
      </c>
      <c r="CC9" s="597" t="s">
        <v>47</v>
      </c>
      <c r="CD9" s="597" t="s">
        <v>47</v>
      </c>
      <c r="CE9" s="597" t="s">
        <v>47</v>
      </c>
      <c r="CF9" s="597" t="s">
        <v>47</v>
      </c>
      <c r="CG9" s="597" t="s">
        <v>47</v>
      </c>
      <c r="CH9" s="597" t="s">
        <v>47</v>
      </c>
      <c r="CI9" s="597" t="s">
        <v>47</v>
      </c>
      <c r="CJ9" s="597" t="s">
        <v>47</v>
      </c>
      <c r="CK9" s="597" t="s">
        <v>47</v>
      </c>
      <c r="CL9" s="597" t="s">
        <v>47</v>
      </c>
      <c r="CM9" s="597" t="s">
        <v>47</v>
      </c>
      <c r="CN9" s="597" t="s">
        <v>47</v>
      </c>
      <c r="CO9" s="597" t="s">
        <v>47</v>
      </c>
      <c r="CP9" s="597" t="s">
        <v>47</v>
      </c>
      <c r="CQ9" s="597" t="s">
        <v>47</v>
      </c>
      <c r="CR9" s="597" t="s">
        <v>47</v>
      </c>
      <c r="CS9" s="597" t="s">
        <v>47</v>
      </c>
      <c r="CT9" s="597" t="s">
        <v>47</v>
      </c>
      <c r="CU9" s="597" t="s">
        <v>47</v>
      </c>
      <c r="CV9" s="597" t="s">
        <v>47</v>
      </c>
      <c r="CW9" s="597" t="s">
        <v>47</v>
      </c>
      <c r="CX9" s="597" t="s">
        <v>47</v>
      </c>
      <c r="CY9" s="597">
        <v>42</v>
      </c>
      <c r="CZ9" s="597">
        <v>42</v>
      </c>
      <c r="DA9" s="597">
        <v>42</v>
      </c>
      <c r="DB9" s="698">
        <v>44</v>
      </c>
      <c r="DC9" s="597">
        <v>44</v>
      </c>
      <c r="DD9" s="597">
        <v>44</v>
      </c>
    </row>
    <row r="10" spans="2:108" customFormat="1" ht="12.75" x14ac:dyDescent="0.2">
      <c r="B10" s="279" t="s">
        <v>381</v>
      </c>
      <c r="C10" s="280" t="str">
        <f t="shared" ref="C10:BN10" si="2">IFERROR(AVERAGE(C7:C9),"-")</f>
        <v>-</v>
      </c>
      <c r="D10" s="280" t="str">
        <f t="shared" si="2"/>
        <v>-</v>
      </c>
      <c r="E10" s="280" t="str">
        <f t="shared" si="2"/>
        <v>-</v>
      </c>
      <c r="F10" s="280" t="str">
        <f t="shared" si="2"/>
        <v>-</v>
      </c>
      <c r="G10" s="280" t="str">
        <f t="shared" si="2"/>
        <v>-</v>
      </c>
      <c r="H10" s="280" t="str">
        <f t="shared" si="2"/>
        <v>-</v>
      </c>
      <c r="I10" s="280" t="str">
        <f t="shared" si="2"/>
        <v>-</v>
      </c>
      <c r="J10" s="280" t="str">
        <f t="shared" si="2"/>
        <v>-</v>
      </c>
      <c r="K10" s="280" t="str">
        <f t="shared" si="2"/>
        <v>-</v>
      </c>
      <c r="L10" s="280" t="str">
        <f t="shared" si="2"/>
        <v>-</v>
      </c>
      <c r="M10" s="280" t="str">
        <f t="shared" si="2"/>
        <v>-</v>
      </c>
      <c r="N10" s="280" t="str">
        <f t="shared" si="2"/>
        <v>-</v>
      </c>
      <c r="O10" s="280" t="str">
        <f t="shared" si="2"/>
        <v>-</v>
      </c>
      <c r="P10" s="280" t="str">
        <f t="shared" si="2"/>
        <v>-</v>
      </c>
      <c r="Q10" s="280" t="str">
        <f t="shared" si="2"/>
        <v>-</v>
      </c>
      <c r="R10" s="280" t="str">
        <f t="shared" si="2"/>
        <v>-</v>
      </c>
      <c r="S10" s="280" t="str">
        <f t="shared" si="2"/>
        <v>-</v>
      </c>
      <c r="T10" s="280" t="str">
        <f t="shared" si="2"/>
        <v>-</v>
      </c>
      <c r="U10" s="280" t="str">
        <f t="shared" si="2"/>
        <v>-</v>
      </c>
      <c r="V10" s="280" t="str">
        <f t="shared" si="2"/>
        <v>-</v>
      </c>
      <c r="W10" s="280" t="str">
        <f t="shared" si="2"/>
        <v>-</v>
      </c>
      <c r="X10" s="280" t="str">
        <f t="shared" si="2"/>
        <v>-</v>
      </c>
      <c r="Y10" s="280" t="str">
        <f t="shared" si="2"/>
        <v>-</v>
      </c>
      <c r="Z10" s="280" t="str">
        <f t="shared" si="2"/>
        <v>-</v>
      </c>
      <c r="AA10" s="280" t="str">
        <f t="shared" si="2"/>
        <v>-</v>
      </c>
      <c r="AB10" s="280" t="str">
        <f t="shared" si="2"/>
        <v>-</v>
      </c>
      <c r="AC10" s="280" t="str">
        <f t="shared" si="2"/>
        <v>-</v>
      </c>
      <c r="AD10" s="280" t="str">
        <f t="shared" si="2"/>
        <v>-</v>
      </c>
      <c r="AE10" s="280" t="str">
        <f t="shared" si="2"/>
        <v>-</v>
      </c>
      <c r="AF10" s="280" t="str">
        <f t="shared" si="2"/>
        <v>-</v>
      </c>
      <c r="AG10" s="280" t="str">
        <f t="shared" si="2"/>
        <v>-</v>
      </c>
      <c r="AH10" s="280" t="str">
        <f t="shared" si="2"/>
        <v>-</v>
      </c>
      <c r="AI10" s="280" t="str">
        <f t="shared" si="2"/>
        <v>-</v>
      </c>
      <c r="AJ10" s="280" t="str">
        <f t="shared" si="2"/>
        <v>-</v>
      </c>
      <c r="AK10" s="280" t="str">
        <f t="shared" si="2"/>
        <v>-</v>
      </c>
      <c r="AL10" s="280" t="str">
        <f t="shared" si="2"/>
        <v>-</v>
      </c>
      <c r="AM10" s="280" t="str">
        <f t="shared" si="2"/>
        <v>-</v>
      </c>
      <c r="AN10" s="280" t="str">
        <f t="shared" si="2"/>
        <v>-</v>
      </c>
      <c r="AO10" s="280" t="str">
        <f t="shared" si="2"/>
        <v>-</v>
      </c>
      <c r="AP10" s="280" t="str">
        <f t="shared" si="2"/>
        <v>-</v>
      </c>
      <c r="AQ10" s="280" t="str">
        <f t="shared" si="2"/>
        <v>-</v>
      </c>
      <c r="AR10" s="280" t="str">
        <f t="shared" si="2"/>
        <v>-</v>
      </c>
      <c r="AS10" s="280" t="str">
        <f t="shared" si="2"/>
        <v>-</v>
      </c>
      <c r="AT10" s="280" t="str">
        <f t="shared" si="2"/>
        <v>-</v>
      </c>
      <c r="AU10" s="280" t="str">
        <f t="shared" si="2"/>
        <v>-</v>
      </c>
      <c r="AV10" s="280" t="str">
        <f t="shared" si="2"/>
        <v>-</v>
      </c>
      <c r="AW10" s="280" t="str">
        <f t="shared" si="2"/>
        <v>-</v>
      </c>
      <c r="AX10" s="280" t="str">
        <f t="shared" si="2"/>
        <v>-</v>
      </c>
      <c r="AY10" s="280" t="str">
        <f t="shared" si="2"/>
        <v>-</v>
      </c>
      <c r="AZ10" s="280" t="str">
        <f t="shared" si="2"/>
        <v>-</v>
      </c>
      <c r="BA10" s="280" t="str">
        <f t="shared" si="2"/>
        <v>-</v>
      </c>
      <c r="BB10" s="280" t="str">
        <f t="shared" si="2"/>
        <v>-</v>
      </c>
      <c r="BC10" s="280" t="str">
        <f t="shared" si="2"/>
        <v>-</v>
      </c>
      <c r="BD10" s="280" t="str">
        <f t="shared" si="2"/>
        <v>-</v>
      </c>
      <c r="BE10" s="280" t="str">
        <f t="shared" si="2"/>
        <v>-</v>
      </c>
      <c r="BF10" s="280" t="str">
        <f t="shared" si="2"/>
        <v>-</v>
      </c>
      <c r="BG10" s="280" t="str">
        <f t="shared" si="2"/>
        <v>-</v>
      </c>
      <c r="BH10" s="280" t="str">
        <f t="shared" si="2"/>
        <v>-</v>
      </c>
      <c r="BI10" s="280" t="str">
        <f t="shared" si="2"/>
        <v>-</v>
      </c>
      <c r="BJ10" s="280" t="str">
        <f t="shared" si="2"/>
        <v>-</v>
      </c>
      <c r="BK10" s="280" t="str">
        <f t="shared" si="2"/>
        <v>-</v>
      </c>
      <c r="BL10" s="280" t="str">
        <f t="shared" si="2"/>
        <v>-</v>
      </c>
      <c r="BM10" s="280" t="str">
        <f t="shared" si="2"/>
        <v>-</v>
      </c>
      <c r="BN10" s="280" t="str">
        <f t="shared" si="2"/>
        <v>-</v>
      </c>
      <c r="BO10" s="280" t="str">
        <f t="shared" ref="BO10:CV10" si="3">IFERROR(AVERAGE(BO7:BO9),"-")</f>
        <v>-</v>
      </c>
      <c r="BP10" s="280" t="str">
        <f t="shared" si="3"/>
        <v>-</v>
      </c>
      <c r="BQ10" s="280" t="str">
        <f t="shared" si="3"/>
        <v>-</v>
      </c>
      <c r="BR10" s="280" t="str">
        <f t="shared" si="3"/>
        <v>-</v>
      </c>
      <c r="BS10" s="280" t="str">
        <f t="shared" si="3"/>
        <v>-</v>
      </c>
      <c r="BT10" s="280" t="str">
        <f t="shared" si="3"/>
        <v>-</v>
      </c>
      <c r="BU10" s="280" t="str">
        <f t="shared" si="3"/>
        <v>-</v>
      </c>
      <c r="BV10" s="280" t="str">
        <f t="shared" si="3"/>
        <v>-</v>
      </c>
      <c r="BW10" s="280" t="str">
        <f t="shared" si="3"/>
        <v>-</v>
      </c>
      <c r="BX10" s="280" t="str">
        <f t="shared" si="3"/>
        <v>-</v>
      </c>
      <c r="BY10" s="280" t="str">
        <f t="shared" si="3"/>
        <v>-</v>
      </c>
      <c r="BZ10" s="830" t="str">
        <f t="shared" si="3"/>
        <v>-</v>
      </c>
      <c r="CA10" s="830" t="str">
        <f t="shared" si="3"/>
        <v>-</v>
      </c>
      <c r="CB10" s="830" t="str">
        <f t="shared" si="3"/>
        <v>-</v>
      </c>
      <c r="CC10" s="830" t="str">
        <f t="shared" si="3"/>
        <v>-</v>
      </c>
      <c r="CD10" s="830" t="str">
        <f t="shared" si="3"/>
        <v>-</v>
      </c>
      <c r="CE10" s="830" t="str">
        <f t="shared" si="3"/>
        <v>-</v>
      </c>
      <c r="CF10" s="830" t="str">
        <f t="shared" si="3"/>
        <v>-</v>
      </c>
      <c r="CG10" s="830" t="str">
        <f t="shared" si="3"/>
        <v>-</v>
      </c>
      <c r="CH10" s="830" t="str">
        <f t="shared" si="3"/>
        <v>-</v>
      </c>
      <c r="CI10" s="830" t="str">
        <f t="shared" si="3"/>
        <v>-</v>
      </c>
      <c r="CJ10" s="830" t="str">
        <f t="shared" si="3"/>
        <v>-</v>
      </c>
      <c r="CK10" s="830" t="str">
        <f t="shared" si="3"/>
        <v>-</v>
      </c>
      <c r="CL10" s="830" t="str">
        <f t="shared" si="3"/>
        <v>-</v>
      </c>
      <c r="CM10" s="830" t="str">
        <f t="shared" si="3"/>
        <v>-</v>
      </c>
      <c r="CN10" s="830" t="str">
        <f t="shared" si="3"/>
        <v>-</v>
      </c>
      <c r="CO10" s="830" t="str">
        <f t="shared" si="3"/>
        <v>-</v>
      </c>
      <c r="CP10" s="830" t="str">
        <f t="shared" si="3"/>
        <v>-</v>
      </c>
      <c r="CQ10" s="830" t="str">
        <f t="shared" si="3"/>
        <v>-</v>
      </c>
      <c r="CR10" s="830" t="str">
        <f t="shared" si="3"/>
        <v>-</v>
      </c>
      <c r="CS10" s="830" t="str">
        <f t="shared" si="3"/>
        <v>-</v>
      </c>
      <c r="CT10" s="830" t="str">
        <f t="shared" si="3"/>
        <v>-</v>
      </c>
      <c r="CU10" s="830" t="str">
        <f t="shared" si="3"/>
        <v>-</v>
      </c>
      <c r="CV10" s="830" t="str">
        <f t="shared" si="3"/>
        <v>-</v>
      </c>
      <c r="CW10" s="830" t="str">
        <f t="shared" ref="CW10:DB10" si="4">IFERROR(AVERAGE(CW7:CW9),"-")</f>
        <v>-</v>
      </c>
      <c r="CX10" s="830" t="str">
        <f t="shared" si="4"/>
        <v>-</v>
      </c>
      <c r="CY10" s="830">
        <f t="shared" si="4"/>
        <v>42</v>
      </c>
      <c r="CZ10" s="830">
        <f t="shared" si="4"/>
        <v>42</v>
      </c>
      <c r="DA10" s="830">
        <f t="shared" si="4"/>
        <v>42</v>
      </c>
      <c r="DB10" s="830">
        <f t="shared" si="4"/>
        <v>44</v>
      </c>
      <c r="DC10" s="830">
        <f t="shared" ref="DC10:DD10" si="5">IFERROR(AVERAGE(DC7:DC9),"-")</f>
        <v>44</v>
      </c>
      <c r="DD10" s="830">
        <f t="shared" si="5"/>
        <v>44</v>
      </c>
    </row>
    <row r="11" spans="2:108" x14ac:dyDescent="0.25">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V11" s="945"/>
    </row>
    <row r="12" spans="2:108" x14ac:dyDescent="0.25">
      <c r="B12" s="113" t="s">
        <v>839</v>
      </c>
      <c r="C12" s="264">
        <f>C$4</f>
        <v>42522</v>
      </c>
      <c r="D12" s="264">
        <f t="shared" ref="D12:BO12" si="6">D$4</f>
        <v>42552</v>
      </c>
      <c r="E12" s="264">
        <f t="shared" si="6"/>
        <v>42583</v>
      </c>
      <c r="F12" s="264">
        <f t="shared" si="6"/>
        <v>42614</v>
      </c>
      <c r="G12" s="264">
        <f t="shared" si="6"/>
        <v>42644</v>
      </c>
      <c r="H12" s="264">
        <f t="shared" si="6"/>
        <v>42675</v>
      </c>
      <c r="I12" s="264">
        <f t="shared" si="6"/>
        <v>42705</v>
      </c>
      <c r="J12" s="264">
        <f t="shared" si="6"/>
        <v>42736</v>
      </c>
      <c r="K12" s="264">
        <f t="shared" si="6"/>
        <v>42767</v>
      </c>
      <c r="L12" s="264">
        <f t="shared" si="6"/>
        <v>42795</v>
      </c>
      <c r="M12" s="264">
        <f t="shared" si="6"/>
        <v>42826</v>
      </c>
      <c r="N12" s="264">
        <f t="shared" si="6"/>
        <v>42856</v>
      </c>
      <c r="O12" s="264">
        <f t="shared" si="6"/>
        <v>42887</v>
      </c>
      <c r="P12" s="264">
        <f t="shared" si="6"/>
        <v>42917</v>
      </c>
      <c r="Q12" s="264">
        <f t="shared" si="6"/>
        <v>42948</v>
      </c>
      <c r="R12" s="264">
        <f t="shared" si="6"/>
        <v>42979</v>
      </c>
      <c r="S12" s="264">
        <f t="shared" si="6"/>
        <v>43009</v>
      </c>
      <c r="T12" s="264">
        <f t="shared" si="6"/>
        <v>43040</v>
      </c>
      <c r="U12" s="264">
        <f t="shared" si="6"/>
        <v>43070</v>
      </c>
      <c r="V12" s="264">
        <f t="shared" si="6"/>
        <v>43101</v>
      </c>
      <c r="W12" s="264">
        <f t="shared" si="6"/>
        <v>43132</v>
      </c>
      <c r="X12" s="264">
        <f t="shared" si="6"/>
        <v>43160</v>
      </c>
      <c r="Y12" s="264">
        <f t="shared" si="6"/>
        <v>43191</v>
      </c>
      <c r="Z12" s="264">
        <f t="shared" si="6"/>
        <v>43221</v>
      </c>
      <c r="AA12" s="264">
        <f t="shared" si="6"/>
        <v>43252</v>
      </c>
      <c r="AB12" s="264">
        <f t="shared" si="6"/>
        <v>43283</v>
      </c>
      <c r="AC12" s="264">
        <f t="shared" si="6"/>
        <v>43314</v>
      </c>
      <c r="AD12" s="264">
        <f t="shared" si="6"/>
        <v>43345</v>
      </c>
      <c r="AE12" s="264">
        <f t="shared" si="6"/>
        <v>43376</v>
      </c>
      <c r="AF12" s="264">
        <f t="shared" si="6"/>
        <v>43407</v>
      </c>
      <c r="AG12" s="264">
        <f t="shared" si="6"/>
        <v>43437</v>
      </c>
      <c r="AH12" s="264">
        <f t="shared" si="6"/>
        <v>43468</v>
      </c>
      <c r="AI12" s="264">
        <f t="shared" si="6"/>
        <v>43499</v>
      </c>
      <c r="AJ12" s="264">
        <f t="shared" si="6"/>
        <v>43527</v>
      </c>
      <c r="AK12" s="264">
        <f t="shared" si="6"/>
        <v>43558</v>
      </c>
      <c r="AL12" s="264">
        <f t="shared" si="6"/>
        <v>43587</v>
      </c>
      <c r="AM12" s="264">
        <f t="shared" si="6"/>
        <v>43618</v>
      </c>
      <c r="AN12" s="264">
        <f t="shared" si="6"/>
        <v>43647</v>
      </c>
      <c r="AO12" s="264">
        <f t="shared" si="6"/>
        <v>43678</v>
      </c>
      <c r="AP12" s="264">
        <f t="shared" si="6"/>
        <v>43709</v>
      </c>
      <c r="AQ12" s="264">
        <f t="shared" si="6"/>
        <v>43739</v>
      </c>
      <c r="AR12" s="264">
        <f t="shared" si="6"/>
        <v>43770</v>
      </c>
      <c r="AS12" s="264">
        <f t="shared" si="6"/>
        <v>43800</v>
      </c>
      <c r="AT12" s="264">
        <f t="shared" si="6"/>
        <v>43831</v>
      </c>
      <c r="AU12" s="264">
        <f t="shared" si="6"/>
        <v>43862</v>
      </c>
      <c r="AV12" s="264">
        <f t="shared" si="6"/>
        <v>43891</v>
      </c>
      <c r="AW12" s="264">
        <f t="shared" si="6"/>
        <v>43922</v>
      </c>
      <c r="AX12" s="264">
        <f t="shared" si="6"/>
        <v>43952</v>
      </c>
      <c r="AY12" s="264">
        <f t="shared" si="6"/>
        <v>43983</v>
      </c>
      <c r="AZ12" s="264">
        <f t="shared" si="6"/>
        <v>44013</v>
      </c>
      <c r="BA12" s="264">
        <f t="shared" si="6"/>
        <v>44044</v>
      </c>
      <c r="BB12" s="264">
        <f t="shared" si="6"/>
        <v>44075</v>
      </c>
      <c r="BC12" s="264">
        <f t="shared" si="6"/>
        <v>44105</v>
      </c>
      <c r="BD12" s="264">
        <f t="shared" si="6"/>
        <v>44136</v>
      </c>
      <c r="BE12" s="264">
        <f t="shared" si="6"/>
        <v>44166</v>
      </c>
      <c r="BF12" s="264">
        <f t="shared" si="6"/>
        <v>44197</v>
      </c>
      <c r="BG12" s="264">
        <f t="shared" si="6"/>
        <v>44228</v>
      </c>
      <c r="BH12" s="264">
        <f t="shared" si="6"/>
        <v>44256</v>
      </c>
      <c r="BI12" s="264">
        <f t="shared" si="6"/>
        <v>44287</v>
      </c>
      <c r="BJ12" s="264">
        <f t="shared" si="6"/>
        <v>44317</v>
      </c>
      <c r="BK12" s="264">
        <f t="shared" si="6"/>
        <v>44348</v>
      </c>
      <c r="BL12" s="264">
        <f t="shared" si="6"/>
        <v>44378</v>
      </c>
      <c r="BM12" s="264">
        <f t="shared" si="6"/>
        <v>44409</v>
      </c>
      <c r="BN12" s="264">
        <f t="shared" si="6"/>
        <v>44440</v>
      </c>
      <c r="BO12" s="264">
        <f t="shared" si="6"/>
        <v>44470</v>
      </c>
      <c r="BP12" s="264">
        <f t="shared" ref="BP12:DD12" si="7">BP$4</f>
        <v>44501</v>
      </c>
      <c r="BQ12" s="264">
        <f t="shared" si="7"/>
        <v>44531</v>
      </c>
      <c r="BR12" s="264">
        <f t="shared" si="7"/>
        <v>44562</v>
      </c>
      <c r="BS12" s="264">
        <f t="shared" si="7"/>
        <v>44593</v>
      </c>
      <c r="BT12" s="264">
        <f t="shared" si="7"/>
        <v>44622</v>
      </c>
      <c r="BU12" s="264">
        <f t="shared" si="7"/>
        <v>44654</v>
      </c>
      <c r="BV12" s="264">
        <f t="shared" si="7"/>
        <v>44685</v>
      </c>
      <c r="BW12" s="264">
        <f t="shared" si="7"/>
        <v>44716</v>
      </c>
      <c r="BX12" s="264">
        <f t="shared" si="7"/>
        <v>44746</v>
      </c>
      <c r="BY12" s="264">
        <f t="shared" si="7"/>
        <v>44774</v>
      </c>
      <c r="BZ12" s="264">
        <f t="shared" si="7"/>
        <v>44805</v>
      </c>
      <c r="CA12" s="264">
        <f t="shared" si="7"/>
        <v>44835</v>
      </c>
      <c r="CB12" s="264">
        <f t="shared" si="7"/>
        <v>44866</v>
      </c>
      <c r="CC12" s="264">
        <f t="shared" si="7"/>
        <v>44896</v>
      </c>
      <c r="CD12" s="264">
        <f t="shared" si="7"/>
        <v>44927</v>
      </c>
      <c r="CE12" s="264">
        <f t="shared" si="7"/>
        <v>44958</v>
      </c>
      <c r="CF12" s="264">
        <f t="shared" si="7"/>
        <v>44986</v>
      </c>
      <c r="CG12" s="264">
        <f t="shared" si="7"/>
        <v>45017</v>
      </c>
      <c r="CH12" s="264">
        <f t="shared" si="7"/>
        <v>45047</v>
      </c>
      <c r="CI12" s="264">
        <f t="shared" si="7"/>
        <v>45078</v>
      </c>
      <c r="CJ12" s="264">
        <f t="shared" si="7"/>
        <v>45108</v>
      </c>
      <c r="CK12" s="264">
        <f t="shared" si="7"/>
        <v>45139</v>
      </c>
      <c r="CL12" s="264">
        <f t="shared" si="7"/>
        <v>45170</v>
      </c>
      <c r="CM12" s="264">
        <f t="shared" si="7"/>
        <v>45200</v>
      </c>
      <c r="CN12" s="264">
        <f t="shared" si="7"/>
        <v>45231</v>
      </c>
      <c r="CO12" s="264">
        <f t="shared" si="7"/>
        <v>45261</v>
      </c>
      <c r="CP12" s="264">
        <f t="shared" si="7"/>
        <v>45292</v>
      </c>
      <c r="CQ12" s="264">
        <f t="shared" si="7"/>
        <v>45323</v>
      </c>
      <c r="CR12" s="264">
        <f t="shared" si="7"/>
        <v>45352</v>
      </c>
      <c r="CS12" s="264">
        <f t="shared" si="7"/>
        <v>45383</v>
      </c>
      <c r="CT12" s="264">
        <f t="shared" si="7"/>
        <v>45413</v>
      </c>
      <c r="CU12" s="264">
        <f t="shared" si="7"/>
        <v>45444</v>
      </c>
      <c r="CV12" s="264">
        <f t="shared" si="7"/>
        <v>45474</v>
      </c>
      <c r="CW12" s="264">
        <f t="shared" si="7"/>
        <v>45505</v>
      </c>
      <c r="CX12" s="264">
        <f t="shared" si="7"/>
        <v>45536</v>
      </c>
      <c r="CY12" s="264">
        <f t="shared" si="7"/>
        <v>45566</v>
      </c>
      <c r="CZ12" s="264">
        <f t="shared" si="7"/>
        <v>45597</v>
      </c>
      <c r="DA12" s="264">
        <f t="shared" si="7"/>
        <v>45627</v>
      </c>
      <c r="DB12" s="264">
        <f t="shared" si="7"/>
        <v>45658</v>
      </c>
      <c r="DC12" s="264">
        <f t="shared" si="7"/>
        <v>45689</v>
      </c>
      <c r="DD12" s="264">
        <f t="shared" si="7"/>
        <v>45717</v>
      </c>
    </row>
    <row r="13" spans="2:108" x14ac:dyDescent="0.25">
      <c r="B13" s="117" t="s">
        <v>131</v>
      </c>
      <c r="C13" s="265" t="s">
        <v>47</v>
      </c>
      <c r="D13" s="265" t="s">
        <v>47</v>
      </c>
      <c r="E13" s="265" t="s">
        <v>47</v>
      </c>
      <c r="F13" s="265" t="s">
        <v>47</v>
      </c>
      <c r="G13" s="265" t="s">
        <v>47</v>
      </c>
      <c r="H13" s="265" t="s">
        <v>47</v>
      </c>
      <c r="I13" s="265" t="s">
        <v>47</v>
      </c>
      <c r="J13" s="265" t="s">
        <v>47</v>
      </c>
      <c r="K13" s="265" t="s">
        <v>47</v>
      </c>
      <c r="L13" s="265" t="s">
        <v>47</v>
      </c>
      <c r="M13" s="265" t="s">
        <v>47</v>
      </c>
      <c r="N13" s="265" t="s">
        <v>47</v>
      </c>
      <c r="O13" s="265" t="s">
        <v>47</v>
      </c>
      <c r="P13" s="265" t="s">
        <v>47</v>
      </c>
      <c r="Q13" s="265" t="s">
        <v>47</v>
      </c>
      <c r="R13" s="265" t="s">
        <v>47</v>
      </c>
      <c r="S13" s="265" t="s">
        <v>47</v>
      </c>
      <c r="T13" s="265" t="s">
        <v>47</v>
      </c>
      <c r="U13" s="692" t="s">
        <v>47</v>
      </c>
      <c r="V13" s="692" t="s">
        <v>47</v>
      </c>
      <c r="W13" s="692" t="s">
        <v>47</v>
      </c>
      <c r="X13" s="692" t="s">
        <v>47</v>
      </c>
      <c r="Y13" s="692" t="s">
        <v>47</v>
      </c>
      <c r="Z13" s="692" t="s">
        <v>47</v>
      </c>
      <c r="AA13" s="692" t="s">
        <v>47</v>
      </c>
      <c r="AB13" s="692" t="s">
        <v>47</v>
      </c>
      <c r="AC13" s="692" t="s">
        <v>47</v>
      </c>
      <c r="AD13" s="692" t="s">
        <v>47</v>
      </c>
      <c r="AE13" s="692" t="s">
        <v>47</v>
      </c>
      <c r="AF13" s="699" t="s">
        <v>840</v>
      </c>
      <c r="AG13" s="699" t="s">
        <v>840</v>
      </c>
      <c r="AH13" s="699" t="s">
        <v>840</v>
      </c>
      <c r="AI13" s="699" t="s">
        <v>840</v>
      </c>
      <c r="AJ13" s="699" t="s">
        <v>840</v>
      </c>
      <c r="AK13" s="699" t="s">
        <v>840</v>
      </c>
      <c r="AL13" s="699" t="s">
        <v>840</v>
      </c>
      <c r="AM13" s="699" t="s">
        <v>840</v>
      </c>
      <c r="AN13" s="699" t="s">
        <v>840</v>
      </c>
      <c r="AO13" s="699" t="s">
        <v>840</v>
      </c>
      <c r="AP13" s="699" t="s">
        <v>840</v>
      </c>
      <c r="AQ13" s="699" t="s">
        <v>840</v>
      </c>
      <c r="AR13" s="699" t="s">
        <v>840</v>
      </c>
      <c r="AS13" s="699" t="s">
        <v>840</v>
      </c>
      <c r="AT13" s="831" t="s">
        <v>840</v>
      </c>
      <c r="AU13" s="831" t="s">
        <v>840</v>
      </c>
      <c r="AV13" s="947" t="s">
        <v>840</v>
      </c>
      <c r="AW13" s="831" t="s">
        <v>840</v>
      </c>
      <c r="AX13" s="831" t="s">
        <v>840</v>
      </c>
      <c r="AY13" s="831" t="s">
        <v>840</v>
      </c>
      <c r="AZ13" s="831" t="s">
        <v>840</v>
      </c>
      <c r="BA13" s="831" t="s">
        <v>840</v>
      </c>
      <c r="BB13" s="831" t="s">
        <v>840</v>
      </c>
      <c r="BC13" s="831" t="s">
        <v>840</v>
      </c>
      <c r="BD13" s="831" t="s">
        <v>840</v>
      </c>
      <c r="BE13" s="967" t="s">
        <v>1118</v>
      </c>
      <c r="BF13" s="831" t="s">
        <v>1118</v>
      </c>
      <c r="BG13" s="831" t="s">
        <v>1118</v>
      </c>
      <c r="BH13" s="831" t="s">
        <v>1118</v>
      </c>
      <c r="BI13" s="831" t="s">
        <v>1118</v>
      </c>
      <c r="BJ13" s="831" t="s">
        <v>1118</v>
      </c>
      <c r="BK13" s="831" t="s">
        <v>1118</v>
      </c>
      <c r="BL13" s="831" t="s">
        <v>1118</v>
      </c>
      <c r="BM13" s="831" t="s">
        <v>1118</v>
      </c>
      <c r="BN13" s="831" t="s">
        <v>1118</v>
      </c>
      <c r="BO13" s="831" t="s">
        <v>1118</v>
      </c>
      <c r="BP13" s="831" t="s">
        <v>1118</v>
      </c>
      <c r="BQ13" s="831" t="s">
        <v>1118</v>
      </c>
      <c r="BR13" s="831" t="s">
        <v>1118</v>
      </c>
      <c r="BS13" s="831" t="s">
        <v>1118</v>
      </c>
      <c r="BT13" s="831" t="s">
        <v>843</v>
      </c>
      <c r="BU13" s="831" t="s">
        <v>843</v>
      </c>
      <c r="BV13" s="831" t="s">
        <v>843</v>
      </c>
      <c r="BW13" s="831" t="s">
        <v>843</v>
      </c>
      <c r="BX13" s="831" t="s">
        <v>843</v>
      </c>
      <c r="BY13" s="831" t="s">
        <v>843</v>
      </c>
      <c r="BZ13" s="831" t="s">
        <v>843</v>
      </c>
      <c r="CA13" s="831" t="s">
        <v>843</v>
      </c>
      <c r="CB13" s="831" t="s">
        <v>843</v>
      </c>
      <c r="CC13" s="831" t="s">
        <v>843</v>
      </c>
      <c r="CD13" s="831" t="s">
        <v>843</v>
      </c>
      <c r="CE13" s="831" t="s">
        <v>843</v>
      </c>
      <c r="CF13" s="831" t="s">
        <v>843</v>
      </c>
      <c r="CG13" s="831" t="s">
        <v>843</v>
      </c>
      <c r="CH13" s="831" t="s">
        <v>843</v>
      </c>
      <c r="CI13" s="831" t="s">
        <v>843</v>
      </c>
      <c r="CJ13" s="831" t="s">
        <v>843</v>
      </c>
      <c r="CK13" s="831" t="s">
        <v>843</v>
      </c>
      <c r="CL13" s="831" t="s">
        <v>843</v>
      </c>
      <c r="CM13" s="831" t="s">
        <v>843</v>
      </c>
      <c r="CN13" s="831" t="s">
        <v>843</v>
      </c>
      <c r="CO13" s="831" t="s">
        <v>843</v>
      </c>
      <c r="CP13" s="831" t="s">
        <v>843</v>
      </c>
      <c r="CQ13" s="831" t="s">
        <v>843</v>
      </c>
      <c r="CR13" s="831" t="s">
        <v>843</v>
      </c>
      <c r="CS13" s="831" t="s">
        <v>843</v>
      </c>
      <c r="CT13" s="831" t="s">
        <v>843</v>
      </c>
      <c r="CU13" s="831" t="s">
        <v>843</v>
      </c>
      <c r="CV13" s="831" t="s">
        <v>843</v>
      </c>
      <c r="CW13" s="831" t="s">
        <v>843</v>
      </c>
      <c r="CX13" s="831" t="s">
        <v>843</v>
      </c>
      <c r="CY13" s="831" t="s">
        <v>843</v>
      </c>
      <c r="CZ13" s="831" t="s">
        <v>843</v>
      </c>
      <c r="DA13" s="831" t="s">
        <v>843</v>
      </c>
      <c r="DB13" s="831" t="s">
        <v>843</v>
      </c>
      <c r="DC13" s="831" t="s">
        <v>843</v>
      </c>
      <c r="DD13" s="831" t="s">
        <v>843</v>
      </c>
    </row>
    <row r="14" spans="2:108" x14ac:dyDescent="0.25">
      <c r="B14" s="117" t="s">
        <v>135</v>
      </c>
      <c r="C14" s="265" t="s">
        <v>47</v>
      </c>
      <c r="D14" s="265" t="s">
        <v>47</v>
      </c>
      <c r="E14" s="265" t="s">
        <v>47</v>
      </c>
      <c r="F14" s="265" t="s">
        <v>47</v>
      </c>
      <c r="G14" s="265" t="s">
        <v>47</v>
      </c>
      <c r="H14" s="265" t="s">
        <v>47</v>
      </c>
      <c r="I14" s="265" t="s">
        <v>47</v>
      </c>
      <c r="J14" s="265" t="s">
        <v>47</v>
      </c>
      <c r="K14" s="265" t="s">
        <v>47</v>
      </c>
      <c r="L14" s="265" t="s">
        <v>47</v>
      </c>
      <c r="M14" s="265" t="s">
        <v>47</v>
      </c>
      <c r="N14" s="265" t="s">
        <v>47</v>
      </c>
      <c r="O14" s="265" t="s">
        <v>47</v>
      </c>
      <c r="P14" s="265" t="s">
        <v>47</v>
      </c>
      <c r="Q14" s="265" t="s">
        <v>47</v>
      </c>
      <c r="R14" s="265" t="s">
        <v>47</v>
      </c>
      <c r="S14" s="265" t="s">
        <v>47</v>
      </c>
      <c r="T14" s="265" t="s">
        <v>47</v>
      </c>
      <c r="U14" s="265" t="s">
        <v>47</v>
      </c>
      <c r="V14" s="265" t="s">
        <v>47</v>
      </c>
      <c r="W14" s="265" t="s">
        <v>47</v>
      </c>
      <c r="X14" s="265" t="s">
        <v>47</v>
      </c>
      <c r="Y14" s="265" t="s">
        <v>47</v>
      </c>
      <c r="Z14" s="692" t="s">
        <v>47</v>
      </c>
      <c r="AA14" s="265" t="s">
        <v>47</v>
      </c>
      <c r="AB14" s="265" t="s">
        <v>47</v>
      </c>
      <c r="AC14" s="265" t="s">
        <v>47</v>
      </c>
      <c r="AD14" s="265" t="s">
        <v>47</v>
      </c>
      <c r="AE14" s="265" t="s">
        <v>47</v>
      </c>
      <c r="AF14" s="699" t="s">
        <v>840</v>
      </c>
      <c r="AG14" s="699" t="s">
        <v>840</v>
      </c>
      <c r="AH14" s="699" t="s">
        <v>840</v>
      </c>
      <c r="AI14" s="699" t="s">
        <v>840</v>
      </c>
      <c r="AJ14" s="699" t="s">
        <v>840</v>
      </c>
      <c r="AK14" s="699" t="s">
        <v>840</v>
      </c>
      <c r="AL14" s="699" t="s">
        <v>840</v>
      </c>
      <c r="AM14" s="699" t="s">
        <v>840</v>
      </c>
      <c r="AN14" s="699" t="s">
        <v>840</v>
      </c>
      <c r="AO14" s="699" t="s">
        <v>840</v>
      </c>
      <c r="AP14" s="699" t="s">
        <v>840</v>
      </c>
      <c r="AQ14" s="699" t="s">
        <v>840</v>
      </c>
      <c r="AR14" s="699" t="s">
        <v>840</v>
      </c>
      <c r="AS14" s="699" t="s">
        <v>840</v>
      </c>
      <c r="AT14" s="831" t="s">
        <v>840</v>
      </c>
      <c r="AU14" s="831" t="s">
        <v>840</v>
      </c>
      <c r="AV14" s="947" t="s">
        <v>840</v>
      </c>
      <c r="AW14" s="831" t="s">
        <v>840</v>
      </c>
      <c r="AX14" s="831" t="s">
        <v>840</v>
      </c>
      <c r="AY14" s="831" t="s">
        <v>840</v>
      </c>
      <c r="AZ14" s="831" t="s">
        <v>840</v>
      </c>
      <c r="BA14" s="831" t="s">
        <v>840</v>
      </c>
      <c r="BB14" s="831" t="s">
        <v>840</v>
      </c>
      <c r="BC14" s="831" t="s">
        <v>840</v>
      </c>
      <c r="BD14" s="831" t="s">
        <v>840</v>
      </c>
      <c r="BE14" s="831" t="s">
        <v>840</v>
      </c>
      <c r="BF14" s="831" t="s">
        <v>840</v>
      </c>
      <c r="BG14" s="831" t="s">
        <v>840</v>
      </c>
      <c r="BH14" s="831" t="s">
        <v>840</v>
      </c>
      <c r="BI14" s="831" t="s">
        <v>840</v>
      </c>
      <c r="BJ14" s="831" t="s">
        <v>840</v>
      </c>
      <c r="BK14" s="831" t="s">
        <v>840</v>
      </c>
      <c r="BL14" s="831" t="s">
        <v>840</v>
      </c>
      <c r="BM14" s="831" t="s">
        <v>840</v>
      </c>
      <c r="BN14" s="831" t="s">
        <v>840</v>
      </c>
      <c r="BO14" s="831" t="s">
        <v>840</v>
      </c>
      <c r="BP14" s="831" t="s">
        <v>840</v>
      </c>
      <c r="BQ14" s="831" t="s">
        <v>840</v>
      </c>
      <c r="BR14" s="831" t="s">
        <v>840</v>
      </c>
      <c r="BS14" s="831" t="s">
        <v>840</v>
      </c>
      <c r="BT14" s="831" t="s">
        <v>840</v>
      </c>
      <c r="BU14" s="831" t="s">
        <v>840</v>
      </c>
      <c r="BV14" s="831" t="s">
        <v>840</v>
      </c>
      <c r="BW14" s="831" t="s">
        <v>840</v>
      </c>
      <c r="BX14" s="831" t="s">
        <v>840</v>
      </c>
      <c r="BY14" s="831" t="s">
        <v>840</v>
      </c>
      <c r="BZ14" s="831" t="s">
        <v>840</v>
      </c>
      <c r="CA14" s="831" t="s">
        <v>840</v>
      </c>
      <c r="CB14" s="831" t="s">
        <v>840</v>
      </c>
      <c r="CC14" s="831" t="s">
        <v>840</v>
      </c>
      <c r="CD14" s="831" t="s">
        <v>840</v>
      </c>
      <c r="CE14" s="831" t="s">
        <v>840</v>
      </c>
      <c r="CF14" s="831" t="s">
        <v>840</v>
      </c>
      <c r="CG14" s="831" t="s">
        <v>840</v>
      </c>
      <c r="CH14" s="831" t="s">
        <v>840</v>
      </c>
      <c r="CI14" s="831" t="s">
        <v>840</v>
      </c>
      <c r="CJ14" s="831" t="s">
        <v>840</v>
      </c>
      <c r="CK14" s="831" t="s">
        <v>840</v>
      </c>
      <c r="CL14" s="831" t="s">
        <v>840</v>
      </c>
      <c r="CM14" s="831" t="s">
        <v>840</v>
      </c>
      <c r="CN14" s="831" t="s">
        <v>840</v>
      </c>
      <c r="CO14" s="831" t="s">
        <v>840</v>
      </c>
      <c r="CP14" s="831" t="s">
        <v>840</v>
      </c>
      <c r="CQ14" s="831" t="s">
        <v>840</v>
      </c>
      <c r="CR14" s="831" t="s">
        <v>840</v>
      </c>
      <c r="CS14" s="831" t="s">
        <v>840</v>
      </c>
      <c r="CT14" s="831" t="s">
        <v>840</v>
      </c>
      <c r="CU14" s="831" t="s">
        <v>840</v>
      </c>
      <c r="CV14" s="967" t="s">
        <v>843</v>
      </c>
      <c r="CW14" s="831" t="s">
        <v>843</v>
      </c>
      <c r="CX14" s="831" t="s">
        <v>843</v>
      </c>
      <c r="CY14" s="831" t="s">
        <v>843</v>
      </c>
      <c r="CZ14" s="831" t="s">
        <v>47</v>
      </c>
      <c r="DA14" s="831" t="s">
        <v>47</v>
      </c>
      <c r="DB14" s="831" t="s">
        <v>47</v>
      </c>
      <c r="DC14" s="831" t="s">
        <v>47</v>
      </c>
      <c r="DD14" s="831" t="s">
        <v>47</v>
      </c>
    </row>
    <row r="15" spans="2:108" x14ac:dyDescent="0.25">
      <c r="B15" s="117" t="s">
        <v>142</v>
      </c>
      <c r="C15" s="265" t="s">
        <v>47</v>
      </c>
      <c r="D15" s="265" t="s">
        <v>47</v>
      </c>
      <c r="E15" s="265" t="s">
        <v>47</v>
      </c>
      <c r="F15" s="265" t="s">
        <v>47</v>
      </c>
      <c r="G15" s="265" t="s">
        <v>47</v>
      </c>
      <c r="H15" s="265" t="s">
        <v>47</v>
      </c>
      <c r="I15" s="265" t="s">
        <v>47</v>
      </c>
      <c r="J15" s="265" t="s">
        <v>47</v>
      </c>
      <c r="K15" s="265" t="s">
        <v>47</v>
      </c>
      <c r="L15" s="265" t="s">
        <v>47</v>
      </c>
      <c r="M15" s="265" t="s">
        <v>47</v>
      </c>
      <c r="N15" s="265" t="s">
        <v>47</v>
      </c>
      <c r="O15" s="265" t="s">
        <v>47</v>
      </c>
      <c r="P15" s="265" t="s">
        <v>47</v>
      </c>
      <c r="Q15" s="265" t="s">
        <v>47</v>
      </c>
      <c r="R15" s="265" t="s">
        <v>47</v>
      </c>
      <c r="S15" s="265" t="s">
        <v>47</v>
      </c>
      <c r="T15" s="265" t="s">
        <v>47</v>
      </c>
      <c r="U15" s="265" t="s">
        <v>47</v>
      </c>
      <c r="V15" s="265" t="s">
        <v>47</v>
      </c>
      <c r="W15" s="692" t="s">
        <v>47</v>
      </c>
      <c r="X15" s="692" t="s">
        <v>47</v>
      </c>
      <c r="Y15" s="692" t="s">
        <v>47</v>
      </c>
      <c r="Z15" s="692" t="s">
        <v>47</v>
      </c>
      <c r="AA15" s="692" t="s">
        <v>47</v>
      </c>
      <c r="AB15" s="692" t="s">
        <v>47</v>
      </c>
      <c r="AC15" s="692" t="s">
        <v>47</v>
      </c>
      <c r="AD15" s="692" t="s">
        <v>47</v>
      </c>
      <c r="AE15" s="692" t="s">
        <v>47</v>
      </c>
      <c r="AF15" s="699" t="s">
        <v>843</v>
      </c>
      <c r="AG15" s="699" t="s">
        <v>843</v>
      </c>
      <c r="AH15" s="699" t="s">
        <v>843</v>
      </c>
      <c r="AI15" s="699" t="s">
        <v>843</v>
      </c>
      <c r="AJ15" s="699" t="s">
        <v>843</v>
      </c>
      <c r="AK15" s="699" t="s">
        <v>842</v>
      </c>
      <c r="AL15" s="699" t="s">
        <v>842</v>
      </c>
      <c r="AM15" s="699" t="s">
        <v>842</v>
      </c>
      <c r="AN15" s="699" t="s">
        <v>47</v>
      </c>
      <c r="AO15" s="699" t="s">
        <v>47</v>
      </c>
      <c r="AP15" s="699" t="s">
        <v>47</v>
      </c>
      <c r="AQ15" s="699" t="s">
        <v>842</v>
      </c>
      <c r="AR15" s="699" t="s">
        <v>842</v>
      </c>
      <c r="AS15" s="699" t="s">
        <v>842</v>
      </c>
      <c r="AT15" s="831" t="s">
        <v>842</v>
      </c>
      <c r="AU15" s="831" t="s">
        <v>842</v>
      </c>
      <c r="AV15" s="947" t="s">
        <v>842</v>
      </c>
      <c r="AW15" s="831" t="s">
        <v>842</v>
      </c>
      <c r="AX15" s="831" t="s">
        <v>842</v>
      </c>
      <c r="AY15" s="831" t="s">
        <v>842</v>
      </c>
      <c r="AZ15" s="831" t="s">
        <v>842</v>
      </c>
      <c r="BA15" s="831" t="s">
        <v>842</v>
      </c>
      <c r="BB15" s="831" t="s">
        <v>842</v>
      </c>
      <c r="BC15" s="831" t="s">
        <v>842</v>
      </c>
      <c r="BD15" s="831" t="s">
        <v>842</v>
      </c>
      <c r="BE15" s="831" t="s">
        <v>842</v>
      </c>
      <c r="BF15" s="831" t="s">
        <v>842</v>
      </c>
      <c r="BG15" s="831" t="s">
        <v>842</v>
      </c>
      <c r="BH15" s="831" t="s">
        <v>842</v>
      </c>
      <c r="BI15" s="831" t="s">
        <v>842</v>
      </c>
      <c r="BJ15" s="831" t="s">
        <v>842</v>
      </c>
      <c r="BK15" s="831" t="s">
        <v>842</v>
      </c>
      <c r="BL15" s="831" t="s">
        <v>842</v>
      </c>
      <c r="BM15" s="831" t="s">
        <v>842</v>
      </c>
      <c r="BN15" s="831" t="s">
        <v>842</v>
      </c>
      <c r="BO15" s="831" t="s">
        <v>842</v>
      </c>
      <c r="BP15" s="967" t="s">
        <v>843</v>
      </c>
      <c r="BQ15" s="831" t="s">
        <v>843</v>
      </c>
      <c r="BR15" s="831" t="s">
        <v>843</v>
      </c>
      <c r="BS15" s="831" t="s">
        <v>843</v>
      </c>
      <c r="BT15" s="831" t="s">
        <v>843</v>
      </c>
      <c r="BU15" s="831" t="s">
        <v>843</v>
      </c>
      <c r="BV15" s="831" t="s">
        <v>843</v>
      </c>
      <c r="BW15" s="831" t="s">
        <v>843</v>
      </c>
      <c r="BX15" s="831" t="s">
        <v>843</v>
      </c>
      <c r="BY15" s="961" t="s">
        <v>842</v>
      </c>
      <c r="BZ15" s="831" t="s">
        <v>842</v>
      </c>
      <c r="CA15" s="831" t="s">
        <v>842</v>
      </c>
      <c r="CB15" s="831" t="s">
        <v>842</v>
      </c>
      <c r="CC15" s="831" t="s">
        <v>842</v>
      </c>
      <c r="CD15" s="831" t="s">
        <v>842</v>
      </c>
      <c r="CE15" s="831" t="s">
        <v>842</v>
      </c>
      <c r="CF15" s="831" t="s">
        <v>842</v>
      </c>
      <c r="CG15" s="831" t="s">
        <v>842</v>
      </c>
      <c r="CH15" s="831" t="s">
        <v>842</v>
      </c>
      <c r="CI15" s="831" t="s">
        <v>842</v>
      </c>
      <c r="CJ15" s="831" t="s">
        <v>47</v>
      </c>
      <c r="CK15" s="831" t="s">
        <v>47</v>
      </c>
      <c r="CL15" s="831" t="s">
        <v>47</v>
      </c>
      <c r="CM15" s="831" t="s">
        <v>47</v>
      </c>
      <c r="CN15" s="831" t="s">
        <v>47</v>
      </c>
      <c r="CO15" s="831" t="s">
        <v>47</v>
      </c>
      <c r="CP15" s="831" t="s">
        <v>47</v>
      </c>
      <c r="CQ15" s="831" t="s">
        <v>47</v>
      </c>
      <c r="CR15" s="831" t="s">
        <v>47</v>
      </c>
      <c r="CS15" s="831" t="s">
        <v>47</v>
      </c>
      <c r="CT15" s="831" t="s">
        <v>47</v>
      </c>
      <c r="CU15" s="831" t="s">
        <v>47</v>
      </c>
      <c r="CV15" s="831" t="s">
        <v>47</v>
      </c>
      <c r="CW15" s="831" t="s">
        <v>47</v>
      </c>
      <c r="CX15" s="831" t="s">
        <v>47</v>
      </c>
      <c r="CY15" s="831" t="s">
        <v>47</v>
      </c>
      <c r="CZ15" s="831" t="s">
        <v>47</v>
      </c>
      <c r="DA15" s="831" t="s">
        <v>47</v>
      </c>
      <c r="DB15" s="831" t="s">
        <v>47</v>
      </c>
      <c r="DC15" s="831" t="s">
        <v>47</v>
      </c>
      <c r="DD15" s="831" t="s">
        <v>47</v>
      </c>
    </row>
    <row r="16" spans="2:108" x14ac:dyDescent="0.25">
      <c r="B16" s="117" t="s">
        <v>136</v>
      </c>
      <c r="C16" s="265" t="s">
        <v>47</v>
      </c>
      <c r="D16" s="265" t="s">
        <v>47</v>
      </c>
      <c r="E16" s="265" t="s">
        <v>47</v>
      </c>
      <c r="F16" s="265" t="s">
        <v>47</v>
      </c>
      <c r="G16" s="265" t="s">
        <v>47</v>
      </c>
      <c r="H16" s="265" t="s">
        <v>47</v>
      </c>
      <c r="I16" s="265" t="s">
        <v>47</v>
      </c>
      <c r="J16" s="265" t="s">
        <v>47</v>
      </c>
      <c r="K16" s="265" t="s">
        <v>47</v>
      </c>
      <c r="L16" s="265" t="s">
        <v>47</v>
      </c>
      <c r="M16" s="265" t="s">
        <v>47</v>
      </c>
      <c r="N16" s="265" t="s">
        <v>47</v>
      </c>
      <c r="O16" s="265" t="s">
        <v>47</v>
      </c>
      <c r="P16" s="265" t="s">
        <v>47</v>
      </c>
      <c r="Q16" s="265" t="s">
        <v>47</v>
      </c>
      <c r="R16" s="265" t="s">
        <v>47</v>
      </c>
      <c r="S16" s="265" t="s">
        <v>47</v>
      </c>
      <c r="T16" s="265" t="s">
        <v>47</v>
      </c>
      <c r="U16" s="265" t="s">
        <v>47</v>
      </c>
      <c r="V16" s="692" t="s">
        <v>47</v>
      </c>
      <c r="W16" s="692" t="s">
        <v>47</v>
      </c>
      <c r="X16" s="692" t="s">
        <v>47</v>
      </c>
      <c r="Y16" s="692" t="s">
        <v>47</v>
      </c>
      <c r="Z16" s="692" t="s">
        <v>47</v>
      </c>
      <c r="AA16" s="692" t="s">
        <v>47</v>
      </c>
      <c r="AB16" s="692" t="s">
        <v>47</v>
      </c>
      <c r="AC16" s="692" t="s">
        <v>47</v>
      </c>
      <c r="AD16" s="692" t="s">
        <v>47</v>
      </c>
      <c r="AE16" s="692" t="s">
        <v>47</v>
      </c>
      <c r="AF16" s="699" t="s">
        <v>842</v>
      </c>
      <c r="AG16" s="699" t="s">
        <v>842</v>
      </c>
      <c r="AH16" s="699" t="s">
        <v>842</v>
      </c>
      <c r="AI16" s="699" t="s">
        <v>842</v>
      </c>
      <c r="AJ16" s="699" t="s">
        <v>842</v>
      </c>
      <c r="AK16" s="699" t="s">
        <v>842</v>
      </c>
      <c r="AL16" s="699" t="s">
        <v>842</v>
      </c>
      <c r="AM16" s="699" t="s">
        <v>842</v>
      </c>
      <c r="AN16" s="699" t="s">
        <v>842</v>
      </c>
      <c r="AO16" s="699" t="s">
        <v>842</v>
      </c>
      <c r="AP16" s="793" t="s">
        <v>942</v>
      </c>
      <c r="AQ16" s="699" t="s">
        <v>942</v>
      </c>
      <c r="AR16" s="699" t="s">
        <v>942</v>
      </c>
      <c r="AS16" s="699" t="s">
        <v>942</v>
      </c>
      <c r="AT16" s="831" t="s">
        <v>942</v>
      </c>
      <c r="AU16" s="831" t="s">
        <v>942</v>
      </c>
      <c r="AV16" s="947" t="s">
        <v>942</v>
      </c>
      <c r="AW16" s="831" t="s">
        <v>942</v>
      </c>
      <c r="AX16" s="831" t="s">
        <v>942</v>
      </c>
      <c r="AY16" s="831" t="s">
        <v>942</v>
      </c>
      <c r="AZ16" s="831" t="s">
        <v>942</v>
      </c>
      <c r="BA16" s="831" t="s">
        <v>942</v>
      </c>
      <c r="BB16" s="831" t="s">
        <v>942</v>
      </c>
      <c r="BC16" s="831" t="s">
        <v>942</v>
      </c>
      <c r="BD16" s="831" t="s">
        <v>942</v>
      </c>
      <c r="BE16" s="831" t="s">
        <v>942</v>
      </c>
      <c r="BF16" s="831" t="s">
        <v>942</v>
      </c>
      <c r="BG16" s="831" t="s">
        <v>942</v>
      </c>
      <c r="BH16" s="831" t="s">
        <v>942</v>
      </c>
      <c r="BI16" s="831" t="s">
        <v>942</v>
      </c>
      <c r="BJ16" s="831" t="s">
        <v>942</v>
      </c>
      <c r="BK16" s="831" t="s">
        <v>942</v>
      </c>
      <c r="BL16" s="831" t="s">
        <v>942</v>
      </c>
      <c r="BM16" s="831" t="s">
        <v>942</v>
      </c>
      <c r="BN16" s="831" t="s">
        <v>942</v>
      </c>
      <c r="BO16" s="831" t="s">
        <v>942</v>
      </c>
      <c r="BP16" s="831" t="s">
        <v>942</v>
      </c>
      <c r="BQ16" s="831" t="s">
        <v>942</v>
      </c>
      <c r="BR16" s="831" t="s">
        <v>942</v>
      </c>
      <c r="BS16" s="831" t="s">
        <v>942</v>
      </c>
      <c r="BT16" s="831" t="s">
        <v>942</v>
      </c>
      <c r="BU16" s="831" t="s">
        <v>942</v>
      </c>
      <c r="BV16" s="831" t="s">
        <v>942</v>
      </c>
      <c r="BW16" s="831" t="s">
        <v>942</v>
      </c>
      <c r="BX16" s="831" t="s">
        <v>942</v>
      </c>
      <c r="BY16" s="831" t="s">
        <v>842</v>
      </c>
      <c r="BZ16" s="831" t="s">
        <v>842</v>
      </c>
      <c r="CA16" s="831" t="s">
        <v>842</v>
      </c>
      <c r="CB16" s="831" t="s">
        <v>842</v>
      </c>
      <c r="CC16" s="831" t="s">
        <v>842</v>
      </c>
      <c r="CD16" s="831" t="s">
        <v>842</v>
      </c>
      <c r="CE16" s="967" t="s">
        <v>843</v>
      </c>
      <c r="CF16" s="831" t="s">
        <v>843</v>
      </c>
      <c r="CG16" s="831" t="s">
        <v>843</v>
      </c>
      <c r="CH16" s="831" t="s">
        <v>843</v>
      </c>
      <c r="CI16" s="831" t="s">
        <v>843</v>
      </c>
      <c r="CJ16" s="831" t="s">
        <v>843</v>
      </c>
      <c r="CK16" s="831" t="s">
        <v>843</v>
      </c>
      <c r="CL16" s="831" t="s">
        <v>843</v>
      </c>
      <c r="CM16" s="831" t="s">
        <v>843</v>
      </c>
      <c r="CN16" s="831" t="s">
        <v>843</v>
      </c>
      <c r="CO16" s="961" t="s">
        <v>842</v>
      </c>
      <c r="CP16" s="831" t="s">
        <v>842</v>
      </c>
      <c r="CQ16" s="831" t="s">
        <v>842</v>
      </c>
      <c r="CR16" s="831" t="s">
        <v>842</v>
      </c>
      <c r="CS16" s="831" t="s">
        <v>842</v>
      </c>
      <c r="CT16" s="831" t="s">
        <v>842</v>
      </c>
      <c r="CU16" s="831" t="s">
        <v>842</v>
      </c>
      <c r="CV16" s="831" t="s">
        <v>842</v>
      </c>
      <c r="CW16" s="831" t="s">
        <v>842</v>
      </c>
      <c r="CX16" s="831" t="s">
        <v>842</v>
      </c>
      <c r="CY16" s="831" t="s">
        <v>842</v>
      </c>
      <c r="CZ16" s="831" t="s">
        <v>842</v>
      </c>
      <c r="DA16" s="831" t="s">
        <v>842</v>
      </c>
      <c r="DB16" s="831" t="s">
        <v>842</v>
      </c>
      <c r="DC16" s="831" t="s">
        <v>842</v>
      </c>
      <c r="DD16" s="831" t="s">
        <v>842</v>
      </c>
    </row>
    <row r="17" spans="1:108" x14ac:dyDescent="0.25">
      <c r="B17" s="117" t="s">
        <v>1218</v>
      </c>
      <c r="C17" s="265" t="s">
        <v>47</v>
      </c>
      <c r="D17" s="265" t="s">
        <v>47</v>
      </c>
      <c r="E17" s="265" t="s">
        <v>47</v>
      </c>
      <c r="F17" s="265" t="s">
        <v>47</v>
      </c>
      <c r="G17" s="265" t="s">
        <v>47</v>
      </c>
      <c r="H17" s="265" t="s">
        <v>47</v>
      </c>
      <c r="I17" s="265" t="s">
        <v>47</v>
      </c>
      <c r="J17" s="265" t="s">
        <v>47</v>
      </c>
      <c r="K17" s="265" t="s">
        <v>47</v>
      </c>
      <c r="L17" s="265" t="s">
        <v>47</v>
      </c>
      <c r="M17" s="265" t="s">
        <v>47</v>
      </c>
      <c r="N17" s="265" t="s">
        <v>47</v>
      </c>
      <c r="O17" s="265" t="s">
        <v>47</v>
      </c>
      <c r="P17" s="265" t="s">
        <v>47</v>
      </c>
      <c r="Q17" s="265" t="s">
        <v>47</v>
      </c>
      <c r="R17" s="265" t="s">
        <v>47</v>
      </c>
      <c r="S17" s="265" t="s">
        <v>47</v>
      </c>
      <c r="T17" s="265" t="s">
        <v>47</v>
      </c>
      <c r="U17" s="265" t="s">
        <v>47</v>
      </c>
      <c r="V17" s="692" t="s">
        <v>47</v>
      </c>
      <c r="W17" s="692" t="s">
        <v>47</v>
      </c>
      <c r="X17" s="692" t="s">
        <v>47</v>
      </c>
      <c r="Y17" s="692" t="s">
        <v>47</v>
      </c>
      <c r="Z17" s="692" t="s">
        <v>47</v>
      </c>
      <c r="AA17" s="692" t="s">
        <v>47</v>
      </c>
      <c r="AB17" s="692" t="s">
        <v>47</v>
      </c>
      <c r="AC17" s="692" t="s">
        <v>47</v>
      </c>
      <c r="AD17" s="692" t="s">
        <v>47</v>
      </c>
      <c r="AE17" s="692" t="s">
        <v>47</v>
      </c>
      <c r="AF17" s="699" t="s">
        <v>840</v>
      </c>
      <c r="AG17" s="699" t="s">
        <v>840</v>
      </c>
      <c r="AH17" s="699" t="s">
        <v>840</v>
      </c>
      <c r="AI17" s="699" t="s">
        <v>840</v>
      </c>
      <c r="AJ17" s="699" t="s">
        <v>840</v>
      </c>
      <c r="AK17" s="699" t="s">
        <v>840</v>
      </c>
      <c r="AL17" s="699" t="s">
        <v>840</v>
      </c>
      <c r="AM17" s="699" t="s">
        <v>840</v>
      </c>
      <c r="AN17" s="699" t="s">
        <v>840</v>
      </c>
      <c r="AO17" s="699" t="s">
        <v>840</v>
      </c>
      <c r="AP17" s="699" t="s">
        <v>840</v>
      </c>
      <c r="AQ17" s="699" t="s">
        <v>840</v>
      </c>
      <c r="AR17" s="699" t="s">
        <v>840</v>
      </c>
      <c r="AS17" s="699" t="s">
        <v>840</v>
      </c>
      <c r="AT17" s="831" t="s">
        <v>840</v>
      </c>
      <c r="AU17" s="831" t="s">
        <v>840</v>
      </c>
      <c r="AV17" s="947" t="s">
        <v>840</v>
      </c>
      <c r="AW17" s="831" t="s">
        <v>840</v>
      </c>
      <c r="AX17" s="831" t="s">
        <v>840</v>
      </c>
      <c r="AY17" s="831" t="s">
        <v>842</v>
      </c>
      <c r="AZ17" s="831" t="s">
        <v>842</v>
      </c>
      <c r="BA17" s="831" t="s">
        <v>842</v>
      </c>
      <c r="BB17" s="831" t="s">
        <v>842</v>
      </c>
      <c r="BC17" s="831" t="s">
        <v>842</v>
      </c>
      <c r="BD17" s="961" t="s">
        <v>840</v>
      </c>
      <c r="BE17" s="831" t="s">
        <v>840</v>
      </c>
      <c r="BF17" s="831" t="s">
        <v>840</v>
      </c>
      <c r="BG17" s="831" t="s">
        <v>840</v>
      </c>
      <c r="BH17" s="831" t="s">
        <v>840</v>
      </c>
      <c r="BI17" s="831" t="s">
        <v>840</v>
      </c>
      <c r="BJ17" s="831" t="s">
        <v>840</v>
      </c>
      <c r="BK17" s="831" t="s">
        <v>840</v>
      </c>
      <c r="BL17" s="831" t="s">
        <v>840</v>
      </c>
      <c r="BM17" s="831" t="s">
        <v>840</v>
      </c>
      <c r="BN17" s="831" t="s">
        <v>840</v>
      </c>
      <c r="BO17" s="831" t="s">
        <v>840</v>
      </c>
      <c r="BP17" s="831" t="s">
        <v>840</v>
      </c>
      <c r="BQ17" s="831" t="s">
        <v>840</v>
      </c>
      <c r="BR17" s="831" t="s">
        <v>840</v>
      </c>
      <c r="BS17" s="831" t="s">
        <v>840</v>
      </c>
      <c r="BT17" s="967" t="s">
        <v>843</v>
      </c>
      <c r="BU17" s="831" t="s">
        <v>843</v>
      </c>
      <c r="BV17" s="831" t="s">
        <v>843</v>
      </c>
      <c r="BW17" s="831" t="s">
        <v>843</v>
      </c>
      <c r="BX17" s="831" t="s">
        <v>843</v>
      </c>
      <c r="BY17" s="831" t="s">
        <v>843</v>
      </c>
      <c r="BZ17" s="831" t="s">
        <v>843</v>
      </c>
      <c r="CA17" s="831" t="s">
        <v>843</v>
      </c>
      <c r="CB17" s="831" t="s">
        <v>942</v>
      </c>
      <c r="CC17" s="831" t="s">
        <v>942</v>
      </c>
      <c r="CD17" s="831" t="s">
        <v>942</v>
      </c>
      <c r="CE17" s="831" t="s">
        <v>942</v>
      </c>
      <c r="CF17" s="831" t="s">
        <v>942</v>
      </c>
      <c r="CG17" s="831" t="s">
        <v>942</v>
      </c>
      <c r="CH17" s="831" t="s">
        <v>942</v>
      </c>
      <c r="CI17" s="831" t="s">
        <v>47</v>
      </c>
      <c r="CJ17" s="831" t="s">
        <v>47</v>
      </c>
      <c r="CK17" s="831" t="s">
        <v>47</v>
      </c>
      <c r="CL17" s="831" t="s">
        <v>47</v>
      </c>
      <c r="CM17" s="831" t="s">
        <v>47</v>
      </c>
      <c r="CN17" s="831" t="s">
        <v>47</v>
      </c>
      <c r="CO17" s="831" t="s">
        <v>47</v>
      </c>
      <c r="CP17" s="831" t="s">
        <v>47</v>
      </c>
      <c r="CQ17" s="831" t="s">
        <v>47</v>
      </c>
      <c r="CR17" s="831" t="s">
        <v>47</v>
      </c>
      <c r="CS17" s="831" t="s">
        <v>47</v>
      </c>
      <c r="CT17" s="831" t="s">
        <v>47</v>
      </c>
      <c r="CU17" s="831" t="s">
        <v>47</v>
      </c>
      <c r="CV17" s="831" t="s">
        <v>47</v>
      </c>
      <c r="CW17" s="831" t="s">
        <v>47</v>
      </c>
      <c r="CX17" s="831" t="s">
        <v>47</v>
      </c>
      <c r="CY17" s="831" t="s">
        <v>47</v>
      </c>
      <c r="CZ17" s="831" t="s">
        <v>47</v>
      </c>
      <c r="DA17" s="831" t="s">
        <v>47</v>
      </c>
      <c r="DB17" s="831" t="s">
        <v>47</v>
      </c>
      <c r="DC17" s="831" t="s">
        <v>47</v>
      </c>
      <c r="DD17" s="831" t="s">
        <v>47</v>
      </c>
    </row>
    <row r="18" spans="1:108" x14ac:dyDescent="0.25">
      <c r="A18" s="1030"/>
      <c r="B18" s="1028"/>
      <c r="C18" s="1029"/>
      <c r="D18" s="1029"/>
      <c r="E18" s="1029"/>
      <c r="F18" s="1029"/>
      <c r="G18" s="1029"/>
      <c r="H18" s="1029"/>
      <c r="I18" s="1029"/>
      <c r="J18" s="1029"/>
      <c r="K18" s="1029"/>
      <c r="L18" s="1030"/>
      <c r="M18" s="1030"/>
      <c r="N18" s="1030"/>
      <c r="O18" s="1030"/>
      <c r="P18" s="1030"/>
      <c r="Q18" s="1030"/>
      <c r="R18" s="1030"/>
      <c r="S18" s="1030"/>
      <c r="T18" s="1030"/>
      <c r="U18" s="1030"/>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0"/>
      <c r="AU18" s="1030"/>
      <c r="AV18" s="1032"/>
      <c r="AW18" s="1033"/>
      <c r="AX18" s="1033"/>
      <c r="AY18" s="1033"/>
      <c r="AZ18" s="1030"/>
      <c r="BA18" s="1030"/>
      <c r="BB18" s="1030"/>
      <c r="BC18" s="1030"/>
      <c r="BD18" s="1030"/>
      <c r="BE18" s="1030"/>
      <c r="BF18" s="1030"/>
      <c r="BG18" s="1030"/>
      <c r="BH18" s="1030"/>
      <c r="BI18" s="1030"/>
      <c r="BJ18" s="1030"/>
      <c r="BK18" s="1030"/>
      <c r="BL18" s="1030"/>
      <c r="BM18" s="1030"/>
      <c r="BN18" s="1030"/>
      <c r="BO18" s="1030"/>
      <c r="BP18" s="1030"/>
      <c r="BQ18" s="1030"/>
      <c r="BR18" s="1030"/>
      <c r="BS18" s="1030"/>
      <c r="BT18" s="1030"/>
      <c r="BU18" s="1030"/>
      <c r="BV18" s="1030"/>
      <c r="BW18" s="1030"/>
      <c r="BX18" s="1030"/>
      <c r="BY18" s="1030"/>
      <c r="BZ18" s="1030"/>
      <c r="CA18" s="1030"/>
      <c r="CB18" s="1030"/>
      <c r="CC18" s="1030"/>
      <c r="CD18" s="1030"/>
      <c r="CE18" s="1030"/>
      <c r="CF18" s="1030"/>
      <c r="CG18" s="1030"/>
      <c r="CH18" s="1030"/>
      <c r="CI18" s="1030"/>
      <c r="CJ18" s="1030"/>
      <c r="CK18" s="1030"/>
      <c r="CL18" s="1030"/>
      <c r="CM18" s="1030"/>
      <c r="CN18" s="1030"/>
      <c r="CO18" s="1030"/>
      <c r="CP18" s="1030"/>
      <c r="CQ18" s="1030"/>
      <c r="CR18" s="1030"/>
      <c r="CS18" s="1030"/>
      <c r="CT18" s="1030"/>
      <c r="CU18" s="1030"/>
      <c r="CV18" s="1030"/>
      <c r="CW18" s="1030"/>
      <c r="CX18" s="1030"/>
      <c r="CY18" s="1030"/>
      <c r="CZ18" s="1030"/>
      <c r="DA18" s="1030"/>
      <c r="DB18" s="1030"/>
      <c r="DC18" s="1030"/>
      <c r="DD18" s="1030"/>
    </row>
    <row r="19" spans="1:108" x14ac:dyDescent="0.25">
      <c r="B19" s="113" t="s">
        <v>1215</v>
      </c>
      <c r="C19" s="264">
        <f t="shared" ref="C19:BN19" si="8">C$12</f>
        <v>42522</v>
      </c>
      <c r="D19" s="264">
        <f t="shared" si="8"/>
        <v>42552</v>
      </c>
      <c r="E19" s="264">
        <f t="shared" si="8"/>
        <v>42583</v>
      </c>
      <c r="F19" s="264">
        <f t="shared" si="8"/>
        <v>42614</v>
      </c>
      <c r="G19" s="264">
        <f t="shared" si="8"/>
        <v>42644</v>
      </c>
      <c r="H19" s="264">
        <f t="shared" si="8"/>
        <v>42675</v>
      </c>
      <c r="I19" s="264">
        <f t="shared" si="8"/>
        <v>42705</v>
      </c>
      <c r="J19" s="264">
        <f t="shared" si="8"/>
        <v>42736</v>
      </c>
      <c r="K19" s="264">
        <f t="shared" si="8"/>
        <v>42767</v>
      </c>
      <c r="L19" s="264">
        <f t="shared" si="8"/>
        <v>42795</v>
      </c>
      <c r="M19" s="264">
        <f t="shared" si="8"/>
        <v>42826</v>
      </c>
      <c r="N19" s="264">
        <f t="shared" si="8"/>
        <v>42856</v>
      </c>
      <c r="O19" s="264">
        <f t="shared" si="8"/>
        <v>42887</v>
      </c>
      <c r="P19" s="264">
        <f t="shared" si="8"/>
        <v>42917</v>
      </c>
      <c r="Q19" s="264">
        <f t="shared" si="8"/>
        <v>42948</v>
      </c>
      <c r="R19" s="264">
        <f t="shared" si="8"/>
        <v>42979</v>
      </c>
      <c r="S19" s="264">
        <f t="shared" si="8"/>
        <v>43009</v>
      </c>
      <c r="T19" s="264">
        <f t="shared" si="8"/>
        <v>43040</v>
      </c>
      <c r="U19" s="264">
        <f t="shared" si="8"/>
        <v>43070</v>
      </c>
      <c r="V19" s="264">
        <f t="shared" si="8"/>
        <v>43101</v>
      </c>
      <c r="W19" s="264">
        <f t="shared" si="8"/>
        <v>43132</v>
      </c>
      <c r="X19" s="264">
        <f t="shared" si="8"/>
        <v>43160</v>
      </c>
      <c r="Y19" s="264">
        <f t="shared" si="8"/>
        <v>43191</v>
      </c>
      <c r="Z19" s="264">
        <f t="shared" si="8"/>
        <v>43221</v>
      </c>
      <c r="AA19" s="264">
        <f t="shared" si="8"/>
        <v>43252</v>
      </c>
      <c r="AB19" s="264">
        <f t="shared" si="8"/>
        <v>43283</v>
      </c>
      <c r="AC19" s="264">
        <f t="shared" si="8"/>
        <v>43314</v>
      </c>
      <c r="AD19" s="264">
        <f t="shared" si="8"/>
        <v>43345</v>
      </c>
      <c r="AE19" s="264">
        <f t="shared" si="8"/>
        <v>43376</v>
      </c>
      <c r="AF19" s="264">
        <f t="shared" si="8"/>
        <v>43407</v>
      </c>
      <c r="AG19" s="264">
        <f t="shared" si="8"/>
        <v>43437</v>
      </c>
      <c r="AH19" s="264">
        <f t="shared" si="8"/>
        <v>43468</v>
      </c>
      <c r="AI19" s="264">
        <f t="shared" si="8"/>
        <v>43499</v>
      </c>
      <c r="AJ19" s="264">
        <f t="shared" si="8"/>
        <v>43527</v>
      </c>
      <c r="AK19" s="264">
        <f t="shared" si="8"/>
        <v>43558</v>
      </c>
      <c r="AL19" s="264">
        <f t="shared" si="8"/>
        <v>43587</v>
      </c>
      <c r="AM19" s="264">
        <f t="shared" si="8"/>
        <v>43618</v>
      </c>
      <c r="AN19" s="264">
        <f t="shared" si="8"/>
        <v>43647</v>
      </c>
      <c r="AO19" s="264">
        <f t="shared" si="8"/>
        <v>43678</v>
      </c>
      <c r="AP19" s="264">
        <f t="shared" si="8"/>
        <v>43709</v>
      </c>
      <c r="AQ19" s="264">
        <f t="shared" si="8"/>
        <v>43739</v>
      </c>
      <c r="AR19" s="264">
        <f t="shared" si="8"/>
        <v>43770</v>
      </c>
      <c r="AS19" s="264">
        <f t="shared" si="8"/>
        <v>43800</v>
      </c>
      <c r="AT19" s="264">
        <f t="shared" si="8"/>
        <v>43831</v>
      </c>
      <c r="AU19" s="264">
        <f t="shared" si="8"/>
        <v>43862</v>
      </c>
      <c r="AV19" s="946">
        <f t="shared" si="8"/>
        <v>43891</v>
      </c>
      <c r="AW19" s="264">
        <f t="shared" si="8"/>
        <v>43922</v>
      </c>
      <c r="AX19" s="264">
        <f t="shared" si="8"/>
        <v>43952</v>
      </c>
      <c r="AY19" s="264">
        <f t="shared" si="8"/>
        <v>43983</v>
      </c>
      <c r="AZ19" s="264">
        <f t="shared" si="8"/>
        <v>44013</v>
      </c>
      <c r="BA19" s="264">
        <f t="shared" si="8"/>
        <v>44044</v>
      </c>
      <c r="BB19" s="264">
        <f t="shared" si="8"/>
        <v>44075</v>
      </c>
      <c r="BC19" s="264">
        <f t="shared" si="8"/>
        <v>44105</v>
      </c>
      <c r="BD19" s="264">
        <f t="shared" si="8"/>
        <v>44136</v>
      </c>
      <c r="BE19" s="264">
        <f t="shared" si="8"/>
        <v>44166</v>
      </c>
      <c r="BF19" s="264">
        <f t="shared" si="8"/>
        <v>44197</v>
      </c>
      <c r="BG19" s="264">
        <f t="shared" si="8"/>
        <v>44228</v>
      </c>
      <c r="BH19" s="264">
        <f t="shared" si="8"/>
        <v>44256</v>
      </c>
      <c r="BI19" s="264">
        <f t="shared" si="8"/>
        <v>44287</v>
      </c>
      <c r="BJ19" s="264">
        <f t="shared" si="8"/>
        <v>44317</v>
      </c>
      <c r="BK19" s="264">
        <f t="shared" si="8"/>
        <v>44348</v>
      </c>
      <c r="BL19" s="264">
        <f t="shared" si="8"/>
        <v>44378</v>
      </c>
      <c r="BM19" s="264">
        <f t="shared" si="8"/>
        <v>44409</v>
      </c>
      <c r="BN19" s="264">
        <f t="shared" si="8"/>
        <v>44440</v>
      </c>
      <c r="BO19" s="264">
        <f t="shared" ref="BO19:CB19" si="9">BO$12</f>
        <v>44470</v>
      </c>
      <c r="BP19" s="264">
        <f t="shared" si="9"/>
        <v>44501</v>
      </c>
      <c r="BQ19" s="264">
        <f t="shared" si="9"/>
        <v>44531</v>
      </c>
      <c r="BR19" s="264">
        <f t="shared" si="9"/>
        <v>44562</v>
      </c>
      <c r="BS19" s="264">
        <f t="shared" si="9"/>
        <v>44593</v>
      </c>
      <c r="BT19" s="264">
        <f t="shared" si="9"/>
        <v>44622</v>
      </c>
      <c r="BU19" s="264">
        <f t="shared" si="9"/>
        <v>44654</v>
      </c>
      <c r="BV19" s="264">
        <f t="shared" si="9"/>
        <v>44685</v>
      </c>
      <c r="BW19" s="264">
        <f t="shared" si="9"/>
        <v>44716</v>
      </c>
      <c r="BX19" s="264">
        <f t="shared" si="9"/>
        <v>44746</v>
      </c>
      <c r="BY19" s="264">
        <f t="shared" si="9"/>
        <v>44774</v>
      </c>
      <c r="BZ19" s="264">
        <f t="shared" si="9"/>
        <v>44805</v>
      </c>
      <c r="CA19" s="264">
        <f t="shared" si="9"/>
        <v>44835</v>
      </c>
      <c r="CB19" s="264">
        <f t="shared" si="9"/>
        <v>44866</v>
      </c>
      <c r="CC19" s="264">
        <f t="shared" ref="CC19:DD19" si="10">CC$12</f>
        <v>44896</v>
      </c>
      <c r="CD19" s="264">
        <f t="shared" si="10"/>
        <v>44927</v>
      </c>
      <c r="CE19" s="264">
        <f t="shared" si="10"/>
        <v>44958</v>
      </c>
      <c r="CF19" s="264">
        <f t="shared" si="10"/>
        <v>44986</v>
      </c>
      <c r="CG19" s="264">
        <f t="shared" si="10"/>
        <v>45017</v>
      </c>
      <c r="CH19" s="264">
        <f t="shared" si="10"/>
        <v>45047</v>
      </c>
      <c r="CI19" s="264">
        <f t="shared" si="10"/>
        <v>45078</v>
      </c>
      <c r="CJ19" s="264">
        <f t="shared" si="10"/>
        <v>45108</v>
      </c>
      <c r="CK19" s="264">
        <f t="shared" si="10"/>
        <v>45139</v>
      </c>
      <c r="CL19" s="264">
        <f t="shared" si="10"/>
        <v>45170</v>
      </c>
      <c r="CM19" s="264">
        <f t="shared" si="10"/>
        <v>45200</v>
      </c>
      <c r="CN19" s="264">
        <f t="shared" si="10"/>
        <v>45231</v>
      </c>
      <c r="CO19" s="264">
        <f t="shared" si="10"/>
        <v>45261</v>
      </c>
      <c r="CP19" s="264">
        <f t="shared" si="10"/>
        <v>45292</v>
      </c>
      <c r="CQ19" s="264">
        <f t="shared" si="10"/>
        <v>45323</v>
      </c>
      <c r="CR19" s="264">
        <f t="shared" si="10"/>
        <v>45352</v>
      </c>
      <c r="CS19" s="264">
        <f t="shared" si="10"/>
        <v>45383</v>
      </c>
      <c r="CT19" s="264">
        <f t="shared" si="10"/>
        <v>45413</v>
      </c>
      <c r="CU19" s="264">
        <f t="shared" si="10"/>
        <v>45444</v>
      </c>
      <c r="CV19" s="264">
        <f t="shared" si="10"/>
        <v>45474</v>
      </c>
      <c r="CW19" s="264">
        <f t="shared" si="10"/>
        <v>45505</v>
      </c>
      <c r="CX19" s="264">
        <f t="shared" si="10"/>
        <v>45536</v>
      </c>
      <c r="CY19" s="264">
        <f t="shared" si="10"/>
        <v>45566</v>
      </c>
      <c r="CZ19" s="264">
        <f t="shared" si="10"/>
        <v>45597</v>
      </c>
      <c r="DA19" s="264">
        <f t="shared" si="10"/>
        <v>45627</v>
      </c>
      <c r="DB19" s="264">
        <f t="shared" si="10"/>
        <v>45658</v>
      </c>
      <c r="DC19" s="264">
        <f t="shared" si="10"/>
        <v>45689</v>
      </c>
      <c r="DD19" s="264">
        <f t="shared" si="10"/>
        <v>45717</v>
      </c>
    </row>
    <row r="20" spans="1:108" x14ac:dyDescent="0.25">
      <c r="B20" s="117" t="s">
        <v>131</v>
      </c>
      <c r="C20" s="266" t="s">
        <v>47</v>
      </c>
      <c r="D20" s="266" t="s">
        <v>47</v>
      </c>
      <c r="E20" s="266" t="s">
        <v>47</v>
      </c>
      <c r="F20" s="266" t="s">
        <v>47</v>
      </c>
      <c r="G20" s="266" t="s">
        <v>47</v>
      </c>
      <c r="H20" s="266" t="s">
        <v>47</v>
      </c>
      <c r="I20" s="266" t="s">
        <v>47</v>
      </c>
      <c r="J20" s="338" t="s">
        <v>47</v>
      </c>
      <c r="K20" s="338" t="s">
        <v>47</v>
      </c>
      <c r="L20" s="592" t="s">
        <v>47</v>
      </c>
      <c r="M20" s="592" t="s">
        <v>47</v>
      </c>
      <c r="N20" s="592" t="s">
        <v>47</v>
      </c>
      <c r="O20" s="592" t="s">
        <v>47</v>
      </c>
      <c r="P20" s="592" t="s">
        <v>47</v>
      </c>
      <c r="Q20" s="592" t="s">
        <v>47</v>
      </c>
      <c r="R20" s="592" t="s">
        <v>47</v>
      </c>
      <c r="S20" s="592" t="s">
        <v>47</v>
      </c>
      <c r="T20" s="592" t="s">
        <v>47</v>
      </c>
      <c r="U20" s="592" t="s">
        <v>47</v>
      </c>
      <c r="V20" s="592" t="s">
        <v>47</v>
      </c>
      <c r="W20" s="592" t="s">
        <v>47</v>
      </c>
      <c r="X20" s="592" t="s">
        <v>47</v>
      </c>
      <c r="Y20" s="592" t="s">
        <v>47</v>
      </c>
      <c r="Z20" s="592" t="s">
        <v>47</v>
      </c>
      <c r="AA20" s="592" t="s">
        <v>47</v>
      </c>
      <c r="AB20" s="592" t="s">
        <v>47</v>
      </c>
      <c r="AC20" s="592" t="s">
        <v>47</v>
      </c>
      <c r="AD20" s="592" t="s">
        <v>47</v>
      </c>
      <c r="AE20" s="592" t="s">
        <v>47</v>
      </c>
      <c r="AF20" s="592" t="s">
        <v>47</v>
      </c>
      <c r="AG20" s="592" t="s">
        <v>47</v>
      </c>
      <c r="AH20" s="592" t="s">
        <v>47</v>
      </c>
      <c r="AI20" s="592" t="s">
        <v>47</v>
      </c>
      <c r="AJ20" s="348" t="s">
        <v>47</v>
      </c>
      <c r="AK20" s="348" t="s">
        <v>47</v>
      </c>
      <c r="AL20" s="348" t="s">
        <v>47</v>
      </c>
      <c r="AM20" s="348" t="s">
        <v>47</v>
      </c>
      <c r="AN20" s="348" t="s">
        <v>47</v>
      </c>
      <c r="AO20" s="348" t="s">
        <v>47</v>
      </c>
      <c r="AP20" s="348" t="s">
        <v>47</v>
      </c>
      <c r="AQ20" s="348" t="s">
        <v>47</v>
      </c>
      <c r="AR20" s="348" t="s">
        <v>47</v>
      </c>
      <c r="AS20" s="348" t="s">
        <v>47</v>
      </c>
      <c r="AT20" s="348" t="s">
        <v>47</v>
      </c>
      <c r="AU20" s="348" t="s">
        <v>47</v>
      </c>
      <c r="AV20" s="962" t="s">
        <v>47</v>
      </c>
      <c r="AW20" s="348" t="s">
        <v>47</v>
      </c>
      <c r="AX20" s="348" t="s">
        <v>47</v>
      </c>
      <c r="AY20" s="348" t="s">
        <v>47</v>
      </c>
      <c r="AZ20" s="348" t="s">
        <v>47</v>
      </c>
      <c r="BA20" s="348" t="s">
        <v>47</v>
      </c>
      <c r="BB20" s="348" t="s">
        <v>47</v>
      </c>
      <c r="BC20" s="348" t="s">
        <v>47</v>
      </c>
      <c r="BD20" s="348" t="s">
        <v>47</v>
      </c>
      <c r="BE20" s="348" t="s">
        <v>47</v>
      </c>
      <c r="BF20" s="592" t="s">
        <v>47</v>
      </c>
      <c r="BG20" s="592" t="s">
        <v>47</v>
      </c>
      <c r="BH20" s="592" t="s">
        <v>47</v>
      </c>
      <c r="BI20" s="592" t="s">
        <v>47</v>
      </c>
      <c r="BJ20" s="592" t="s">
        <v>47</v>
      </c>
      <c r="BK20" s="592" t="s">
        <v>47</v>
      </c>
      <c r="BL20" s="592" t="s">
        <v>47</v>
      </c>
      <c r="BM20" s="592" t="s">
        <v>47</v>
      </c>
      <c r="BN20" s="592" t="s">
        <v>47</v>
      </c>
      <c r="BO20" s="592" t="s">
        <v>47</v>
      </c>
      <c r="BP20" s="592" t="s">
        <v>47</v>
      </c>
      <c r="BQ20" s="592" t="s">
        <v>47</v>
      </c>
      <c r="BR20" s="592" t="s">
        <v>47</v>
      </c>
      <c r="BS20" s="592" t="s">
        <v>47</v>
      </c>
      <c r="BT20" s="592" t="s">
        <v>47</v>
      </c>
      <c r="BU20" s="592" t="s">
        <v>47</v>
      </c>
      <c r="BV20" s="592" t="s">
        <v>47</v>
      </c>
      <c r="BW20" s="592" t="s">
        <v>47</v>
      </c>
      <c r="BX20" s="592" t="s">
        <v>47</v>
      </c>
      <c r="BY20" s="592" t="s">
        <v>47</v>
      </c>
      <c r="BZ20" s="592" t="s">
        <v>47</v>
      </c>
      <c r="CA20" s="592" t="s">
        <v>47</v>
      </c>
      <c r="CB20" s="592" t="s">
        <v>47</v>
      </c>
      <c r="CC20" s="343">
        <v>1614</v>
      </c>
      <c r="CD20" s="592">
        <v>1614</v>
      </c>
      <c r="CE20" s="592">
        <v>1614</v>
      </c>
      <c r="CF20" s="592">
        <v>1614</v>
      </c>
      <c r="CG20" s="592">
        <v>1614</v>
      </c>
      <c r="CH20" s="592">
        <v>1614</v>
      </c>
      <c r="CI20" s="592">
        <v>1614</v>
      </c>
      <c r="CJ20" s="592">
        <v>1614</v>
      </c>
      <c r="CK20" s="592">
        <v>1614</v>
      </c>
      <c r="CL20" s="592">
        <v>1614</v>
      </c>
      <c r="CM20" s="592">
        <v>1614</v>
      </c>
      <c r="CN20" s="592">
        <v>1614</v>
      </c>
      <c r="CO20" s="592">
        <v>1614</v>
      </c>
      <c r="CP20" s="592">
        <v>1631</v>
      </c>
      <c r="CQ20" s="592">
        <v>1631</v>
      </c>
      <c r="CR20" s="592">
        <v>1631</v>
      </c>
      <c r="CS20" s="592">
        <v>1631</v>
      </c>
      <c r="CT20" s="592">
        <v>1631</v>
      </c>
      <c r="CU20" s="592">
        <v>1631</v>
      </c>
      <c r="CV20" s="592">
        <v>1631</v>
      </c>
      <c r="CW20" s="592">
        <v>1631</v>
      </c>
      <c r="CX20" s="592">
        <v>1631</v>
      </c>
      <c r="CY20" s="592">
        <v>1631</v>
      </c>
      <c r="CZ20" s="592">
        <v>1631</v>
      </c>
      <c r="DA20" s="592">
        <v>1631</v>
      </c>
      <c r="DB20" s="592">
        <v>1631</v>
      </c>
      <c r="DC20" s="592">
        <v>1631</v>
      </c>
      <c r="DD20" s="592">
        <v>1631</v>
      </c>
    </row>
    <row r="21" spans="1:108" x14ac:dyDescent="0.25">
      <c r="B21" s="117" t="s">
        <v>135</v>
      </c>
      <c r="C21" s="266" t="s">
        <v>47</v>
      </c>
      <c r="D21" s="266" t="s">
        <v>47</v>
      </c>
      <c r="E21" s="266" t="s">
        <v>47</v>
      </c>
      <c r="F21" s="266" t="s">
        <v>47</v>
      </c>
      <c r="G21" s="266" t="s">
        <v>47</v>
      </c>
      <c r="H21" s="266" t="s">
        <v>47</v>
      </c>
      <c r="I21" s="266" t="s">
        <v>47</v>
      </c>
      <c r="J21" s="338" t="s">
        <v>47</v>
      </c>
      <c r="K21" s="338" t="s">
        <v>47</v>
      </c>
      <c r="L21" s="592" t="s">
        <v>47</v>
      </c>
      <c r="M21" s="592" t="s">
        <v>47</v>
      </c>
      <c r="N21" s="592" t="s">
        <v>47</v>
      </c>
      <c r="O21" s="592" t="s">
        <v>47</v>
      </c>
      <c r="P21" s="592" t="s">
        <v>47</v>
      </c>
      <c r="Q21" s="592" t="s">
        <v>47</v>
      </c>
      <c r="R21" s="592" t="s">
        <v>47</v>
      </c>
      <c r="S21" s="592" t="s">
        <v>47</v>
      </c>
      <c r="T21" s="592" t="s">
        <v>47</v>
      </c>
      <c r="U21" s="592" t="s">
        <v>47</v>
      </c>
      <c r="V21" s="592" t="s">
        <v>47</v>
      </c>
      <c r="W21" s="592" t="s">
        <v>47</v>
      </c>
      <c r="X21" s="592" t="s">
        <v>47</v>
      </c>
      <c r="Y21" s="592" t="s">
        <v>47</v>
      </c>
      <c r="Z21" s="592" t="s">
        <v>47</v>
      </c>
      <c r="AA21" s="592" t="s">
        <v>47</v>
      </c>
      <c r="AB21" s="592" t="s">
        <v>47</v>
      </c>
      <c r="AC21" s="592" t="s">
        <v>47</v>
      </c>
      <c r="AD21" s="592" t="s">
        <v>47</v>
      </c>
      <c r="AE21" s="592" t="s">
        <v>47</v>
      </c>
      <c r="AF21" s="592" t="s">
        <v>47</v>
      </c>
      <c r="AG21" s="592" t="s">
        <v>47</v>
      </c>
      <c r="AH21" s="592" t="s">
        <v>47</v>
      </c>
      <c r="AI21" s="592" t="s">
        <v>47</v>
      </c>
      <c r="AJ21" s="348" t="s">
        <v>47</v>
      </c>
      <c r="AK21" s="348" t="s">
        <v>47</v>
      </c>
      <c r="AL21" s="348" t="s">
        <v>47</v>
      </c>
      <c r="AM21" s="348" t="s">
        <v>47</v>
      </c>
      <c r="AN21" s="348" t="s">
        <v>47</v>
      </c>
      <c r="AO21" s="348" t="s">
        <v>47</v>
      </c>
      <c r="AP21" s="348" t="s">
        <v>47</v>
      </c>
      <c r="AQ21" s="348" t="s">
        <v>47</v>
      </c>
      <c r="AR21" s="348" t="s">
        <v>47</v>
      </c>
      <c r="AS21" s="348" t="s">
        <v>47</v>
      </c>
      <c r="AT21" s="348" t="s">
        <v>47</v>
      </c>
      <c r="AU21" s="348" t="s">
        <v>47</v>
      </c>
      <c r="AV21" s="962" t="s">
        <v>47</v>
      </c>
      <c r="AW21" s="348" t="s">
        <v>47</v>
      </c>
      <c r="AX21" s="348" t="s">
        <v>47</v>
      </c>
      <c r="AY21" s="348" t="s">
        <v>47</v>
      </c>
      <c r="AZ21" s="348" t="s">
        <v>47</v>
      </c>
      <c r="BA21" s="348" t="s">
        <v>47</v>
      </c>
      <c r="BB21" s="348" t="s">
        <v>47</v>
      </c>
      <c r="BC21" s="348" t="s">
        <v>47</v>
      </c>
      <c r="BD21" s="348" t="s">
        <v>47</v>
      </c>
      <c r="BE21" s="348" t="s">
        <v>47</v>
      </c>
      <c r="BF21" s="348" t="s">
        <v>47</v>
      </c>
      <c r="BG21" s="348" t="s">
        <v>47</v>
      </c>
      <c r="BH21" s="348" t="s">
        <v>47</v>
      </c>
      <c r="BI21" s="348" t="s">
        <v>47</v>
      </c>
      <c r="BJ21" s="348" t="s">
        <v>47</v>
      </c>
      <c r="BK21" s="348" t="s">
        <v>47</v>
      </c>
      <c r="BL21" s="348" t="s">
        <v>47</v>
      </c>
      <c r="BM21" s="348" t="s">
        <v>47</v>
      </c>
      <c r="BN21" s="592" t="s">
        <v>47</v>
      </c>
      <c r="BO21" s="592" t="s">
        <v>47</v>
      </c>
      <c r="BP21" s="592" t="s">
        <v>47</v>
      </c>
      <c r="BQ21" s="592" t="s">
        <v>47</v>
      </c>
      <c r="BR21" s="592" t="s">
        <v>47</v>
      </c>
      <c r="BS21" s="592" t="s">
        <v>47</v>
      </c>
      <c r="BT21" s="592" t="s">
        <v>47</v>
      </c>
      <c r="BU21" s="592" t="s">
        <v>47</v>
      </c>
      <c r="BV21" s="592" t="s">
        <v>47</v>
      </c>
      <c r="BW21" s="592" t="s">
        <v>47</v>
      </c>
      <c r="BX21" s="592" t="s">
        <v>47</v>
      </c>
      <c r="BY21" s="592" t="s">
        <v>47</v>
      </c>
      <c r="BZ21" s="592" t="s">
        <v>47</v>
      </c>
      <c r="CA21" s="592" t="s">
        <v>47</v>
      </c>
      <c r="CB21" s="592" t="s">
        <v>47</v>
      </c>
      <c r="CC21" s="592" t="s">
        <v>47</v>
      </c>
      <c r="CD21" s="592" t="s">
        <v>47</v>
      </c>
      <c r="CE21" s="592" t="s">
        <v>47</v>
      </c>
      <c r="CF21" s="592" t="s">
        <v>47</v>
      </c>
      <c r="CG21" s="592" t="s">
        <v>47</v>
      </c>
      <c r="CH21" s="592" t="s">
        <v>47</v>
      </c>
      <c r="CI21" s="592" t="s">
        <v>47</v>
      </c>
      <c r="CJ21" s="592" t="s">
        <v>47</v>
      </c>
      <c r="CK21" s="592" t="s">
        <v>47</v>
      </c>
      <c r="CL21" s="592" t="s">
        <v>47</v>
      </c>
      <c r="CM21" s="592" t="s">
        <v>47</v>
      </c>
      <c r="CN21" s="592" t="s">
        <v>47</v>
      </c>
      <c r="CO21" s="592" t="s">
        <v>47</v>
      </c>
      <c r="CP21" s="592" t="s">
        <v>47</v>
      </c>
      <c r="CQ21" s="592" t="s">
        <v>47</v>
      </c>
      <c r="CR21" s="592" t="s">
        <v>47</v>
      </c>
      <c r="CS21" s="592" t="s">
        <v>47</v>
      </c>
      <c r="CT21" s="592" t="s">
        <v>47</v>
      </c>
      <c r="CU21" s="592" t="s">
        <v>47</v>
      </c>
      <c r="CV21" s="592" t="s">
        <v>47</v>
      </c>
      <c r="CW21" s="592" t="s">
        <v>47</v>
      </c>
      <c r="CX21" s="592" t="s">
        <v>47</v>
      </c>
      <c r="CY21" s="592" t="s">
        <v>47</v>
      </c>
      <c r="CZ21" s="592" t="s">
        <v>47</v>
      </c>
      <c r="DA21" s="592" t="s">
        <v>47</v>
      </c>
      <c r="DB21" s="592" t="s">
        <v>47</v>
      </c>
      <c r="DC21" s="592" t="s">
        <v>47</v>
      </c>
      <c r="DD21" s="592" t="s">
        <v>47</v>
      </c>
    </row>
    <row r="22" spans="1:108" x14ac:dyDescent="0.25">
      <c r="B22" s="117" t="s">
        <v>142</v>
      </c>
      <c r="C22" s="265" t="s">
        <v>47</v>
      </c>
      <c r="D22" s="265" t="s">
        <v>47</v>
      </c>
      <c r="E22" s="265" t="s">
        <v>47</v>
      </c>
      <c r="F22" s="265" t="s">
        <v>47</v>
      </c>
      <c r="G22" s="265" t="s">
        <v>47</v>
      </c>
      <c r="H22" s="265" t="s">
        <v>47</v>
      </c>
      <c r="I22" s="265" t="s">
        <v>47</v>
      </c>
      <c r="J22" s="338" t="s">
        <v>47</v>
      </c>
      <c r="K22" s="338" t="s">
        <v>47</v>
      </c>
      <c r="L22" s="592" t="s">
        <v>47</v>
      </c>
      <c r="M22" s="592" t="s">
        <v>47</v>
      </c>
      <c r="N22" s="592" t="s">
        <v>47</v>
      </c>
      <c r="O22" s="592" t="s">
        <v>47</v>
      </c>
      <c r="P22" s="592" t="s">
        <v>47</v>
      </c>
      <c r="Q22" s="592" t="s">
        <v>47</v>
      </c>
      <c r="R22" s="592" t="s">
        <v>47</v>
      </c>
      <c r="S22" s="592" t="s">
        <v>47</v>
      </c>
      <c r="T22" s="592" t="s">
        <v>47</v>
      </c>
      <c r="U22" s="592" t="s">
        <v>47</v>
      </c>
      <c r="V22" s="592" t="s">
        <v>47</v>
      </c>
      <c r="W22" s="592" t="s">
        <v>47</v>
      </c>
      <c r="X22" s="592" t="s">
        <v>47</v>
      </c>
      <c r="Y22" s="592" t="s">
        <v>47</v>
      </c>
      <c r="Z22" s="592" t="s">
        <v>47</v>
      </c>
      <c r="AA22" s="592" t="s">
        <v>47</v>
      </c>
      <c r="AB22" s="592" t="s">
        <v>47</v>
      </c>
      <c r="AC22" s="592" t="s">
        <v>47</v>
      </c>
      <c r="AD22" s="592" t="s">
        <v>47</v>
      </c>
      <c r="AE22" s="592" t="s">
        <v>47</v>
      </c>
      <c r="AF22" s="592" t="s">
        <v>47</v>
      </c>
      <c r="AG22" s="592" t="s">
        <v>47</v>
      </c>
      <c r="AH22" s="592" t="s">
        <v>47</v>
      </c>
      <c r="AI22" s="592" t="s">
        <v>47</v>
      </c>
      <c r="AJ22" s="348" t="s">
        <v>47</v>
      </c>
      <c r="AK22" s="348" t="s">
        <v>47</v>
      </c>
      <c r="AL22" s="348" t="s">
        <v>47</v>
      </c>
      <c r="AM22" s="348" t="s">
        <v>47</v>
      </c>
      <c r="AN22" s="348" t="s">
        <v>47</v>
      </c>
      <c r="AO22" s="348" t="s">
        <v>47</v>
      </c>
      <c r="AP22" s="348" t="s">
        <v>47</v>
      </c>
      <c r="AQ22" s="348" t="s">
        <v>47</v>
      </c>
      <c r="AR22" s="348" t="s">
        <v>47</v>
      </c>
      <c r="AS22" s="348" t="s">
        <v>47</v>
      </c>
      <c r="AT22" s="348" t="s">
        <v>47</v>
      </c>
      <c r="AU22" s="348" t="s">
        <v>47</v>
      </c>
      <c r="AV22" s="962" t="s">
        <v>47</v>
      </c>
      <c r="AW22" s="350" t="s">
        <v>47</v>
      </c>
      <c r="AX22" s="350" t="s">
        <v>47</v>
      </c>
      <c r="AY22" s="348" t="s">
        <v>47</v>
      </c>
      <c r="AZ22" s="348" t="s">
        <v>47</v>
      </c>
      <c r="BA22" s="348" t="s">
        <v>47</v>
      </c>
      <c r="BB22" s="348" t="s">
        <v>47</v>
      </c>
      <c r="BC22" s="348" t="s">
        <v>47</v>
      </c>
      <c r="BD22" s="348" t="s">
        <v>47</v>
      </c>
      <c r="BE22" s="348" t="s">
        <v>47</v>
      </c>
      <c r="BF22" s="348" t="s">
        <v>47</v>
      </c>
      <c r="BG22" s="348" t="s">
        <v>47</v>
      </c>
      <c r="BH22" s="348" t="s">
        <v>47</v>
      </c>
      <c r="BI22" s="348" t="s">
        <v>47</v>
      </c>
      <c r="BJ22" s="348" t="s">
        <v>47</v>
      </c>
      <c r="BK22" s="348" t="s">
        <v>47</v>
      </c>
      <c r="BL22" s="348" t="s">
        <v>47</v>
      </c>
      <c r="BM22" s="348" t="s">
        <v>47</v>
      </c>
      <c r="BN22" s="592" t="s">
        <v>47</v>
      </c>
      <c r="BO22" s="592" t="s">
        <v>47</v>
      </c>
      <c r="BP22" s="592" t="s">
        <v>47</v>
      </c>
      <c r="BQ22" s="592" t="s">
        <v>47</v>
      </c>
      <c r="BR22" s="592" t="s">
        <v>47</v>
      </c>
      <c r="BS22" s="592" t="s">
        <v>47</v>
      </c>
      <c r="BT22" s="592" t="s">
        <v>47</v>
      </c>
      <c r="BU22" s="592" t="s">
        <v>47</v>
      </c>
      <c r="BV22" s="592" t="s">
        <v>47</v>
      </c>
      <c r="BW22" s="592" t="s">
        <v>47</v>
      </c>
      <c r="BX22" s="592" t="s">
        <v>47</v>
      </c>
      <c r="BY22" s="592">
        <v>1784</v>
      </c>
      <c r="BZ22" s="592">
        <v>1784</v>
      </c>
      <c r="CA22" s="592">
        <v>1784</v>
      </c>
      <c r="CB22" s="592">
        <v>1784</v>
      </c>
      <c r="CC22" s="592">
        <v>1784</v>
      </c>
      <c r="CD22" s="592">
        <v>1784</v>
      </c>
      <c r="CE22" s="592">
        <v>1784</v>
      </c>
      <c r="CF22" s="592">
        <v>1784</v>
      </c>
      <c r="CG22" s="592">
        <v>1784</v>
      </c>
      <c r="CH22" s="592">
        <v>1784</v>
      </c>
      <c r="CI22" s="592">
        <v>1784</v>
      </c>
      <c r="CJ22" s="592" t="s">
        <v>47</v>
      </c>
      <c r="CK22" s="592" t="s">
        <v>47</v>
      </c>
      <c r="CL22" s="592" t="s">
        <v>47</v>
      </c>
      <c r="CM22" s="592" t="s">
        <v>47</v>
      </c>
      <c r="CN22" s="592" t="s">
        <v>47</v>
      </c>
      <c r="CO22" s="592" t="s">
        <v>47</v>
      </c>
      <c r="CP22" s="592" t="s">
        <v>47</v>
      </c>
      <c r="CQ22" s="592" t="s">
        <v>47</v>
      </c>
      <c r="CR22" s="592" t="s">
        <v>47</v>
      </c>
      <c r="CS22" s="592" t="s">
        <v>47</v>
      </c>
      <c r="CT22" s="592" t="s">
        <v>47</v>
      </c>
      <c r="CU22" s="592" t="s">
        <v>47</v>
      </c>
      <c r="CV22" s="592" t="s">
        <v>47</v>
      </c>
      <c r="CW22" s="592" t="s">
        <v>47</v>
      </c>
      <c r="CX22" s="592" t="s">
        <v>47</v>
      </c>
      <c r="CY22" s="592" t="s">
        <v>47</v>
      </c>
      <c r="CZ22" s="592" t="s">
        <v>47</v>
      </c>
      <c r="DA22" s="592" t="s">
        <v>47</v>
      </c>
      <c r="DB22" s="592" t="s">
        <v>47</v>
      </c>
      <c r="DC22" s="592" t="s">
        <v>47</v>
      </c>
      <c r="DD22" s="592" t="s">
        <v>47</v>
      </c>
    </row>
    <row r="23" spans="1:108" x14ac:dyDescent="0.25">
      <c r="B23" s="117" t="s">
        <v>136</v>
      </c>
      <c r="C23" s="266" t="s">
        <v>47</v>
      </c>
      <c r="D23" s="266" t="s">
        <v>47</v>
      </c>
      <c r="E23" s="266" t="s">
        <v>47</v>
      </c>
      <c r="F23" s="266" t="s">
        <v>47</v>
      </c>
      <c r="G23" s="266" t="s">
        <v>47</v>
      </c>
      <c r="H23" s="266" t="s">
        <v>47</v>
      </c>
      <c r="I23" s="266" t="s">
        <v>47</v>
      </c>
      <c r="J23" s="338" t="s">
        <v>47</v>
      </c>
      <c r="K23" s="338" t="s">
        <v>47</v>
      </c>
      <c r="L23" s="592" t="s">
        <v>47</v>
      </c>
      <c r="M23" s="592" t="s">
        <v>47</v>
      </c>
      <c r="N23" s="592" t="s">
        <v>47</v>
      </c>
      <c r="O23" s="592" t="s">
        <v>47</v>
      </c>
      <c r="P23" s="592" t="s">
        <v>47</v>
      </c>
      <c r="Q23" s="592" t="s">
        <v>47</v>
      </c>
      <c r="R23" s="592" t="s">
        <v>47</v>
      </c>
      <c r="S23" s="592" t="s">
        <v>47</v>
      </c>
      <c r="T23" s="592" t="s">
        <v>47</v>
      </c>
      <c r="U23" s="592" t="s">
        <v>47</v>
      </c>
      <c r="V23" s="592" t="s">
        <v>47</v>
      </c>
      <c r="W23" s="592" t="s">
        <v>47</v>
      </c>
      <c r="X23" s="592" t="s">
        <v>47</v>
      </c>
      <c r="Y23" s="592" t="s">
        <v>47</v>
      </c>
      <c r="Z23" s="592" t="s">
        <v>47</v>
      </c>
      <c r="AA23" s="592" t="s">
        <v>47</v>
      </c>
      <c r="AB23" s="592" t="s">
        <v>47</v>
      </c>
      <c r="AC23" s="592" t="s">
        <v>47</v>
      </c>
      <c r="AD23" s="592" t="s">
        <v>47</v>
      </c>
      <c r="AE23" s="592" t="s">
        <v>47</v>
      </c>
      <c r="AF23" s="592" t="s">
        <v>47</v>
      </c>
      <c r="AG23" s="592" t="s">
        <v>47</v>
      </c>
      <c r="AH23" s="592" t="s">
        <v>47</v>
      </c>
      <c r="AI23" s="592" t="s">
        <v>47</v>
      </c>
      <c r="AJ23" s="348" t="s">
        <v>47</v>
      </c>
      <c r="AK23" s="348" t="s">
        <v>47</v>
      </c>
      <c r="AL23" s="348" t="s">
        <v>47</v>
      </c>
      <c r="AM23" s="348" t="s">
        <v>47</v>
      </c>
      <c r="AN23" s="348" t="s">
        <v>47</v>
      </c>
      <c r="AO23" s="348" t="s">
        <v>47</v>
      </c>
      <c r="AP23" s="348" t="s">
        <v>47</v>
      </c>
      <c r="AQ23" s="348" t="s">
        <v>47</v>
      </c>
      <c r="AR23" s="348" t="s">
        <v>47</v>
      </c>
      <c r="AS23" s="348" t="s">
        <v>47</v>
      </c>
      <c r="AT23" s="348" t="s">
        <v>47</v>
      </c>
      <c r="AU23" s="348" t="s">
        <v>47</v>
      </c>
      <c r="AV23" s="962" t="s">
        <v>47</v>
      </c>
      <c r="AW23" s="348" t="s">
        <v>47</v>
      </c>
      <c r="AX23" s="348" t="s">
        <v>47</v>
      </c>
      <c r="AY23" s="348" t="s">
        <v>47</v>
      </c>
      <c r="AZ23" s="348" t="s">
        <v>47</v>
      </c>
      <c r="BA23" s="348" t="s">
        <v>47</v>
      </c>
      <c r="BB23" s="348" t="s">
        <v>47</v>
      </c>
      <c r="BC23" s="348" t="s">
        <v>47</v>
      </c>
      <c r="BD23" s="348" t="s">
        <v>47</v>
      </c>
      <c r="BE23" s="348" t="s">
        <v>47</v>
      </c>
      <c r="BF23" s="348" t="s">
        <v>47</v>
      </c>
      <c r="BG23" s="348" t="s">
        <v>47</v>
      </c>
      <c r="BH23" s="348" t="s">
        <v>47</v>
      </c>
      <c r="BI23" s="348" t="s">
        <v>47</v>
      </c>
      <c r="BJ23" s="348" t="s">
        <v>47</v>
      </c>
      <c r="BK23" s="348" t="s">
        <v>47</v>
      </c>
      <c r="BL23" s="348" t="s">
        <v>47</v>
      </c>
      <c r="BM23" s="348" t="s">
        <v>47</v>
      </c>
      <c r="BN23" s="592" t="s">
        <v>47</v>
      </c>
      <c r="BO23" s="592" t="s">
        <v>47</v>
      </c>
      <c r="BP23" s="592" t="s">
        <v>47</v>
      </c>
      <c r="BQ23" s="592" t="s">
        <v>47</v>
      </c>
      <c r="BR23" s="592" t="s">
        <v>47</v>
      </c>
      <c r="BS23" s="592" t="s">
        <v>47</v>
      </c>
      <c r="BT23" s="592" t="s">
        <v>47</v>
      </c>
      <c r="BU23" s="592" t="s">
        <v>47</v>
      </c>
      <c r="BV23" s="592" t="s">
        <v>47</v>
      </c>
      <c r="BW23" s="592" t="s">
        <v>47</v>
      </c>
      <c r="BX23" s="592" t="s">
        <v>47</v>
      </c>
      <c r="BY23" s="592">
        <v>1728</v>
      </c>
      <c r="BZ23" s="592">
        <v>1728</v>
      </c>
      <c r="CA23" s="592">
        <v>1728</v>
      </c>
      <c r="CB23" s="592">
        <v>1728</v>
      </c>
      <c r="CC23" s="592">
        <v>1728</v>
      </c>
      <c r="CD23" s="342">
        <v>1661.1</v>
      </c>
      <c r="CE23" s="592">
        <v>1661.1</v>
      </c>
      <c r="CF23" s="592">
        <v>1661.1</v>
      </c>
      <c r="CG23" s="592">
        <v>1661.1</v>
      </c>
      <c r="CH23" s="592">
        <v>1661.1</v>
      </c>
      <c r="CI23" s="592">
        <v>1661.1</v>
      </c>
      <c r="CJ23" s="592">
        <v>1661.1</v>
      </c>
      <c r="CK23" s="592">
        <v>1661.1</v>
      </c>
      <c r="CL23" s="592">
        <v>1661.1</v>
      </c>
      <c r="CM23" s="592">
        <v>1661.1</v>
      </c>
      <c r="CN23" s="592">
        <v>1661.1</v>
      </c>
      <c r="CO23" s="592">
        <v>1712</v>
      </c>
      <c r="CP23" s="592">
        <v>1712</v>
      </c>
      <c r="CQ23" s="592">
        <v>1712</v>
      </c>
      <c r="CR23" s="592">
        <v>1712</v>
      </c>
      <c r="CS23" s="592">
        <v>1712</v>
      </c>
      <c r="CT23" s="592">
        <v>1712</v>
      </c>
      <c r="CU23" s="592">
        <v>1712</v>
      </c>
      <c r="CV23" s="592">
        <v>1712</v>
      </c>
      <c r="CW23" s="592">
        <v>1712</v>
      </c>
      <c r="CX23" s="592">
        <v>1712</v>
      </c>
      <c r="CY23" s="697">
        <v>1923</v>
      </c>
      <c r="CZ23" s="592">
        <v>1923</v>
      </c>
      <c r="DA23" s="592">
        <v>1923</v>
      </c>
      <c r="DB23" s="697">
        <v>2084</v>
      </c>
      <c r="DC23" s="592">
        <v>2084</v>
      </c>
      <c r="DD23" s="592">
        <v>2084</v>
      </c>
    </row>
    <row r="24" spans="1:108" x14ac:dyDescent="0.25">
      <c r="B24" s="117" t="s">
        <v>1218</v>
      </c>
      <c r="C24" s="266" t="s">
        <v>47</v>
      </c>
      <c r="D24" s="266" t="s">
        <v>47</v>
      </c>
      <c r="E24" s="266" t="s">
        <v>47</v>
      </c>
      <c r="F24" s="266" t="s">
        <v>47</v>
      </c>
      <c r="G24" s="266" t="s">
        <v>47</v>
      </c>
      <c r="H24" s="266" t="s">
        <v>47</v>
      </c>
      <c r="I24" s="266" t="s">
        <v>47</v>
      </c>
      <c r="J24" s="266" t="s">
        <v>47</v>
      </c>
      <c r="K24" s="266" t="s">
        <v>47</v>
      </c>
      <c r="L24" s="266" t="s">
        <v>47</v>
      </c>
      <c r="M24" s="266" t="s">
        <v>47</v>
      </c>
      <c r="N24" s="266" t="s">
        <v>47</v>
      </c>
      <c r="O24" s="266" t="s">
        <v>47</v>
      </c>
      <c r="P24" s="266" t="s">
        <v>47</v>
      </c>
      <c r="Q24" s="266" t="s">
        <v>47</v>
      </c>
      <c r="R24" s="266" t="s">
        <v>47</v>
      </c>
      <c r="S24" s="266" t="s">
        <v>47</v>
      </c>
      <c r="T24" s="266" t="s">
        <v>47</v>
      </c>
      <c r="U24" s="266" t="s">
        <v>47</v>
      </c>
      <c r="V24" s="266" t="s">
        <v>47</v>
      </c>
      <c r="W24" s="266" t="s">
        <v>47</v>
      </c>
      <c r="X24" s="266" t="s">
        <v>47</v>
      </c>
      <c r="Y24" s="266" t="s">
        <v>47</v>
      </c>
      <c r="Z24" s="266" t="s">
        <v>47</v>
      </c>
      <c r="AA24" s="266" t="s">
        <v>47</v>
      </c>
      <c r="AB24" s="266" t="s">
        <v>47</v>
      </c>
      <c r="AC24" s="266" t="s">
        <v>47</v>
      </c>
      <c r="AD24" s="266" t="s">
        <v>47</v>
      </c>
      <c r="AE24" s="266" t="s">
        <v>47</v>
      </c>
      <c r="AF24" s="266" t="s">
        <v>47</v>
      </c>
      <c r="AG24" s="266" t="s">
        <v>47</v>
      </c>
      <c r="AH24" s="266" t="s">
        <v>47</v>
      </c>
      <c r="AI24" s="266" t="s">
        <v>47</v>
      </c>
      <c r="AJ24" s="266" t="s">
        <v>47</v>
      </c>
      <c r="AK24" s="266" t="s">
        <v>47</v>
      </c>
      <c r="AL24" s="266" t="s">
        <v>47</v>
      </c>
      <c r="AM24" s="266" t="s">
        <v>47</v>
      </c>
      <c r="AN24" s="266" t="s">
        <v>47</v>
      </c>
      <c r="AO24" s="266" t="s">
        <v>47</v>
      </c>
      <c r="AP24" s="266" t="s">
        <v>47</v>
      </c>
      <c r="AQ24" s="266" t="s">
        <v>47</v>
      </c>
      <c r="AR24" s="266" t="s">
        <v>47</v>
      </c>
      <c r="AS24" s="266" t="s">
        <v>47</v>
      </c>
      <c r="AT24" s="266" t="s">
        <v>47</v>
      </c>
      <c r="AU24" s="266" t="s">
        <v>47</v>
      </c>
      <c r="AV24" s="266" t="s">
        <v>47</v>
      </c>
      <c r="AW24" s="266" t="s">
        <v>47</v>
      </c>
      <c r="AX24" s="266" t="s">
        <v>47</v>
      </c>
      <c r="AY24" s="266" t="s">
        <v>47</v>
      </c>
      <c r="AZ24" s="266" t="s">
        <v>47</v>
      </c>
      <c r="BA24" s="266" t="s">
        <v>47</v>
      </c>
      <c r="BB24" s="266" t="s">
        <v>47</v>
      </c>
      <c r="BC24" s="266" t="s">
        <v>47</v>
      </c>
      <c r="BD24" s="266" t="s">
        <v>47</v>
      </c>
      <c r="BE24" s="266" t="s">
        <v>47</v>
      </c>
      <c r="BF24" s="266" t="s">
        <v>47</v>
      </c>
      <c r="BG24" s="266" t="s">
        <v>47</v>
      </c>
      <c r="BH24" s="266" t="s">
        <v>47</v>
      </c>
      <c r="BI24" s="266" t="s">
        <v>47</v>
      </c>
      <c r="BJ24" s="266" t="s">
        <v>47</v>
      </c>
      <c r="BK24" s="266" t="s">
        <v>47</v>
      </c>
      <c r="BL24" s="266" t="s">
        <v>47</v>
      </c>
      <c r="BM24" s="266" t="s">
        <v>47</v>
      </c>
      <c r="BN24" s="592" t="s">
        <v>47</v>
      </c>
      <c r="BO24" s="592" t="s">
        <v>47</v>
      </c>
      <c r="BP24" s="592" t="s">
        <v>47</v>
      </c>
      <c r="BQ24" s="592" t="s">
        <v>47</v>
      </c>
      <c r="BR24" s="592" t="s">
        <v>47</v>
      </c>
      <c r="BS24" s="592" t="s">
        <v>47</v>
      </c>
      <c r="BT24" s="592" t="s">
        <v>47</v>
      </c>
      <c r="BU24" s="592" t="s">
        <v>47</v>
      </c>
      <c r="BV24" s="592" t="s">
        <v>47</v>
      </c>
      <c r="BW24" s="592" t="s">
        <v>47</v>
      </c>
      <c r="BX24" s="592" t="s">
        <v>47</v>
      </c>
      <c r="BY24" s="592" t="s">
        <v>47</v>
      </c>
      <c r="BZ24" s="592" t="s">
        <v>47</v>
      </c>
      <c r="CA24" s="592" t="s">
        <v>47</v>
      </c>
      <c r="CB24" s="592">
        <v>1759</v>
      </c>
      <c r="CC24" s="592">
        <v>1759</v>
      </c>
      <c r="CD24" s="592">
        <v>1759</v>
      </c>
      <c r="CE24" s="592">
        <v>1759</v>
      </c>
      <c r="CF24" s="592">
        <v>1759</v>
      </c>
      <c r="CG24" s="592">
        <v>1759</v>
      </c>
      <c r="CH24" s="592">
        <v>1759</v>
      </c>
      <c r="CI24" s="592" t="s">
        <v>47</v>
      </c>
      <c r="CJ24" s="592" t="s">
        <v>47</v>
      </c>
      <c r="CK24" s="592" t="s">
        <v>47</v>
      </c>
      <c r="CL24" s="592" t="s">
        <v>47</v>
      </c>
      <c r="CM24" s="592" t="s">
        <v>47</v>
      </c>
      <c r="CN24" s="592" t="s">
        <v>47</v>
      </c>
      <c r="CO24" s="592" t="s">
        <v>47</v>
      </c>
      <c r="CP24" s="592" t="s">
        <v>47</v>
      </c>
      <c r="CQ24" s="592" t="s">
        <v>47</v>
      </c>
      <c r="CR24" s="592" t="s">
        <v>47</v>
      </c>
      <c r="CS24" s="592" t="s">
        <v>47</v>
      </c>
      <c r="CT24" s="592" t="s">
        <v>47</v>
      </c>
      <c r="CU24" s="592" t="s">
        <v>47</v>
      </c>
      <c r="CV24" s="592" t="s">
        <v>47</v>
      </c>
      <c r="CW24" s="592" t="s">
        <v>47</v>
      </c>
      <c r="CX24" s="592" t="s">
        <v>47</v>
      </c>
      <c r="CY24" s="592" t="s">
        <v>47</v>
      </c>
      <c r="CZ24" s="592" t="s">
        <v>47</v>
      </c>
      <c r="DA24" s="592" t="s">
        <v>47</v>
      </c>
      <c r="DB24" s="592" t="s">
        <v>47</v>
      </c>
      <c r="DC24" s="592" t="s">
        <v>47</v>
      </c>
      <c r="DD24" s="592" t="s">
        <v>47</v>
      </c>
    </row>
    <row r="25" spans="1:108" x14ac:dyDescent="0.25">
      <c r="A25"/>
      <c r="B25" s="1117" t="s">
        <v>381</v>
      </c>
      <c r="C25" s="1124" t="str">
        <f t="shared" ref="C25:AH25" si="11">IFERROR(AVERAGE(C20:C24),"-")</f>
        <v>-</v>
      </c>
      <c r="D25" s="1124" t="str">
        <f t="shared" si="11"/>
        <v>-</v>
      </c>
      <c r="E25" s="1124" t="str">
        <f t="shared" si="11"/>
        <v>-</v>
      </c>
      <c r="F25" s="1124" t="str">
        <f t="shared" si="11"/>
        <v>-</v>
      </c>
      <c r="G25" s="1124" t="str">
        <f t="shared" si="11"/>
        <v>-</v>
      </c>
      <c r="H25" s="1124" t="str">
        <f t="shared" si="11"/>
        <v>-</v>
      </c>
      <c r="I25" s="1124" t="str">
        <f t="shared" si="11"/>
        <v>-</v>
      </c>
      <c r="J25" s="1124" t="str">
        <f t="shared" si="11"/>
        <v>-</v>
      </c>
      <c r="K25" s="1124" t="str">
        <f t="shared" si="11"/>
        <v>-</v>
      </c>
      <c r="L25" s="1124" t="str">
        <f t="shared" si="11"/>
        <v>-</v>
      </c>
      <c r="M25" s="1124" t="str">
        <f t="shared" si="11"/>
        <v>-</v>
      </c>
      <c r="N25" s="1124" t="str">
        <f t="shared" si="11"/>
        <v>-</v>
      </c>
      <c r="O25" s="1124" t="str">
        <f t="shared" si="11"/>
        <v>-</v>
      </c>
      <c r="P25" s="1124" t="str">
        <f t="shared" si="11"/>
        <v>-</v>
      </c>
      <c r="Q25" s="1124" t="str">
        <f t="shared" si="11"/>
        <v>-</v>
      </c>
      <c r="R25" s="1124" t="str">
        <f t="shared" si="11"/>
        <v>-</v>
      </c>
      <c r="S25" s="1124" t="str">
        <f t="shared" si="11"/>
        <v>-</v>
      </c>
      <c r="T25" s="1124" t="str">
        <f t="shared" si="11"/>
        <v>-</v>
      </c>
      <c r="U25" s="1124" t="str">
        <f t="shared" si="11"/>
        <v>-</v>
      </c>
      <c r="V25" s="1124" t="str">
        <f t="shared" si="11"/>
        <v>-</v>
      </c>
      <c r="W25" s="1124" t="str">
        <f t="shared" si="11"/>
        <v>-</v>
      </c>
      <c r="X25" s="1124" t="str">
        <f t="shared" si="11"/>
        <v>-</v>
      </c>
      <c r="Y25" s="1124" t="str">
        <f t="shared" si="11"/>
        <v>-</v>
      </c>
      <c r="Z25" s="1124" t="str">
        <f t="shared" si="11"/>
        <v>-</v>
      </c>
      <c r="AA25" s="1124" t="str">
        <f t="shared" si="11"/>
        <v>-</v>
      </c>
      <c r="AB25" s="1124" t="str">
        <f t="shared" si="11"/>
        <v>-</v>
      </c>
      <c r="AC25" s="1124" t="str">
        <f t="shared" si="11"/>
        <v>-</v>
      </c>
      <c r="AD25" s="1124" t="str">
        <f t="shared" si="11"/>
        <v>-</v>
      </c>
      <c r="AE25" s="1124" t="str">
        <f t="shared" si="11"/>
        <v>-</v>
      </c>
      <c r="AF25" s="1124" t="str">
        <f t="shared" si="11"/>
        <v>-</v>
      </c>
      <c r="AG25" s="1124" t="str">
        <f t="shared" si="11"/>
        <v>-</v>
      </c>
      <c r="AH25" s="1124" t="str">
        <f t="shared" si="11"/>
        <v>-</v>
      </c>
      <c r="AI25" s="1124" t="str">
        <f t="shared" ref="AI25:BN25" si="12">IFERROR(AVERAGE(AI20:AI24),"-")</f>
        <v>-</v>
      </c>
      <c r="AJ25" s="1124" t="str">
        <f t="shared" si="12"/>
        <v>-</v>
      </c>
      <c r="AK25" s="1124" t="str">
        <f t="shared" si="12"/>
        <v>-</v>
      </c>
      <c r="AL25" s="1124" t="str">
        <f t="shared" si="12"/>
        <v>-</v>
      </c>
      <c r="AM25" s="1124" t="str">
        <f t="shared" si="12"/>
        <v>-</v>
      </c>
      <c r="AN25" s="1124" t="str">
        <f t="shared" si="12"/>
        <v>-</v>
      </c>
      <c r="AO25" s="1124" t="str">
        <f t="shared" si="12"/>
        <v>-</v>
      </c>
      <c r="AP25" s="1124" t="str">
        <f t="shared" si="12"/>
        <v>-</v>
      </c>
      <c r="AQ25" s="1124" t="str">
        <f t="shared" si="12"/>
        <v>-</v>
      </c>
      <c r="AR25" s="1124" t="str">
        <f t="shared" si="12"/>
        <v>-</v>
      </c>
      <c r="AS25" s="1124" t="str">
        <f t="shared" si="12"/>
        <v>-</v>
      </c>
      <c r="AT25" s="1124" t="str">
        <f t="shared" si="12"/>
        <v>-</v>
      </c>
      <c r="AU25" s="1124" t="str">
        <f t="shared" si="12"/>
        <v>-</v>
      </c>
      <c r="AV25" s="1124" t="str">
        <f t="shared" si="12"/>
        <v>-</v>
      </c>
      <c r="AW25" s="1124" t="str">
        <f t="shared" si="12"/>
        <v>-</v>
      </c>
      <c r="AX25" s="1124" t="str">
        <f t="shared" si="12"/>
        <v>-</v>
      </c>
      <c r="AY25" s="1124" t="str">
        <f t="shared" si="12"/>
        <v>-</v>
      </c>
      <c r="AZ25" s="1124" t="str">
        <f t="shared" si="12"/>
        <v>-</v>
      </c>
      <c r="BA25" s="1124" t="str">
        <f t="shared" si="12"/>
        <v>-</v>
      </c>
      <c r="BB25" s="1124" t="str">
        <f t="shared" si="12"/>
        <v>-</v>
      </c>
      <c r="BC25" s="1124" t="str">
        <f t="shared" si="12"/>
        <v>-</v>
      </c>
      <c r="BD25" s="1124" t="str">
        <f t="shared" si="12"/>
        <v>-</v>
      </c>
      <c r="BE25" s="1124" t="str">
        <f t="shared" si="12"/>
        <v>-</v>
      </c>
      <c r="BF25" s="1124" t="str">
        <f t="shared" si="12"/>
        <v>-</v>
      </c>
      <c r="BG25" s="1124" t="str">
        <f t="shared" si="12"/>
        <v>-</v>
      </c>
      <c r="BH25" s="1124" t="str">
        <f t="shared" si="12"/>
        <v>-</v>
      </c>
      <c r="BI25" s="1124" t="str">
        <f t="shared" si="12"/>
        <v>-</v>
      </c>
      <c r="BJ25" s="1124" t="str">
        <f t="shared" si="12"/>
        <v>-</v>
      </c>
      <c r="BK25" s="1124" t="str">
        <f t="shared" si="12"/>
        <v>-</v>
      </c>
      <c r="BL25" s="1124" t="str">
        <f t="shared" si="12"/>
        <v>-</v>
      </c>
      <c r="BM25" s="1124" t="str">
        <f t="shared" si="12"/>
        <v>-</v>
      </c>
      <c r="BN25" s="1124" t="str">
        <f t="shared" si="12"/>
        <v>-</v>
      </c>
      <c r="BO25" s="1124" t="str">
        <f t="shared" ref="BO25:BY25" si="13">IFERROR(AVERAGE(BO20:BO24),"-")</f>
        <v>-</v>
      </c>
      <c r="BP25" s="1124" t="str">
        <f t="shared" si="13"/>
        <v>-</v>
      </c>
      <c r="BQ25" s="1124" t="str">
        <f t="shared" si="13"/>
        <v>-</v>
      </c>
      <c r="BR25" s="1124" t="str">
        <f t="shared" si="13"/>
        <v>-</v>
      </c>
      <c r="BS25" s="1124" t="str">
        <f t="shared" si="13"/>
        <v>-</v>
      </c>
      <c r="BT25" s="1124" t="str">
        <f t="shared" si="13"/>
        <v>-</v>
      </c>
      <c r="BU25" s="1124" t="str">
        <f t="shared" si="13"/>
        <v>-</v>
      </c>
      <c r="BV25" s="1124" t="str">
        <f t="shared" si="13"/>
        <v>-</v>
      </c>
      <c r="BW25" s="1124" t="str">
        <f t="shared" si="13"/>
        <v>-</v>
      </c>
      <c r="BX25" s="1124" t="str">
        <f t="shared" si="13"/>
        <v>-</v>
      </c>
      <c r="BY25" s="1124">
        <f t="shared" si="13"/>
        <v>1756</v>
      </c>
      <c r="BZ25" s="1124">
        <f t="shared" ref="BZ25:CV25" si="14">IFERROR(AVERAGE(BZ20:BZ24),"-")</f>
        <v>1756</v>
      </c>
      <c r="CA25" s="1124">
        <f t="shared" si="14"/>
        <v>1756</v>
      </c>
      <c r="CB25" s="1124">
        <f t="shared" si="14"/>
        <v>1757</v>
      </c>
      <c r="CC25" s="1124">
        <f t="shared" si="14"/>
        <v>1721.25</v>
      </c>
      <c r="CD25" s="1124">
        <f t="shared" si="14"/>
        <v>1704.5250000000001</v>
      </c>
      <c r="CE25" s="1124">
        <f t="shared" si="14"/>
        <v>1704.5250000000001</v>
      </c>
      <c r="CF25" s="1124">
        <f t="shared" si="14"/>
        <v>1704.5250000000001</v>
      </c>
      <c r="CG25" s="1124">
        <f t="shared" si="14"/>
        <v>1704.5250000000001</v>
      </c>
      <c r="CH25" s="1124">
        <f t="shared" si="14"/>
        <v>1704.5250000000001</v>
      </c>
      <c r="CI25" s="1124">
        <f t="shared" si="14"/>
        <v>1686.3666666666668</v>
      </c>
      <c r="CJ25" s="1124">
        <f t="shared" si="14"/>
        <v>1637.55</v>
      </c>
      <c r="CK25" s="1124">
        <f t="shared" si="14"/>
        <v>1637.55</v>
      </c>
      <c r="CL25" s="1124">
        <f t="shared" si="14"/>
        <v>1637.55</v>
      </c>
      <c r="CM25" s="1124">
        <f t="shared" si="14"/>
        <v>1637.55</v>
      </c>
      <c r="CN25" s="1124">
        <f t="shared" si="14"/>
        <v>1637.55</v>
      </c>
      <c r="CO25" s="1124">
        <f t="shared" si="14"/>
        <v>1663</v>
      </c>
      <c r="CP25" s="1124">
        <f t="shared" si="14"/>
        <v>1671.5</v>
      </c>
      <c r="CQ25" s="1124">
        <f t="shared" si="14"/>
        <v>1671.5</v>
      </c>
      <c r="CR25" s="1124">
        <f t="shared" si="14"/>
        <v>1671.5</v>
      </c>
      <c r="CS25" s="1124">
        <f t="shared" si="14"/>
        <v>1671.5</v>
      </c>
      <c r="CT25" s="1124">
        <f t="shared" si="14"/>
        <v>1671.5</v>
      </c>
      <c r="CU25" s="1124">
        <f t="shared" si="14"/>
        <v>1671.5</v>
      </c>
      <c r="CV25" s="1124">
        <f t="shared" si="14"/>
        <v>1671.5</v>
      </c>
      <c r="CW25" s="1124">
        <f t="shared" ref="CW25:DB25" si="15">IFERROR(AVERAGE(CW20:CW24),"-")</f>
        <v>1671.5</v>
      </c>
      <c r="CX25" s="1124">
        <f t="shared" si="15"/>
        <v>1671.5</v>
      </c>
      <c r="CY25" s="1124">
        <f t="shared" si="15"/>
        <v>1777</v>
      </c>
      <c r="CZ25" s="1124">
        <f t="shared" si="15"/>
        <v>1777</v>
      </c>
      <c r="DA25" s="1124">
        <f t="shared" si="15"/>
        <v>1777</v>
      </c>
      <c r="DB25" s="1124">
        <f t="shared" si="15"/>
        <v>1857.5</v>
      </c>
      <c r="DC25" s="1124">
        <f t="shared" ref="DC25:DD25" si="16">IFERROR(AVERAGE(DC20:DC24),"-")</f>
        <v>1857.5</v>
      </c>
      <c r="DD25" s="1124">
        <f t="shared" si="16"/>
        <v>1857.5</v>
      </c>
    </row>
    <row r="26" spans="1:108" customFormat="1" x14ac:dyDescent="0.25">
      <c r="A26" s="263"/>
      <c r="B26" s="263"/>
      <c r="C26" s="263"/>
      <c r="D26" s="263"/>
      <c r="E26" s="263"/>
      <c r="F26" s="263"/>
      <c r="G26" s="263"/>
      <c r="H26" s="263"/>
      <c r="I26" s="263"/>
      <c r="J26" s="263"/>
      <c r="K26" s="263"/>
      <c r="L26" s="263"/>
      <c r="M26" s="263"/>
      <c r="N26" s="263"/>
      <c r="O26" s="263"/>
      <c r="P26" s="263"/>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V26" s="950"/>
    </row>
    <row r="27" spans="1:108" customFormat="1" x14ac:dyDescent="0.25">
      <c r="A27" s="263"/>
      <c r="B27" s="113" t="s">
        <v>1216</v>
      </c>
      <c r="C27" s="264">
        <f t="shared" ref="C27:BN27" si="17">C$12</f>
        <v>42522</v>
      </c>
      <c r="D27" s="264">
        <f t="shared" si="17"/>
        <v>42552</v>
      </c>
      <c r="E27" s="264">
        <f t="shared" si="17"/>
        <v>42583</v>
      </c>
      <c r="F27" s="264">
        <f t="shared" si="17"/>
        <v>42614</v>
      </c>
      <c r="G27" s="264">
        <f t="shared" si="17"/>
        <v>42644</v>
      </c>
      <c r="H27" s="264">
        <f t="shared" si="17"/>
        <v>42675</v>
      </c>
      <c r="I27" s="264">
        <f t="shared" si="17"/>
        <v>42705</v>
      </c>
      <c r="J27" s="264">
        <f t="shared" si="17"/>
        <v>42736</v>
      </c>
      <c r="K27" s="264">
        <f t="shared" si="17"/>
        <v>42767</v>
      </c>
      <c r="L27" s="264">
        <f t="shared" si="17"/>
        <v>42795</v>
      </c>
      <c r="M27" s="264">
        <f t="shared" si="17"/>
        <v>42826</v>
      </c>
      <c r="N27" s="264">
        <f t="shared" si="17"/>
        <v>42856</v>
      </c>
      <c r="O27" s="264">
        <f t="shared" si="17"/>
        <v>42887</v>
      </c>
      <c r="P27" s="264">
        <f t="shared" si="17"/>
        <v>42917</v>
      </c>
      <c r="Q27" s="264">
        <f t="shared" si="17"/>
        <v>42948</v>
      </c>
      <c r="R27" s="264">
        <f t="shared" si="17"/>
        <v>42979</v>
      </c>
      <c r="S27" s="264">
        <f t="shared" si="17"/>
        <v>43009</v>
      </c>
      <c r="T27" s="264">
        <f t="shared" si="17"/>
        <v>43040</v>
      </c>
      <c r="U27" s="264">
        <f t="shared" si="17"/>
        <v>43070</v>
      </c>
      <c r="V27" s="264">
        <f t="shared" si="17"/>
        <v>43101</v>
      </c>
      <c r="W27" s="264">
        <f t="shared" si="17"/>
        <v>43132</v>
      </c>
      <c r="X27" s="264">
        <f t="shared" si="17"/>
        <v>43160</v>
      </c>
      <c r="Y27" s="264">
        <f t="shared" si="17"/>
        <v>43191</v>
      </c>
      <c r="Z27" s="264">
        <f t="shared" si="17"/>
        <v>43221</v>
      </c>
      <c r="AA27" s="264">
        <f t="shared" si="17"/>
        <v>43252</v>
      </c>
      <c r="AB27" s="264">
        <f t="shared" si="17"/>
        <v>43283</v>
      </c>
      <c r="AC27" s="264">
        <f t="shared" si="17"/>
        <v>43314</v>
      </c>
      <c r="AD27" s="264">
        <f t="shared" si="17"/>
        <v>43345</v>
      </c>
      <c r="AE27" s="264">
        <f t="shared" si="17"/>
        <v>43376</v>
      </c>
      <c r="AF27" s="264">
        <f t="shared" si="17"/>
        <v>43407</v>
      </c>
      <c r="AG27" s="264">
        <f t="shared" si="17"/>
        <v>43437</v>
      </c>
      <c r="AH27" s="264">
        <f t="shared" si="17"/>
        <v>43468</v>
      </c>
      <c r="AI27" s="264">
        <f t="shared" si="17"/>
        <v>43499</v>
      </c>
      <c r="AJ27" s="264">
        <f t="shared" si="17"/>
        <v>43527</v>
      </c>
      <c r="AK27" s="264">
        <f t="shared" si="17"/>
        <v>43558</v>
      </c>
      <c r="AL27" s="264">
        <f t="shared" si="17"/>
        <v>43587</v>
      </c>
      <c r="AM27" s="264">
        <f t="shared" si="17"/>
        <v>43618</v>
      </c>
      <c r="AN27" s="264">
        <f t="shared" si="17"/>
        <v>43647</v>
      </c>
      <c r="AO27" s="264">
        <f t="shared" si="17"/>
        <v>43678</v>
      </c>
      <c r="AP27" s="264">
        <f t="shared" si="17"/>
        <v>43709</v>
      </c>
      <c r="AQ27" s="264">
        <f t="shared" si="17"/>
        <v>43739</v>
      </c>
      <c r="AR27" s="264">
        <f t="shared" si="17"/>
        <v>43770</v>
      </c>
      <c r="AS27" s="264">
        <f t="shared" si="17"/>
        <v>43800</v>
      </c>
      <c r="AT27" s="264">
        <f t="shared" si="17"/>
        <v>43831</v>
      </c>
      <c r="AU27" s="264">
        <f t="shared" si="17"/>
        <v>43862</v>
      </c>
      <c r="AV27" s="946">
        <f t="shared" si="17"/>
        <v>43891</v>
      </c>
      <c r="AW27" s="264">
        <f t="shared" si="17"/>
        <v>43922</v>
      </c>
      <c r="AX27" s="264">
        <f t="shared" si="17"/>
        <v>43952</v>
      </c>
      <c r="AY27" s="264">
        <f t="shared" si="17"/>
        <v>43983</v>
      </c>
      <c r="AZ27" s="264">
        <f t="shared" si="17"/>
        <v>44013</v>
      </c>
      <c r="BA27" s="264">
        <f t="shared" si="17"/>
        <v>44044</v>
      </c>
      <c r="BB27" s="264">
        <f t="shared" si="17"/>
        <v>44075</v>
      </c>
      <c r="BC27" s="264">
        <f t="shared" si="17"/>
        <v>44105</v>
      </c>
      <c r="BD27" s="264">
        <f t="shared" si="17"/>
        <v>44136</v>
      </c>
      <c r="BE27" s="264">
        <f t="shared" si="17"/>
        <v>44166</v>
      </c>
      <c r="BF27" s="264">
        <f t="shared" si="17"/>
        <v>44197</v>
      </c>
      <c r="BG27" s="264">
        <f t="shared" si="17"/>
        <v>44228</v>
      </c>
      <c r="BH27" s="264">
        <f t="shared" si="17"/>
        <v>44256</v>
      </c>
      <c r="BI27" s="264">
        <f t="shared" si="17"/>
        <v>44287</v>
      </c>
      <c r="BJ27" s="264">
        <f t="shared" si="17"/>
        <v>44317</v>
      </c>
      <c r="BK27" s="264">
        <f t="shared" si="17"/>
        <v>44348</v>
      </c>
      <c r="BL27" s="264">
        <f t="shared" si="17"/>
        <v>44378</v>
      </c>
      <c r="BM27" s="264">
        <f t="shared" si="17"/>
        <v>44409</v>
      </c>
      <c r="BN27" s="264">
        <f t="shared" si="17"/>
        <v>44440</v>
      </c>
      <c r="BO27" s="264">
        <f t="shared" ref="BO27:CB27" si="18">BO$12</f>
        <v>44470</v>
      </c>
      <c r="BP27" s="264">
        <f t="shared" si="18"/>
        <v>44501</v>
      </c>
      <c r="BQ27" s="264">
        <f t="shared" si="18"/>
        <v>44531</v>
      </c>
      <c r="BR27" s="264">
        <f t="shared" si="18"/>
        <v>44562</v>
      </c>
      <c r="BS27" s="264">
        <f t="shared" si="18"/>
        <v>44593</v>
      </c>
      <c r="BT27" s="264">
        <f t="shared" si="18"/>
        <v>44622</v>
      </c>
      <c r="BU27" s="264">
        <f t="shared" si="18"/>
        <v>44654</v>
      </c>
      <c r="BV27" s="264">
        <f t="shared" si="18"/>
        <v>44685</v>
      </c>
      <c r="BW27" s="264">
        <f t="shared" si="18"/>
        <v>44716</v>
      </c>
      <c r="BX27" s="264">
        <f t="shared" si="18"/>
        <v>44746</v>
      </c>
      <c r="BY27" s="264">
        <f t="shared" si="18"/>
        <v>44774</v>
      </c>
      <c r="BZ27" s="264">
        <f t="shared" si="18"/>
        <v>44805</v>
      </c>
      <c r="CA27" s="264">
        <f t="shared" si="18"/>
        <v>44835</v>
      </c>
      <c r="CB27" s="264">
        <f t="shared" si="18"/>
        <v>44866</v>
      </c>
      <c r="CC27" s="264">
        <f t="shared" ref="CC27:DD27" si="19">CC$12</f>
        <v>44896</v>
      </c>
      <c r="CD27" s="264">
        <f t="shared" si="19"/>
        <v>44927</v>
      </c>
      <c r="CE27" s="264">
        <f t="shared" si="19"/>
        <v>44958</v>
      </c>
      <c r="CF27" s="264">
        <f t="shared" si="19"/>
        <v>44986</v>
      </c>
      <c r="CG27" s="264">
        <f t="shared" si="19"/>
        <v>45017</v>
      </c>
      <c r="CH27" s="264">
        <f t="shared" si="19"/>
        <v>45047</v>
      </c>
      <c r="CI27" s="264">
        <f t="shared" si="19"/>
        <v>45078</v>
      </c>
      <c r="CJ27" s="264">
        <f t="shared" si="19"/>
        <v>45108</v>
      </c>
      <c r="CK27" s="264">
        <f t="shared" si="19"/>
        <v>45139</v>
      </c>
      <c r="CL27" s="264">
        <f t="shared" si="19"/>
        <v>45170</v>
      </c>
      <c r="CM27" s="264">
        <f t="shared" si="19"/>
        <v>45200</v>
      </c>
      <c r="CN27" s="264">
        <f t="shared" si="19"/>
        <v>45231</v>
      </c>
      <c r="CO27" s="264">
        <f t="shared" si="19"/>
        <v>45261</v>
      </c>
      <c r="CP27" s="264">
        <f t="shared" si="19"/>
        <v>45292</v>
      </c>
      <c r="CQ27" s="264">
        <f t="shared" si="19"/>
        <v>45323</v>
      </c>
      <c r="CR27" s="264">
        <f t="shared" si="19"/>
        <v>45352</v>
      </c>
      <c r="CS27" s="264">
        <f t="shared" si="19"/>
        <v>45383</v>
      </c>
      <c r="CT27" s="264">
        <f t="shared" si="19"/>
        <v>45413</v>
      </c>
      <c r="CU27" s="264">
        <f t="shared" si="19"/>
        <v>45444</v>
      </c>
      <c r="CV27" s="264">
        <f t="shared" si="19"/>
        <v>45474</v>
      </c>
      <c r="CW27" s="264">
        <f t="shared" si="19"/>
        <v>45505</v>
      </c>
      <c r="CX27" s="264">
        <f t="shared" si="19"/>
        <v>45536</v>
      </c>
      <c r="CY27" s="264">
        <f t="shared" si="19"/>
        <v>45566</v>
      </c>
      <c r="CZ27" s="264">
        <f t="shared" si="19"/>
        <v>45597</v>
      </c>
      <c r="DA27" s="264">
        <f t="shared" si="19"/>
        <v>45627</v>
      </c>
      <c r="DB27" s="264">
        <f t="shared" si="19"/>
        <v>45658</v>
      </c>
      <c r="DC27" s="264">
        <f t="shared" si="19"/>
        <v>45689</v>
      </c>
      <c r="DD27" s="264">
        <f t="shared" si="19"/>
        <v>45717</v>
      </c>
    </row>
    <row r="28" spans="1:108" customFormat="1" x14ac:dyDescent="0.25">
      <c r="A28" s="263"/>
      <c r="B28" s="117" t="s">
        <v>131</v>
      </c>
      <c r="C28" s="265" t="s">
        <v>47</v>
      </c>
      <c r="D28" s="265" t="s">
        <v>47</v>
      </c>
      <c r="E28" s="265" t="s">
        <v>47</v>
      </c>
      <c r="F28" s="266" t="s">
        <v>47</v>
      </c>
      <c r="G28" s="266" t="s">
        <v>47</v>
      </c>
      <c r="H28" s="266" t="s">
        <v>47</v>
      </c>
      <c r="I28" s="266" t="s">
        <v>47</v>
      </c>
      <c r="J28" s="266" t="s">
        <v>47</v>
      </c>
      <c r="K28" s="266" t="s">
        <v>47</v>
      </c>
      <c r="L28" s="593" t="s">
        <v>47</v>
      </c>
      <c r="M28" s="593" t="s">
        <v>47</v>
      </c>
      <c r="N28" s="593" t="s">
        <v>47</v>
      </c>
      <c r="O28" s="593" t="s">
        <v>47</v>
      </c>
      <c r="P28" s="593" t="s">
        <v>47</v>
      </c>
      <c r="Q28" s="593" t="s">
        <v>47</v>
      </c>
      <c r="R28" s="593" t="s">
        <v>47</v>
      </c>
      <c r="S28" s="593" t="s">
        <v>47</v>
      </c>
      <c r="T28" s="593" t="s">
        <v>47</v>
      </c>
      <c r="U28" s="592" t="s">
        <v>47</v>
      </c>
      <c r="V28" s="592" t="s">
        <v>47</v>
      </c>
      <c r="W28" s="592" t="s">
        <v>47</v>
      </c>
      <c r="X28" s="592" t="s">
        <v>47</v>
      </c>
      <c r="Y28" s="592" t="s">
        <v>47</v>
      </c>
      <c r="Z28" s="592" t="s">
        <v>47</v>
      </c>
      <c r="AA28" s="592" t="s">
        <v>47</v>
      </c>
      <c r="AB28" s="592" t="s">
        <v>47</v>
      </c>
      <c r="AC28" s="592" t="s">
        <v>47</v>
      </c>
      <c r="AD28" s="592" t="s">
        <v>47</v>
      </c>
      <c r="AE28" s="592" t="s">
        <v>47</v>
      </c>
      <c r="AF28" s="592" t="s">
        <v>47</v>
      </c>
      <c r="AG28" s="592" t="s">
        <v>47</v>
      </c>
      <c r="AH28" s="592" t="s">
        <v>47</v>
      </c>
      <c r="AI28" s="592" t="s">
        <v>47</v>
      </c>
      <c r="AJ28" s="348" t="s">
        <v>47</v>
      </c>
      <c r="AK28" s="348" t="s">
        <v>47</v>
      </c>
      <c r="AL28" s="348" t="s">
        <v>47</v>
      </c>
      <c r="AM28" s="348" t="s">
        <v>47</v>
      </c>
      <c r="AN28" s="348" t="s">
        <v>47</v>
      </c>
      <c r="AO28" s="348" t="s">
        <v>47</v>
      </c>
      <c r="AP28" s="348" t="s">
        <v>47</v>
      </c>
      <c r="AQ28" s="348" t="s">
        <v>47</v>
      </c>
      <c r="AR28" s="348" t="s">
        <v>47</v>
      </c>
      <c r="AS28" s="348" t="s">
        <v>47</v>
      </c>
      <c r="AT28" s="348" t="s">
        <v>47</v>
      </c>
      <c r="AU28" s="348" t="s">
        <v>47</v>
      </c>
      <c r="AV28" s="962" t="s">
        <v>47</v>
      </c>
      <c r="AW28" s="348" t="s">
        <v>47</v>
      </c>
      <c r="AX28" s="348" t="s">
        <v>47</v>
      </c>
      <c r="AY28" s="348" t="s">
        <v>47</v>
      </c>
      <c r="AZ28" s="348" t="s">
        <v>47</v>
      </c>
      <c r="BA28" s="348" t="s">
        <v>47</v>
      </c>
      <c r="BB28" s="348" t="s">
        <v>47</v>
      </c>
      <c r="BC28" s="348" t="s">
        <v>47</v>
      </c>
      <c r="BD28" s="348" t="s">
        <v>47</v>
      </c>
      <c r="BE28" s="348" t="s">
        <v>47</v>
      </c>
      <c r="BF28" s="592" t="s">
        <v>47</v>
      </c>
      <c r="BG28" s="592" t="s">
        <v>47</v>
      </c>
      <c r="BH28" s="592" t="s">
        <v>47</v>
      </c>
      <c r="BI28" s="592" t="s">
        <v>47</v>
      </c>
      <c r="BJ28" s="592" t="s">
        <v>47</v>
      </c>
      <c r="BK28" s="592" t="s">
        <v>47</v>
      </c>
      <c r="BL28" s="592" t="s">
        <v>47</v>
      </c>
      <c r="BM28" s="592" t="s">
        <v>47</v>
      </c>
      <c r="BN28" s="592" t="s">
        <v>47</v>
      </c>
      <c r="BO28" s="592" t="s">
        <v>47</v>
      </c>
      <c r="BP28" s="592" t="s">
        <v>47</v>
      </c>
      <c r="BQ28" s="592" t="s">
        <v>47</v>
      </c>
      <c r="BR28" s="592" t="s">
        <v>47</v>
      </c>
      <c r="BS28" s="592" t="s">
        <v>47</v>
      </c>
      <c r="BT28" s="592" t="s">
        <v>47</v>
      </c>
      <c r="BU28" s="592" t="s">
        <v>47</v>
      </c>
      <c r="BV28" s="592" t="s">
        <v>47</v>
      </c>
      <c r="BW28" s="592" t="s">
        <v>47</v>
      </c>
      <c r="BX28" s="592" t="s">
        <v>47</v>
      </c>
      <c r="BY28" s="592" t="s">
        <v>47</v>
      </c>
      <c r="BZ28" s="592" t="s">
        <v>47</v>
      </c>
      <c r="CA28" s="592" t="s">
        <v>47</v>
      </c>
      <c r="CB28" s="592" t="s">
        <v>47</v>
      </c>
      <c r="CC28" s="343">
        <v>265</v>
      </c>
      <c r="CD28" s="592">
        <v>265</v>
      </c>
      <c r="CE28" s="592">
        <v>265</v>
      </c>
      <c r="CF28" s="592">
        <v>265</v>
      </c>
      <c r="CG28" s="592">
        <v>265</v>
      </c>
      <c r="CH28" s="592">
        <v>265</v>
      </c>
      <c r="CI28" s="592">
        <v>265</v>
      </c>
      <c r="CJ28" s="592">
        <v>265</v>
      </c>
      <c r="CK28" s="592">
        <v>265</v>
      </c>
      <c r="CL28" s="592">
        <v>265</v>
      </c>
      <c r="CM28" s="592">
        <v>265</v>
      </c>
      <c r="CN28" s="592">
        <v>265</v>
      </c>
      <c r="CO28" s="592">
        <v>265</v>
      </c>
      <c r="CP28" s="697">
        <v>278</v>
      </c>
      <c r="CQ28" s="592">
        <v>278</v>
      </c>
      <c r="CR28" s="592">
        <v>278</v>
      </c>
      <c r="CS28" s="592">
        <v>278</v>
      </c>
      <c r="CT28" s="592">
        <v>278</v>
      </c>
      <c r="CU28" s="592">
        <v>278</v>
      </c>
      <c r="CV28" s="592">
        <v>278</v>
      </c>
      <c r="CW28" s="592">
        <v>278</v>
      </c>
      <c r="CX28" s="592">
        <v>278</v>
      </c>
      <c r="CY28" s="592">
        <v>278</v>
      </c>
      <c r="CZ28" s="592">
        <v>278</v>
      </c>
      <c r="DA28" s="592">
        <v>278</v>
      </c>
      <c r="DB28" s="592">
        <v>278</v>
      </c>
      <c r="DC28" s="592">
        <v>278</v>
      </c>
      <c r="DD28" s="592">
        <v>278</v>
      </c>
    </row>
    <row r="29" spans="1:108" x14ac:dyDescent="0.25">
      <c r="B29" s="117" t="s">
        <v>135</v>
      </c>
      <c r="C29" s="265" t="s">
        <v>47</v>
      </c>
      <c r="D29" s="265" t="s">
        <v>47</v>
      </c>
      <c r="E29" s="265" t="s">
        <v>47</v>
      </c>
      <c r="F29" s="265" t="s">
        <v>47</v>
      </c>
      <c r="G29" s="265" t="s">
        <v>47</v>
      </c>
      <c r="H29" s="266" t="s">
        <v>47</v>
      </c>
      <c r="I29" s="266" t="s">
        <v>47</v>
      </c>
      <c r="J29" s="266" t="s">
        <v>47</v>
      </c>
      <c r="K29" s="266" t="s">
        <v>47</v>
      </c>
      <c r="L29" s="593" t="s">
        <v>47</v>
      </c>
      <c r="M29" s="593" t="s">
        <v>47</v>
      </c>
      <c r="N29" s="593" t="s">
        <v>47</v>
      </c>
      <c r="O29" s="593" t="s">
        <v>47</v>
      </c>
      <c r="P29" s="593" t="s">
        <v>47</v>
      </c>
      <c r="Q29" s="593" t="s">
        <v>47</v>
      </c>
      <c r="R29" s="593" t="s">
        <v>47</v>
      </c>
      <c r="S29" s="593" t="s">
        <v>47</v>
      </c>
      <c r="T29" s="593" t="s">
        <v>47</v>
      </c>
      <c r="U29" s="593" t="s">
        <v>47</v>
      </c>
      <c r="V29" s="593" t="s">
        <v>47</v>
      </c>
      <c r="W29" s="593" t="s">
        <v>47</v>
      </c>
      <c r="X29" s="593" t="s">
        <v>47</v>
      </c>
      <c r="Y29" s="593" t="s">
        <v>47</v>
      </c>
      <c r="Z29" s="593" t="s">
        <v>47</v>
      </c>
      <c r="AA29" s="593" t="s">
        <v>47</v>
      </c>
      <c r="AB29" s="593" t="s">
        <v>47</v>
      </c>
      <c r="AC29" s="593" t="s">
        <v>47</v>
      </c>
      <c r="AD29" s="593" t="s">
        <v>47</v>
      </c>
      <c r="AE29" s="593" t="s">
        <v>47</v>
      </c>
      <c r="AF29" s="592" t="s">
        <v>47</v>
      </c>
      <c r="AG29" s="593" t="s">
        <v>47</v>
      </c>
      <c r="AH29" s="593" t="s">
        <v>47</v>
      </c>
      <c r="AI29" s="593" t="s">
        <v>47</v>
      </c>
      <c r="AJ29" s="348" t="s">
        <v>47</v>
      </c>
      <c r="AK29" s="348" t="s">
        <v>47</v>
      </c>
      <c r="AL29" s="348" t="s">
        <v>47</v>
      </c>
      <c r="AM29" s="348" t="s">
        <v>47</v>
      </c>
      <c r="AN29" s="348" t="s">
        <v>47</v>
      </c>
      <c r="AO29" s="348" t="s">
        <v>47</v>
      </c>
      <c r="AP29" s="348" t="s">
        <v>47</v>
      </c>
      <c r="AQ29" s="348" t="s">
        <v>47</v>
      </c>
      <c r="AR29" s="348" t="s">
        <v>47</v>
      </c>
      <c r="AS29" s="348" t="s">
        <v>47</v>
      </c>
      <c r="AT29" s="348" t="s">
        <v>47</v>
      </c>
      <c r="AU29" s="348" t="s">
        <v>47</v>
      </c>
      <c r="AV29" s="962" t="s">
        <v>47</v>
      </c>
      <c r="AW29" s="348" t="s">
        <v>47</v>
      </c>
      <c r="AX29" s="348" t="s">
        <v>47</v>
      </c>
      <c r="AY29" s="348" t="s">
        <v>47</v>
      </c>
      <c r="AZ29" s="348" t="s">
        <v>47</v>
      </c>
      <c r="BA29" s="348" t="s">
        <v>47</v>
      </c>
      <c r="BB29" s="348" t="s">
        <v>47</v>
      </c>
      <c r="BC29" s="348" t="s">
        <v>47</v>
      </c>
      <c r="BD29" s="348" t="s">
        <v>47</v>
      </c>
      <c r="BE29" s="348" t="s">
        <v>47</v>
      </c>
      <c r="BF29" s="348" t="s">
        <v>47</v>
      </c>
      <c r="BG29" s="348" t="s">
        <v>47</v>
      </c>
      <c r="BH29" s="348" t="s">
        <v>47</v>
      </c>
      <c r="BI29" s="348" t="s">
        <v>47</v>
      </c>
      <c r="BJ29" s="348" t="s">
        <v>47</v>
      </c>
      <c r="BK29" s="348" t="s">
        <v>47</v>
      </c>
      <c r="BL29" s="348" t="s">
        <v>47</v>
      </c>
      <c r="BM29" s="348" t="s">
        <v>47</v>
      </c>
      <c r="BN29" s="592" t="s">
        <v>47</v>
      </c>
      <c r="BO29" s="592" t="s">
        <v>47</v>
      </c>
      <c r="BP29" s="592" t="s">
        <v>47</v>
      </c>
      <c r="BQ29" s="592" t="s">
        <v>47</v>
      </c>
      <c r="BR29" s="592" t="s">
        <v>47</v>
      </c>
      <c r="BS29" s="592" t="s">
        <v>47</v>
      </c>
      <c r="BT29" s="592" t="s">
        <v>47</v>
      </c>
      <c r="BU29" s="592" t="s">
        <v>47</v>
      </c>
      <c r="BV29" s="592" t="s">
        <v>47</v>
      </c>
      <c r="BW29" s="592" t="s">
        <v>47</v>
      </c>
      <c r="BX29" s="592" t="s">
        <v>47</v>
      </c>
      <c r="BY29" s="592" t="s">
        <v>47</v>
      </c>
      <c r="BZ29" s="592" t="s">
        <v>47</v>
      </c>
      <c r="CA29" s="592" t="s">
        <v>47</v>
      </c>
      <c r="CB29" s="592" t="s">
        <v>47</v>
      </c>
      <c r="CC29" s="592" t="s">
        <v>47</v>
      </c>
      <c r="CD29" s="592" t="s">
        <v>47</v>
      </c>
      <c r="CE29" s="592" t="s">
        <v>47</v>
      </c>
      <c r="CF29" s="592" t="s">
        <v>47</v>
      </c>
      <c r="CG29" s="592" t="s">
        <v>47</v>
      </c>
      <c r="CH29" s="592" t="s">
        <v>47</v>
      </c>
      <c r="CI29" s="592" t="s">
        <v>47</v>
      </c>
      <c r="CJ29" s="592" t="s">
        <v>47</v>
      </c>
      <c r="CK29" s="592" t="s">
        <v>47</v>
      </c>
      <c r="CL29" s="592" t="s">
        <v>47</v>
      </c>
      <c r="CM29" s="592" t="s">
        <v>47</v>
      </c>
      <c r="CN29" s="592" t="s">
        <v>47</v>
      </c>
      <c r="CO29" s="592" t="s">
        <v>47</v>
      </c>
      <c r="CP29" s="592" t="s">
        <v>47</v>
      </c>
      <c r="CQ29" s="592" t="s">
        <v>47</v>
      </c>
      <c r="CR29" s="592" t="s">
        <v>47</v>
      </c>
      <c r="CS29" s="592" t="s">
        <v>47</v>
      </c>
      <c r="CT29" s="592" t="s">
        <v>47</v>
      </c>
      <c r="CU29" s="592" t="s">
        <v>47</v>
      </c>
      <c r="CV29" s="592" t="s">
        <v>47</v>
      </c>
      <c r="CW29" s="592" t="s">
        <v>47</v>
      </c>
      <c r="CX29" s="592" t="s">
        <v>47</v>
      </c>
      <c r="CY29" s="592" t="s">
        <v>47</v>
      </c>
      <c r="CZ29" s="592" t="s">
        <v>47</v>
      </c>
      <c r="DA29" s="592" t="s">
        <v>47</v>
      </c>
      <c r="DB29" s="592" t="s">
        <v>47</v>
      </c>
      <c r="DC29" s="592" t="s">
        <v>47</v>
      </c>
      <c r="DD29" s="592" t="s">
        <v>47</v>
      </c>
    </row>
    <row r="30" spans="1:108" x14ac:dyDescent="0.25">
      <c r="B30" s="117" t="s">
        <v>142</v>
      </c>
      <c r="C30" s="265" t="s">
        <v>47</v>
      </c>
      <c r="D30" s="265" t="s">
        <v>47</v>
      </c>
      <c r="E30" s="265" t="s">
        <v>47</v>
      </c>
      <c r="F30" s="265" t="s">
        <v>47</v>
      </c>
      <c r="G30" s="265" t="s">
        <v>47</v>
      </c>
      <c r="H30" s="265" t="s">
        <v>47</v>
      </c>
      <c r="I30" s="265" t="s">
        <v>47</v>
      </c>
      <c r="J30" s="265" t="s">
        <v>47</v>
      </c>
      <c r="K30" s="265" t="s">
        <v>47</v>
      </c>
      <c r="L30" s="353" t="s">
        <v>47</v>
      </c>
      <c r="M30" s="353" t="s">
        <v>47</v>
      </c>
      <c r="N30" s="353" t="s">
        <v>47</v>
      </c>
      <c r="O30" s="593" t="s">
        <v>47</v>
      </c>
      <c r="P30" s="593" t="s">
        <v>47</v>
      </c>
      <c r="Q30" s="593" t="s">
        <v>47</v>
      </c>
      <c r="R30" s="593" t="s">
        <v>47</v>
      </c>
      <c r="S30" s="593" t="s">
        <v>47</v>
      </c>
      <c r="T30" s="593" t="s">
        <v>47</v>
      </c>
      <c r="U30" s="593" t="s">
        <v>47</v>
      </c>
      <c r="V30" s="593" t="s">
        <v>47</v>
      </c>
      <c r="W30" s="592" t="s">
        <v>47</v>
      </c>
      <c r="X30" s="592" t="s">
        <v>47</v>
      </c>
      <c r="Y30" s="592" t="s">
        <v>47</v>
      </c>
      <c r="Z30" s="592" t="s">
        <v>47</v>
      </c>
      <c r="AA30" s="592" t="s">
        <v>47</v>
      </c>
      <c r="AB30" s="592" t="s">
        <v>47</v>
      </c>
      <c r="AC30" s="592" t="s">
        <v>47</v>
      </c>
      <c r="AD30" s="592" t="s">
        <v>47</v>
      </c>
      <c r="AE30" s="592" t="s">
        <v>47</v>
      </c>
      <c r="AF30" s="592" t="s">
        <v>47</v>
      </c>
      <c r="AG30" s="593" t="s">
        <v>47</v>
      </c>
      <c r="AH30" s="593" t="s">
        <v>47</v>
      </c>
      <c r="AI30" s="593" t="s">
        <v>47</v>
      </c>
      <c r="AJ30" s="348" t="s">
        <v>47</v>
      </c>
      <c r="AK30" s="348" t="s">
        <v>47</v>
      </c>
      <c r="AL30" s="348" t="s">
        <v>47</v>
      </c>
      <c r="AM30" s="348" t="s">
        <v>47</v>
      </c>
      <c r="AN30" s="348" t="s">
        <v>47</v>
      </c>
      <c r="AO30" s="348" t="s">
        <v>47</v>
      </c>
      <c r="AP30" s="348" t="s">
        <v>47</v>
      </c>
      <c r="AQ30" s="348" t="s">
        <v>47</v>
      </c>
      <c r="AR30" s="348" t="s">
        <v>47</v>
      </c>
      <c r="AS30" s="348" t="s">
        <v>47</v>
      </c>
      <c r="AT30" s="348" t="s">
        <v>47</v>
      </c>
      <c r="AU30" s="348" t="s">
        <v>47</v>
      </c>
      <c r="AV30" s="962" t="s">
        <v>47</v>
      </c>
      <c r="AW30" s="350" t="s">
        <v>47</v>
      </c>
      <c r="AX30" s="350" t="s">
        <v>47</v>
      </c>
      <c r="AY30" s="348" t="s">
        <v>47</v>
      </c>
      <c r="AZ30" s="348" t="s">
        <v>47</v>
      </c>
      <c r="BA30" s="348" t="s">
        <v>47</v>
      </c>
      <c r="BB30" s="348" t="s">
        <v>47</v>
      </c>
      <c r="BC30" s="348" t="s">
        <v>47</v>
      </c>
      <c r="BD30" s="348" t="s">
        <v>47</v>
      </c>
      <c r="BE30" s="348" t="s">
        <v>47</v>
      </c>
      <c r="BF30" s="348" t="s">
        <v>47</v>
      </c>
      <c r="BG30" s="348" t="s">
        <v>47</v>
      </c>
      <c r="BH30" s="348" t="s">
        <v>47</v>
      </c>
      <c r="BI30" s="348" t="s">
        <v>47</v>
      </c>
      <c r="BJ30" s="348" t="s">
        <v>47</v>
      </c>
      <c r="BK30" s="348" t="s">
        <v>47</v>
      </c>
      <c r="BL30" s="348" t="s">
        <v>47</v>
      </c>
      <c r="BM30" s="348" t="s">
        <v>47</v>
      </c>
      <c r="BN30" s="592" t="s">
        <v>47</v>
      </c>
      <c r="BO30" s="592" t="s">
        <v>47</v>
      </c>
      <c r="BP30" s="592" t="s">
        <v>47</v>
      </c>
      <c r="BQ30" s="592" t="s">
        <v>47</v>
      </c>
      <c r="BR30" s="592" t="s">
        <v>47</v>
      </c>
      <c r="BS30" s="592" t="s">
        <v>47</v>
      </c>
      <c r="BT30" s="592" t="s">
        <v>47</v>
      </c>
      <c r="BU30" s="592" t="s">
        <v>47</v>
      </c>
      <c r="BV30" s="592" t="s">
        <v>47</v>
      </c>
      <c r="BW30" s="592" t="s">
        <v>47</v>
      </c>
      <c r="BX30" s="592" t="s">
        <v>47</v>
      </c>
      <c r="BY30" s="592">
        <v>304</v>
      </c>
      <c r="BZ30" s="592">
        <v>304</v>
      </c>
      <c r="CA30" s="592">
        <v>304</v>
      </c>
      <c r="CB30" s="592">
        <v>304</v>
      </c>
      <c r="CC30" s="592">
        <v>304</v>
      </c>
      <c r="CD30" s="592">
        <v>304</v>
      </c>
      <c r="CE30" s="592">
        <v>304</v>
      </c>
      <c r="CF30" s="592">
        <v>304</v>
      </c>
      <c r="CG30" s="592">
        <v>304</v>
      </c>
      <c r="CH30" s="592">
        <v>304</v>
      </c>
      <c r="CI30" s="592">
        <v>304</v>
      </c>
      <c r="CJ30" s="592" t="s">
        <v>47</v>
      </c>
      <c r="CK30" s="592" t="s">
        <v>47</v>
      </c>
      <c r="CL30" s="592" t="s">
        <v>47</v>
      </c>
      <c r="CM30" s="592" t="s">
        <v>47</v>
      </c>
      <c r="CN30" s="592" t="s">
        <v>47</v>
      </c>
      <c r="CO30" s="592" t="s">
        <v>47</v>
      </c>
      <c r="CP30" s="592" t="s">
        <v>47</v>
      </c>
      <c r="CQ30" s="592" t="s">
        <v>47</v>
      </c>
      <c r="CR30" s="592" t="s">
        <v>47</v>
      </c>
      <c r="CS30" s="592" t="s">
        <v>47</v>
      </c>
      <c r="CT30" s="592" t="s">
        <v>47</v>
      </c>
      <c r="CU30" s="592" t="s">
        <v>47</v>
      </c>
      <c r="CV30" s="592" t="s">
        <v>47</v>
      </c>
      <c r="CW30" s="592" t="s">
        <v>47</v>
      </c>
      <c r="CX30" s="592" t="s">
        <v>47</v>
      </c>
      <c r="CY30" s="592" t="s">
        <v>47</v>
      </c>
      <c r="CZ30" s="592" t="s">
        <v>47</v>
      </c>
      <c r="DA30" s="592" t="s">
        <v>47</v>
      </c>
      <c r="DB30" s="592" t="s">
        <v>47</v>
      </c>
      <c r="DC30" s="592" t="s">
        <v>47</v>
      </c>
      <c r="DD30" s="592" t="s">
        <v>47</v>
      </c>
    </row>
    <row r="31" spans="1:108" x14ac:dyDescent="0.25">
      <c r="B31" s="117" t="s">
        <v>136</v>
      </c>
      <c r="C31" s="265" t="s">
        <v>47</v>
      </c>
      <c r="D31" s="265" t="s">
        <v>47</v>
      </c>
      <c r="E31" s="265" t="s">
        <v>47</v>
      </c>
      <c r="F31" s="265" t="s">
        <v>47</v>
      </c>
      <c r="G31" s="266" t="s">
        <v>47</v>
      </c>
      <c r="H31" s="266" t="s">
        <v>47</v>
      </c>
      <c r="I31" s="266" t="s">
        <v>47</v>
      </c>
      <c r="J31" s="266" t="s">
        <v>47</v>
      </c>
      <c r="K31" s="266" t="s">
        <v>47</v>
      </c>
      <c r="L31" s="593" t="s">
        <v>47</v>
      </c>
      <c r="M31" s="593" t="s">
        <v>47</v>
      </c>
      <c r="N31" s="593" t="s">
        <v>47</v>
      </c>
      <c r="O31" s="593" t="s">
        <v>47</v>
      </c>
      <c r="P31" s="593" t="s">
        <v>47</v>
      </c>
      <c r="Q31" s="593" t="s">
        <v>47</v>
      </c>
      <c r="R31" s="593" t="s">
        <v>47</v>
      </c>
      <c r="S31" s="593" t="s">
        <v>47</v>
      </c>
      <c r="T31" s="593" t="s">
        <v>47</v>
      </c>
      <c r="U31" s="593" t="s">
        <v>47</v>
      </c>
      <c r="V31" s="592" t="s">
        <v>47</v>
      </c>
      <c r="W31" s="593" t="s">
        <v>47</v>
      </c>
      <c r="X31" s="593" t="s">
        <v>47</v>
      </c>
      <c r="Y31" s="593" t="s">
        <v>47</v>
      </c>
      <c r="Z31" s="593" t="s">
        <v>47</v>
      </c>
      <c r="AA31" s="593" t="s">
        <v>47</v>
      </c>
      <c r="AB31" s="593" t="s">
        <v>47</v>
      </c>
      <c r="AC31" s="593" t="s">
        <v>47</v>
      </c>
      <c r="AD31" s="592" t="s">
        <v>47</v>
      </c>
      <c r="AE31" s="593" t="s">
        <v>47</v>
      </c>
      <c r="AF31" s="593" t="s">
        <v>47</v>
      </c>
      <c r="AG31" s="593" t="s">
        <v>47</v>
      </c>
      <c r="AH31" s="593" t="s">
        <v>47</v>
      </c>
      <c r="AI31" s="593" t="s">
        <v>47</v>
      </c>
      <c r="AJ31" s="348" t="s">
        <v>47</v>
      </c>
      <c r="AK31" s="348" t="s">
        <v>47</v>
      </c>
      <c r="AL31" s="348" t="s">
        <v>47</v>
      </c>
      <c r="AM31" s="348" t="s">
        <v>47</v>
      </c>
      <c r="AN31" s="348" t="s">
        <v>47</v>
      </c>
      <c r="AO31" s="348" t="s">
        <v>47</v>
      </c>
      <c r="AP31" s="348" t="s">
        <v>47</v>
      </c>
      <c r="AQ31" s="348" t="s">
        <v>47</v>
      </c>
      <c r="AR31" s="348" t="s">
        <v>47</v>
      </c>
      <c r="AS31" s="348" t="s">
        <v>47</v>
      </c>
      <c r="AT31" s="348" t="s">
        <v>47</v>
      </c>
      <c r="AU31" s="348" t="s">
        <v>47</v>
      </c>
      <c r="AV31" s="962" t="s">
        <v>47</v>
      </c>
      <c r="AW31" s="348" t="s">
        <v>47</v>
      </c>
      <c r="AX31" s="348" t="s">
        <v>47</v>
      </c>
      <c r="AY31" s="348" t="s">
        <v>47</v>
      </c>
      <c r="AZ31" s="348" t="s">
        <v>47</v>
      </c>
      <c r="BA31" s="348" t="s">
        <v>47</v>
      </c>
      <c r="BB31" s="348" t="s">
        <v>47</v>
      </c>
      <c r="BC31" s="348" t="s">
        <v>47</v>
      </c>
      <c r="BD31" s="348" t="s">
        <v>47</v>
      </c>
      <c r="BE31" s="348" t="s">
        <v>47</v>
      </c>
      <c r="BF31" s="348" t="s">
        <v>47</v>
      </c>
      <c r="BG31" s="348" t="s">
        <v>47</v>
      </c>
      <c r="BH31" s="348" t="s">
        <v>47</v>
      </c>
      <c r="BI31" s="348" t="s">
        <v>47</v>
      </c>
      <c r="BJ31" s="348" t="s">
        <v>47</v>
      </c>
      <c r="BK31" s="348" t="s">
        <v>47</v>
      </c>
      <c r="BL31" s="348" t="s">
        <v>47</v>
      </c>
      <c r="BM31" s="348" t="s">
        <v>47</v>
      </c>
      <c r="BN31" s="592" t="s">
        <v>47</v>
      </c>
      <c r="BO31" s="592" t="s">
        <v>47</v>
      </c>
      <c r="BP31" s="592" t="s">
        <v>47</v>
      </c>
      <c r="BQ31" s="592" t="s">
        <v>47</v>
      </c>
      <c r="BR31" s="592" t="s">
        <v>47</v>
      </c>
      <c r="BS31" s="592" t="s">
        <v>47</v>
      </c>
      <c r="BT31" s="592" t="s">
        <v>47</v>
      </c>
      <c r="BU31" s="592" t="s">
        <v>47</v>
      </c>
      <c r="BV31" s="592" t="s">
        <v>47</v>
      </c>
      <c r="BW31" s="592" t="s">
        <v>47</v>
      </c>
      <c r="BX31" s="592" t="s">
        <v>47</v>
      </c>
      <c r="BY31" s="592">
        <v>285</v>
      </c>
      <c r="BZ31" s="592">
        <v>285</v>
      </c>
      <c r="CA31" s="592">
        <v>285</v>
      </c>
      <c r="CB31" s="592">
        <v>285</v>
      </c>
      <c r="CC31" s="592">
        <v>285</v>
      </c>
      <c r="CD31" s="343">
        <v>286.2</v>
      </c>
      <c r="CE31" s="592">
        <v>286.2</v>
      </c>
      <c r="CF31" s="592">
        <v>286.2</v>
      </c>
      <c r="CG31" s="592">
        <v>286.2</v>
      </c>
      <c r="CH31" s="592">
        <v>286.2</v>
      </c>
      <c r="CI31" s="592">
        <v>286.2</v>
      </c>
      <c r="CJ31" s="592">
        <v>286.2</v>
      </c>
      <c r="CK31" s="592">
        <v>286.2</v>
      </c>
      <c r="CL31" s="592">
        <v>286.2</v>
      </c>
      <c r="CM31" s="592">
        <v>286.2</v>
      </c>
      <c r="CN31" s="592">
        <v>286.2</v>
      </c>
      <c r="CO31" s="592">
        <v>299</v>
      </c>
      <c r="CP31" s="592">
        <v>299</v>
      </c>
      <c r="CQ31" s="592">
        <v>299</v>
      </c>
      <c r="CR31" s="592">
        <v>299</v>
      </c>
      <c r="CS31" s="592">
        <v>299</v>
      </c>
      <c r="CT31" s="592">
        <v>299</v>
      </c>
      <c r="CU31" s="592">
        <v>299</v>
      </c>
      <c r="CV31" s="592">
        <v>299</v>
      </c>
      <c r="CW31" s="592">
        <v>299</v>
      </c>
      <c r="CX31" s="592">
        <v>299</v>
      </c>
      <c r="CY31" s="697">
        <v>352</v>
      </c>
      <c r="CZ31" s="592">
        <v>352</v>
      </c>
      <c r="DA31" s="592">
        <v>352</v>
      </c>
      <c r="DB31" s="697">
        <v>394</v>
      </c>
      <c r="DC31" s="592">
        <v>394</v>
      </c>
      <c r="DD31" s="592">
        <v>394</v>
      </c>
    </row>
    <row r="32" spans="1:108" x14ac:dyDescent="0.25">
      <c r="B32" s="117" t="s">
        <v>1218</v>
      </c>
      <c r="C32" s="348" t="s">
        <v>47</v>
      </c>
      <c r="D32" s="348" t="s">
        <v>47</v>
      </c>
      <c r="E32" s="348" t="s">
        <v>47</v>
      </c>
      <c r="F32" s="348" t="s">
        <v>47</v>
      </c>
      <c r="G32" s="348" t="s">
        <v>47</v>
      </c>
      <c r="H32" s="348" t="s">
        <v>47</v>
      </c>
      <c r="I32" s="348" t="s">
        <v>47</v>
      </c>
      <c r="J32" s="348" t="s">
        <v>47</v>
      </c>
      <c r="K32" s="348" t="s">
        <v>47</v>
      </c>
      <c r="L32" s="348" t="s">
        <v>47</v>
      </c>
      <c r="M32" s="348" t="s">
        <v>47</v>
      </c>
      <c r="N32" s="348" t="s">
        <v>47</v>
      </c>
      <c r="O32" s="348" t="s">
        <v>47</v>
      </c>
      <c r="P32" s="348" t="s">
        <v>47</v>
      </c>
      <c r="Q32" s="348" t="s">
        <v>47</v>
      </c>
      <c r="R32" s="348" t="s">
        <v>47</v>
      </c>
      <c r="S32" s="348" t="s">
        <v>47</v>
      </c>
      <c r="T32" s="348" t="s">
        <v>47</v>
      </c>
      <c r="U32" s="348" t="s">
        <v>47</v>
      </c>
      <c r="V32" s="348" t="s">
        <v>47</v>
      </c>
      <c r="W32" s="348" t="s">
        <v>47</v>
      </c>
      <c r="X32" s="348" t="s">
        <v>47</v>
      </c>
      <c r="Y32" s="348" t="s">
        <v>47</v>
      </c>
      <c r="Z32" s="348" t="s">
        <v>47</v>
      </c>
      <c r="AA32" s="348" t="s">
        <v>47</v>
      </c>
      <c r="AB32" s="348" t="s">
        <v>47</v>
      </c>
      <c r="AC32" s="348" t="s">
        <v>47</v>
      </c>
      <c r="AD32" s="348" t="s">
        <v>47</v>
      </c>
      <c r="AE32" s="348" t="s">
        <v>47</v>
      </c>
      <c r="AF32" s="348" t="s">
        <v>47</v>
      </c>
      <c r="AG32" s="348" t="s">
        <v>47</v>
      </c>
      <c r="AH32" s="348" t="s">
        <v>47</v>
      </c>
      <c r="AI32" s="348" t="s">
        <v>47</v>
      </c>
      <c r="AJ32" s="348" t="s">
        <v>47</v>
      </c>
      <c r="AK32" s="348" t="s">
        <v>47</v>
      </c>
      <c r="AL32" s="348" t="s">
        <v>47</v>
      </c>
      <c r="AM32" s="348" t="s">
        <v>47</v>
      </c>
      <c r="AN32" s="348" t="s">
        <v>47</v>
      </c>
      <c r="AO32" s="348" t="s">
        <v>47</v>
      </c>
      <c r="AP32" s="348" t="s">
        <v>47</v>
      </c>
      <c r="AQ32" s="348" t="s">
        <v>47</v>
      </c>
      <c r="AR32" s="348" t="s">
        <v>47</v>
      </c>
      <c r="AS32" s="348" t="s">
        <v>47</v>
      </c>
      <c r="AT32" s="348" t="s">
        <v>47</v>
      </c>
      <c r="AU32" s="348" t="s">
        <v>47</v>
      </c>
      <c r="AV32" s="348" t="s">
        <v>47</v>
      </c>
      <c r="AW32" s="348" t="s">
        <v>47</v>
      </c>
      <c r="AX32" s="348" t="s">
        <v>47</v>
      </c>
      <c r="AY32" s="348" t="s">
        <v>47</v>
      </c>
      <c r="AZ32" s="348" t="s">
        <v>47</v>
      </c>
      <c r="BA32" s="348" t="s">
        <v>47</v>
      </c>
      <c r="BB32" s="348" t="s">
        <v>47</v>
      </c>
      <c r="BC32" s="348" t="s">
        <v>47</v>
      </c>
      <c r="BD32" s="348" t="s">
        <v>47</v>
      </c>
      <c r="BE32" s="348" t="s">
        <v>47</v>
      </c>
      <c r="BF32" s="348" t="s">
        <v>47</v>
      </c>
      <c r="BG32" s="348" t="s">
        <v>47</v>
      </c>
      <c r="BH32" s="348" t="s">
        <v>47</v>
      </c>
      <c r="BI32" s="348" t="s">
        <v>47</v>
      </c>
      <c r="BJ32" s="348" t="s">
        <v>47</v>
      </c>
      <c r="BK32" s="348" t="s">
        <v>47</v>
      </c>
      <c r="BL32" s="348" t="s">
        <v>47</v>
      </c>
      <c r="BM32" s="348" t="s">
        <v>47</v>
      </c>
      <c r="BN32" s="592" t="s">
        <v>47</v>
      </c>
      <c r="BO32" s="592" t="s">
        <v>47</v>
      </c>
      <c r="BP32" s="592" t="s">
        <v>47</v>
      </c>
      <c r="BQ32" s="592" t="s">
        <v>47</v>
      </c>
      <c r="BR32" s="592" t="s">
        <v>47</v>
      </c>
      <c r="BS32" s="592" t="s">
        <v>47</v>
      </c>
      <c r="BT32" s="592" t="s">
        <v>47</v>
      </c>
      <c r="BU32" s="592" t="s">
        <v>47</v>
      </c>
      <c r="BV32" s="592" t="s">
        <v>47</v>
      </c>
      <c r="BW32" s="592" t="s">
        <v>47</v>
      </c>
      <c r="BX32" s="592" t="s">
        <v>47</v>
      </c>
      <c r="BY32" s="592" t="s">
        <v>47</v>
      </c>
      <c r="BZ32" s="592" t="s">
        <v>47</v>
      </c>
      <c r="CA32" s="592" t="s">
        <v>47</v>
      </c>
      <c r="CB32" s="592">
        <v>293</v>
      </c>
      <c r="CC32" s="592">
        <v>293</v>
      </c>
      <c r="CD32" s="592">
        <v>293</v>
      </c>
      <c r="CE32" s="592">
        <v>293</v>
      </c>
      <c r="CF32" s="592">
        <v>293</v>
      </c>
      <c r="CG32" s="592">
        <v>293</v>
      </c>
      <c r="CH32" s="592">
        <v>293</v>
      </c>
      <c r="CI32" s="592" t="s">
        <v>47</v>
      </c>
      <c r="CJ32" s="592" t="s">
        <v>47</v>
      </c>
      <c r="CK32" s="592" t="s">
        <v>47</v>
      </c>
      <c r="CL32" s="592" t="s">
        <v>47</v>
      </c>
      <c r="CM32" s="592" t="s">
        <v>47</v>
      </c>
      <c r="CN32" s="592" t="s">
        <v>47</v>
      </c>
      <c r="CO32" s="592" t="s">
        <v>47</v>
      </c>
      <c r="CP32" s="592" t="s">
        <v>47</v>
      </c>
      <c r="CQ32" s="592" t="s">
        <v>47</v>
      </c>
      <c r="CR32" s="592" t="s">
        <v>47</v>
      </c>
      <c r="CS32" s="592" t="s">
        <v>47</v>
      </c>
      <c r="CT32" s="592" t="s">
        <v>47</v>
      </c>
      <c r="CU32" s="592" t="s">
        <v>47</v>
      </c>
      <c r="CV32" s="592" t="s">
        <v>47</v>
      </c>
      <c r="CW32" s="592" t="s">
        <v>47</v>
      </c>
      <c r="CX32" s="592" t="s">
        <v>47</v>
      </c>
      <c r="CY32" s="592" t="s">
        <v>47</v>
      </c>
      <c r="CZ32" s="592" t="s">
        <v>47</v>
      </c>
      <c r="DA32" s="592" t="s">
        <v>47</v>
      </c>
      <c r="DB32" s="592" t="s">
        <v>47</v>
      </c>
      <c r="DC32" s="592" t="s">
        <v>47</v>
      </c>
      <c r="DD32" s="592" t="s">
        <v>47</v>
      </c>
    </row>
    <row r="33" spans="1:108" x14ac:dyDescent="0.25">
      <c r="A33"/>
      <c r="B33" s="1117" t="s">
        <v>381</v>
      </c>
      <c r="C33" s="1118" t="str">
        <f t="shared" ref="C33:K33" si="20">IFERROR(AVERAGE(C28:C31),"-")</f>
        <v>-</v>
      </c>
      <c r="D33" s="1118" t="str">
        <f t="shared" si="20"/>
        <v>-</v>
      </c>
      <c r="E33" s="1118" t="str">
        <f t="shared" si="20"/>
        <v>-</v>
      </c>
      <c r="F33" s="1118" t="str">
        <f t="shared" si="20"/>
        <v>-</v>
      </c>
      <c r="G33" s="1118" t="str">
        <f t="shared" si="20"/>
        <v>-</v>
      </c>
      <c r="H33" s="1118" t="str">
        <f t="shared" si="20"/>
        <v>-</v>
      </c>
      <c r="I33" s="1118" t="str">
        <f t="shared" si="20"/>
        <v>-</v>
      </c>
      <c r="J33" s="1118" t="str">
        <f t="shared" si="20"/>
        <v>-</v>
      </c>
      <c r="K33" s="1118" t="str">
        <f t="shared" si="20"/>
        <v>-</v>
      </c>
      <c r="L33" s="1120" t="s">
        <v>47</v>
      </c>
      <c r="M33" s="1120" t="s">
        <v>47</v>
      </c>
      <c r="N33" s="1120" t="s">
        <v>47</v>
      </c>
      <c r="O33" s="1120" t="s">
        <v>47</v>
      </c>
      <c r="P33" s="1120" t="s">
        <v>47</v>
      </c>
      <c r="Q33" s="1120" t="s">
        <v>47</v>
      </c>
      <c r="R33" s="1120" t="s">
        <v>47</v>
      </c>
      <c r="S33" s="1120" t="s">
        <v>47</v>
      </c>
      <c r="T33" s="1120" t="s">
        <v>47</v>
      </c>
      <c r="U33" s="1120" t="s">
        <v>47</v>
      </c>
      <c r="V33" s="1121" t="str">
        <f t="shared" ref="V33:AR33" si="21">IFERROR(AVERAGE(V28:V31),"-")</f>
        <v>-</v>
      </c>
      <c r="W33" s="1121" t="str">
        <f t="shared" si="21"/>
        <v>-</v>
      </c>
      <c r="X33" s="1121" t="str">
        <f t="shared" si="21"/>
        <v>-</v>
      </c>
      <c r="Y33" s="1121" t="str">
        <f t="shared" si="21"/>
        <v>-</v>
      </c>
      <c r="Z33" s="1121" t="str">
        <f t="shared" si="21"/>
        <v>-</v>
      </c>
      <c r="AA33" s="1121" t="str">
        <f t="shared" si="21"/>
        <v>-</v>
      </c>
      <c r="AB33" s="1121" t="str">
        <f t="shared" si="21"/>
        <v>-</v>
      </c>
      <c r="AC33" s="1121" t="str">
        <f t="shared" si="21"/>
        <v>-</v>
      </c>
      <c r="AD33" s="1121" t="str">
        <f t="shared" si="21"/>
        <v>-</v>
      </c>
      <c r="AE33" s="1121" t="str">
        <f t="shared" si="21"/>
        <v>-</v>
      </c>
      <c r="AF33" s="1121" t="str">
        <f t="shared" si="21"/>
        <v>-</v>
      </c>
      <c r="AG33" s="1121" t="str">
        <f t="shared" si="21"/>
        <v>-</v>
      </c>
      <c r="AH33" s="1121" t="str">
        <f t="shared" si="21"/>
        <v>-</v>
      </c>
      <c r="AI33" s="1121" t="str">
        <f t="shared" si="21"/>
        <v>-</v>
      </c>
      <c r="AJ33" s="1121" t="str">
        <f t="shared" si="21"/>
        <v>-</v>
      </c>
      <c r="AK33" s="1121" t="str">
        <f t="shared" si="21"/>
        <v>-</v>
      </c>
      <c r="AL33" s="1121" t="str">
        <f t="shared" si="21"/>
        <v>-</v>
      </c>
      <c r="AM33" s="1121" t="str">
        <f t="shared" si="21"/>
        <v>-</v>
      </c>
      <c r="AN33" s="1121" t="str">
        <f t="shared" si="21"/>
        <v>-</v>
      </c>
      <c r="AO33" s="1121" t="str">
        <f t="shared" si="21"/>
        <v>-</v>
      </c>
      <c r="AP33" s="1121" t="str">
        <f t="shared" si="21"/>
        <v>-</v>
      </c>
      <c r="AQ33" s="1121" t="str">
        <f t="shared" si="21"/>
        <v>-</v>
      </c>
      <c r="AR33" s="1121" t="str">
        <f t="shared" si="21"/>
        <v>-</v>
      </c>
      <c r="AS33" s="1120" t="str">
        <f t="shared" ref="AS33:BY33" si="22">IFERROR(AVERAGE(AS28:AS32),"-")</f>
        <v>-</v>
      </c>
      <c r="AT33" s="1120" t="str">
        <f t="shared" si="22"/>
        <v>-</v>
      </c>
      <c r="AU33" s="1120" t="str">
        <f t="shared" si="22"/>
        <v>-</v>
      </c>
      <c r="AV33" s="1120" t="str">
        <f t="shared" si="22"/>
        <v>-</v>
      </c>
      <c r="AW33" s="1120" t="str">
        <f t="shared" si="22"/>
        <v>-</v>
      </c>
      <c r="AX33" s="1120" t="str">
        <f t="shared" si="22"/>
        <v>-</v>
      </c>
      <c r="AY33" s="1120" t="str">
        <f t="shared" si="22"/>
        <v>-</v>
      </c>
      <c r="AZ33" s="1120" t="str">
        <f t="shared" si="22"/>
        <v>-</v>
      </c>
      <c r="BA33" s="1120" t="str">
        <f t="shared" si="22"/>
        <v>-</v>
      </c>
      <c r="BB33" s="1120" t="str">
        <f t="shared" si="22"/>
        <v>-</v>
      </c>
      <c r="BC33" s="1120" t="str">
        <f t="shared" si="22"/>
        <v>-</v>
      </c>
      <c r="BD33" s="1120" t="str">
        <f t="shared" si="22"/>
        <v>-</v>
      </c>
      <c r="BE33" s="1120" t="str">
        <f t="shared" si="22"/>
        <v>-</v>
      </c>
      <c r="BF33" s="1120" t="str">
        <f t="shared" si="22"/>
        <v>-</v>
      </c>
      <c r="BG33" s="1120" t="str">
        <f t="shared" si="22"/>
        <v>-</v>
      </c>
      <c r="BH33" s="1120" t="str">
        <f t="shared" si="22"/>
        <v>-</v>
      </c>
      <c r="BI33" s="1120" t="str">
        <f t="shared" si="22"/>
        <v>-</v>
      </c>
      <c r="BJ33" s="1120" t="str">
        <f t="shared" si="22"/>
        <v>-</v>
      </c>
      <c r="BK33" s="1120" t="str">
        <f t="shared" si="22"/>
        <v>-</v>
      </c>
      <c r="BL33" s="1120" t="str">
        <f t="shared" si="22"/>
        <v>-</v>
      </c>
      <c r="BM33" s="1120" t="str">
        <f t="shared" si="22"/>
        <v>-</v>
      </c>
      <c r="BN33" s="1120" t="str">
        <f t="shared" si="22"/>
        <v>-</v>
      </c>
      <c r="BO33" s="1120" t="str">
        <f t="shared" si="22"/>
        <v>-</v>
      </c>
      <c r="BP33" s="1120" t="str">
        <f t="shared" si="22"/>
        <v>-</v>
      </c>
      <c r="BQ33" s="1120" t="str">
        <f t="shared" si="22"/>
        <v>-</v>
      </c>
      <c r="BR33" s="1120" t="str">
        <f t="shared" si="22"/>
        <v>-</v>
      </c>
      <c r="BS33" s="1120" t="str">
        <f t="shared" si="22"/>
        <v>-</v>
      </c>
      <c r="BT33" s="1120" t="str">
        <f t="shared" si="22"/>
        <v>-</v>
      </c>
      <c r="BU33" s="1120" t="str">
        <f t="shared" si="22"/>
        <v>-</v>
      </c>
      <c r="BV33" s="1120" t="str">
        <f t="shared" si="22"/>
        <v>-</v>
      </c>
      <c r="BW33" s="1120" t="str">
        <f t="shared" si="22"/>
        <v>-</v>
      </c>
      <c r="BX33" s="1120" t="str">
        <f t="shared" si="22"/>
        <v>-</v>
      </c>
      <c r="BY33" s="1120">
        <f t="shared" si="22"/>
        <v>294.5</v>
      </c>
      <c r="BZ33" s="1120">
        <f t="shared" ref="BZ33:CV33" si="23">IFERROR(AVERAGE(BZ28:BZ32),"-")</f>
        <v>294.5</v>
      </c>
      <c r="CA33" s="1120">
        <f t="shared" si="23"/>
        <v>294.5</v>
      </c>
      <c r="CB33" s="1120">
        <f t="shared" si="23"/>
        <v>294</v>
      </c>
      <c r="CC33" s="1120">
        <f t="shared" si="23"/>
        <v>286.75</v>
      </c>
      <c r="CD33" s="1120">
        <f t="shared" si="23"/>
        <v>287.05</v>
      </c>
      <c r="CE33" s="1120">
        <f t="shared" si="23"/>
        <v>287.05</v>
      </c>
      <c r="CF33" s="1120">
        <f t="shared" si="23"/>
        <v>287.05</v>
      </c>
      <c r="CG33" s="1120">
        <f t="shared" si="23"/>
        <v>287.05</v>
      </c>
      <c r="CH33" s="1120">
        <f t="shared" si="23"/>
        <v>287.05</v>
      </c>
      <c r="CI33" s="1120">
        <f t="shared" si="23"/>
        <v>285.06666666666666</v>
      </c>
      <c r="CJ33" s="1120">
        <f t="shared" si="23"/>
        <v>275.60000000000002</v>
      </c>
      <c r="CK33" s="1120">
        <f t="shared" si="23"/>
        <v>275.60000000000002</v>
      </c>
      <c r="CL33" s="1120">
        <f t="shared" si="23"/>
        <v>275.60000000000002</v>
      </c>
      <c r="CM33" s="1120">
        <f t="shared" si="23"/>
        <v>275.60000000000002</v>
      </c>
      <c r="CN33" s="1120">
        <f t="shared" si="23"/>
        <v>275.60000000000002</v>
      </c>
      <c r="CO33" s="1120">
        <f t="shared" si="23"/>
        <v>282</v>
      </c>
      <c r="CP33" s="1120">
        <f t="shared" si="23"/>
        <v>288.5</v>
      </c>
      <c r="CQ33" s="1120">
        <f t="shared" si="23"/>
        <v>288.5</v>
      </c>
      <c r="CR33" s="1120">
        <f t="shared" si="23"/>
        <v>288.5</v>
      </c>
      <c r="CS33" s="1120">
        <f t="shared" si="23"/>
        <v>288.5</v>
      </c>
      <c r="CT33" s="1120">
        <f t="shared" si="23"/>
        <v>288.5</v>
      </c>
      <c r="CU33" s="1120">
        <f t="shared" si="23"/>
        <v>288.5</v>
      </c>
      <c r="CV33" s="1120">
        <f t="shared" si="23"/>
        <v>288.5</v>
      </c>
      <c r="CW33" s="1120">
        <f t="shared" ref="CW33:DB33" si="24">IFERROR(AVERAGE(CW28:CW32),"-")</f>
        <v>288.5</v>
      </c>
      <c r="CX33" s="1120">
        <f t="shared" si="24"/>
        <v>288.5</v>
      </c>
      <c r="CY33" s="1120">
        <f t="shared" si="24"/>
        <v>315</v>
      </c>
      <c r="CZ33" s="1120">
        <f t="shared" si="24"/>
        <v>315</v>
      </c>
      <c r="DA33" s="1120">
        <f t="shared" si="24"/>
        <v>315</v>
      </c>
      <c r="DB33" s="1120">
        <f t="shared" si="24"/>
        <v>336</v>
      </c>
      <c r="DC33" s="1120">
        <f t="shared" ref="DC33:DD33" si="25">IFERROR(AVERAGE(DC28:DC32),"-")</f>
        <v>336</v>
      </c>
      <c r="DD33" s="1120">
        <f t="shared" si="25"/>
        <v>336</v>
      </c>
    </row>
    <row r="34" spans="1:108" x14ac:dyDescent="0.25">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833"/>
      <c r="AU34" s="833"/>
      <c r="AV34" s="954"/>
      <c r="AW34" s="833"/>
      <c r="AX34" s="833"/>
      <c r="AY34" s="833"/>
      <c r="AZ34" s="833"/>
      <c r="BA34" s="833"/>
      <c r="BB34" s="833"/>
      <c r="BC34" s="833"/>
      <c r="BD34" s="833"/>
      <c r="BE34" s="833"/>
      <c r="BF34" s="833"/>
      <c r="BG34" s="833"/>
      <c r="BH34" s="833"/>
      <c r="BI34" s="833"/>
      <c r="BJ34" s="833"/>
      <c r="BK34" s="833"/>
      <c r="BL34" s="833"/>
      <c r="BM34" s="833"/>
      <c r="BN34" s="833"/>
      <c r="BO34" s="833"/>
      <c r="BP34" s="833"/>
      <c r="BQ34" s="833"/>
      <c r="BR34" s="833"/>
      <c r="BS34" s="833"/>
      <c r="BT34" s="833"/>
      <c r="BU34" s="833"/>
      <c r="BV34" s="833"/>
      <c r="BW34" s="833"/>
      <c r="BX34" s="833"/>
      <c r="BY34" s="833"/>
      <c r="BZ34" s="833"/>
      <c r="CA34" s="833"/>
      <c r="CB34" s="833"/>
      <c r="CC34" s="833"/>
      <c r="CD34" s="833"/>
      <c r="CE34" s="833"/>
      <c r="CF34" s="833"/>
      <c r="CG34" s="833"/>
      <c r="CH34" s="833"/>
      <c r="CI34" s="833"/>
      <c r="CJ34" s="833"/>
      <c r="CK34" s="833"/>
      <c r="CL34" s="833"/>
      <c r="CM34" s="833"/>
      <c r="CN34" s="833"/>
      <c r="CO34" s="833"/>
      <c r="CP34" s="833"/>
      <c r="CQ34" s="833"/>
      <c r="CR34" s="833"/>
      <c r="CS34" s="833"/>
      <c r="CT34" s="833"/>
      <c r="CU34" s="833"/>
      <c r="CV34" s="833"/>
      <c r="CW34" s="833"/>
      <c r="CX34" s="833"/>
      <c r="CY34" s="833"/>
      <c r="CZ34" s="833"/>
      <c r="DA34" s="833"/>
      <c r="DB34" s="833"/>
      <c r="DC34" s="833"/>
      <c r="DD34" s="833"/>
    </row>
    <row r="35" spans="1:108" x14ac:dyDescent="0.25">
      <c r="B35" s="113" t="s">
        <v>1217</v>
      </c>
      <c r="C35" s="264">
        <f t="shared" ref="C35:BN35" si="26">C$12</f>
        <v>42522</v>
      </c>
      <c r="D35" s="264">
        <f t="shared" si="26"/>
        <v>42552</v>
      </c>
      <c r="E35" s="264">
        <f t="shared" si="26"/>
        <v>42583</v>
      </c>
      <c r="F35" s="264">
        <f t="shared" si="26"/>
        <v>42614</v>
      </c>
      <c r="G35" s="264">
        <f t="shared" si="26"/>
        <v>42644</v>
      </c>
      <c r="H35" s="264">
        <f t="shared" si="26"/>
        <v>42675</v>
      </c>
      <c r="I35" s="264">
        <f t="shared" si="26"/>
        <v>42705</v>
      </c>
      <c r="J35" s="264">
        <f t="shared" si="26"/>
        <v>42736</v>
      </c>
      <c r="K35" s="264">
        <f t="shared" si="26"/>
        <v>42767</v>
      </c>
      <c r="L35" s="264">
        <f t="shared" si="26"/>
        <v>42795</v>
      </c>
      <c r="M35" s="264">
        <f t="shared" si="26"/>
        <v>42826</v>
      </c>
      <c r="N35" s="264">
        <f t="shared" si="26"/>
        <v>42856</v>
      </c>
      <c r="O35" s="264">
        <f t="shared" si="26"/>
        <v>42887</v>
      </c>
      <c r="P35" s="264">
        <f t="shared" si="26"/>
        <v>42917</v>
      </c>
      <c r="Q35" s="264">
        <f t="shared" si="26"/>
        <v>42948</v>
      </c>
      <c r="R35" s="264">
        <f t="shared" si="26"/>
        <v>42979</v>
      </c>
      <c r="S35" s="264">
        <f t="shared" si="26"/>
        <v>43009</v>
      </c>
      <c r="T35" s="264">
        <f t="shared" si="26"/>
        <v>43040</v>
      </c>
      <c r="U35" s="264">
        <f t="shared" si="26"/>
        <v>43070</v>
      </c>
      <c r="V35" s="264">
        <f t="shared" si="26"/>
        <v>43101</v>
      </c>
      <c r="W35" s="264">
        <f t="shared" si="26"/>
        <v>43132</v>
      </c>
      <c r="X35" s="264">
        <f t="shared" si="26"/>
        <v>43160</v>
      </c>
      <c r="Y35" s="264">
        <f t="shared" si="26"/>
        <v>43191</v>
      </c>
      <c r="Z35" s="264">
        <f t="shared" si="26"/>
        <v>43221</v>
      </c>
      <c r="AA35" s="264">
        <f t="shared" si="26"/>
        <v>43252</v>
      </c>
      <c r="AB35" s="264">
        <f t="shared" si="26"/>
        <v>43283</v>
      </c>
      <c r="AC35" s="264">
        <f t="shared" si="26"/>
        <v>43314</v>
      </c>
      <c r="AD35" s="264">
        <f t="shared" si="26"/>
        <v>43345</v>
      </c>
      <c r="AE35" s="264">
        <f t="shared" si="26"/>
        <v>43376</v>
      </c>
      <c r="AF35" s="264">
        <f t="shared" si="26"/>
        <v>43407</v>
      </c>
      <c r="AG35" s="264">
        <f t="shared" si="26"/>
        <v>43437</v>
      </c>
      <c r="AH35" s="264">
        <f t="shared" si="26"/>
        <v>43468</v>
      </c>
      <c r="AI35" s="264">
        <f t="shared" si="26"/>
        <v>43499</v>
      </c>
      <c r="AJ35" s="264">
        <f t="shared" si="26"/>
        <v>43527</v>
      </c>
      <c r="AK35" s="264">
        <f t="shared" si="26"/>
        <v>43558</v>
      </c>
      <c r="AL35" s="264">
        <f t="shared" si="26"/>
        <v>43587</v>
      </c>
      <c r="AM35" s="264">
        <f t="shared" si="26"/>
        <v>43618</v>
      </c>
      <c r="AN35" s="264">
        <f t="shared" si="26"/>
        <v>43647</v>
      </c>
      <c r="AO35" s="264">
        <f t="shared" si="26"/>
        <v>43678</v>
      </c>
      <c r="AP35" s="264">
        <f t="shared" si="26"/>
        <v>43709</v>
      </c>
      <c r="AQ35" s="264">
        <f t="shared" si="26"/>
        <v>43739</v>
      </c>
      <c r="AR35" s="264">
        <f t="shared" si="26"/>
        <v>43770</v>
      </c>
      <c r="AS35" s="264">
        <f t="shared" si="26"/>
        <v>43800</v>
      </c>
      <c r="AT35" s="264">
        <f t="shared" si="26"/>
        <v>43831</v>
      </c>
      <c r="AU35" s="264">
        <f t="shared" si="26"/>
        <v>43862</v>
      </c>
      <c r="AV35" s="946">
        <f t="shared" si="26"/>
        <v>43891</v>
      </c>
      <c r="AW35" s="264">
        <f t="shared" si="26"/>
        <v>43922</v>
      </c>
      <c r="AX35" s="264">
        <f t="shared" si="26"/>
        <v>43952</v>
      </c>
      <c r="AY35" s="264">
        <f t="shared" si="26"/>
        <v>43983</v>
      </c>
      <c r="AZ35" s="264">
        <f t="shared" si="26"/>
        <v>44013</v>
      </c>
      <c r="BA35" s="264">
        <f t="shared" si="26"/>
        <v>44044</v>
      </c>
      <c r="BB35" s="264">
        <f t="shared" si="26"/>
        <v>44075</v>
      </c>
      <c r="BC35" s="264">
        <f t="shared" si="26"/>
        <v>44105</v>
      </c>
      <c r="BD35" s="264">
        <f t="shared" si="26"/>
        <v>44136</v>
      </c>
      <c r="BE35" s="264">
        <f t="shared" si="26"/>
        <v>44166</v>
      </c>
      <c r="BF35" s="264">
        <f t="shared" si="26"/>
        <v>44197</v>
      </c>
      <c r="BG35" s="264">
        <f t="shared" si="26"/>
        <v>44228</v>
      </c>
      <c r="BH35" s="264">
        <f t="shared" si="26"/>
        <v>44256</v>
      </c>
      <c r="BI35" s="264">
        <f t="shared" si="26"/>
        <v>44287</v>
      </c>
      <c r="BJ35" s="264">
        <f t="shared" si="26"/>
        <v>44317</v>
      </c>
      <c r="BK35" s="264">
        <f t="shared" si="26"/>
        <v>44348</v>
      </c>
      <c r="BL35" s="264">
        <f t="shared" si="26"/>
        <v>44378</v>
      </c>
      <c r="BM35" s="264">
        <f t="shared" si="26"/>
        <v>44409</v>
      </c>
      <c r="BN35" s="264">
        <f t="shared" si="26"/>
        <v>44440</v>
      </c>
      <c r="BO35" s="264">
        <f t="shared" ref="BO35:CB35" si="27">BO$12</f>
        <v>44470</v>
      </c>
      <c r="BP35" s="264">
        <f t="shared" si="27"/>
        <v>44501</v>
      </c>
      <c r="BQ35" s="264">
        <f t="shared" si="27"/>
        <v>44531</v>
      </c>
      <c r="BR35" s="264">
        <f t="shared" si="27"/>
        <v>44562</v>
      </c>
      <c r="BS35" s="264">
        <f t="shared" si="27"/>
        <v>44593</v>
      </c>
      <c r="BT35" s="264">
        <f t="shared" si="27"/>
        <v>44622</v>
      </c>
      <c r="BU35" s="264">
        <f t="shared" si="27"/>
        <v>44654</v>
      </c>
      <c r="BV35" s="264">
        <f t="shared" si="27"/>
        <v>44685</v>
      </c>
      <c r="BW35" s="264">
        <f t="shared" si="27"/>
        <v>44716</v>
      </c>
      <c r="BX35" s="264">
        <f t="shared" si="27"/>
        <v>44746</v>
      </c>
      <c r="BY35" s="264">
        <f t="shared" si="27"/>
        <v>44774</v>
      </c>
      <c r="BZ35" s="264">
        <f t="shared" si="27"/>
        <v>44805</v>
      </c>
      <c r="CA35" s="264">
        <f t="shared" si="27"/>
        <v>44835</v>
      </c>
      <c r="CB35" s="264">
        <f t="shared" si="27"/>
        <v>44866</v>
      </c>
      <c r="CC35" s="264">
        <f t="shared" ref="CC35:DD35" si="28">CC$12</f>
        <v>44896</v>
      </c>
      <c r="CD35" s="264">
        <f t="shared" si="28"/>
        <v>44927</v>
      </c>
      <c r="CE35" s="264">
        <f t="shared" si="28"/>
        <v>44958</v>
      </c>
      <c r="CF35" s="264">
        <f t="shared" si="28"/>
        <v>44986</v>
      </c>
      <c r="CG35" s="264">
        <f t="shared" si="28"/>
        <v>45017</v>
      </c>
      <c r="CH35" s="264">
        <f t="shared" si="28"/>
        <v>45047</v>
      </c>
      <c r="CI35" s="264">
        <f t="shared" si="28"/>
        <v>45078</v>
      </c>
      <c r="CJ35" s="264">
        <f t="shared" si="28"/>
        <v>45108</v>
      </c>
      <c r="CK35" s="264">
        <f t="shared" si="28"/>
        <v>45139</v>
      </c>
      <c r="CL35" s="264">
        <f t="shared" si="28"/>
        <v>45170</v>
      </c>
      <c r="CM35" s="264">
        <f t="shared" si="28"/>
        <v>45200</v>
      </c>
      <c r="CN35" s="264">
        <f t="shared" si="28"/>
        <v>45231</v>
      </c>
      <c r="CO35" s="264">
        <f t="shared" si="28"/>
        <v>45261</v>
      </c>
      <c r="CP35" s="264">
        <f t="shared" si="28"/>
        <v>45292</v>
      </c>
      <c r="CQ35" s="264">
        <f t="shared" si="28"/>
        <v>45323</v>
      </c>
      <c r="CR35" s="264">
        <f t="shared" si="28"/>
        <v>45352</v>
      </c>
      <c r="CS35" s="264">
        <f t="shared" si="28"/>
        <v>45383</v>
      </c>
      <c r="CT35" s="264">
        <f t="shared" si="28"/>
        <v>45413</v>
      </c>
      <c r="CU35" s="264">
        <f t="shared" si="28"/>
        <v>45444</v>
      </c>
      <c r="CV35" s="264">
        <f t="shared" si="28"/>
        <v>45474</v>
      </c>
      <c r="CW35" s="264">
        <f t="shared" si="28"/>
        <v>45505</v>
      </c>
      <c r="CX35" s="264">
        <f t="shared" si="28"/>
        <v>45536</v>
      </c>
      <c r="CY35" s="264">
        <f t="shared" si="28"/>
        <v>45566</v>
      </c>
      <c r="CZ35" s="264">
        <f t="shared" si="28"/>
        <v>45597</v>
      </c>
      <c r="DA35" s="264">
        <f t="shared" si="28"/>
        <v>45627</v>
      </c>
      <c r="DB35" s="264">
        <f t="shared" si="28"/>
        <v>45658</v>
      </c>
      <c r="DC35" s="264">
        <f t="shared" si="28"/>
        <v>45689</v>
      </c>
      <c r="DD35" s="264">
        <f t="shared" si="28"/>
        <v>45717</v>
      </c>
    </row>
    <row r="36" spans="1:108" customFormat="1" x14ac:dyDescent="0.25">
      <c r="A36" s="263"/>
      <c r="B36" s="117" t="s">
        <v>131</v>
      </c>
      <c r="C36" s="265" t="s">
        <v>47</v>
      </c>
      <c r="D36" s="265" t="s">
        <v>47</v>
      </c>
      <c r="E36" s="265" t="s">
        <v>47</v>
      </c>
      <c r="F36" s="266" t="s">
        <v>47</v>
      </c>
      <c r="G36" s="266" t="s">
        <v>47</v>
      </c>
      <c r="H36" s="266" t="s">
        <v>47</v>
      </c>
      <c r="I36" s="266" t="s">
        <v>47</v>
      </c>
      <c r="J36" s="266" t="s">
        <v>47</v>
      </c>
      <c r="K36" s="266" t="s">
        <v>47</v>
      </c>
      <c r="L36" s="593" t="s">
        <v>47</v>
      </c>
      <c r="M36" s="593" t="s">
        <v>47</v>
      </c>
      <c r="N36" s="593" t="s">
        <v>47</v>
      </c>
      <c r="O36" s="593" t="s">
        <v>47</v>
      </c>
      <c r="P36" s="593" t="s">
        <v>47</v>
      </c>
      <c r="Q36" s="593" t="s">
        <v>47</v>
      </c>
      <c r="R36" s="593" t="s">
        <v>47</v>
      </c>
      <c r="S36" s="593" t="s">
        <v>47</v>
      </c>
      <c r="T36" s="593" t="s">
        <v>47</v>
      </c>
      <c r="U36" s="592" t="s">
        <v>47</v>
      </c>
      <c r="V36" s="592" t="s">
        <v>47</v>
      </c>
      <c r="W36" s="592" t="s">
        <v>47</v>
      </c>
      <c r="X36" s="592" t="s">
        <v>47</v>
      </c>
      <c r="Y36" s="592" t="s">
        <v>47</v>
      </c>
      <c r="Z36" s="592" t="s">
        <v>47</v>
      </c>
      <c r="AA36" s="592" t="s">
        <v>47</v>
      </c>
      <c r="AB36" s="592" t="s">
        <v>47</v>
      </c>
      <c r="AC36" s="592" t="s">
        <v>47</v>
      </c>
      <c r="AD36" s="592" t="s">
        <v>47</v>
      </c>
      <c r="AE36" s="592" t="s">
        <v>47</v>
      </c>
      <c r="AF36" s="592" t="s">
        <v>47</v>
      </c>
      <c r="AG36" s="592" t="s">
        <v>47</v>
      </c>
      <c r="AH36" s="592" t="s">
        <v>47</v>
      </c>
      <c r="AI36" s="592" t="s">
        <v>47</v>
      </c>
      <c r="AJ36" s="348" t="s">
        <v>47</v>
      </c>
      <c r="AK36" s="348" t="s">
        <v>47</v>
      </c>
      <c r="AL36" s="348" t="s">
        <v>47</v>
      </c>
      <c r="AM36" s="348" t="s">
        <v>47</v>
      </c>
      <c r="AN36" s="348" t="s">
        <v>47</v>
      </c>
      <c r="AO36" s="348" t="s">
        <v>47</v>
      </c>
      <c r="AP36" s="348" t="s">
        <v>47</v>
      </c>
      <c r="AQ36" s="348" t="s">
        <v>47</v>
      </c>
      <c r="AR36" s="348" t="s">
        <v>47</v>
      </c>
      <c r="AS36" s="348" t="s">
        <v>47</v>
      </c>
      <c r="AT36" s="348" t="s">
        <v>47</v>
      </c>
      <c r="AU36" s="348" t="s">
        <v>47</v>
      </c>
      <c r="AV36" s="962" t="s">
        <v>47</v>
      </c>
      <c r="AW36" s="348" t="s">
        <v>47</v>
      </c>
      <c r="AX36" s="348" t="s">
        <v>47</v>
      </c>
      <c r="AY36" s="348" t="s">
        <v>47</v>
      </c>
      <c r="AZ36" s="348" t="s">
        <v>47</v>
      </c>
      <c r="BA36" s="348" t="s">
        <v>47</v>
      </c>
      <c r="BB36" s="348" t="s">
        <v>47</v>
      </c>
      <c r="BC36" s="348" t="s">
        <v>47</v>
      </c>
      <c r="BD36" s="348" t="s">
        <v>47</v>
      </c>
      <c r="BE36" s="348" t="s">
        <v>47</v>
      </c>
      <c r="BF36" s="592" t="s">
        <v>47</v>
      </c>
      <c r="BG36" s="592" t="s">
        <v>47</v>
      </c>
      <c r="BH36" s="592" t="s">
        <v>47</v>
      </c>
      <c r="BI36" s="592" t="s">
        <v>47</v>
      </c>
      <c r="BJ36" s="592" t="s">
        <v>47</v>
      </c>
      <c r="BK36" s="592" t="s">
        <v>47</v>
      </c>
      <c r="BL36" s="592" t="s">
        <v>47</v>
      </c>
      <c r="BM36" s="592" t="s">
        <v>47</v>
      </c>
      <c r="BN36" s="592" t="s">
        <v>47</v>
      </c>
      <c r="BO36" s="592" t="s">
        <v>47</v>
      </c>
      <c r="BP36" s="592" t="s">
        <v>47</v>
      </c>
      <c r="BQ36" s="592" t="s">
        <v>47</v>
      </c>
      <c r="BR36" s="592" t="s">
        <v>47</v>
      </c>
      <c r="BS36" s="592" t="s">
        <v>47</v>
      </c>
      <c r="BT36" s="592" t="s">
        <v>47</v>
      </c>
      <c r="BU36" s="592" t="s">
        <v>47</v>
      </c>
      <c r="BV36" s="592" t="s">
        <v>47</v>
      </c>
      <c r="BW36" s="592" t="s">
        <v>47</v>
      </c>
      <c r="BX36" s="592" t="s">
        <v>47</v>
      </c>
      <c r="BY36" s="592" t="s">
        <v>47</v>
      </c>
      <c r="BZ36" s="592" t="s">
        <v>47</v>
      </c>
      <c r="CA36" s="592" t="s">
        <v>47</v>
      </c>
      <c r="CB36" s="592" t="s">
        <v>47</v>
      </c>
      <c r="CC36" s="343">
        <v>166</v>
      </c>
      <c r="CD36" s="592">
        <v>166</v>
      </c>
      <c r="CE36" s="592">
        <v>166</v>
      </c>
      <c r="CF36" s="592">
        <v>166</v>
      </c>
      <c r="CG36" s="592">
        <v>166</v>
      </c>
      <c r="CH36" s="592">
        <v>166</v>
      </c>
      <c r="CI36" s="592">
        <v>166</v>
      </c>
      <c r="CJ36" s="592">
        <v>166</v>
      </c>
      <c r="CK36" s="592">
        <v>166</v>
      </c>
      <c r="CL36" s="592">
        <v>166</v>
      </c>
      <c r="CM36" s="592">
        <v>166</v>
      </c>
      <c r="CN36" s="592">
        <v>166</v>
      </c>
      <c r="CO36" s="592">
        <v>166</v>
      </c>
      <c r="CP36" s="592">
        <v>181</v>
      </c>
      <c r="CQ36" s="592">
        <v>181</v>
      </c>
      <c r="CR36" s="592">
        <v>181</v>
      </c>
      <c r="CS36" s="592">
        <v>181</v>
      </c>
      <c r="CT36" s="592">
        <v>181</v>
      </c>
      <c r="CU36" s="592">
        <v>181</v>
      </c>
      <c r="CV36" s="592">
        <v>181</v>
      </c>
      <c r="CW36" s="592">
        <v>181</v>
      </c>
      <c r="CX36" s="592">
        <v>181</v>
      </c>
      <c r="CY36" s="592">
        <v>181</v>
      </c>
      <c r="CZ36" s="592">
        <v>181</v>
      </c>
      <c r="DA36" s="592">
        <v>181</v>
      </c>
      <c r="DB36" s="592">
        <v>181</v>
      </c>
      <c r="DC36" s="592">
        <v>181</v>
      </c>
      <c r="DD36" s="592">
        <v>181</v>
      </c>
    </row>
    <row r="37" spans="1:108" customFormat="1" x14ac:dyDescent="0.25">
      <c r="A37" s="263"/>
      <c r="B37" s="117" t="s">
        <v>135</v>
      </c>
      <c r="C37" s="265" t="s">
        <v>47</v>
      </c>
      <c r="D37" s="265" t="s">
        <v>47</v>
      </c>
      <c r="E37" s="265" t="s">
        <v>47</v>
      </c>
      <c r="F37" s="265" t="s">
        <v>47</v>
      </c>
      <c r="G37" s="265" t="s">
        <v>47</v>
      </c>
      <c r="H37" s="266" t="s">
        <v>47</v>
      </c>
      <c r="I37" s="266" t="s">
        <v>47</v>
      </c>
      <c r="J37" s="266" t="s">
        <v>47</v>
      </c>
      <c r="K37" s="266" t="s">
        <v>47</v>
      </c>
      <c r="L37" s="593" t="s">
        <v>47</v>
      </c>
      <c r="M37" s="593" t="s">
        <v>47</v>
      </c>
      <c r="N37" s="593" t="s">
        <v>47</v>
      </c>
      <c r="O37" s="593" t="s">
        <v>47</v>
      </c>
      <c r="P37" s="593" t="s">
        <v>47</v>
      </c>
      <c r="Q37" s="593" t="s">
        <v>47</v>
      </c>
      <c r="R37" s="593" t="s">
        <v>47</v>
      </c>
      <c r="S37" s="593" t="s">
        <v>47</v>
      </c>
      <c r="T37" s="593" t="s">
        <v>47</v>
      </c>
      <c r="U37" s="593" t="s">
        <v>47</v>
      </c>
      <c r="V37" s="593" t="s">
        <v>47</v>
      </c>
      <c r="W37" s="593" t="s">
        <v>47</v>
      </c>
      <c r="X37" s="593" t="s">
        <v>47</v>
      </c>
      <c r="Y37" s="593" t="s">
        <v>47</v>
      </c>
      <c r="Z37" s="593" t="s">
        <v>47</v>
      </c>
      <c r="AA37" s="593" t="s">
        <v>47</v>
      </c>
      <c r="AB37" s="593" t="s">
        <v>47</v>
      </c>
      <c r="AC37" s="593" t="s">
        <v>47</v>
      </c>
      <c r="AD37" s="593" t="s">
        <v>47</v>
      </c>
      <c r="AE37" s="593" t="s">
        <v>47</v>
      </c>
      <c r="AF37" s="592" t="s">
        <v>47</v>
      </c>
      <c r="AG37" s="592" t="s">
        <v>47</v>
      </c>
      <c r="AH37" s="592" t="s">
        <v>47</v>
      </c>
      <c r="AI37" s="592" t="s">
        <v>47</v>
      </c>
      <c r="AJ37" s="348" t="s">
        <v>47</v>
      </c>
      <c r="AK37" s="348" t="s">
        <v>47</v>
      </c>
      <c r="AL37" s="348" t="s">
        <v>47</v>
      </c>
      <c r="AM37" s="348" t="s">
        <v>47</v>
      </c>
      <c r="AN37" s="348" t="s">
        <v>47</v>
      </c>
      <c r="AO37" s="348" t="s">
        <v>47</v>
      </c>
      <c r="AP37" s="348" t="s">
        <v>47</v>
      </c>
      <c r="AQ37" s="348" t="s">
        <v>47</v>
      </c>
      <c r="AR37" s="348" t="s">
        <v>47</v>
      </c>
      <c r="AS37" s="348" t="s">
        <v>47</v>
      </c>
      <c r="AT37" s="348" t="s">
        <v>47</v>
      </c>
      <c r="AU37" s="348" t="s">
        <v>47</v>
      </c>
      <c r="AV37" s="962" t="s">
        <v>47</v>
      </c>
      <c r="AW37" s="348" t="s">
        <v>47</v>
      </c>
      <c r="AX37" s="348" t="s">
        <v>47</v>
      </c>
      <c r="AY37" s="348" t="s">
        <v>47</v>
      </c>
      <c r="AZ37" s="348" t="s">
        <v>47</v>
      </c>
      <c r="BA37" s="348" t="s">
        <v>47</v>
      </c>
      <c r="BB37" s="348" t="s">
        <v>47</v>
      </c>
      <c r="BC37" s="348" t="s">
        <v>47</v>
      </c>
      <c r="BD37" s="348" t="s">
        <v>47</v>
      </c>
      <c r="BE37" s="348" t="s">
        <v>47</v>
      </c>
      <c r="BF37" s="348" t="s">
        <v>47</v>
      </c>
      <c r="BG37" s="348" t="s">
        <v>47</v>
      </c>
      <c r="BH37" s="348" t="s">
        <v>47</v>
      </c>
      <c r="BI37" s="348" t="s">
        <v>47</v>
      </c>
      <c r="BJ37" s="348" t="s">
        <v>47</v>
      </c>
      <c r="BK37" s="348" t="s">
        <v>47</v>
      </c>
      <c r="BL37" s="348" t="s">
        <v>47</v>
      </c>
      <c r="BM37" s="348" t="s">
        <v>47</v>
      </c>
      <c r="BN37" s="592" t="s">
        <v>47</v>
      </c>
      <c r="BO37" s="592" t="s">
        <v>47</v>
      </c>
      <c r="BP37" s="592" t="s">
        <v>47</v>
      </c>
      <c r="BQ37" s="592" t="s">
        <v>47</v>
      </c>
      <c r="BR37" s="592" t="s">
        <v>47</v>
      </c>
      <c r="BS37" s="592" t="s">
        <v>47</v>
      </c>
      <c r="BT37" s="592" t="s">
        <v>47</v>
      </c>
      <c r="BU37" s="592" t="s">
        <v>47</v>
      </c>
      <c r="BV37" s="592" t="s">
        <v>47</v>
      </c>
      <c r="BW37" s="592" t="s">
        <v>47</v>
      </c>
      <c r="BX37" s="592" t="s">
        <v>47</v>
      </c>
      <c r="BY37" s="592" t="s">
        <v>47</v>
      </c>
      <c r="BZ37" s="592" t="s">
        <v>47</v>
      </c>
      <c r="CA37" s="592" t="s">
        <v>47</v>
      </c>
      <c r="CB37" s="592" t="s">
        <v>47</v>
      </c>
      <c r="CC37" s="592" t="s">
        <v>47</v>
      </c>
      <c r="CD37" s="592" t="s">
        <v>47</v>
      </c>
      <c r="CE37" s="592" t="s">
        <v>47</v>
      </c>
      <c r="CF37" s="592" t="s">
        <v>47</v>
      </c>
      <c r="CG37" s="592" t="s">
        <v>47</v>
      </c>
      <c r="CH37" s="592" t="s">
        <v>47</v>
      </c>
      <c r="CI37" s="592" t="s">
        <v>47</v>
      </c>
      <c r="CJ37" s="592" t="s">
        <v>47</v>
      </c>
      <c r="CK37" s="592" t="s">
        <v>47</v>
      </c>
      <c r="CL37" s="592" t="s">
        <v>47</v>
      </c>
      <c r="CM37" s="592" t="s">
        <v>47</v>
      </c>
      <c r="CN37" s="592" t="s">
        <v>47</v>
      </c>
      <c r="CO37" s="592" t="s">
        <v>47</v>
      </c>
      <c r="CP37" s="592" t="s">
        <v>47</v>
      </c>
      <c r="CQ37" s="592" t="s">
        <v>47</v>
      </c>
      <c r="CR37" s="592" t="s">
        <v>47</v>
      </c>
      <c r="CS37" s="592" t="s">
        <v>47</v>
      </c>
      <c r="CT37" s="592" t="s">
        <v>47</v>
      </c>
      <c r="CU37" s="592" t="s">
        <v>47</v>
      </c>
      <c r="CV37" s="592" t="s">
        <v>47</v>
      </c>
      <c r="CW37" s="592" t="s">
        <v>47</v>
      </c>
      <c r="CX37" s="592" t="s">
        <v>47</v>
      </c>
      <c r="CY37" s="592" t="s">
        <v>47</v>
      </c>
      <c r="CZ37" s="592" t="s">
        <v>47</v>
      </c>
      <c r="DA37" s="592" t="s">
        <v>47</v>
      </c>
      <c r="DB37" s="592" t="s">
        <v>47</v>
      </c>
      <c r="DC37" s="592" t="s">
        <v>47</v>
      </c>
      <c r="DD37" s="592" t="s">
        <v>47</v>
      </c>
    </row>
    <row r="38" spans="1:108" x14ac:dyDescent="0.25">
      <c r="B38" s="117" t="s">
        <v>142</v>
      </c>
      <c r="C38" s="265" t="s">
        <v>47</v>
      </c>
      <c r="D38" s="265" t="s">
        <v>47</v>
      </c>
      <c r="E38" s="265" t="s">
        <v>47</v>
      </c>
      <c r="F38" s="265" t="s">
        <v>47</v>
      </c>
      <c r="G38" s="265" t="s">
        <v>47</v>
      </c>
      <c r="H38" s="265" t="s">
        <v>47</v>
      </c>
      <c r="I38" s="265" t="s">
        <v>47</v>
      </c>
      <c r="J38" s="265" t="s">
        <v>47</v>
      </c>
      <c r="K38" s="265" t="s">
        <v>47</v>
      </c>
      <c r="L38" s="353" t="s">
        <v>47</v>
      </c>
      <c r="M38" s="353" t="s">
        <v>47</v>
      </c>
      <c r="N38" s="353" t="s">
        <v>47</v>
      </c>
      <c r="O38" s="593" t="s">
        <v>47</v>
      </c>
      <c r="P38" s="593" t="s">
        <v>47</v>
      </c>
      <c r="Q38" s="593" t="s">
        <v>47</v>
      </c>
      <c r="R38" s="593" t="s">
        <v>47</v>
      </c>
      <c r="S38" s="593" t="s">
        <v>47</v>
      </c>
      <c r="T38" s="593" t="s">
        <v>47</v>
      </c>
      <c r="U38" s="593" t="s">
        <v>47</v>
      </c>
      <c r="V38" s="593" t="s">
        <v>47</v>
      </c>
      <c r="W38" s="592" t="s">
        <v>47</v>
      </c>
      <c r="X38" s="593" t="s">
        <v>47</v>
      </c>
      <c r="Y38" s="593" t="s">
        <v>47</v>
      </c>
      <c r="Z38" s="593" t="s">
        <v>47</v>
      </c>
      <c r="AA38" s="593" t="s">
        <v>47</v>
      </c>
      <c r="AB38" s="593" t="s">
        <v>47</v>
      </c>
      <c r="AC38" s="593" t="s">
        <v>47</v>
      </c>
      <c r="AD38" s="593" t="s">
        <v>47</v>
      </c>
      <c r="AE38" s="593" t="s">
        <v>47</v>
      </c>
      <c r="AF38" s="593" t="s">
        <v>47</v>
      </c>
      <c r="AG38" s="593" t="s">
        <v>47</v>
      </c>
      <c r="AH38" s="593" t="s">
        <v>47</v>
      </c>
      <c r="AI38" s="593" t="s">
        <v>47</v>
      </c>
      <c r="AJ38" s="348" t="s">
        <v>47</v>
      </c>
      <c r="AK38" s="348" t="s">
        <v>47</v>
      </c>
      <c r="AL38" s="348" t="s">
        <v>47</v>
      </c>
      <c r="AM38" s="348" t="s">
        <v>47</v>
      </c>
      <c r="AN38" s="348" t="s">
        <v>47</v>
      </c>
      <c r="AO38" s="348" t="s">
        <v>47</v>
      </c>
      <c r="AP38" s="348" t="s">
        <v>47</v>
      </c>
      <c r="AQ38" s="348" t="s">
        <v>47</v>
      </c>
      <c r="AR38" s="348" t="s">
        <v>47</v>
      </c>
      <c r="AS38" s="348" t="s">
        <v>47</v>
      </c>
      <c r="AT38" s="348" t="s">
        <v>47</v>
      </c>
      <c r="AU38" s="348" t="s">
        <v>47</v>
      </c>
      <c r="AV38" s="962" t="s">
        <v>47</v>
      </c>
      <c r="AW38" s="350" t="s">
        <v>47</v>
      </c>
      <c r="AX38" s="350" t="s">
        <v>47</v>
      </c>
      <c r="AY38" s="348" t="s">
        <v>47</v>
      </c>
      <c r="AZ38" s="348" t="s">
        <v>47</v>
      </c>
      <c r="BA38" s="348" t="s">
        <v>47</v>
      </c>
      <c r="BB38" s="348" t="s">
        <v>47</v>
      </c>
      <c r="BC38" s="348" t="s">
        <v>47</v>
      </c>
      <c r="BD38" s="348" t="s">
        <v>47</v>
      </c>
      <c r="BE38" s="348" t="s">
        <v>47</v>
      </c>
      <c r="BF38" s="348" t="s">
        <v>47</v>
      </c>
      <c r="BG38" s="348" t="s">
        <v>47</v>
      </c>
      <c r="BH38" s="348" t="s">
        <v>47</v>
      </c>
      <c r="BI38" s="348" t="s">
        <v>47</v>
      </c>
      <c r="BJ38" s="348" t="s">
        <v>47</v>
      </c>
      <c r="BK38" s="348" t="s">
        <v>47</v>
      </c>
      <c r="BL38" s="348" t="s">
        <v>47</v>
      </c>
      <c r="BM38" s="348" t="s">
        <v>47</v>
      </c>
      <c r="BN38" s="592" t="s">
        <v>47</v>
      </c>
      <c r="BO38" s="592" t="s">
        <v>47</v>
      </c>
      <c r="BP38" s="592" t="s">
        <v>47</v>
      </c>
      <c r="BQ38" s="592" t="s">
        <v>47</v>
      </c>
      <c r="BR38" s="592" t="s">
        <v>47</v>
      </c>
      <c r="BS38" s="592" t="s">
        <v>47</v>
      </c>
      <c r="BT38" s="592" t="s">
        <v>47</v>
      </c>
      <c r="BU38" s="592" t="s">
        <v>47</v>
      </c>
      <c r="BV38" s="592" t="s">
        <v>47</v>
      </c>
      <c r="BW38" s="592" t="s">
        <v>47</v>
      </c>
      <c r="BX38" s="592" t="s">
        <v>47</v>
      </c>
      <c r="BY38" s="592">
        <v>205</v>
      </c>
      <c r="BZ38" s="592">
        <v>205</v>
      </c>
      <c r="CA38" s="592">
        <v>205</v>
      </c>
      <c r="CB38" s="592">
        <v>205</v>
      </c>
      <c r="CC38" s="592">
        <v>205</v>
      </c>
      <c r="CD38" s="592">
        <v>205</v>
      </c>
      <c r="CE38" s="592">
        <v>205</v>
      </c>
      <c r="CF38" s="592">
        <v>205</v>
      </c>
      <c r="CG38" s="592">
        <v>205</v>
      </c>
      <c r="CH38" s="592">
        <v>205</v>
      </c>
      <c r="CI38" s="592">
        <v>205</v>
      </c>
      <c r="CJ38" s="592" t="s">
        <v>47</v>
      </c>
      <c r="CK38" s="592" t="s">
        <v>47</v>
      </c>
      <c r="CL38" s="592" t="s">
        <v>47</v>
      </c>
      <c r="CM38" s="592" t="s">
        <v>47</v>
      </c>
      <c r="CN38" s="592" t="s">
        <v>47</v>
      </c>
      <c r="CO38" s="592" t="s">
        <v>47</v>
      </c>
      <c r="CP38" s="592" t="s">
        <v>47</v>
      </c>
      <c r="CQ38" s="592" t="s">
        <v>47</v>
      </c>
      <c r="CR38" s="592" t="s">
        <v>47</v>
      </c>
      <c r="CS38" s="592" t="s">
        <v>47</v>
      </c>
      <c r="CT38" s="592" t="s">
        <v>47</v>
      </c>
      <c r="CU38" s="592" t="s">
        <v>47</v>
      </c>
      <c r="CV38" s="592" t="s">
        <v>47</v>
      </c>
      <c r="CW38" s="592" t="s">
        <v>47</v>
      </c>
      <c r="CX38" s="592" t="s">
        <v>47</v>
      </c>
      <c r="CY38" s="592" t="s">
        <v>47</v>
      </c>
      <c r="CZ38" s="592" t="s">
        <v>47</v>
      </c>
      <c r="DA38" s="592" t="s">
        <v>47</v>
      </c>
      <c r="DB38" s="592" t="s">
        <v>47</v>
      </c>
      <c r="DC38" s="592" t="s">
        <v>47</v>
      </c>
      <c r="DD38" s="592" t="s">
        <v>47</v>
      </c>
    </row>
    <row r="39" spans="1:108" x14ac:dyDescent="0.25">
      <c r="B39" s="117" t="s">
        <v>136</v>
      </c>
      <c r="C39" s="265" t="s">
        <v>47</v>
      </c>
      <c r="D39" s="265" t="s">
        <v>47</v>
      </c>
      <c r="E39" s="265" t="s">
        <v>47</v>
      </c>
      <c r="F39" s="265" t="s">
        <v>47</v>
      </c>
      <c r="G39" s="266" t="s">
        <v>47</v>
      </c>
      <c r="H39" s="266" t="s">
        <v>47</v>
      </c>
      <c r="I39" s="266" t="s">
        <v>47</v>
      </c>
      <c r="J39" s="266" t="s">
        <v>47</v>
      </c>
      <c r="K39" s="266" t="s">
        <v>47</v>
      </c>
      <c r="L39" s="593" t="s">
        <v>47</v>
      </c>
      <c r="M39" s="593" t="s">
        <v>47</v>
      </c>
      <c r="N39" s="593" t="s">
        <v>47</v>
      </c>
      <c r="O39" s="593" t="s">
        <v>47</v>
      </c>
      <c r="P39" s="593" t="s">
        <v>47</v>
      </c>
      <c r="Q39" s="592" t="s">
        <v>47</v>
      </c>
      <c r="R39" s="592" t="s">
        <v>47</v>
      </c>
      <c r="S39" s="592" t="s">
        <v>47</v>
      </c>
      <c r="T39" s="592" t="s">
        <v>47</v>
      </c>
      <c r="U39" s="592" t="s">
        <v>47</v>
      </c>
      <c r="V39" s="592" t="s">
        <v>47</v>
      </c>
      <c r="W39" s="592" t="s">
        <v>47</v>
      </c>
      <c r="X39" s="592" t="s">
        <v>47</v>
      </c>
      <c r="Y39" s="592" t="s">
        <v>47</v>
      </c>
      <c r="Z39" s="592" t="s">
        <v>47</v>
      </c>
      <c r="AA39" s="592" t="s">
        <v>47</v>
      </c>
      <c r="AB39" s="592" t="s">
        <v>47</v>
      </c>
      <c r="AC39" s="592" t="s">
        <v>47</v>
      </c>
      <c r="AD39" s="592" t="s">
        <v>47</v>
      </c>
      <c r="AE39" s="592" t="s">
        <v>47</v>
      </c>
      <c r="AF39" s="592" t="s">
        <v>47</v>
      </c>
      <c r="AG39" s="592" t="s">
        <v>47</v>
      </c>
      <c r="AH39" s="592" t="s">
        <v>47</v>
      </c>
      <c r="AI39" s="592" t="s">
        <v>47</v>
      </c>
      <c r="AJ39" s="348" t="s">
        <v>47</v>
      </c>
      <c r="AK39" s="348" t="s">
        <v>47</v>
      </c>
      <c r="AL39" s="348" t="s">
        <v>47</v>
      </c>
      <c r="AM39" s="348" t="s">
        <v>47</v>
      </c>
      <c r="AN39" s="348" t="s">
        <v>47</v>
      </c>
      <c r="AO39" s="348" t="s">
        <v>47</v>
      </c>
      <c r="AP39" s="348" t="s">
        <v>47</v>
      </c>
      <c r="AQ39" s="348" t="s">
        <v>47</v>
      </c>
      <c r="AR39" s="348" t="s">
        <v>47</v>
      </c>
      <c r="AS39" s="348" t="s">
        <v>47</v>
      </c>
      <c r="AT39" s="348" t="s">
        <v>47</v>
      </c>
      <c r="AU39" s="348" t="s">
        <v>47</v>
      </c>
      <c r="AV39" s="962" t="s">
        <v>47</v>
      </c>
      <c r="AW39" s="348" t="s">
        <v>47</v>
      </c>
      <c r="AX39" s="348" t="s">
        <v>47</v>
      </c>
      <c r="AY39" s="348" t="s">
        <v>47</v>
      </c>
      <c r="AZ39" s="348" t="s">
        <v>47</v>
      </c>
      <c r="BA39" s="348" t="s">
        <v>47</v>
      </c>
      <c r="BB39" s="348" t="s">
        <v>47</v>
      </c>
      <c r="BC39" s="348" t="s">
        <v>47</v>
      </c>
      <c r="BD39" s="348" t="s">
        <v>47</v>
      </c>
      <c r="BE39" s="348" t="s">
        <v>47</v>
      </c>
      <c r="BF39" s="348" t="s">
        <v>47</v>
      </c>
      <c r="BG39" s="348" t="s">
        <v>47</v>
      </c>
      <c r="BH39" s="348" t="s">
        <v>47</v>
      </c>
      <c r="BI39" s="348" t="s">
        <v>47</v>
      </c>
      <c r="BJ39" s="348" t="s">
        <v>47</v>
      </c>
      <c r="BK39" s="348" t="s">
        <v>47</v>
      </c>
      <c r="BL39" s="348" t="s">
        <v>47</v>
      </c>
      <c r="BM39" s="348" t="s">
        <v>47</v>
      </c>
      <c r="BN39" s="592" t="s">
        <v>47</v>
      </c>
      <c r="BO39" s="592" t="s">
        <v>47</v>
      </c>
      <c r="BP39" s="592" t="s">
        <v>47</v>
      </c>
      <c r="BQ39" s="592" t="s">
        <v>47</v>
      </c>
      <c r="BR39" s="592" t="s">
        <v>47</v>
      </c>
      <c r="BS39" s="592" t="s">
        <v>47</v>
      </c>
      <c r="BT39" s="592" t="s">
        <v>47</v>
      </c>
      <c r="BU39" s="592" t="s">
        <v>47</v>
      </c>
      <c r="BV39" s="592" t="s">
        <v>47</v>
      </c>
      <c r="BW39" s="592" t="s">
        <v>47</v>
      </c>
      <c r="BX39" s="592" t="s">
        <v>47</v>
      </c>
      <c r="BY39" s="592">
        <v>173</v>
      </c>
      <c r="BZ39" s="592">
        <v>173</v>
      </c>
      <c r="CA39" s="592">
        <v>173</v>
      </c>
      <c r="CB39" s="592">
        <v>173</v>
      </c>
      <c r="CC39" s="592">
        <v>173</v>
      </c>
      <c r="CD39" s="343">
        <v>183.1</v>
      </c>
      <c r="CE39" s="592">
        <v>183.1</v>
      </c>
      <c r="CF39" s="592">
        <v>183.1</v>
      </c>
      <c r="CG39" s="592">
        <v>183.1</v>
      </c>
      <c r="CH39" s="592">
        <v>183.1</v>
      </c>
      <c r="CI39" s="592">
        <v>183.1</v>
      </c>
      <c r="CJ39" s="592">
        <v>183.1</v>
      </c>
      <c r="CK39" s="592">
        <v>183.1</v>
      </c>
      <c r="CL39" s="592">
        <v>183.1</v>
      </c>
      <c r="CM39" s="592">
        <v>183.1</v>
      </c>
      <c r="CN39" s="592">
        <v>183.1</v>
      </c>
      <c r="CO39" s="592">
        <v>202</v>
      </c>
      <c r="CP39" s="592">
        <v>202</v>
      </c>
      <c r="CQ39" s="592">
        <v>202</v>
      </c>
      <c r="CR39" s="592">
        <v>202</v>
      </c>
      <c r="CS39" s="592">
        <v>202</v>
      </c>
      <c r="CT39" s="592">
        <v>202</v>
      </c>
      <c r="CU39" s="592">
        <v>202</v>
      </c>
      <c r="CV39" s="592">
        <v>202</v>
      </c>
      <c r="CW39" s="592">
        <v>202</v>
      </c>
      <c r="CX39" s="592">
        <v>202</v>
      </c>
      <c r="CY39" s="697">
        <v>249</v>
      </c>
      <c r="CZ39" s="592">
        <v>249</v>
      </c>
      <c r="DA39" s="592">
        <v>249</v>
      </c>
      <c r="DB39" s="697">
        <v>273</v>
      </c>
      <c r="DC39" s="592">
        <v>273</v>
      </c>
      <c r="DD39" s="592">
        <v>273</v>
      </c>
    </row>
    <row r="40" spans="1:108" x14ac:dyDescent="0.25">
      <c r="B40" s="117" t="s">
        <v>1218</v>
      </c>
      <c r="C40" s="348" t="s">
        <v>47</v>
      </c>
      <c r="D40" s="348" t="s">
        <v>47</v>
      </c>
      <c r="E40" s="348" t="s">
        <v>47</v>
      </c>
      <c r="F40" s="348" t="s">
        <v>47</v>
      </c>
      <c r="G40" s="348" t="s">
        <v>47</v>
      </c>
      <c r="H40" s="348" t="s">
        <v>47</v>
      </c>
      <c r="I40" s="348" t="s">
        <v>47</v>
      </c>
      <c r="J40" s="348" t="s">
        <v>47</v>
      </c>
      <c r="K40" s="348" t="s">
        <v>47</v>
      </c>
      <c r="L40" s="348" t="s">
        <v>47</v>
      </c>
      <c r="M40" s="348" t="s">
        <v>47</v>
      </c>
      <c r="N40" s="348" t="s">
        <v>47</v>
      </c>
      <c r="O40" s="348" t="s">
        <v>47</v>
      </c>
      <c r="P40" s="348" t="s">
        <v>47</v>
      </c>
      <c r="Q40" s="348" t="s">
        <v>47</v>
      </c>
      <c r="R40" s="348" t="s">
        <v>47</v>
      </c>
      <c r="S40" s="348" t="s">
        <v>47</v>
      </c>
      <c r="T40" s="348" t="s">
        <v>47</v>
      </c>
      <c r="U40" s="348" t="s">
        <v>47</v>
      </c>
      <c r="V40" s="348" t="s">
        <v>47</v>
      </c>
      <c r="W40" s="348" t="s">
        <v>47</v>
      </c>
      <c r="X40" s="348" t="s">
        <v>47</v>
      </c>
      <c r="Y40" s="348" t="s">
        <v>47</v>
      </c>
      <c r="Z40" s="348" t="s">
        <v>47</v>
      </c>
      <c r="AA40" s="348" t="s">
        <v>47</v>
      </c>
      <c r="AB40" s="348" t="s">
        <v>47</v>
      </c>
      <c r="AC40" s="348" t="s">
        <v>47</v>
      </c>
      <c r="AD40" s="348" t="s">
        <v>47</v>
      </c>
      <c r="AE40" s="348" t="s">
        <v>47</v>
      </c>
      <c r="AF40" s="348" t="s">
        <v>47</v>
      </c>
      <c r="AG40" s="348" t="s">
        <v>47</v>
      </c>
      <c r="AH40" s="348" t="s">
        <v>47</v>
      </c>
      <c r="AI40" s="348" t="s">
        <v>47</v>
      </c>
      <c r="AJ40" s="348" t="s">
        <v>47</v>
      </c>
      <c r="AK40" s="348" t="s">
        <v>47</v>
      </c>
      <c r="AL40" s="348" t="s">
        <v>47</v>
      </c>
      <c r="AM40" s="348" t="s">
        <v>47</v>
      </c>
      <c r="AN40" s="348" t="s">
        <v>47</v>
      </c>
      <c r="AO40" s="348" t="s">
        <v>47</v>
      </c>
      <c r="AP40" s="348" t="s">
        <v>47</v>
      </c>
      <c r="AQ40" s="348" t="s">
        <v>47</v>
      </c>
      <c r="AR40" s="348" t="s">
        <v>47</v>
      </c>
      <c r="AS40" s="348" t="s">
        <v>47</v>
      </c>
      <c r="AT40" s="348" t="s">
        <v>47</v>
      </c>
      <c r="AU40" s="348" t="s">
        <v>47</v>
      </c>
      <c r="AV40" s="348" t="s">
        <v>47</v>
      </c>
      <c r="AW40" s="348" t="s">
        <v>47</v>
      </c>
      <c r="AX40" s="348" t="s">
        <v>47</v>
      </c>
      <c r="AY40" s="348" t="s">
        <v>47</v>
      </c>
      <c r="AZ40" s="348" t="s">
        <v>47</v>
      </c>
      <c r="BA40" s="348" t="s">
        <v>47</v>
      </c>
      <c r="BB40" s="348" t="s">
        <v>47</v>
      </c>
      <c r="BC40" s="348" t="s">
        <v>47</v>
      </c>
      <c r="BD40" s="348" t="s">
        <v>47</v>
      </c>
      <c r="BE40" s="348" t="s">
        <v>47</v>
      </c>
      <c r="BF40" s="348" t="s">
        <v>47</v>
      </c>
      <c r="BG40" s="348" t="s">
        <v>47</v>
      </c>
      <c r="BH40" s="348" t="s">
        <v>47</v>
      </c>
      <c r="BI40" s="348" t="s">
        <v>47</v>
      </c>
      <c r="BJ40" s="348" t="s">
        <v>47</v>
      </c>
      <c r="BK40" s="348" t="s">
        <v>47</v>
      </c>
      <c r="BL40" s="348" t="s">
        <v>47</v>
      </c>
      <c r="BM40" s="348" t="s">
        <v>47</v>
      </c>
      <c r="BN40" s="592" t="s">
        <v>47</v>
      </c>
      <c r="BO40" s="592" t="s">
        <v>47</v>
      </c>
      <c r="BP40" s="592" t="s">
        <v>47</v>
      </c>
      <c r="BQ40" s="592" t="s">
        <v>47</v>
      </c>
      <c r="BR40" s="592" t="s">
        <v>47</v>
      </c>
      <c r="BS40" s="592" t="s">
        <v>47</v>
      </c>
      <c r="BT40" s="592" t="s">
        <v>47</v>
      </c>
      <c r="BU40" s="592" t="s">
        <v>47</v>
      </c>
      <c r="BV40" s="592" t="s">
        <v>47</v>
      </c>
      <c r="BW40" s="592" t="s">
        <v>47</v>
      </c>
      <c r="BX40" s="592" t="s">
        <v>47</v>
      </c>
      <c r="BY40" s="592" t="s">
        <v>47</v>
      </c>
      <c r="BZ40" s="592" t="s">
        <v>47</v>
      </c>
      <c r="CA40" s="592" t="s">
        <v>47</v>
      </c>
      <c r="CB40" s="592">
        <v>195</v>
      </c>
      <c r="CC40" s="592">
        <v>195</v>
      </c>
      <c r="CD40" s="592">
        <v>195</v>
      </c>
      <c r="CE40" s="592">
        <v>195</v>
      </c>
      <c r="CF40" s="592">
        <v>195</v>
      </c>
      <c r="CG40" s="592">
        <v>195</v>
      </c>
      <c r="CH40" s="592">
        <v>195</v>
      </c>
      <c r="CI40" s="592" t="s">
        <v>47</v>
      </c>
      <c r="CJ40" s="592" t="s">
        <v>47</v>
      </c>
      <c r="CK40" s="592" t="s">
        <v>47</v>
      </c>
      <c r="CL40" s="592" t="s">
        <v>47</v>
      </c>
      <c r="CM40" s="592" t="s">
        <v>47</v>
      </c>
      <c r="CN40" s="592" t="s">
        <v>47</v>
      </c>
      <c r="CO40" s="592" t="s">
        <v>47</v>
      </c>
      <c r="CP40" s="592" t="s">
        <v>47</v>
      </c>
      <c r="CQ40" s="592" t="s">
        <v>47</v>
      </c>
      <c r="CR40" s="592" t="s">
        <v>47</v>
      </c>
      <c r="CS40" s="592" t="s">
        <v>47</v>
      </c>
      <c r="CT40" s="592" t="s">
        <v>47</v>
      </c>
      <c r="CU40" s="592" t="s">
        <v>47</v>
      </c>
      <c r="CV40" s="592" t="s">
        <v>47</v>
      </c>
      <c r="CW40" s="592" t="s">
        <v>47</v>
      </c>
      <c r="CX40" s="592" t="s">
        <v>47</v>
      </c>
      <c r="CY40" s="592" t="s">
        <v>47</v>
      </c>
      <c r="CZ40" s="592" t="s">
        <v>47</v>
      </c>
      <c r="DA40" s="592" t="s">
        <v>47</v>
      </c>
      <c r="DB40" s="592" t="s">
        <v>47</v>
      </c>
      <c r="DC40" s="592" t="s">
        <v>47</v>
      </c>
      <c r="DD40" s="592" t="s">
        <v>47</v>
      </c>
    </row>
    <row r="41" spans="1:108" x14ac:dyDescent="0.25">
      <c r="A41"/>
      <c r="B41" s="1117" t="s">
        <v>381</v>
      </c>
      <c r="C41" s="1120" t="str">
        <f t="shared" ref="C41:AH41" si="29">IFERROR(AVERAGE(C36:C40),"-")</f>
        <v>-</v>
      </c>
      <c r="D41" s="1120" t="str">
        <f t="shared" si="29"/>
        <v>-</v>
      </c>
      <c r="E41" s="1120" t="str">
        <f t="shared" si="29"/>
        <v>-</v>
      </c>
      <c r="F41" s="1120" t="str">
        <f t="shared" si="29"/>
        <v>-</v>
      </c>
      <c r="G41" s="1120" t="str">
        <f t="shared" si="29"/>
        <v>-</v>
      </c>
      <c r="H41" s="1120" t="str">
        <f t="shared" si="29"/>
        <v>-</v>
      </c>
      <c r="I41" s="1120" t="str">
        <f t="shared" si="29"/>
        <v>-</v>
      </c>
      <c r="J41" s="1120" t="str">
        <f t="shared" si="29"/>
        <v>-</v>
      </c>
      <c r="K41" s="1120" t="str">
        <f t="shared" si="29"/>
        <v>-</v>
      </c>
      <c r="L41" s="1120" t="str">
        <f t="shared" si="29"/>
        <v>-</v>
      </c>
      <c r="M41" s="1120" t="str">
        <f t="shared" si="29"/>
        <v>-</v>
      </c>
      <c r="N41" s="1120" t="str">
        <f t="shared" si="29"/>
        <v>-</v>
      </c>
      <c r="O41" s="1120" t="str">
        <f t="shared" si="29"/>
        <v>-</v>
      </c>
      <c r="P41" s="1120" t="str">
        <f t="shared" si="29"/>
        <v>-</v>
      </c>
      <c r="Q41" s="1120" t="str">
        <f t="shared" si="29"/>
        <v>-</v>
      </c>
      <c r="R41" s="1120" t="str">
        <f t="shared" si="29"/>
        <v>-</v>
      </c>
      <c r="S41" s="1120" t="str">
        <f t="shared" si="29"/>
        <v>-</v>
      </c>
      <c r="T41" s="1120" t="str">
        <f t="shared" si="29"/>
        <v>-</v>
      </c>
      <c r="U41" s="1120" t="str">
        <f t="shared" si="29"/>
        <v>-</v>
      </c>
      <c r="V41" s="1120" t="str">
        <f t="shared" si="29"/>
        <v>-</v>
      </c>
      <c r="W41" s="1120" t="str">
        <f t="shared" si="29"/>
        <v>-</v>
      </c>
      <c r="X41" s="1120" t="str">
        <f t="shared" si="29"/>
        <v>-</v>
      </c>
      <c r="Y41" s="1120" t="str">
        <f t="shared" si="29"/>
        <v>-</v>
      </c>
      <c r="Z41" s="1120" t="str">
        <f t="shared" si="29"/>
        <v>-</v>
      </c>
      <c r="AA41" s="1120" t="str">
        <f t="shared" si="29"/>
        <v>-</v>
      </c>
      <c r="AB41" s="1120" t="str">
        <f t="shared" si="29"/>
        <v>-</v>
      </c>
      <c r="AC41" s="1120" t="str">
        <f t="shared" si="29"/>
        <v>-</v>
      </c>
      <c r="AD41" s="1120" t="str">
        <f t="shared" si="29"/>
        <v>-</v>
      </c>
      <c r="AE41" s="1120" t="str">
        <f t="shared" si="29"/>
        <v>-</v>
      </c>
      <c r="AF41" s="1120" t="str">
        <f t="shared" si="29"/>
        <v>-</v>
      </c>
      <c r="AG41" s="1120" t="str">
        <f t="shared" si="29"/>
        <v>-</v>
      </c>
      <c r="AH41" s="1120" t="str">
        <f t="shared" si="29"/>
        <v>-</v>
      </c>
      <c r="AI41" s="1120" t="str">
        <f t="shared" ref="AI41:BN41" si="30">IFERROR(AVERAGE(AI36:AI40),"-")</f>
        <v>-</v>
      </c>
      <c r="AJ41" s="1120" t="str">
        <f t="shared" si="30"/>
        <v>-</v>
      </c>
      <c r="AK41" s="1120" t="str">
        <f t="shared" si="30"/>
        <v>-</v>
      </c>
      <c r="AL41" s="1120" t="str">
        <f t="shared" si="30"/>
        <v>-</v>
      </c>
      <c r="AM41" s="1120" t="str">
        <f t="shared" si="30"/>
        <v>-</v>
      </c>
      <c r="AN41" s="1120" t="str">
        <f t="shared" si="30"/>
        <v>-</v>
      </c>
      <c r="AO41" s="1120" t="str">
        <f t="shared" si="30"/>
        <v>-</v>
      </c>
      <c r="AP41" s="1120" t="str">
        <f t="shared" si="30"/>
        <v>-</v>
      </c>
      <c r="AQ41" s="1120" t="str">
        <f t="shared" si="30"/>
        <v>-</v>
      </c>
      <c r="AR41" s="1120" t="str">
        <f t="shared" si="30"/>
        <v>-</v>
      </c>
      <c r="AS41" s="1120" t="str">
        <f t="shared" si="30"/>
        <v>-</v>
      </c>
      <c r="AT41" s="1120" t="str">
        <f t="shared" si="30"/>
        <v>-</v>
      </c>
      <c r="AU41" s="1120" t="str">
        <f t="shared" si="30"/>
        <v>-</v>
      </c>
      <c r="AV41" s="1120" t="str">
        <f t="shared" si="30"/>
        <v>-</v>
      </c>
      <c r="AW41" s="1120" t="str">
        <f t="shared" si="30"/>
        <v>-</v>
      </c>
      <c r="AX41" s="1120" t="str">
        <f t="shared" si="30"/>
        <v>-</v>
      </c>
      <c r="AY41" s="1120" t="str">
        <f t="shared" si="30"/>
        <v>-</v>
      </c>
      <c r="AZ41" s="1120" t="str">
        <f t="shared" si="30"/>
        <v>-</v>
      </c>
      <c r="BA41" s="1120" t="str">
        <f t="shared" si="30"/>
        <v>-</v>
      </c>
      <c r="BB41" s="1120" t="str">
        <f t="shared" si="30"/>
        <v>-</v>
      </c>
      <c r="BC41" s="1120" t="str">
        <f t="shared" si="30"/>
        <v>-</v>
      </c>
      <c r="BD41" s="1120" t="str">
        <f t="shared" si="30"/>
        <v>-</v>
      </c>
      <c r="BE41" s="1120" t="str">
        <f t="shared" si="30"/>
        <v>-</v>
      </c>
      <c r="BF41" s="1120" t="str">
        <f t="shared" si="30"/>
        <v>-</v>
      </c>
      <c r="BG41" s="1120" t="str">
        <f t="shared" si="30"/>
        <v>-</v>
      </c>
      <c r="BH41" s="1120" t="str">
        <f t="shared" si="30"/>
        <v>-</v>
      </c>
      <c r="BI41" s="1120" t="str">
        <f t="shared" si="30"/>
        <v>-</v>
      </c>
      <c r="BJ41" s="1120" t="str">
        <f t="shared" si="30"/>
        <v>-</v>
      </c>
      <c r="BK41" s="1120" t="str">
        <f t="shared" si="30"/>
        <v>-</v>
      </c>
      <c r="BL41" s="1120" t="str">
        <f t="shared" si="30"/>
        <v>-</v>
      </c>
      <c r="BM41" s="1120" t="str">
        <f t="shared" si="30"/>
        <v>-</v>
      </c>
      <c r="BN41" s="1120" t="str">
        <f t="shared" si="30"/>
        <v>-</v>
      </c>
      <c r="BO41" s="1120" t="str">
        <f t="shared" ref="BO41:BY41" si="31">IFERROR(AVERAGE(BO36:BO40),"-")</f>
        <v>-</v>
      </c>
      <c r="BP41" s="1120" t="str">
        <f t="shared" si="31"/>
        <v>-</v>
      </c>
      <c r="BQ41" s="1120" t="str">
        <f t="shared" si="31"/>
        <v>-</v>
      </c>
      <c r="BR41" s="1120" t="str">
        <f t="shared" si="31"/>
        <v>-</v>
      </c>
      <c r="BS41" s="1120" t="str">
        <f t="shared" si="31"/>
        <v>-</v>
      </c>
      <c r="BT41" s="1120" t="str">
        <f t="shared" si="31"/>
        <v>-</v>
      </c>
      <c r="BU41" s="1120" t="str">
        <f t="shared" si="31"/>
        <v>-</v>
      </c>
      <c r="BV41" s="1120" t="str">
        <f t="shared" si="31"/>
        <v>-</v>
      </c>
      <c r="BW41" s="1120" t="str">
        <f t="shared" si="31"/>
        <v>-</v>
      </c>
      <c r="BX41" s="1120" t="str">
        <f t="shared" si="31"/>
        <v>-</v>
      </c>
      <c r="BY41" s="1120">
        <f t="shared" si="31"/>
        <v>189</v>
      </c>
      <c r="BZ41" s="1120">
        <f t="shared" ref="BZ41:CV41" si="32">IFERROR(AVERAGE(BZ36:BZ40),"-")</f>
        <v>189</v>
      </c>
      <c r="CA41" s="1120">
        <f t="shared" si="32"/>
        <v>189</v>
      </c>
      <c r="CB41" s="1120">
        <f t="shared" si="32"/>
        <v>191</v>
      </c>
      <c r="CC41" s="1120">
        <f t="shared" si="32"/>
        <v>184.75</v>
      </c>
      <c r="CD41" s="1120">
        <f t="shared" si="32"/>
        <v>187.27500000000001</v>
      </c>
      <c r="CE41" s="1120">
        <f t="shared" si="32"/>
        <v>187.27500000000001</v>
      </c>
      <c r="CF41" s="1120">
        <f t="shared" si="32"/>
        <v>187.27500000000001</v>
      </c>
      <c r="CG41" s="1120">
        <f t="shared" si="32"/>
        <v>187.27500000000001</v>
      </c>
      <c r="CH41" s="1120">
        <f t="shared" si="32"/>
        <v>187.27500000000001</v>
      </c>
      <c r="CI41" s="1120">
        <f t="shared" si="32"/>
        <v>184.70000000000002</v>
      </c>
      <c r="CJ41" s="1120">
        <f t="shared" si="32"/>
        <v>174.55</v>
      </c>
      <c r="CK41" s="1120">
        <f t="shared" si="32"/>
        <v>174.55</v>
      </c>
      <c r="CL41" s="1120">
        <f t="shared" si="32"/>
        <v>174.55</v>
      </c>
      <c r="CM41" s="1120">
        <f t="shared" si="32"/>
        <v>174.55</v>
      </c>
      <c r="CN41" s="1120">
        <f t="shared" si="32"/>
        <v>174.55</v>
      </c>
      <c r="CO41" s="1120">
        <f t="shared" si="32"/>
        <v>184</v>
      </c>
      <c r="CP41" s="1120">
        <f t="shared" si="32"/>
        <v>191.5</v>
      </c>
      <c r="CQ41" s="1120">
        <f t="shared" si="32"/>
        <v>191.5</v>
      </c>
      <c r="CR41" s="1120">
        <f t="shared" si="32"/>
        <v>191.5</v>
      </c>
      <c r="CS41" s="1120">
        <f t="shared" si="32"/>
        <v>191.5</v>
      </c>
      <c r="CT41" s="1120">
        <f t="shared" si="32"/>
        <v>191.5</v>
      </c>
      <c r="CU41" s="1120">
        <f t="shared" si="32"/>
        <v>191.5</v>
      </c>
      <c r="CV41" s="1120">
        <f t="shared" si="32"/>
        <v>191.5</v>
      </c>
      <c r="CW41" s="1120">
        <f t="shared" ref="CW41:DB41" si="33">IFERROR(AVERAGE(CW36:CW40),"-")</f>
        <v>191.5</v>
      </c>
      <c r="CX41" s="1120">
        <f t="shared" si="33"/>
        <v>191.5</v>
      </c>
      <c r="CY41" s="1120">
        <f t="shared" si="33"/>
        <v>215</v>
      </c>
      <c r="CZ41" s="1120">
        <f t="shared" si="33"/>
        <v>215</v>
      </c>
      <c r="DA41" s="1120">
        <f t="shared" si="33"/>
        <v>215</v>
      </c>
      <c r="DB41" s="1120">
        <f t="shared" si="33"/>
        <v>227</v>
      </c>
      <c r="DC41" s="1120">
        <f t="shared" ref="DC41:DD41" si="34">IFERROR(AVERAGE(DC36:DC40),"-")</f>
        <v>227</v>
      </c>
      <c r="DD41" s="1120">
        <f t="shared" si="34"/>
        <v>227</v>
      </c>
    </row>
    <row r="42" spans="1:108" x14ac:dyDescent="0.25">
      <c r="A42" s="1030"/>
      <c r="B42" s="1028"/>
      <c r="C42" s="1029"/>
      <c r="D42" s="1029"/>
      <c r="E42" s="1029"/>
      <c r="F42" s="1029"/>
      <c r="G42" s="1029"/>
      <c r="H42" s="1029"/>
      <c r="I42" s="1029"/>
      <c r="J42" s="1029"/>
      <c r="K42" s="1029"/>
      <c r="L42" s="1030"/>
      <c r="M42" s="1030"/>
      <c r="N42" s="1030"/>
      <c r="O42" s="1030"/>
      <c r="P42" s="1030"/>
      <c r="Q42" s="1030"/>
      <c r="R42" s="1030"/>
      <c r="S42" s="1030"/>
      <c r="T42" s="1030"/>
      <c r="U42" s="1030"/>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0"/>
      <c r="AU42" s="1030"/>
      <c r="AV42" s="1032"/>
      <c r="AW42" s="1033"/>
      <c r="AX42" s="1033"/>
      <c r="AY42" s="1033"/>
      <c r="AZ42" s="1030"/>
      <c r="BA42" s="1030"/>
      <c r="BB42" s="1030"/>
      <c r="BC42" s="1030"/>
      <c r="BD42" s="1030"/>
      <c r="BE42" s="1030"/>
      <c r="BF42" s="1030"/>
      <c r="BG42" s="1030"/>
      <c r="BH42" s="1030"/>
      <c r="BI42" s="1030"/>
      <c r="BJ42" s="1030"/>
      <c r="BK42" s="1030"/>
      <c r="BL42" s="1030"/>
      <c r="BM42" s="1030"/>
      <c r="BN42" s="1030"/>
      <c r="BO42" s="1030"/>
      <c r="BP42" s="1030"/>
      <c r="BQ42" s="1030"/>
      <c r="BR42" s="1030"/>
      <c r="BS42" s="1030"/>
      <c r="BT42" s="1030"/>
      <c r="BU42" s="1030"/>
      <c r="BV42" s="1030"/>
      <c r="BW42" s="1030"/>
      <c r="BX42" s="1030"/>
      <c r="BY42" s="1030"/>
      <c r="BZ42" s="1030"/>
      <c r="CA42" s="1030"/>
      <c r="CB42" s="1030"/>
      <c r="CC42" s="1030"/>
      <c r="CD42" s="1030"/>
      <c r="CE42" s="1030"/>
      <c r="CF42" s="1030"/>
      <c r="CG42" s="1030"/>
      <c r="CH42" s="1030"/>
      <c r="CI42" s="1030"/>
      <c r="CJ42" s="1030"/>
      <c r="CK42" s="1030"/>
      <c r="CL42" s="1030"/>
      <c r="CM42" s="1030"/>
      <c r="CN42" s="1030"/>
      <c r="CO42" s="1030"/>
      <c r="CP42" s="1030"/>
      <c r="CQ42" s="1030"/>
      <c r="CR42" s="1030"/>
      <c r="CS42" s="1030"/>
      <c r="CT42" s="1030"/>
      <c r="CU42" s="1030"/>
      <c r="CV42" s="1030"/>
      <c r="CW42" s="1030"/>
      <c r="CX42" s="1030"/>
      <c r="CY42" s="1030"/>
      <c r="CZ42" s="1030"/>
      <c r="DA42" s="1030"/>
      <c r="DB42" s="1030"/>
      <c r="DC42" s="1030"/>
      <c r="DD42" s="1030"/>
    </row>
    <row r="43" spans="1:108" x14ac:dyDescent="0.25">
      <c r="B43" s="113" t="s">
        <v>1363</v>
      </c>
      <c r="C43" s="264">
        <f t="shared" ref="C43:BN43" si="35">C$12</f>
        <v>42522</v>
      </c>
      <c r="D43" s="264">
        <f t="shared" si="35"/>
        <v>42552</v>
      </c>
      <c r="E43" s="264">
        <f t="shared" si="35"/>
        <v>42583</v>
      </c>
      <c r="F43" s="264">
        <f t="shared" si="35"/>
        <v>42614</v>
      </c>
      <c r="G43" s="264">
        <f t="shared" si="35"/>
        <v>42644</v>
      </c>
      <c r="H43" s="264">
        <f t="shared" si="35"/>
        <v>42675</v>
      </c>
      <c r="I43" s="264">
        <f t="shared" si="35"/>
        <v>42705</v>
      </c>
      <c r="J43" s="264">
        <f t="shared" si="35"/>
        <v>42736</v>
      </c>
      <c r="K43" s="264">
        <f t="shared" si="35"/>
        <v>42767</v>
      </c>
      <c r="L43" s="264">
        <f t="shared" si="35"/>
        <v>42795</v>
      </c>
      <c r="M43" s="264">
        <f t="shared" si="35"/>
        <v>42826</v>
      </c>
      <c r="N43" s="264">
        <f t="shared" si="35"/>
        <v>42856</v>
      </c>
      <c r="O43" s="264">
        <f t="shared" si="35"/>
        <v>42887</v>
      </c>
      <c r="P43" s="264">
        <f t="shared" si="35"/>
        <v>42917</v>
      </c>
      <c r="Q43" s="264">
        <f t="shared" si="35"/>
        <v>42948</v>
      </c>
      <c r="R43" s="264">
        <f t="shared" si="35"/>
        <v>42979</v>
      </c>
      <c r="S43" s="264">
        <f t="shared" si="35"/>
        <v>43009</v>
      </c>
      <c r="T43" s="264">
        <f t="shared" si="35"/>
        <v>43040</v>
      </c>
      <c r="U43" s="264">
        <f t="shared" si="35"/>
        <v>43070</v>
      </c>
      <c r="V43" s="264">
        <f t="shared" si="35"/>
        <v>43101</v>
      </c>
      <c r="W43" s="264">
        <f t="shared" si="35"/>
        <v>43132</v>
      </c>
      <c r="X43" s="264">
        <f t="shared" si="35"/>
        <v>43160</v>
      </c>
      <c r="Y43" s="264">
        <f t="shared" si="35"/>
        <v>43191</v>
      </c>
      <c r="Z43" s="264">
        <f t="shared" si="35"/>
        <v>43221</v>
      </c>
      <c r="AA43" s="264">
        <f t="shared" si="35"/>
        <v>43252</v>
      </c>
      <c r="AB43" s="264">
        <f t="shared" si="35"/>
        <v>43283</v>
      </c>
      <c r="AC43" s="264">
        <f t="shared" si="35"/>
        <v>43314</v>
      </c>
      <c r="AD43" s="264">
        <f t="shared" si="35"/>
        <v>43345</v>
      </c>
      <c r="AE43" s="264">
        <f t="shared" si="35"/>
        <v>43376</v>
      </c>
      <c r="AF43" s="264">
        <f t="shared" si="35"/>
        <v>43407</v>
      </c>
      <c r="AG43" s="264">
        <f t="shared" si="35"/>
        <v>43437</v>
      </c>
      <c r="AH43" s="264">
        <f t="shared" si="35"/>
        <v>43468</v>
      </c>
      <c r="AI43" s="264">
        <f t="shared" si="35"/>
        <v>43499</v>
      </c>
      <c r="AJ43" s="264">
        <f t="shared" si="35"/>
        <v>43527</v>
      </c>
      <c r="AK43" s="264">
        <f t="shared" si="35"/>
        <v>43558</v>
      </c>
      <c r="AL43" s="264">
        <f t="shared" si="35"/>
        <v>43587</v>
      </c>
      <c r="AM43" s="264">
        <f t="shared" si="35"/>
        <v>43618</v>
      </c>
      <c r="AN43" s="264">
        <f t="shared" si="35"/>
        <v>43647</v>
      </c>
      <c r="AO43" s="264">
        <f t="shared" si="35"/>
        <v>43678</v>
      </c>
      <c r="AP43" s="264">
        <f t="shared" si="35"/>
        <v>43709</v>
      </c>
      <c r="AQ43" s="264">
        <f t="shared" si="35"/>
        <v>43739</v>
      </c>
      <c r="AR43" s="264">
        <f t="shared" si="35"/>
        <v>43770</v>
      </c>
      <c r="AS43" s="264">
        <f t="shared" si="35"/>
        <v>43800</v>
      </c>
      <c r="AT43" s="264">
        <f t="shared" si="35"/>
        <v>43831</v>
      </c>
      <c r="AU43" s="264">
        <f t="shared" si="35"/>
        <v>43862</v>
      </c>
      <c r="AV43" s="946">
        <f t="shared" si="35"/>
        <v>43891</v>
      </c>
      <c r="AW43" s="264">
        <f t="shared" si="35"/>
        <v>43922</v>
      </c>
      <c r="AX43" s="264">
        <f t="shared" si="35"/>
        <v>43952</v>
      </c>
      <c r="AY43" s="264">
        <f t="shared" si="35"/>
        <v>43983</v>
      </c>
      <c r="AZ43" s="264">
        <f t="shared" si="35"/>
        <v>44013</v>
      </c>
      <c r="BA43" s="264">
        <f t="shared" si="35"/>
        <v>44044</v>
      </c>
      <c r="BB43" s="264">
        <f t="shared" si="35"/>
        <v>44075</v>
      </c>
      <c r="BC43" s="264">
        <f t="shared" si="35"/>
        <v>44105</v>
      </c>
      <c r="BD43" s="264">
        <f t="shared" si="35"/>
        <v>44136</v>
      </c>
      <c r="BE43" s="264">
        <f t="shared" si="35"/>
        <v>44166</v>
      </c>
      <c r="BF43" s="264">
        <f t="shared" si="35"/>
        <v>44197</v>
      </c>
      <c r="BG43" s="264">
        <f t="shared" si="35"/>
        <v>44228</v>
      </c>
      <c r="BH43" s="264">
        <f t="shared" si="35"/>
        <v>44256</v>
      </c>
      <c r="BI43" s="264">
        <f t="shared" si="35"/>
        <v>44287</v>
      </c>
      <c r="BJ43" s="264">
        <f t="shared" si="35"/>
        <v>44317</v>
      </c>
      <c r="BK43" s="264">
        <f t="shared" si="35"/>
        <v>44348</v>
      </c>
      <c r="BL43" s="264">
        <f t="shared" si="35"/>
        <v>44378</v>
      </c>
      <c r="BM43" s="264">
        <f t="shared" si="35"/>
        <v>44409</v>
      </c>
      <c r="BN43" s="264">
        <f t="shared" si="35"/>
        <v>44440</v>
      </c>
      <c r="BO43" s="264">
        <f t="shared" ref="BO43:DD43" si="36">BO$12</f>
        <v>44470</v>
      </c>
      <c r="BP43" s="264">
        <f t="shared" si="36"/>
        <v>44501</v>
      </c>
      <c r="BQ43" s="264">
        <f t="shared" si="36"/>
        <v>44531</v>
      </c>
      <c r="BR43" s="264">
        <f t="shared" si="36"/>
        <v>44562</v>
      </c>
      <c r="BS43" s="264">
        <f t="shared" si="36"/>
        <v>44593</v>
      </c>
      <c r="BT43" s="264">
        <f t="shared" si="36"/>
        <v>44622</v>
      </c>
      <c r="BU43" s="264">
        <f t="shared" si="36"/>
        <v>44654</v>
      </c>
      <c r="BV43" s="264">
        <f t="shared" si="36"/>
        <v>44685</v>
      </c>
      <c r="BW43" s="264">
        <f t="shared" si="36"/>
        <v>44716</v>
      </c>
      <c r="BX43" s="264">
        <f t="shared" si="36"/>
        <v>44746</v>
      </c>
      <c r="BY43" s="264">
        <f t="shared" si="36"/>
        <v>44774</v>
      </c>
      <c r="BZ43" s="264">
        <f t="shared" si="36"/>
        <v>44805</v>
      </c>
      <c r="CA43" s="264">
        <f t="shared" si="36"/>
        <v>44835</v>
      </c>
      <c r="CB43" s="264">
        <f t="shared" si="36"/>
        <v>44866</v>
      </c>
      <c r="CC43" s="264">
        <f t="shared" si="36"/>
        <v>44896</v>
      </c>
      <c r="CD43" s="264">
        <f t="shared" si="36"/>
        <v>44927</v>
      </c>
      <c r="CE43" s="264">
        <f t="shared" si="36"/>
        <v>44958</v>
      </c>
      <c r="CF43" s="264">
        <f t="shared" si="36"/>
        <v>44986</v>
      </c>
      <c r="CG43" s="264">
        <f t="shared" si="36"/>
        <v>45017</v>
      </c>
      <c r="CH43" s="264">
        <f t="shared" si="36"/>
        <v>45047</v>
      </c>
      <c r="CI43" s="264">
        <f t="shared" si="36"/>
        <v>45078</v>
      </c>
      <c r="CJ43" s="264">
        <f t="shared" si="36"/>
        <v>45108</v>
      </c>
      <c r="CK43" s="264">
        <f t="shared" si="36"/>
        <v>45139</v>
      </c>
      <c r="CL43" s="264">
        <f t="shared" si="36"/>
        <v>45170</v>
      </c>
      <c r="CM43" s="264">
        <f t="shared" si="36"/>
        <v>45200</v>
      </c>
      <c r="CN43" s="264">
        <f t="shared" si="36"/>
        <v>45231</v>
      </c>
      <c r="CO43" s="264">
        <f t="shared" si="36"/>
        <v>45261</v>
      </c>
      <c r="CP43" s="264">
        <f t="shared" si="36"/>
        <v>45292</v>
      </c>
      <c r="CQ43" s="264">
        <f t="shared" si="36"/>
        <v>45323</v>
      </c>
      <c r="CR43" s="264">
        <f t="shared" si="36"/>
        <v>45352</v>
      </c>
      <c r="CS43" s="264">
        <f t="shared" si="36"/>
        <v>45383</v>
      </c>
      <c r="CT43" s="264">
        <f t="shared" si="36"/>
        <v>45413</v>
      </c>
      <c r="CU43" s="264">
        <f t="shared" si="36"/>
        <v>45444</v>
      </c>
      <c r="CV43" s="264">
        <f t="shared" si="36"/>
        <v>45474</v>
      </c>
      <c r="CW43" s="264">
        <f t="shared" si="36"/>
        <v>45505</v>
      </c>
      <c r="CX43" s="264">
        <f t="shared" si="36"/>
        <v>45536</v>
      </c>
      <c r="CY43" s="264">
        <f t="shared" si="36"/>
        <v>45566</v>
      </c>
      <c r="CZ43" s="264">
        <f t="shared" si="36"/>
        <v>45597</v>
      </c>
      <c r="DA43" s="264">
        <f t="shared" si="36"/>
        <v>45627</v>
      </c>
      <c r="DB43" s="264">
        <f t="shared" si="36"/>
        <v>45658</v>
      </c>
      <c r="DC43" s="264">
        <f t="shared" si="36"/>
        <v>45689</v>
      </c>
      <c r="DD43" s="264">
        <f t="shared" si="36"/>
        <v>45717</v>
      </c>
    </row>
    <row r="44" spans="1:108" x14ac:dyDescent="0.25">
      <c r="B44" s="117" t="s">
        <v>131</v>
      </c>
      <c r="C44" s="593" t="s">
        <v>47</v>
      </c>
      <c r="D44" s="593" t="s">
        <v>47</v>
      </c>
      <c r="E44" s="593" t="s">
        <v>47</v>
      </c>
      <c r="F44" s="593" t="s">
        <v>47</v>
      </c>
      <c r="G44" s="593" t="s">
        <v>47</v>
      </c>
      <c r="H44" s="593" t="s">
        <v>47</v>
      </c>
      <c r="I44" s="593" t="s">
        <v>47</v>
      </c>
      <c r="J44" s="592" t="s">
        <v>47</v>
      </c>
      <c r="K44" s="592" t="s">
        <v>47</v>
      </c>
      <c r="L44" s="592" t="s">
        <v>47</v>
      </c>
      <c r="M44" s="592" t="s">
        <v>47</v>
      </c>
      <c r="N44" s="592" t="s">
        <v>47</v>
      </c>
      <c r="O44" s="592" t="s">
        <v>47</v>
      </c>
      <c r="P44" s="592" t="s">
        <v>47</v>
      </c>
      <c r="Q44" s="592" t="s">
        <v>47</v>
      </c>
      <c r="R44" s="592" t="s">
        <v>47</v>
      </c>
      <c r="S44" s="592" t="s">
        <v>47</v>
      </c>
      <c r="T44" s="592" t="s">
        <v>47</v>
      </c>
      <c r="U44" s="592" t="s">
        <v>47</v>
      </c>
      <c r="V44" s="592" t="s">
        <v>47</v>
      </c>
      <c r="W44" s="592" t="s">
        <v>47</v>
      </c>
      <c r="X44" s="592" t="s">
        <v>47</v>
      </c>
      <c r="Y44" s="592" t="s">
        <v>47</v>
      </c>
      <c r="Z44" s="592" t="s">
        <v>47</v>
      </c>
      <c r="AA44" s="592" t="s">
        <v>47</v>
      </c>
      <c r="AB44" s="592" t="s">
        <v>47</v>
      </c>
      <c r="AC44" s="592" t="s">
        <v>47</v>
      </c>
      <c r="AD44" s="592" t="s">
        <v>47</v>
      </c>
      <c r="AE44" s="592" t="s">
        <v>47</v>
      </c>
      <c r="AF44" s="592" t="s">
        <v>47</v>
      </c>
      <c r="AG44" s="592" t="s">
        <v>47</v>
      </c>
      <c r="AH44" s="592" t="s">
        <v>47</v>
      </c>
      <c r="AI44" s="592" t="s">
        <v>47</v>
      </c>
      <c r="AJ44" s="592" t="s">
        <v>47</v>
      </c>
      <c r="AK44" s="592" t="s">
        <v>47</v>
      </c>
      <c r="AL44" s="592" t="s">
        <v>47</v>
      </c>
      <c r="AM44" s="592" t="s">
        <v>47</v>
      </c>
      <c r="AN44" s="592" t="s">
        <v>47</v>
      </c>
      <c r="AO44" s="592" t="s">
        <v>47</v>
      </c>
      <c r="AP44" s="592" t="s">
        <v>47</v>
      </c>
      <c r="AQ44" s="592" t="s">
        <v>47</v>
      </c>
      <c r="AR44" s="592" t="s">
        <v>47</v>
      </c>
      <c r="AS44" s="592" t="s">
        <v>47</v>
      </c>
      <c r="AT44" s="592" t="s">
        <v>47</v>
      </c>
      <c r="AU44" s="592" t="s">
        <v>47</v>
      </c>
      <c r="AV44" s="948" t="s">
        <v>47</v>
      </c>
      <c r="AW44" s="592" t="s">
        <v>47</v>
      </c>
      <c r="AX44" s="592" t="s">
        <v>47</v>
      </c>
      <c r="AY44" s="592" t="s">
        <v>47</v>
      </c>
      <c r="AZ44" s="592" t="s">
        <v>47</v>
      </c>
      <c r="BA44" s="592" t="s">
        <v>47</v>
      </c>
      <c r="BB44" s="592" t="s">
        <v>47</v>
      </c>
      <c r="BC44" s="592" t="s">
        <v>47</v>
      </c>
      <c r="BD44" s="592" t="s">
        <v>47</v>
      </c>
      <c r="BE44" s="592" t="s">
        <v>47</v>
      </c>
      <c r="BF44" s="592" t="s">
        <v>47</v>
      </c>
      <c r="BG44" s="592" t="s">
        <v>47</v>
      </c>
      <c r="BH44" s="592" t="s">
        <v>47</v>
      </c>
      <c r="BI44" s="592" t="s">
        <v>47</v>
      </c>
      <c r="BJ44" s="592" t="s">
        <v>47</v>
      </c>
      <c r="BK44" s="592" t="s">
        <v>47</v>
      </c>
      <c r="BL44" s="592" t="s">
        <v>47</v>
      </c>
      <c r="BM44" s="592" t="s">
        <v>47</v>
      </c>
      <c r="BN44" s="592" t="s">
        <v>47</v>
      </c>
      <c r="BO44" s="592" t="s">
        <v>47</v>
      </c>
      <c r="BP44" s="592" t="s">
        <v>47</v>
      </c>
      <c r="BQ44" s="592" t="s">
        <v>47</v>
      </c>
      <c r="BR44" s="592" t="s">
        <v>47</v>
      </c>
      <c r="BS44" s="592" t="s">
        <v>47</v>
      </c>
      <c r="BT44" s="592" t="s">
        <v>47</v>
      </c>
      <c r="BU44" s="592" t="s">
        <v>47</v>
      </c>
      <c r="BV44" s="592" t="s">
        <v>47</v>
      </c>
      <c r="BW44" s="592" t="s">
        <v>47</v>
      </c>
      <c r="BX44" s="592" t="s">
        <v>47</v>
      </c>
      <c r="BY44" s="592" t="s">
        <v>47</v>
      </c>
      <c r="BZ44" s="592" t="s">
        <v>47</v>
      </c>
      <c r="CA44" s="592" t="s">
        <v>47</v>
      </c>
      <c r="CB44" s="592" t="s">
        <v>47</v>
      </c>
      <c r="CC44" s="592" t="s">
        <v>47</v>
      </c>
      <c r="CD44" s="592" t="s">
        <v>47</v>
      </c>
      <c r="CE44" s="592" t="s">
        <v>47</v>
      </c>
      <c r="CF44" s="592" t="s">
        <v>47</v>
      </c>
      <c r="CG44" s="592" t="s">
        <v>47</v>
      </c>
      <c r="CH44" s="592" t="s">
        <v>47</v>
      </c>
      <c r="CI44" s="592" t="s">
        <v>47</v>
      </c>
      <c r="CJ44" s="592" t="s">
        <v>47</v>
      </c>
      <c r="CK44" s="592" t="s">
        <v>47</v>
      </c>
      <c r="CL44" s="592" t="s">
        <v>47</v>
      </c>
      <c r="CM44" s="592" t="s">
        <v>47</v>
      </c>
      <c r="CN44" s="592" t="s">
        <v>47</v>
      </c>
      <c r="CO44" s="592" t="s">
        <v>47</v>
      </c>
      <c r="CP44" s="592" t="s">
        <v>47</v>
      </c>
      <c r="CQ44" s="592" t="s">
        <v>47</v>
      </c>
      <c r="CR44" s="592" t="s">
        <v>47</v>
      </c>
      <c r="CS44" s="592" t="s">
        <v>47</v>
      </c>
      <c r="CT44" s="592" t="s">
        <v>47</v>
      </c>
      <c r="CU44" s="592" t="s">
        <v>47</v>
      </c>
      <c r="CV44" s="592" t="s">
        <v>47</v>
      </c>
      <c r="CW44" s="592" t="s">
        <v>47</v>
      </c>
      <c r="CX44" s="592" t="s">
        <v>47</v>
      </c>
      <c r="CY44" s="592" t="s">
        <v>47</v>
      </c>
      <c r="CZ44" s="592" t="s">
        <v>47</v>
      </c>
      <c r="DA44" s="592" t="s">
        <v>47</v>
      </c>
      <c r="DB44" s="592" t="s">
        <v>47</v>
      </c>
      <c r="DC44" s="592" t="s">
        <v>47</v>
      </c>
      <c r="DD44" s="592" t="s">
        <v>47</v>
      </c>
    </row>
    <row r="45" spans="1:108" x14ac:dyDescent="0.25">
      <c r="B45" s="117" t="s">
        <v>135</v>
      </c>
      <c r="C45" s="266" t="s">
        <v>47</v>
      </c>
      <c r="D45" s="266" t="s">
        <v>47</v>
      </c>
      <c r="E45" s="266" t="s">
        <v>47</v>
      </c>
      <c r="F45" s="266" t="s">
        <v>47</v>
      </c>
      <c r="G45" s="266" t="s">
        <v>47</v>
      </c>
      <c r="H45" s="266" t="s">
        <v>47</v>
      </c>
      <c r="I45" s="266" t="s">
        <v>47</v>
      </c>
      <c r="J45" s="338" t="s">
        <v>47</v>
      </c>
      <c r="K45" s="338" t="s">
        <v>47</v>
      </c>
      <c r="L45" s="592" t="s">
        <v>47</v>
      </c>
      <c r="M45" s="592" t="s">
        <v>47</v>
      </c>
      <c r="N45" s="592" t="s">
        <v>47</v>
      </c>
      <c r="O45" s="592" t="s">
        <v>47</v>
      </c>
      <c r="P45" s="592" t="s">
        <v>47</v>
      </c>
      <c r="Q45" s="592" t="s">
        <v>47</v>
      </c>
      <c r="R45" s="592" t="s">
        <v>47</v>
      </c>
      <c r="S45" s="592" t="s">
        <v>47</v>
      </c>
      <c r="T45" s="592" t="s">
        <v>47</v>
      </c>
      <c r="U45" s="592" t="s">
        <v>47</v>
      </c>
      <c r="V45" s="592" t="s">
        <v>47</v>
      </c>
      <c r="W45" s="592" t="s">
        <v>47</v>
      </c>
      <c r="X45" s="592" t="s">
        <v>47</v>
      </c>
      <c r="Y45" s="592" t="s">
        <v>47</v>
      </c>
      <c r="Z45" s="592" t="s">
        <v>47</v>
      </c>
      <c r="AA45" s="592" t="s">
        <v>47</v>
      </c>
      <c r="AB45" s="592" t="s">
        <v>47</v>
      </c>
      <c r="AC45" s="592" t="s">
        <v>47</v>
      </c>
      <c r="AD45" s="592" t="s">
        <v>47</v>
      </c>
      <c r="AE45" s="592" t="s">
        <v>47</v>
      </c>
      <c r="AF45" s="592" t="s">
        <v>47</v>
      </c>
      <c r="AG45" s="592" t="s">
        <v>47</v>
      </c>
      <c r="AH45" s="592" t="s">
        <v>47</v>
      </c>
      <c r="AI45" s="592" t="s">
        <v>47</v>
      </c>
      <c r="AJ45" s="348" t="s">
        <v>47</v>
      </c>
      <c r="AK45" s="348" t="s">
        <v>47</v>
      </c>
      <c r="AL45" s="348" t="s">
        <v>47</v>
      </c>
      <c r="AM45" s="348" t="s">
        <v>47</v>
      </c>
      <c r="AN45" s="348" t="s">
        <v>47</v>
      </c>
      <c r="AO45" s="348" t="s">
        <v>47</v>
      </c>
      <c r="AP45" s="348" t="s">
        <v>47</v>
      </c>
      <c r="AQ45" s="348" t="s">
        <v>47</v>
      </c>
      <c r="AR45" s="348" t="s">
        <v>47</v>
      </c>
      <c r="AS45" s="348" t="s">
        <v>47</v>
      </c>
      <c r="AT45" s="348" t="s">
        <v>47</v>
      </c>
      <c r="AU45" s="348" t="s">
        <v>47</v>
      </c>
      <c r="AV45" s="962" t="s">
        <v>47</v>
      </c>
      <c r="AW45" s="348" t="s">
        <v>47</v>
      </c>
      <c r="AX45" s="348" t="s">
        <v>47</v>
      </c>
      <c r="AY45" s="348" t="s">
        <v>47</v>
      </c>
      <c r="AZ45" s="348" t="s">
        <v>47</v>
      </c>
      <c r="BA45" s="348" t="s">
        <v>47</v>
      </c>
      <c r="BB45" s="348" t="s">
        <v>47</v>
      </c>
      <c r="BC45" s="348" t="s">
        <v>47</v>
      </c>
      <c r="BD45" s="348" t="s">
        <v>47</v>
      </c>
      <c r="BE45" s="348" t="s">
        <v>47</v>
      </c>
      <c r="BF45" s="348" t="s">
        <v>47</v>
      </c>
      <c r="BG45" s="348" t="s">
        <v>47</v>
      </c>
      <c r="BH45" s="348" t="s">
        <v>47</v>
      </c>
      <c r="BI45" s="348" t="s">
        <v>47</v>
      </c>
      <c r="BJ45" s="348" t="s">
        <v>47</v>
      </c>
      <c r="BK45" s="348" t="s">
        <v>47</v>
      </c>
      <c r="BL45" s="348" t="s">
        <v>47</v>
      </c>
      <c r="BM45" s="348" t="s">
        <v>47</v>
      </c>
      <c r="BN45" s="592" t="s">
        <v>47</v>
      </c>
      <c r="BO45" s="592" t="s">
        <v>47</v>
      </c>
      <c r="BP45" s="592" t="s">
        <v>47</v>
      </c>
      <c r="BQ45" s="592" t="s">
        <v>47</v>
      </c>
      <c r="BR45" s="592" t="s">
        <v>47</v>
      </c>
      <c r="BS45" s="592" t="s">
        <v>47</v>
      </c>
      <c r="BT45" s="592" t="s">
        <v>47</v>
      </c>
      <c r="BU45" s="592" t="s">
        <v>47</v>
      </c>
      <c r="BV45" s="592" t="s">
        <v>47</v>
      </c>
      <c r="BW45" s="592" t="s">
        <v>47</v>
      </c>
      <c r="BX45" s="592" t="s">
        <v>47</v>
      </c>
      <c r="BY45" s="592" t="s">
        <v>47</v>
      </c>
      <c r="BZ45" s="592" t="s">
        <v>47</v>
      </c>
      <c r="CA45" s="592" t="s">
        <v>47</v>
      </c>
      <c r="CB45" s="592" t="s">
        <v>47</v>
      </c>
      <c r="CC45" s="592" t="s">
        <v>47</v>
      </c>
      <c r="CD45" s="592" t="s">
        <v>47</v>
      </c>
      <c r="CE45" s="592" t="s">
        <v>47</v>
      </c>
      <c r="CF45" s="592" t="s">
        <v>47</v>
      </c>
      <c r="CG45" s="592" t="s">
        <v>47</v>
      </c>
      <c r="CH45" s="592" t="s">
        <v>47</v>
      </c>
      <c r="CI45" s="592" t="s">
        <v>47</v>
      </c>
      <c r="CJ45" s="592" t="s">
        <v>47</v>
      </c>
      <c r="CK45" s="592" t="s">
        <v>47</v>
      </c>
      <c r="CL45" s="592" t="s">
        <v>47</v>
      </c>
      <c r="CM45" s="592" t="s">
        <v>47</v>
      </c>
      <c r="CN45" s="592" t="s">
        <v>47</v>
      </c>
      <c r="CO45" s="592" t="s">
        <v>47</v>
      </c>
      <c r="CP45" s="592" t="s">
        <v>47</v>
      </c>
      <c r="CQ45" s="592" t="s">
        <v>47</v>
      </c>
      <c r="CR45" s="592" t="s">
        <v>47</v>
      </c>
      <c r="CS45" s="592" t="s">
        <v>47</v>
      </c>
      <c r="CT45" s="592" t="s">
        <v>47</v>
      </c>
      <c r="CU45" s="592" t="s">
        <v>47</v>
      </c>
      <c r="CV45" s="592" t="s">
        <v>47</v>
      </c>
      <c r="CW45" s="592" t="s">
        <v>47</v>
      </c>
      <c r="CX45" s="592" t="s">
        <v>47</v>
      </c>
      <c r="CY45" s="592" t="s">
        <v>47</v>
      </c>
      <c r="CZ45" s="592" t="s">
        <v>47</v>
      </c>
      <c r="DA45" s="592" t="s">
        <v>47</v>
      </c>
      <c r="DB45" s="592" t="s">
        <v>47</v>
      </c>
      <c r="DC45" s="592" t="s">
        <v>47</v>
      </c>
      <c r="DD45" s="592" t="s">
        <v>47</v>
      </c>
    </row>
    <row r="46" spans="1:108" x14ac:dyDescent="0.25">
      <c r="B46" s="117" t="s">
        <v>136</v>
      </c>
      <c r="C46" s="266" t="s">
        <v>47</v>
      </c>
      <c r="D46" s="266" t="s">
        <v>47</v>
      </c>
      <c r="E46" s="266" t="s">
        <v>47</v>
      </c>
      <c r="F46" s="266" t="s">
        <v>47</v>
      </c>
      <c r="G46" s="266" t="s">
        <v>47</v>
      </c>
      <c r="H46" s="266" t="s">
        <v>47</v>
      </c>
      <c r="I46" s="266" t="s">
        <v>47</v>
      </c>
      <c r="J46" s="338" t="s">
        <v>47</v>
      </c>
      <c r="K46" s="338" t="s">
        <v>47</v>
      </c>
      <c r="L46" s="338" t="s">
        <v>47</v>
      </c>
      <c r="M46" s="338" t="s">
        <v>47</v>
      </c>
      <c r="N46" s="338" t="s">
        <v>47</v>
      </c>
      <c r="O46" s="338" t="s">
        <v>47</v>
      </c>
      <c r="P46" s="338" t="s">
        <v>47</v>
      </c>
      <c r="Q46" s="338" t="s">
        <v>47</v>
      </c>
      <c r="R46" s="338" t="s">
        <v>47</v>
      </c>
      <c r="S46" s="338" t="s">
        <v>47</v>
      </c>
      <c r="T46" s="338" t="s">
        <v>47</v>
      </c>
      <c r="U46" s="338" t="s">
        <v>47</v>
      </c>
      <c r="V46" s="338" t="s">
        <v>47</v>
      </c>
      <c r="W46" s="338" t="s">
        <v>47</v>
      </c>
      <c r="X46" s="338" t="s">
        <v>47</v>
      </c>
      <c r="Y46" s="338" t="s">
        <v>47</v>
      </c>
      <c r="Z46" s="338" t="s">
        <v>47</v>
      </c>
      <c r="AA46" s="338" t="s">
        <v>47</v>
      </c>
      <c r="AB46" s="338" t="s">
        <v>47</v>
      </c>
      <c r="AC46" s="338" t="s">
        <v>47</v>
      </c>
      <c r="AD46" s="338" t="s">
        <v>47</v>
      </c>
      <c r="AE46" s="338" t="s">
        <v>47</v>
      </c>
      <c r="AF46" s="338" t="s">
        <v>47</v>
      </c>
      <c r="AG46" s="338" t="s">
        <v>47</v>
      </c>
      <c r="AH46" s="338" t="s">
        <v>47</v>
      </c>
      <c r="AI46" s="338" t="s">
        <v>47</v>
      </c>
      <c r="AJ46" s="338" t="s">
        <v>47</v>
      </c>
      <c r="AK46" s="338" t="s">
        <v>47</v>
      </c>
      <c r="AL46" s="338" t="s">
        <v>47</v>
      </c>
      <c r="AM46" s="338" t="s">
        <v>47</v>
      </c>
      <c r="AN46" s="338" t="s">
        <v>47</v>
      </c>
      <c r="AO46" s="338" t="s">
        <v>47</v>
      </c>
      <c r="AP46" s="338" t="s">
        <v>47</v>
      </c>
      <c r="AQ46" s="338" t="s">
        <v>47</v>
      </c>
      <c r="AR46" s="338" t="s">
        <v>47</v>
      </c>
      <c r="AS46" s="338" t="s">
        <v>47</v>
      </c>
      <c r="AT46" s="338" t="s">
        <v>47</v>
      </c>
      <c r="AU46" s="338" t="s">
        <v>47</v>
      </c>
      <c r="AV46" s="1206" t="s">
        <v>47</v>
      </c>
      <c r="AW46" s="338" t="s">
        <v>47</v>
      </c>
      <c r="AX46" s="338" t="s">
        <v>47</v>
      </c>
      <c r="AY46" s="338" t="s">
        <v>47</v>
      </c>
      <c r="AZ46" s="338" t="s">
        <v>47</v>
      </c>
      <c r="BA46" s="338" t="s">
        <v>47</v>
      </c>
      <c r="BB46" s="338" t="s">
        <v>47</v>
      </c>
      <c r="BC46" s="338" t="s">
        <v>47</v>
      </c>
      <c r="BD46" s="338" t="s">
        <v>47</v>
      </c>
      <c r="BE46" s="338" t="s">
        <v>47</v>
      </c>
      <c r="BF46" s="338" t="s">
        <v>47</v>
      </c>
      <c r="BG46" s="338" t="s">
        <v>47</v>
      </c>
      <c r="BH46" s="338" t="s">
        <v>47</v>
      </c>
      <c r="BI46" s="338" t="s">
        <v>47</v>
      </c>
      <c r="BJ46" s="338" t="s">
        <v>47</v>
      </c>
      <c r="BK46" s="338" t="s">
        <v>47</v>
      </c>
      <c r="BL46" s="338" t="s">
        <v>47</v>
      </c>
      <c r="BM46" s="338" t="s">
        <v>47</v>
      </c>
      <c r="BN46" s="338" t="s">
        <v>47</v>
      </c>
      <c r="BO46" s="338" t="s">
        <v>47</v>
      </c>
      <c r="BP46" s="338" t="s">
        <v>47</v>
      </c>
      <c r="BQ46" s="338" t="s">
        <v>47</v>
      </c>
      <c r="BR46" s="338" t="s">
        <v>47</v>
      </c>
      <c r="BS46" s="338" t="s">
        <v>47</v>
      </c>
      <c r="BT46" s="338" t="s">
        <v>47</v>
      </c>
      <c r="BU46" s="338" t="s">
        <v>47</v>
      </c>
      <c r="BV46" s="338" t="s">
        <v>47</v>
      </c>
      <c r="BW46" s="338" t="s">
        <v>47</v>
      </c>
      <c r="BX46" s="338" t="s">
        <v>47</v>
      </c>
      <c r="BY46" s="338" t="s">
        <v>47</v>
      </c>
      <c r="BZ46" s="338" t="s">
        <v>47</v>
      </c>
      <c r="CA46" s="338" t="s">
        <v>47</v>
      </c>
      <c r="CB46" s="338" t="s">
        <v>47</v>
      </c>
      <c r="CC46" s="338" t="s">
        <v>47</v>
      </c>
      <c r="CD46" s="338" t="s">
        <v>47</v>
      </c>
      <c r="CE46" s="338" t="s">
        <v>47</v>
      </c>
      <c r="CF46" s="338" t="s">
        <v>47</v>
      </c>
      <c r="CG46" s="338" t="s">
        <v>47</v>
      </c>
      <c r="CH46" s="338" t="s">
        <v>47</v>
      </c>
      <c r="CI46" s="338" t="s">
        <v>47</v>
      </c>
      <c r="CJ46" s="338" t="s">
        <v>47</v>
      </c>
      <c r="CK46" s="338" t="s">
        <v>47</v>
      </c>
      <c r="CL46" s="338" t="s">
        <v>47</v>
      </c>
      <c r="CM46" s="338" t="s">
        <v>47</v>
      </c>
      <c r="CN46" s="338" t="s">
        <v>47</v>
      </c>
      <c r="CO46" s="338" t="s">
        <v>47</v>
      </c>
      <c r="CP46" s="338" t="s">
        <v>47</v>
      </c>
      <c r="CQ46" s="338" t="s">
        <v>47</v>
      </c>
      <c r="CR46" s="338" t="s">
        <v>47</v>
      </c>
      <c r="CS46" s="338" t="s">
        <v>47</v>
      </c>
      <c r="CT46" s="338" t="s">
        <v>47</v>
      </c>
      <c r="CU46" s="338" t="s">
        <v>47</v>
      </c>
      <c r="CV46" s="338" t="s">
        <v>47</v>
      </c>
      <c r="CW46" s="338" t="s">
        <v>47</v>
      </c>
      <c r="CX46" s="338" t="s">
        <v>47</v>
      </c>
      <c r="CY46" s="338">
        <v>2039</v>
      </c>
      <c r="CZ46" s="338">
        <v>2039</v>
      </c>
      <c r="DA46" s="338">
        <v>2039</v>
      </c>
      <c r="DB46" s="697">
        <v>2267</v>
      </c>
      <c r="DC46" s="592">
        <v>2267</v>
      </c>
      <c r="DD46" s="592">
        <v>2267</v>
      </c>
    </row>
    <row r="47" spans="1:108" x14ac:dyDescent="0.25">
      <c r="A47"/>
      <c r="B47" s="1117" t="s">
        <v>381</v>
      </c>
      <c r="C47" s="1124" t="str">
        <f t="shared" ref="C47:AH47" si="37">IFERROR(AVERAGE(C44:C46),"-")</f>
        <v>-</v>
      </c>
      <c r="D47" s="1124" t="str">
        <f t="shared" si="37"/>
        <v>-</v>
      </c>
      <c r="E47" s="1124" t="str">
        <f t="shared" si="37"/>
        <v>-</v>
      </c>
      <c r="F47" s="1124" t="str">
        <f t="shared" si="37"/>
        <v>-</v>
      </c>
      <c r="G47" s="1124" t="str">
        <f t="shared" si="37"/>
        <v>-</v>
      </c>
      <c r="H47" s="1124" t="str">
        <f t="shared" si="37"/>
        <v>-</v>
      </c>
      <c r="I47" s="1124" t="str">
        <f t="shared" si="37"/>
        <v>-</v>
      </c>
      <c r="J47" s="1124" t="str">
        <f t="shared" si="37"/>
        <v>-</v>
      </c>
      <c r="K47" s="1124" t="str">
        <f t="shared" si="37"/>
        <v>-</v>
      </c>
      <c r="L47" s="1124" t="str">
        <f t="shared" si="37"/>
        <v>-</v>
      </c>
      <c r="M47" s="1124" t="str">
        <f t="shared" si="37"/>
        <v>-</v>
      </c>
      <c r="N47" s="1124" t="str">
        <f t="shared" si="37"/>
        <v>-</v>
      </c>
      <c r="O47" s="1124" t="str">
        <f t="shared" si="37"/>
        <v>-</v>
      </c>
      <c r="P47" s="1124" t="str">
        <f t="shared" si="37"/>
        <v>-</v>
      </c>
      <c r="Q47" s="1124" t="str">
        <f t="shared" si="37"/>
        <v>-</v>
      </c>
      <c r="R47" s="1124" t="str">
        <f t="shared" si="37"/>
        <v>-</v>
      </c>
      <c r="S47" s="1124" t="str">
        <f t="shared" si="37"/>
        <v>-</v>
      </c>
      <c r="T47" s="1124" t="str">
        <f t="shared" si="37"/>
        <v>-</v>
      </c>
      <c r="U47" s="1124" t="str">
        <f t="shared" si="37"/>
        <v>-</v>
      </c>
      <c r="V47" s="1124" t="str">
        <f t="shared" si="37"/>
        <v>-</v>
      </c>
      <c r="W47" s="1124" t="str">
        <f t="shared" si="37"/>
        <v>-</v>
      </c>
      <c r="X47" s="1124" t="str">
        <f t="shared" si="37"/>
        <v>-</v>
      </c>
      <c r="Y47" s="1124" t="str">
        <f t="shared" si="37"/>
        <v>-</v>
      </c>
      <c r="Z47" s="1124" t="str">
        <f t="shared" si="37"/>
        <v>-</v>
      </c>
      <c r="AA47" s="1124" t="str">
        <f t="shared" si="37"/>
        <v>-</v>
      </c>
      <c r="AB47" s="1124" t="str">
        <f t="shared" si="37"/>
        <v>-</v>
      </c>
      <c r="AC47" s="1124" t="str">
        <f t="shared" si="37"/>
        <v>-</v>
      </c>
      <c r="AD47" s="1124" t="str">
        <f t="shared" si="37"/>
        <v>-</v>
      </c>
      <c r="AE47" s="1124" t="str">
        <f t="shared" si="37"/>
        <v>-</v>
      </c>
      <c r="AF47" s="1124" t="str">
        <f t="shared" si="37"/>
        <v>-</v>
      </c>
      <c r="AG47" s="1124" t="str">
        <f t="shared" si="37"/>
        <v>-</v>
      </c>
      <c r="AH47" s="1124" t="str">
        <f t="shared" si="37"/>
        <v>-</v>
      </c>
      <c r="AI47" s="1124" t="str">
        <f t="shared" ref="AI47:BN47" si="38">IFERROR(AVERAGE(AI44:AI46),"-")</f>
        <v>-</v>
      </c>
      <c r="AJ47" s="1124" t="str">
        <f t="shared" si="38"/>
        <v>-</v>
      </c>
      <c r="AK47" s="1124" t="str">
        <f t="shared" si="38"/>
        <v>-</v>
      </c>
      <c r="AL47" s="1124" t="str">
        <f t="shared" si="38"/>
        <v>-</v>
      </c>
      <c r="AM47" s="1124" t="str">
        <f t="shared" si="38"/>
        <v>-</v>
      </c>
      <c r="AN47" s="1124" t="str">
        <f t="shared" si="38"/>
        <v>-</v>
      </c>
      <c r="AO47" s="1124" t="str">
        <f t="shared" si="38"/>
        <v>-</v>
      </c>
      <c r="AP47" s="1124" t="str">
        <f t="shared" si="38"/>
        <v>-</v>
      </c>
      <c r="AQ47" s="1124" t="str">
        <f t="shared" si="38"/>
        <v>-</v>
      </c>
      <c r="AR47" s="1124" t="str">
        <f t="shared" si="38"/>
        <v>-</v>
      </c>
      <c r="AS47" s="1124" t="str">
        <f t="shared" si="38"/>
        <v>-</v>
      </c>
      <c r="AT47" s="1124" t="str">
        <f t="shared" si="38"/>
        <v>-</v>
      </c>
      <c r="AU47" s="1124" t="str">
        <f t="shared" si="38"/>
        <v>-</v>
      </c>
      <c r="AV47" s="1124" t="str">
        <f t="shared" si="38"/>
        <v>-</v>
      </c>
      <c r="AW47" s="1124" t="str">
        <f t="shared" si="38"/>
        <v>-</v>
      </c>
      <c r="AX47" s="1124" t="str">
        <f t="shared" si="38"/>
        <v>-</v>
      </c>
      <c r="AY47" s="1124" t="str">
        <f t="shared" si="38"/>
        <v>-</v>
      </c>
      <c r="AZ47" s="1124" t="str">
        <f t="shared" si="38"/>
        <v>-</v>
      </c>
      <c r="BA47" s="1124" t="str">
        <f t="shared" si="38"/>
        <v>-</v>
      </c>
      <c r="BB47" s="1124" t="str">
        <f t="shared" si="38"/>
        <v>-</v>
      </c>
      <c r="BC47" s="1124" t="str">
        <f t="shared" si="38"/>
        <v>-</v>
      </c>
      <c r="BD47" s="1124" t="str">
        <f t="shared" si="38"/>
        <v>-</v>
      </c>
      <c r="BE47" s="1124" t="str">
        <f t="shared" si="38"/>
        <v>-</v>
      </c>
      <c r="BF47" s="1124" t="str">
        <f t="shared" si="38"/>
        <v>-</v>
      </c>
      <c r="BG47" s="1124" t="str">
        <f t="shared" si="38"/>
        <v>-</v>
      </c>
      <c r="BH47" s="1124" t="str">
        <f t="shared" si="38"/>
        <v>-</v>
      </c>
      <c r="BI47" s="1124" t="str">
        <f t="shared" si="38"/>
        <v>-</v>
      </c>
      <c r="BJ47" s="1124" t="str">
        <f t="shared" si="38"/>
        <v>-</v>
      </c>
      <c r="BK47" s="1124" t="str">
        <f t="shared" si="38"/>
        <v>-</v>
      </c>
      <c r="BL47" s="1124" t="str">
        <f t="shared" si="38"/>
        <v>-</v>
      </c>
      <c r="BM47" s="1124" t="str">
        <f t="shared" si="38"/>
        <v>-</v>
      </c>
      <c r="BN47" s="1124" t="str">
        <f t="shared" si="38"/>
        <v>-</v>
      </c>
      <c r="BO47" s="1124" t="str">
        <f t="shared" ref="BO47:CT47" si="39">IFERROR(AVERAGE(BO44:BO46),"-")</f>
        <v>-</v>
      </c>
      <c r="BP47" s="1124" t="str">
        <f t="shared" si="39"/>
        <v>-</v>
      </c>
      <c r="BQ47" s="1124" t="str">
        <f t="shared" si="39"/>
        <v>-</v>
      </c>
      <c r="BR47" s="1124" t="str">
        <f t="shared" si="39"/>
        <v>-</v>
      </c>
      <c r="BS47" s="1124" t="str">
        <f t="shared" si="39"/>
        <v>-</v>
      </c>
      <c r="BT47" s="1124" t="str">
        <f t="shared" si="39"/>
        <v>-</v>
      </c>
      <c r="BU47" s="1124" t="str">
        <f t="shared" si="39"/>
        <v>-</v>
      </c>
      <c r="BV47" s="1124" t="str">
        <f t="shared" si="39"/>
        <v>-</v>
      </c>
      <c r="BW47" s="1124" t="str">
        <f t="shared" si="39"/>
        <v>-</v>
      </c>
      <c r="BX47" s="1124" t="str">
        <f t="shared" si="39"/>
        <v>-</v>
      </c>
      <c r="BY47" s="1124" t="str">
        <f t="shared" si="39"/>
        <v>-</v>
      </c>
      <c r="BZ47" s="1124" t="str">
        <f t="shared" si="39"/>
        <v>-</v>
      </c>
      <c r="CA47" s="1124" t="str">
        <f t="shared" si="39"/>
        <v>-</v>
      </c>
      <c r="CB47" s="1124" t="str">
        <f t="shared" si="39"/>
        <v>-</v>
      </c>
      <c r="CC47" s="1124" t="str">
        <f t="shared" si="39"/>
        <v>-</v>
      </c>
      <c r="CD47" s="1124" t="str">
        <f t="shared" si="39"/>
        <v>-</v>
      </c>
      <c r="CE47" s="1124" t="str">
        <f t="shared" si="39"/>
        <v>-</v>
      </c>
      <c r="CF47" s="1124" t="str">
        <f t="shared" si="39"/>
        <v>-</v>
      </c>
      <c r="CG47" s="1124" t="str">
        <f t="shared" si="39"/>
        <v>-</v>
      </c>
      <c r="CH47" s="1124" t="str">
        <f t="shared" si="39"/>
        <v>-</v>
      </c>
      <c r="CI47" s="1124" t="str">
        <f t="shared" si="39"/>
        <v>-</v>
      </c>
      <c r="CJ47" s="1124" t="str">
        <f t="shared" si="39"/>
        <v>-</v>
      </c>
      <c r="CK47" s="1124" t="str">
        <f t="shared" si="39"/>
        <v>-</v>
      </c>
      <c r="CL47" s="1124" t="str">
        <f t="shared" si="39"/>
        <v>-</v>
      </c>
      <c r="CM47" s="1124" t="str">
        <f t="shared" si="39"/>
        <v>-</v>
      </c>
      <c r="CN47" s="1124" t="str">
        <f t="shared" si="39"/>
        <v>-</v>
      </c>
      <c r="CO47" s="1124" t="str">
        <f t="shared" si="39"/>
        <v>-</v>
      </c>
      <c r="CP47" s="1124" t="str">
        <f t="shared" si="39"/>
        <v>-</v>
      </c>
      <c r="CQ47" s="1124" t="str">
        <f t="shared" si="39"/>
        <v>-</v>
      </c>
      <c r="CR47" s="1124" t="str">
        <f t="shared" si="39"/>
        <v>-</v>
      </c>
      <c r="CS47" s="1124" t="str">
        <f t="shared" si="39"/>
        <v>-</v>
      </c>
      <c r="CT47" s="1124" t="str">
        <f t="shared" si="39"/>
        <v>-</v>
      </c>
      <c r="CU47" s="1124" t="str">
        <f t="shared" ref="CU47:CY47" si="40">IFERROR(AVERAGE(CU44:CU46),"-")</f>
        <v>-</v>
      </c>
      <c r="CV47" s="1124" t="str">
        <f t="shared" si="40"/>
        <v>-</v>
      </c>
      <c r="CW47" s="1124" t="str">
        <f t="shared" si="40"/>
        <v>-</v>
      </c>
      <c r="CX47" s="1124" t="str">
        <f t="shared" si="40"/>
        <v>-</v>
      </c>
      <c r="CY47" s="1124">
        <f t="shared" si="40"/>
        <v>2039</v>
      </c>
      <c r="CZ47" s="1124">
        <f t="shared" ref="CZ47:DA47" si="41">IFERROR(AVERAGE(CZ44:CZ46),"-")</f>
        <v>2039</v>
      </c>
      <c r="DA47" s="1124">
        <f t="shared" si="41"/>
        <v>2039</v>
      </c>
      <c r="DB47" s="1124">
        <f t="shared" ref="DB47:DC47" si="42">IFERROR(AVERAGE(DB44:DB46),"-")</f>
        <v>2267</v>
      </c>
      <c r="DC47" s="1124">
        <f t="shared" si="42"/>
        <v>2267</v>
      </c>
      <c r="DD47" s="1124">
        <f t="shared" ref="DD47" si="43">IFERROR(AVERAGE(DD44:DD46),"-")</f>
        <v>2267</v>
      </c>
    </row>
    <row r="48" spans="1:108" customFormat="1" x14ac:dyDescent="0.25">
      <c r="A48" s="263"/>
      <c r="B48" s="263"/>
      <c r="C48" s="263"/>
      <c r="D48" s="263"/>
      <c r="E48" s="263"/>
      <c r="F48" s="263"/>
      <c r="G48" s="263"/>
      <c r="H48" s="263"/>
      <c r="I48" s="263"/>
      <c r="J48" s="263"/>
      <c r="K48" s="263"/>
      <c r="L48" s="263"/>
      <c r="M48" s="263"/>
      <c r="N48" s="263"/>
      <c r="O48" s="263"/>
      <c r="P48" s="263"/>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V48" s="950"/>
    </row>
    <row r="49" spans="1:108" customFormat="1" x14ac:dyDescent="0.25">
      <c r="A49" s="263"/>
      <c r="B49" s="113" t="s">
        <v>1364</v>
      </c>
      <c r="C49" s="264">
        <f t="shared" ref="C49:BN49" si="44">C$12</f>
        <v>42522</v>
      </c>
      <c r="D49" s="264">
        <f t="shared" si="44"/>
        <v>42552</v>
      </c>
      <c r="E49" s="264">
        <f t="shared" si="44"/>
        <v>42583</v>
      </c>
      <c r="F49" s="264">
        <f t="shared" si="44"/>
        <v>42614</v>
      </c>
      <c r="G49" s="264">
        <f t="shared" si="44"/>
        <v>42644</v>
      </c>
      <c r="H49" s="264">
        <f t="shared" si="44"/>
        <v>42675</v>
      </c>
      <c r="I49" s="264">
        <f t="shared" si="44"/>
        <v>42705</v>
      </c>
      <c r="J49" s="264">
        <f t="shared" si="44"/>
        <v>42736</v>
      </c>
      <c r="K49" s="264">
        <f t="shared" si="44"/>
        <v>42767</v>
      </c>
      <c r="L49" s="264">
        <f t="shared" si="44"/>
        <v>42795</v>
      </c>
      <c r="M49" s="264">
        <f t="shared" si="44"/>
        <v>42826</v>
      </c>
      <c r="N49" s="264">
        <f t="shared" si="44"/>
        <v>42856</v>
      </c>
      <c r="O49" s="264">
        <f t="shared" si="44"/>
        <v>42887</v>
      </c>
      <c r="P49" s="264">
        <f t="shared" si="44"/>
        <v>42917</v>
      </c>
      <c r="Q49" s="264">
        <f t="shared" si="44"/>
        <v>42948</v>
      </c>
      <c r="R49" s="264">
        <f t="shared" si="44"/>
        <v>42979</v>
      </c>
      <c r="S49" s="264">
        <f t="shared" si="44"/>
        <v>43009</v>
      </c>
      <c r="T49" s="264">
        <f t="shared" si="44"/>
        <v>43040</v>
      </c>
      <c r="U49" s="264">
        <f t="shared" si="44"/>
        <v>43070</v>
      </c>
      <c r="V49" s="264">
        <f t="shared" si="44"/>
        <v>43101</v>
      </c>
      <c r="W49" s="264">
        <f t="shared" si="44"/>
        <v>43132</v>
      </c>
      <c r="X49" s="264">
        <f t="shared" si="44"/>
        <v>43160</v>
      </c>
      <c r="Y49" s="264">
        <f t="shared" si="44"/>
        <v>43191</v>
      </c>
      <c r="Z49" s="264">
        <f t="shared" si="44"/>
        <v>43221</v>
      </c>
      <c r="AA49" s="264">
        <f t="shared" si="44"/>
        <v>43252</v>
      </c>
      <c r="AB49" s="264">
        <f t="shared" si="44"/>
        <v>43283</v>
      </c>
      <c r="AC49" s="264">
        <f t="shared" si="44"/>
        <v>43314</v>
      </c>
      <c r="AD49" s="264">
        <f t="shared" si="44"/>
        <v>43345</v>
      </c>
      <c r="AE49" s="264">
        <f t="shared" si="44"/>
        <v>43376</v>
      </c>
      <c r="AF49" s="264">
        <f t="shared" si="44"/>
        <v>43407</v>
      </c>
      <c r="AG49" s="264">
        <f t="shared" si="44"/>
        <v>43437</v>
      </c>
      <c r="AH49" s="264">
        <f t="shared" si="44"/>
        <v>43468</v>
      </c>
      <c r="AI49" s="264">
        <f t="shared" si="44"/>
        <v>43499</v>
      </c>
      <c r="AJ49" s="264">
        <f t="shared" si="44"/>
        <v>43527</v>
      </c>
      <c r="AK49" s="264">
        <f t="shared" si="44"/>
        <v>43558</v>
      </c>
      <c r="AL49" s="264">
        <f t="shared" si="44"/>
        <v>43587</v>
      </c>
      <c r="AM49" s="264">
        <f t="shared" si="44"/>
        <v>43618</v>
      </c>
      <c r="AN49" s="264">
        <f t="shared" si="44"/>
        <v>43647</v>
      </c>
      <c r="AO49" s="264">
        <f t="shared" si="44"/>
        <v>43678</v>
      </c>
      <c r="AP49" s="264">
        <f t="shared" si="44"/>
        <v>43709</v>
      </c>
      <c r="AQ49" s="264">
        <f t="shared" si="44"/>
        <v>43739</v>
      </c>
      <c r="AR49" s="264">
        <f t="shared" si="44"/>
        <v>43770</v>
      </c>
      <c r="AS49" s="264">
        <f t="shared" si="44"/>
        <v>43800</v>
      </c>
      <c r="AT49" s="264">
        <f t="shared" si="44"/>
        <v>43831</v>
      </c>
      <c r="AU49" s="264">
        <f t="shared" si="44"/>
        <v>43862</v>
      </c>
      <c r="AV49" s="946">
        <f t="shared" si="44"/>
        <v>43891</v>
      </c>
      <c r="AW49" s="264">
        <f t="shared" si="44"/>
        <v>43922</v>
      </c>
      <c r="AX49" s="264">
        <f t="shared" si="44"/>
        <v>43952</v>
      </c>
      <c r="AY49" s="264">
        <f t="shared" si="44"/>
        <v>43983</v>
      </c>
      <c r="AZ49" s="264">
        <f t="shared" si="44"/>
        <v>44013</v>
      </c>
      <c r="BA49" s="264">
        <f t="shared" si="44"/>
        <v>44044</v>
      </c>
      <c r="BB49" s="264">
        <f t="shared" si="44"/>
        <v>44075</v>
      </c>
      <c r="BC49" s="264">
        <f t="shared" si="44"/>
        <v>44105</v>
      </c>
      <c r="BD49" s="264">
        <f t="shared" si="44"/>
        <v>44136</v>
      </c>
      <c r="BE49" s="264">
        <f t="shared" si="44"/>
        <v>44166</v>
      </c>
      <c r="BF49" s="264">
        <f t="shared" si="44"/>
        <v>44197</v>
      </c>
      <c r="BG49" s="264">
        <f t="shared" si="44"/>
        <v>44228</v>
      </c>
      <c r="BH49" s="264">
        <f t="shared" si="44"/>
        <v>44256</v>
      </c>
      <c r="BI49" s="264">
        <f t="shared" si="44"/>
        <v>44287</v>
      </c>
      <c r="BJ49" s="264">
        <f t="shared" si="44"/>
        <v>44317</v>
      </c>
      <c r="BK49" s="264">
        <f t="shared" si="44"/>
        <v>44348</v>
      </c>
      <c r="BL49" s="264">
        <f t="shared" si="44"/>
        <v>44378</v>
      </c>
      <c r="BM49" s="264">
        <f t="shared" si="44"/>
        <v>44409</v>
      </c>
      <c r="BN49" s="264">
        <f t="shared" si="44"/>
        <v>44440</v>
      </c>
      <c r="BO49" s="264">
        <f t="shared" ref="BO49:DD49" si="45">BO$12</f>
        <v>44470</v>
      </c>
      <c r="BP49" s="264">
        <f t="shared" si="45"/>
        <v>44501</v>
      </c>
      <c r="BQ49" s="264">
        <f t="shared" si="45"/>
        <v>44531</v>
      </c>
      <c r="BR49" s="264">
        <f t="shared" si="45"/>
        <v>44562</v>
      </c>
      <c r="BS49" s="264">
        <f t="shared" si="45"/>
        <v>44593</v>
      </c>
      <c r="BT49" s="264">
        <f t="shared" si="45"/>
        <v>44622</v>
      </c>
      <c r="BU49" s="264">
        <f t="shared" si="45"/>
        <v>44654</v>
      </c>
      <c r="BV49" s="264">
        <f t="shared" si="45"/>
        <v>44685</v>
      </c>
      <c r="BW49" s="264">
        <f t="shared" si="45"/>
        <v>44716</v>
      </c>
      <c r="BX49" s="264">
        <f t="shared" si="45"/>
        <v>44746</v>
      </c>
      <c r="BY49" s="264">
        <f t="shared" si="45"/>
        <v>44774</v>
      </c>
      <c r="BZ49" s="264">
        <f t="shared" si="45"/>
        <v>44805</v>
      </c>
      <c r="CA49" s="264">
        <f t="shared" si="45"/>
        <v>44835</v>
      </c>
      <c r="CB49" s="264">
        <f t="shared" si="45"/>
        <v>44866</v>
      </c>
      <c r="CC49" s="264">
        <f t="shared" si="45"/>
        <v>44896</v>
      </c>
      <c r="CD49" s="264">
        <f t="shared" si="45"/>
        <v>44927</v>
      </c>
      <c r="CE49" s="264">
        <f t="shared" si="45"/>
        <v>44958</v>
      </c>
      <c r="CF49" s="264">
        <f t="shared" si="45"/>
        <v>44986</v>
      </c>
      <c r="CG49" s="264">
        <f t="shared" si="45"/>
        <v>45017</v>
      </c>
      <c r="CH49" s="264">
        <f t="shared" si="45"/>
        <v>45047</v>
      </c>
      <c r="CI49" s="264">
        <f t="shared" si="45"/>
        <v>45078</v>
      </c>
      <c r="CJ49" s="264">
        <f t="shared" si="45"/>
        <v>45108</v>
      </c>
      <c r="CK49" s="264">
        <f t="shared" si="45"/>
        <v>45139</v>
      </c>
      <c r="CL49" s="264">
        <f t="shared" si="45"/>
        <v>45170</v>
      </c>
      <c r="CM49" s="264">
        <f t="shared" si="45"/>
        <v>45200</v>
      </c>
      <c r="CN49" s="264">
        <f t="shared" si="45"/>
        <v>45231</v>
      </c>
      <c r="CO49" s="264">
        <f t="shared" si="45"/>
        <v>45261</v>
      </c>
      <c r="CP49" s="264">
        <f t="shared" si="45"/>
        <v>45292</v>
      </c>
      <c r="CQ49" s="264">
        <f t="shared" si="45"/>
        <v>45323</v>
      </c>
      <c r="CR49" s="264">
        <f t="shared" si="45"/>
        <v>45352</v>
      </c>
      <c r="CS49" s="264">
        <f t="shared" si="45"/>
        <v>45383</v>
      </c>
      <c r="CT49" s="264">
        <f t="shared" si="45"/>
        <v>45413</v>
      </c>
      <c r="CU49" s="264">
        <f t="shared" si="45"/>
        <v>45444</v>
      </c>
      <c r="CV49" s="264">
        <f t="shared" si="45"/>
        <v>45474</v>
      </c>
      <c r="CW49" s="264">
        <f t="shared" si="45"/>
        <v>45505</v>
      </c>
      <c r="CX49" s="264">
        <f t="shared" si="45"/>
        <v>45536</v>
      </c>
      <c r="CY49" s="264">
        <f t="shared" si="45"/>
        <v>45566</v>
      </c>
      <c r="CZ49" s="264">
        <f t="shared" si="45"/>
        <v>45597</v>
      </c>
      <c r="DA49" s="264">
        <f t="shared" si="45"/>
        <v>45627</v>
      </c>
      <c r="DB49" s="264">
        <f t="shared" si="45"/>
        <v>45658</v>
      </c>
      <c r="DC49" s="264">
        <f t="shared" si="45"/>
        <v>45689</v>
      </c>
      <c r="DD49" s="264">
        <f t="shared" si="45"/>
        <v>45717</v>
      </c>
    </row>
    <row r="50" spans="1:108" customFormat="1" x14ac:dyDescent="0.25">
      <c r="A50" s="263"/>
      <c r="B50" s="117" t="s">
        <v>131</v>
      </c>
      <c r="C50" s="265" t="s">
        <v>47</v>
      </c>
      <c r="D50" s="265" t="s">
        <v>47</v>
      </c>
      <c r="E50" s="265" t="s">
        <v>47</v>
      </c>
      <c r="F50" s="266" t="s">
        <v>47</v>
      </c>
      <c r="G50" s="266" t="s">
        <v>47</v>
      </c>
      <c r="H50" s="266" t="s">
        <v>47</v>
      </c>
      <c r="I50" s="266" t="s">
        <v>47</v>
      </c>
      <c r="J50" s="266" t="s">
        <v>47</v>
      </c>
      <c r="K50" s="266" t="s">
        <v>47</v>
      </c>
      <c r="L50" s="266" t="s">
        <v>47</v>
      </c>
      <c r="M50" s="266" t="s">
        <v>47</v>
      </c>
      <c r="N50" s="266" t="s">
        <v>47</v>
      </c>
      <c r="O50" s="266" t="s">
        <v>47</v>
      </c>
      <c r="P50" s="266" t="s">
        <v>47</v>
      </c>
      <c r="Q50" s="266" t="s">
        <v>47</v>
      </c>
      <c r="R50" s="266" t="s">
        <v>47</v>
      </c>
      <c r="S50" s="266" t="s">
        <v>47</v>
      </c>
      <c r="T50" s="266" t="s">
        <v>47</v>
      </c>
      <c r="U50" s="338" t="s">
        <v>47</v>
      </c>
      <c r="V50" s="338" t="s">
        <v>47</v>
      </c>
      <c r="W50" s="338" t="s">
        <v>47</v>
      </c>
      <c r="X50" s="338" t="s">
        <v>47</v>
      </c>
      <c r="Y50" s="338" t="s">
        <v>47</v>
      </c>
      <c r="Z50" s="338" t="s">
        <v>47</v>
      </c>
      <c r="AA50" s="338" t="s">
        <v>47</v>
      </c>
      <c r="AB50" s="338" t="s">
        <v>47</v>
      </c>
      <c r="AC50" s="338" t="s">
        <v>47</v>
      </c>
      <c r="AD50" s="338" t="s">
        <v>47</v>
      </c>
      <c r="AE50" s="338" t="s">
        <v>47</v>
      </c>
      <c r="AF50" s="338" t="s">
        <v>47</v>
      </c>
      <c r="AG50" s="338" t="s">
        <v>47</v>
      </c>
      <c r="AH50" s="338" t="s">
        <v>47</v>
      </c>
      <c r="AI50" s="338" t="s">
        <v>47</v>
      </c>
      <c r="AJ50" s="338" t="s">
        <v>47</v>
      </c>
      <c r="AK50" s="338" t="s">
        <v>47</v>
      </c>
      <c r="AL50" s="338" t="s">
        <v>47</v>
      </c>
      <c r="AM50" s="338" t="s">
        <v>47</v>
      </c>
      <c r="AN50" s="338" t="s">
        <v>47</v>
      </c>
      <c r="AO50" s="338" t="s">
        <v>47</v>
      </c>
      <c r="AP50" s="338" t="s">
        <v>47</v>
      </c>
      <c r="AQ50" s="338" t="s">
        <v>47</v>
      </c>
      <c r="AR50" s="338" t="s">
        <v>47</v>
      </c>
      <c r="AS50" s="338" t="s">
        <v>47</v>
      </c>
      <c r="AT50" s="338" t="s">
        <v>47</v>
      </c>
      <c r="AU50" s="338" t="s">
        <v>47</v>
      </c>
      <c r="AV50" s="1206" t="s">
        <v>47</v>
      </c>
      <c r="AW50" s="338" t="s">
        <v>47</v>
      </c>
      <c r="AX50" s="338" t="s">
        <v>47</v>
      </c>
      <c r="AY50" s="338" t="s">
        <v>47</v>
      </c>
      <c r="AZ50" s="338" t="s">
        <v>47</v>
      </c>
      <c r="BA50" s="338" t="s">
        <v>47</v>
      </c>
      <c r="BB50" s="338" t="s">
        <v>47</v>
      </c>
      <c r="BC50" s="338" t="s">
        <v>47</v>
      </c>
      <c r="BD50" s="338" t="s">
        <v>47</v>
      </c>
      <c r="BE50" s="338" t="s">
        <v>47</v>
      </c>
      <c r="BF50" s="338" t="s">
        <v>47</v>
      </c>
      <c r="BG50" s="338" t="s">
        <v>47</v>
      </c>
      <c r="BH50" s="338" t="s">
        <v>47</v>
      </c>
      <c r="BI50" s="338" t="s">
        <v>47</v>
      </c>
      <c r="BJ50" s="338" t="s">
        <v>47</v>
      </c>
      <c r="BK50" s="338" t="s">
        <v>47</v>
      </c>
      <c r="BL50" s="338" t="s">
        <v>47</v>
      </c>
      <c r="BM50" s="338" t="s">
        <v>47</v>
      </c>
      <c r="BN50" s="338" t="s">
        <v>47</v>
      </c>
      <c r="BO50" s="338" t="s">
        <v>47</v>
      </c>
      <c r="BP50" s="338" t="s">
        <v>47</v>
      </c>
      <c r="BQ50" s="338" t="s">
        <v>47</v>
      </c>
      <c r="BR50" s="338" t="s">
        <v>47</v>
      </c>
      <c r="BS50" s="338" t="s">
        <v>47</v>
      </c>
      <c r="BT50" s="338" t="s">
        <v>47</v>
      </c>
      <c r="BU50" s="338" t="s">
        <v>47</v>
      </c>
      <c r="BV50" s="338" t="s">
        <v>47</v>
      </c>
      <c r="BW50" s="338" t="s">
        <v>47</v>
      </c>
      <c r="BX50" s="338" t="s">
        <v>47</v>
      </c>
      <c r="BY50" s="338" t="s">
        <v>47</v>
      </c>
      <c r="BZ50" s="338" t="s">
        <v>47</v>
      </c>
      <c r="CA50" s="338" t="s">
        <v>47</v>
      </c>
      <c r="CB50" s="338" t="s">
        <v>47</v>
      </c>
      <c r="CC50" s="338" t="s">
        <v>47</v>
      </c>
      <c r="CD50" s="338" t="s">
        <v>47</v>
      </c>
      <c r="CE50" s="338" t="s">
        <v>47</v>
      </c>
      <c r="CF50" s="338" t="s">
        <v>47</v>
      </c>
      <c r="CG50" s="338" t="s">
        <v>47</v>
      </c>
      <c r="CH50" s="338" t="s">
        <v>47</v>
      </c>
      <c r="CI50" s="338" t="s">
        <v>47</v>
      </c>
      <c r="CJ50" s="338" t="s">
        <v>47</v>
      </c>
      <c r="CK50" s="338" t="s">
        <v>47</v>
      </c>
      <c r="CL50" s="338" t="s">
        <v>47</v>
      </c>
      <c r="CM50" s="338" t="s">
        <v>47</v>
      </c>
      <c r="CN50" s="338" t="s">
        <v>47</v>
      </c>
      <c r="CO50" s="338" t="s">
        <v>47</v>
      </c>
      <c r="CP50" s="338" t="s">
        <v>47</v>
      </c>
      <c r="CQ50" s="338" t="s">
        <v>47</v>
      </c>
      <c r="CR50" s="338" t="s">
        <v>47</v>
      </c>
      <c r="CS50" s="338" t="s">
        <v>47</v>
      </c>
      <c r="CT50" s="338" t="s">
        <v>47</v>
      </c>
      <c r="CU50" s="338" t="s">
        <v>47</v>
      </c>
      <c r="CV50" s="338" t="s">
        <v>47</v>
      </c>
      <c r="CW50" s="338" t="s">
        <v>47</v>
      </c>
      <c r="CX50" s="338" t="s">
        <v>47</v>
      </c>
      <c r="CY50" s="338" t="s">
        <v>47</v>
      </c>
      <c r="CZ50" s="338" t="s">
        <v>47</v>
      </c>
      <c r="DA50" s="338" t="s">
        <v>47</v>
      </c>
      <c r="DB50" s="338" t="s">
        <v>47</v>
      </c>
      <c r="DC50" s="338" t="s">
        <v>47</v>
      </c>
      <c r="DD50" s="338" t="s">
        <v>47</v>
      </c>
    </row>
    <row r="51" spans="1:108" x14ac:dyDescent="0.25">
      <c r="B51" s="117" t="s">
        <v>135</v>
      </c>
      <c r="C51" s="265" t="s">
        <v>47</v>
      </c>
      <c r="D51" s="265" t="s">
        <v>47</v>
      </c>
      <c r="E51" s="265" t="s">
        <v>47</v>
      </c>
      <c r="F51" s="265" t="s">
        <v>47</v>
      </c>
      <c r="G51" s="265" t="s">
        <v>47</v>
      </c>
      <c r="H51" s="266" t="s">
        <v>47</v>
      </c>
      <c r="I51" s="266" t="s">
        <v>47</v>
      </c>
      <c r="J51" s="266" t="s">
        <v>47</v>
      </c>
      <c r="K51" s="266" t="s">
        <v>47</v>
      </c>
      <c r="L51" s="593" t="s">
        <v>47</v>
      </c>
      <c r="M51" s="593" t="s">
        <v>47</v>
      </c>
      <c r="N51" s="593" t="s">
        <v>47</v>
      </c>
      <c r="O51" s="593" t="s">
        <v>47</v>
      </c>
      <c r="P51" s="593" t="s">
        <v>47</v>
      </c>
      <c r="Q51" s="593" t="s">
        <v>47</v>
      </c>
      <c r="R51" s="593" t="s">
        <v>47</v>
      </c>
      <c r="S51" s="593" t="s">
        <v>47</v>
      </c>
      <c r="T51" s="593" t="s">
        <v>47</v>
      </c>
      <c r="U51" s="593" t="s">
        <v>47</v>
      </c>
      <c r="V51" s="593" t="s">
        <v>47</v>
      </c>
      <c r="W51" s="593" t="s">
        <v>47</v>
      </c>
      <c r="X51" s="593" t="s">
        <v>47</v>
      </c>
      <c r="Y51" s="593" t="s">
        <v>47</v>
      </c>
      <c r="Z51" s="593" t="s">
        <v>47</v>
      </c>
      <c r="AA51" s="593" t="s">
        <v>47</v>
      </c>
      <c r="AB51" s="593" t="s">
        <v>47</v>
      </c>
      <c r="AC51" s="593" t="s">
        <v>47</v>
      </c>
      <c r="AD51" s="593" t="s">
        <v>47</v>
      </c>
      <c r="AE51" s="593" t="s">
        <v>47</v>
      </c>
      <c r="AF51" s="592" t="s">
        <v>47</v>
      </c>
      <c r="AG51" s="593" t="s">
        <v>47</v>
      </c>
      <c r="AH51" s="593" t="s">
        <v>47</v>
      </c>
      <c r="AI51" s="593" t="s">
        <v>47</v>
      </c>
      <c r="AJ51" s="348" t="s">
        <v>47</v>
      </c>
      <c r="AK51" s="348" t="s">
        <v>47</v>
      </c>
      <c r="AL51" s="348" t="s">
        <v>47</v>
      </c>
      <c r="AM51" s="348" t="s">
        <v>47</v>
      </c>
      <c r="AN51" s="348" t="s">
        <v>47</v>
      </c>
      <c r="AO51" s="348" t="s">
        <v>47</v>
      </c>
      <c r="AP51" s="348" t="s">
        <v>47</v>
      </c>
      <c r="AQ51" s="348" t="s">
        <v>47</v>
      </c>
      <c r="AR51" s="348" t="s">
        <v>47</v>
      </c>
      <c r="AS51" s="348" t="s">
        <v>47</v>
      </c>
      <c r="AT51" s="348" t="s">
        <v>47</v>
      </c>
      <c r="AU51" s="348" t="s">
        <v>47</v>
      </c>
      <c r="AV51" s="962" t="s">
        <v>47</v>
      </c>
      <c r="AW51" s="348" t="s">
        <v>47</v>
      </c>
      <c r="AX51" s="348" t="s">
        <v>47</v>
      </c>
      <c r="AY51" s="348" t="s">
        <v>47</v>
      </c>
      <c r="AZ51" s="348" t="s">
        <v>47</v>
      </c>
      <c r="BA51" s="348" t="s">
        <v>47</v>
      </c>
      <c r="BB51" s="348" t="s">
        <v>47</v>
      </c>
      <c r="BC51" s="348" t="s">
        <v>47</v>
      </c>
      <c r="BD51" s="348" t="s">
        <v>47</v>
      </c>
      <c r="BE51" s="348" t="s">
        <v>47</v>
      </c>
      <c r="BF51" s="348" t="s">
        <v>47</v>
      </c>
      <c r="BG51" s="348" t="s">
        <v>47</v>
      </c>
      <c r="BH51" s="348" t="s">
        <v>47</v>
      </c>
      <c r="BI51" s="348" t="s">
        <v>47</v>
      </c>
      <c r="BJ51" s="348" t="s">
        <v>47</v>
      </c>
      <c r="BK51" s="348" t="s">
        <v>47</v>
      </c>
      <c r="BL51" s="348" t="s">
        <v>47</v>
      </c>
      <c r="BM51" s="348" t="s">
        <v>47</v>
      </c>
      <c r="BN51" s="592" t="s">
        <v>47</v>
      </c>
      <c r="BO51" s="592" t="s">
        <v>47</v>
      </c>
      <c r="BP51" s="592" t="s">
        <v>47</v>
      </c>
      <c r="BQ51" s="592" t="s">
        <v>47</v>
      </c>
      <c r="BR51" s="592" t="s">
        <v>47</v>
      </c>
      <c r="BS51" s="592" t="s">
        <v>47</v>
      </c>
      <c r="BT51" s="592" t="s">
        <v>47</v>
      </c>
      <c r="BU51" s="592" t="s">
        <v>47</v>
      </c>
      <c r="BV51" s="592" t="s">
        <v>47</v>
      </c>
      <c r="BW51" s="592" t="s">
        <v>47</v>
      </c>
      <c r="BX51" s="592" t="s">
        <v>47</v>
      </c>
      <c r="BY51" s="592" t="s">
        <v>47</v>
      </c>
      <c r="BZ51" s="592" t="s">
        <v>47</v>
      </c>
      <c r="CA51" s="592" t="s">
        <v>47</v>
      </c>
      <c r="CB51" s="592" t="s">
        <v>47</v>
      </c>
      <c r="CC51" s="592" t="s">
        <v>47</v>
      </c>
      <c r="CD51" s="592" t="s">
        <v>47</v>
      </c>
      <c r="CE51" s="592" t="s">
        <v>47</v>
      </c>
      <c r="CF51" s="592" t="s">
        <v>47</v>
      </c>
      <c r="CG51" s="592" t="s">
        <v>47</v>
      </c>
      <c r="CH51" s="592" t="s">
        <v>47</v>
      </c>
      <c r="CI51" s="592" t="s">
        <v>47</v>
      </c>
      <c r="CJ51" s="592" t="s">
        <v>47</v>
      </c>
      <c r="CK51" s="592" t="s">
        <v>47</v>
      </c>
      <c r="CL51" s="592" t="s">
        <v>47</v>
      </c>
      <c r="CM51" s="592" t="s">
        <v>47</v>
      </c>
      <c r="CN51" s="592" t="s">
        <v>47</v>
      </c>
      <c r="CO51" s="592" t="s">
        <v>47</v>
      </c>
      <c r="CP51" s="592" t="s">
        <v>47</v>
      </c>
      <c r="CQ51" s="592" t="s">
        <v>47</v>
      </c>
      <c r="CR51" s="592" t="s">
        <v>47</v>
      </c>
      <c r="CS51" s="592" t="s">
        <v>47</v>
      </c>
      <c r="CT51" s="592" t="s">
        <v>47</v>
      </c>
      <c r="CU51" s="592" t="s">
        <v>47</v>
      </c>
      <c r="CV51" s="592" t="s">
        <v>47</v>
      </c>
      <c r="CW51" s="592" t="s">
        <v>47</v>
      </c>
      <c r="CX51" s="592" t="s">
        <v>47</v>
      </c>
      <c r="CY51" s="592" t="s">
        <v>47</v>
      </c>
      <c r="CZ51" s="592" t="s">
        <v>47</v>
      </c>
      <c r="DA51" s="592" t="s">
        <v>47</v>
      </c>
      <c r="DB51" s="592" t="s">
        <v>47</v>
      </c>
      <c r="DC51" s="592" t="s">
        <v>47</v>
      </c>
      <c r="DD51" s="592" t="s">
        <v>47</v>
      </c>
    </row>
    <row r="52" spans="1:108" x14ac:dyDescent="0.25">
      <c r="B52" s="117" t="s">
        <v>136</v>
      </c>
      <c r="C52" s="265" t="s">
        <v>47</v>
      </c>
      <c r="D52" s="265" t="s">
        <v>47</v>
      </c>
      <c r="E52" s="265" t="s">
        <v>47</v>
      </c>
      <c r="F52" s="265" t="s">
        <v>47</v>
      </c>
      <c r="G52" s="266" t="s">
        <v>47</v>
      </c>
      <c r="H52" s="266" t="s">
        <v>47</v>
      </c>
      <c r="I52" s="266" t="s">
        <v>47</v>
      </c>
      <c r="J52" s="266" t="s">
        <v>47</v>
      </c>
      <c r="K52" s="266" t="s">
        <v>47</v>
      </c>
      <c r="L52" s="266" t="s">
        <v>47</v>
      </c>
      <c r="M52" s="266" t="s">
        <v>47</v>
      </c>
      <c r="N52" s="266" t="s">
        <v>47</v>
      </c>
      <c r="O52" s="266" t="s">
        <v>47</v>
      </c>
      <c r="P52" s="266" t="s">
        <v>47</v>
      </c>
      <c r="Q52" s="266" t="s">
        <v>47</v>
      </c>
      <c r="R52" s="266" t="s">
        <v>47</v>
      </c>
      <c r="S52" s="266" t="s">
        <v>47</v>
      </c>
      <c r="T52" s="266" t="s">
        <v>47</v>
      </c>
      <c r="U52" s="266" t="s">
        <v>47</v>
      </c>
      <c r="V52" s="338" t="s">
        <v>47</v>
      </c>
      <c r="W52" s="266" t="s">
        <v>47</v>
      </c>
      <c r="X52" s="266" t="s">
        <v>47</v>
      </c>
      <c r="Y52" s="266" t="s">
        <v>47</v>
      </c>
      <c r="Z52" s="266" t="s">
        <v>47</v>
      </c>
      <c r="AA52" s="266" t="s">
        <v>47</v>
      </c>
      <c r="AB52" s="266" t="s">
        <v>47</v>
      </c>
      <c r="AC52" s="266" t="s">
        <v>47</v>
      </c>
      <c r="AD52" s="338" t="s">
        <v>47</v>
      </c>
      <c r="AE52" s="266" t="s">
        <v>47</v>
      </c>
      <c r="AF52" s="266" t="s">
        <v>47</v>
      </c>
      <c r="AG52" s="266" t="s">
        <v>47</v>
      </c>
      <c r="AH52" s="266" t="s">
        <v>47</v>
      </c>
      <c r="AI52" s="266" t="s">
        <v>47</v>
      </c>
      <c r="AJ52" s="338" t="s">
        <v>47</v>
      </c>
      <c r="AK52" s="338" t="s">
        <v>47</v>
      </c>
      <c r="AL52" s="338" t="s">
        <v>47</v>
      </c>
      <c r="AM52" s="338" t="s">
        <v>47</v>
      </c>
      <c r="AN52" s="338" t="s">
        <v>47</v>
      </c>
      <c r="AO52" s="338" t="s">
        <v>47</v>
      </c>
      <c r="AP52" s="338" t="s">
        <v>47</v>
      </c>
      <c r="AQ52" s="338" t="s">
        <v>47</v>
      </c>
      <c r="AR52" s="338" t="s">
        <v>47</v>
      </c>
      <c r="AS52" s="338" t="s">
        <v>47</v>
      </c>
      <c r="AT52" s="338" t="s">
        <v>47</v>
      </c>
      <c r="AU52" s="338" t="s">
        <v>47</v>
      </c>
      <c r="AV52" s="1206" t="s">
        <v>47</v>
      </c>
      <c r="AW52" s="338" t="s">
        <v>47</v>
      </c>
      <c r="AX52" s="338" t="s">
        <v>47</v>
      </c>
      <c r="AY52" s="338" t="s">
        <v>47</v>
      </c>
      <c r="AZ52" s="338" t="s">
        <v>47</v>
      </c>
      <c r="BA52" s="338" t="s">
        <v>47</v>
      </c>
      <c r="BB52" s="338" t="s">
        <v>47</v>
      </c>
      <c r="BC52" s="338" t="s">
        <v>47</v>
      </c>
      <c r="BD52" s="338" t="s">
        <v>47</v>
      </c>
      <c r="BE52" s="338" t="s">
        <v>47</v>
      </c>
      <c r="BF52" s="338" t="s">
        <v>47</v>
      </c>
      <c r="BG52" s="338" t="s">
        <v>47</v>
      </c>
      <c r="BH52" s="338" t="s">
        <v>47</v>
      </c>
      <c r="BI52" s="338" t="s">
        <v>47</v>
      </c>
      <c r="BJ52" s="338" t="s">
        <v>47</v>
      </c>
      <c r="BK52" s="338" t="s">
        <v>47</v>
      </c>
      <c r="BL52" s="338" t="s">
        <v>47</v>
      </c>
      <c r="BM52" s="338" t="s">
        <v>47</v>
      </c>
      <c r="BN52" s="338" t="s">
        <v>47</v>
      </c>
      <c r="BO52" s="338" t="s">
        <v>47</v>
      </c>
      <c r="BP52" s="338" t="s">
        <v>47</v>
      </c>
      <c r="BQ52" s="338" t="s">
        <v>47</v>
      </c>
      <c r="BR52" s="338" t="s">
        <v>47</v>
      </c>
      <c r="BS52" s="338" t="s">
        <v>47</v>
      </c>
      <c r="BT52" s="338" t="s">
        <v>47</v>
      </c>
      <c r="BU52" s="338" t="s">
        <v>47</v>
      </c>
      <c r="BV52" s="338" t="s">
        <v>47</v>
      </c>
      <c r="BW52" s="338" t="s">
        <v>47</v>
      </c>
      <c r="BX52" s="338" t="s">
        <v>47</v>
      </c>
      <c r="BY52" s="338" t="s">
        <v>47</v>
      </c>
      <c r="BZ52" s="338" t="s">
        <v>47</v>
      </c>
      <c r="CA52" s="338" t="s">
        <v>47</v>
      </c>
      <c r="CB52" s="338" t="s">
        <v>47</v>
      </c>
      <c r="CC52" s="338" t="s">
        <v>47</v>
      </c>
      <c r="CD52" s="338" t="s">
        <v>47</v>
      </c>
      <c r="CE52" s="338" t="s">
        <v>47</v>
      </c>
      <c r="CF52" s="338" t="s">
        <v>47</v>
      </c>
      <c r="CG52" s="338" t="s">
        <v>47</v>
      </c>
      <c r="CH52" s="338" t="s">
        <v>47</v>
      </c>
      <c r="CI52" s="338" t="s">
        <v>47</v>
      </c>
      <c r="CJ52" s="338" t="s">
        <v>47</v>
      </c>
      <c r="CK52" s="338" t="s">
        <v>47</v>
      </c>
      <c r="CL52" s="338" t="s">
        <v>47</v>
      </c>
      <c r="CM52" s="338" t="s">
        <v>47</v>
      </c>
      <c r="CN52" s="338" t="s">
        <v>47</v>
      </c>
      <c r="CO52" s="338" t="s">
        <v>47</v>
      </c>
      <c r="CP52" s="338" t="s">
        <v>47</v>
      </c>
      <c r="CQ52" s="338" t="s">
        <v>47</v>
      </c>
      <c r="CR52" s="338" t="s">
        <v>47</v>
      </c>
      <c r="CS52" s="338" t="s">
        <v>47</v>
      </c>
      <c r="CT52" s="338" t="s">
        <v>47</v>
      </c>
      <c r="CU52" s="338" t="s">
        <v>47</v>
      </c>
      <c r="CV52" s="338" t="s">
        <v>47</v>
      </c>
      <c r="CW52" s="338" t="s">
        <v>47</v>
      </c>
      <c r="CX52" s="338" t="s">
        <v>47</v>
      </c>
      <c r="CY52" s="338">
        <v>378</v>
      </c>
      <c r="CZ52" s="338">
        <v>378</v>
      </c>
      <c r="DA52" s="338">
        <v>378</v>
      </c>
      <c r="DB52" s="697">
        <v>443</v>
      </c>
      <c r="DC52" s="592">
        <v>443</v>
      </c>
      <c r="DD52" s="592">
        <v>443</v>
      </c>
    </row>
    <row r="53" spans="1:108" x14ac:dyDescent="0.25">
      <c r="A53"/>
      <c r="B53" s="1117" t="s">
        <v>381</v>
      </c>
      <c r="C53" s="1118" t="str">
        <f t="shared" ref="C53:K53" si="46">IFERROR(AVERAGE(C50:C52),"-")</f>
        <v>-</v>
      </c>
      <c r="D53" s="1118" t="str">
        <f t="shared" si="46"/>
        <v>-</v>
      </c>
      <c r="E53" s="1118" t="str">
        <f t="shared" si="46"/>
        <v>-</v>
      </c>
      <c r="F53" s="1118" t="str">
        <f t="shared" si="46"/>
        <v>-</v>
      </c>
      <c r="G53" s="1118" t="str">
        <f t="shared" si="46"/>
        <v>-</v>
      </c>
      <c r="H53" s="1118" t="str">
        <f t="shared" si="46"/>
        <v>-</v>
      </c>
      <c r="I53" s="1118" t="str">
        <f t="shared" si="46"/>
        <v>-</v>
      </c>
      <c r="J53" s="1118" t="str">
        <f t="shared" si="46"/>
        <v>-</v>
      </c>
      <c r="K53" s="1118" t="str">
        <f t="shared" si="46"/>
        <v>-</v>
      </c>
      <c r="L53" s="1120" t="s">
        <v>47</v>
      </c>
      <c r="M53" s="1120" t="s">
        <v>47</v>
      </c>
      <c r="N53" s="1120" t="s">
        <v>47</v>
      </c>
      <c r="O53" s="1120" t="s">
        <v>47</v>
      </c>
      <c r="P53" s="1120" t="s">
        <v>47</v>
      </c>
      <c r="Q53" s="1120" t="s">
        <v>47</v>
      </c>
      <c r="R53" s="1120" t="s">
        <v>47</v>
      </c>
      <c r="S53" s="1120" t="s">
        <v>47</v>
      </c>
      <c r="T53" s="1120" t="s">
        <v>47</v>
      </c>
      <c r="U53" s="1120" t="s">
        <v>47</v>
      </c>
      <c r="V53" s="1121" t="str">
        <f t="shared" ref="V53:BA53" si="47">IFERROR(AVERAGE(V50:V52),"-")</f>
        <v>-</v>
      </c>
      <c r="W53" s="1121" t="str">
        <f t="shared" si="47"/>
        <v>-</v>
      </c>
      <c r="X53" s="1121" t="str">
        <f t="shared" si="47"/>
        <v>-</v>
      </c>
      <c r="Y53" s="1121" t="str">
        <f t="shared" si="47"/>
        <v>-</v>
      </c>
      <c r="Z53" s="1121" t="str">
        <f t="shared" si="47"/>
        <v>-</v>
      </c>
      <c r="AA53" s="1121" t="str">
        <f t="shared" si="47"/>
        <v>-</v>
      </c>
      <c r="AB53" s="1121" t="str">
        <f t="shared" si="47"/>
        <v>-</v>
      </c>
      <c r="AC53" s="1121" t="str">
        <f t="shared" si="47"/>
        <v>-</v>
      </c>
      <c r="AD53" s="1121" t="str">
        <f t="shared" si="47"/>
        <v>-</v>
      </c>
      <c r="AE53" s="1121" t="str">
        <f t="shared" si="47"/>
        <v>-</v>
      </c>
      <c r="AF53" s="1121" t="str">
        <f t="shared" si="47"/>
        <v>-</v>
      </c>
      <c r="AG53" s="1121" t="str">
        <f t="shared" si="47"/>
        <v>-</v>
      </c>
      <c r="AH53" s="1121" t="str">
        <f t="shared" si="47"/>
        <v>-</v>
      </c>
      <c r="AI53" s="1121" t="str">
        <f t="shared" si="47"/>
        <v>-</v>
      </c>
      <c r="AJ53" s="1121" t="str">
        <f t="shared" si="47"/>
        <v>-</v>
      </c>
      <c r="AK53" s="1121" t="str">
        <f t="shared" si="47"/>
        <v>-</v>
      </c>
      <c r="AL53" s="1121" t="str">
        <f t="shared" si="47"/>
        <v>-</v>
      </c>
      <c r="AM53" s="1121" t="str">
        <f t="shared" si="47"/>
        <v>-</v>
      </c>
      <c r="AN53" s="1121" t="str">
        <f t="shared" si="47"/>
        <v>-</v>
      </c>
      <c r="AO53" s="1121" t="str">
        <f t="shared" si="47"/>
        <v>-</v>
      </c>
      <c r="AP53" s="1121" t="str">
        <f t="shared" si="47"/>
        <v>-</v>
      </c>
      <c r="AQ53" s="1121" t="str">
        <f t="shared" si="47"/>
        <v>-</v>
      </c>
      <c r="AR53" s="1121" t="str">
        <f t="shared" si="47"/>
        <v>-</v>
      </c>
      <c r="AS53" s="1120" t="str">
        <f t="shared" si="47"/>
        <v>-</v>
      </c>
      <c r="AT53" s="1120" t="str">
        <f t="shared" si="47"/>
        <v>-</v>
      </c>
      <c r="AU53" s="1120" t="str">
        <f t="shared" si="47"/>
        <v>-</v>
      </c>
      <c r="AV53" s="1120" t="str">
        <f t="shared" si="47"/>
        <v>-</v>
      </c>
      <c r="AW53" s="1120" t="str">
        <f t="shared" si="47"/>
        <v>-</v>
      </c>
      <c r="AX53" s="1120" t="str">
        <f t="shared" si="47"/>
        <v>-</v>
      </c>
      <c r="AY53" s="1120" t="str">
        <f t="shared" si="47"/>
        <v>-</v>
      </c>
      <c r="AZ53" s="1120" t="str">
        <f t="shared" si="47"/>
        <v>-</v>
      </c>
      <c r="BA53" s="1120" t="str">
        <f t="shared" si="47"/>
        <v>-</v>
      </c>
      <c r="BB53" s="1120" t="str">
        <f t="shared" ref="BB53:CG53" si="48">IFERROR(AVERAGE(BB50:BB52),"-")</f>
        <v>-</v>
      </c>
      <c r="BC53" s="1120" t="str">
        <f t="shared" si="48"/>
        <v>-</v>
      </c>
      <c r="BD53" s="1120" t="str">
        <f t="shared" si="48"/>
        <v>-</v>
      </c>
      <c r="BE53" s="1120" t="str">
        <f t="shared" si="48"/>
        <v>-</v>
      </c>
      <c r="BF53" s="1120" t="str">
        <f t="shared" si="48"/>
        <v>-</v>
      </c>
      <c r="BG53" s="1120" t="str">
        <f t="shared" si="48"/>
        <v>-</v>
      </c>
      <c r="BH53" s="1120" t="str">
        <f t="shared" si="48"/>
        <v>-</v>
      </c>
      <c r="BI53" s="1120" t="str">
        <f t="shared" si="48"/>
        <v>-</v>
      </c>
      <c r="BJ53" s="1120" t="str">
        <f t="shared" si="48"/>
        <v>-</v>
      </c>
      <c r="BK53" s="1120" t="str">
        <f t="shared" si="48"/>
        <v>-</v>
      </c>
      <c r="BL53" s="1120" t="str">
        <f t="shared" si="48"/>
        <v>-</v>
      </c>
      <c r="BM53" s="1120" t="str">
        <f t="shared" si="48"/>
        <v>-</v>
      </c>
      <c r="BN53" s="1120" t="str">
        <f t="shared" si="48"/>
        <v>-</v>
      </c>
      <c r="BO53" s="1120" t="str">
        <f t="shared" si="48"/>
        <v>-</v>
      </c>
      <c r="BP53" s="1120" t="str">
        <f t="shared" si="48"/>
        <v>-</v>
      </c>
      <c r="BQ53" s="1120" t="str">
        <f t="shared" si="48"/>
        <v>-</v>
      </c>
      <c r="BR53" s="1120" t="str">
        <f t="shared" si="48"/>
        <v>-</v>
      </c>
      <c r="BS53" s="1120" t="str">
        <f t="shared" si="48"/>
        <v>-</v>
      </c>
      <c r="BT53" s="1120" t="str">
        <f t="shared" si="48"/>
        <v>-</v>
      </c>
      <c r="BU53" s="1120" t="str">
        <f t="shared" si="48"/>
        <v>-</v>
      </c>
      <c r="BV53" s="1120" t="str">
        <f t="shared" si="48"/>
        <v>-</v>
      </c>
      <c r="BW53" s="1120" t="str">
        <f t="shared" si="48"/>
        <v>-</v>
      </c>
      <c r="BX53" s="1120" t="str">
        <f t="shared" si="48"/>
        <v>-</v>
      </c>
      <c r="BY53" s="1120" t="str">
        <f t="shared" si="48"/>
        <v>-</v>
      </c>
      <c r="BZ53" s="1120" t="str">
        <f t="shared" si="48"/>
        <v>-</v>
      </c>
      <c r="CA53" s="1120" t="str">
        <f t="shared" si="48"/>
        <v>-</v>
      </c>
      <c r="CB53" s="1120" t="str">
        <f t="shared" si="48"/>
        <v>-</v>
      </c>
      <c r="CC53" s="1120" t="str">
        <f t="shared" si="48"/>
        <v>-</v>
      </c>
      <c r="CD53" s="1120" t="str">
        <f t="shared" si="48"/>
        <v>-</v>
      </c>
      <c r="CE53" s="1120" t="str">
        <f t="shared" si="48"/>
        <v>-</v>
      </c>
      <c r="CF53" s="1120" t="str">
        <f t="shared" si="48"/>
        <v>-</v>
      </c>
      <c r="CG53" s="1120" t="str">
        <f t="shared" si="48"/>
        <v>-</v>
      </c>
      <c r="CH53" s="1120" t="str">
        <f t="shared" ref="CH53:CY53" si="49">IFERROR(AVERAGE(CH50:CH52),"-")</f>
        <v>-</v>
      </c>
      <c r="CI53" s="1120" t="str">
        <f t="shared" si="49"/>
        <v>-</v>
      </c>
      <c r="CJ53" s="1120" t="str">
        <f t="shared" si="49"/>
        <v>-</v>
      </c>
      <c r="CK53" s="1120" t="str">
        <f t="shared" si="49"/>
        <v>-</v>
      </c>
      <c r="CL53" s="1120" t="str">
        <f t="shared" si="49"/>
        <v>-</v>
      </c>
      <c r="CM53" s="1120" t="str">
        <f t="shared" si="49"/>
        <v>-</v>
      </c>
      <c r="CN53" s="1120" t="str">
        <f t="shared" si="49"/>
        <v>-</v>
      </c>
      <c r="CO53" s="1120" t="str">
        <f t="shared" si="49"/>
        <v>-</v>
      </c>
      <c r="CP53" s="1120" t="str">
        <f t="shared" si="49"/>
        <v>-</v>
      </c>
      <c r="CQ53" s="1120" t="str">
        <f t="shared" si="49"/>
        <v>-</v>
      </c>
      <c r="CR53" s="1120" t="str">
        <f t="shared" si="49"/>
        <v>-</v>
      </c>
      <c r="CS53" s="1120" t="str">
        <f t="shared" si="49"/>
        <v>-</v>
      </c>
      <c r="CT53" s="1120" t="str">
        <f t="shared" si="49"/>
        <v>-</v>
      </c>
      <c r="CU53" s="1120" t="str">
        <f t="shared" si="49"/>
        <v>-</v>
      </c>
      <c r="CV53" s="1120" t="str">
        <f t="shared" si="49"/>
        <v>-</v>
      </c>
      <c r="CW53" s="1120" t="str">
        <f t="shared" si="49"/>
        <v>-</v>
      </c>
      <c r="CX53" s="1120" t="str">
        <f t="shared" si="49"/>
        <v>-</v>
      </c>
      <c r="CY53" s="1120">
        <f t="shared" si="49"/>
        <v>378</v>
      </c>
      <c r="CZ53" s="1120">
        <f t="shared" ref="CZ53:DA53" si="50">IFERROR(AVERAGE(CZ50:CZ52),"-")</f>
        <v>378</v>
      </c>
      <c r="DA53" s="1120">
        <f t="shared" si="50"/>
        <v>378</v>
      </c>
      <c r="DB53" s="1120">
        <f t="shared" ref="DB53:DC53" si="51">IFERROR(AVERAGE(DB50:DB52),"-")</f>
        <v>443</v>
      </c>
      <c r="DC53" s="1120">
        <f t="shared" si="51"/>
        <v>443</v>
      </c>
      <c r="DD53" s="1120">
        <f t="shared" ref="DD53" si="52">IFERROR(AVERAGE(DD50:DD52),"-")</f>
        <v>443</v>
      </c>
    </row>
    <row r="54" spans="1:108" x14ac:dyDescent="0.25">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833"/>
      <c r="AU54" s="833"/>
      <c r="AV54" s="954"/>
      <c r="AW54" s="833"/>
      <c r="AX54" s="833"/>
      <c r="AY54" s="833"/>
      <c r="AZ54" s="833"/>
      <c r="BA54" s="833"/>
      <c r="BB54" s="833"/>
      <c r="BC54" s="833"/>
      <c r="BD54" s="833"/>
      <c r="BE54" s="833"/>
      <c r="BF54" s="833"/>
      <c r="BG54" s="833"/>
      <c r="BH54" s="833"/>
      <c r="BI54" s="833"/>
      <c r="BJ54" s="833"/>
      <c r="BK54" s="833"/>
      <c r="BL54" s="833"/>
      <c r="BM54" s="833"/>
      <c r="BN54" s="833"/>
      <c r="BO54" s="833"/>
      <c r="BP54" s="833"/>
      <c r="BQ54" s="833"/>
      <c r="BR54" s="833"/>
      <c r="BS54" s="833"/>
      <c r="BT54" s="833"/>
      <c r="BU54" s="833"/>
      <c r="BV54" s="833"/>
      <c r="BW54" s="833"/>
      <c r="BX54" s="833"/>
      <c r="BY54" s="833"/>
      <c r="BZ54" s="833"/>
      <c r="CA54" s="833"/>
      <c r="CB54" s="833"/>
      <c r="CC54" s="833"/>
      <c r="CD54" s="833"/>
      <c r="CE54" s="833"/>
      <c r="CF54" s="833"/>
      <c r="CG54" s="833"/>
      <c r="CH54" s="833"/>
      <c r="CI54" s="833"/>
      <c r="CJ54" s="833"/>
      <c r="CK54" s="833"/>
      <c r="CL54" s="833"/>
      <c r="CM54" s="833"/>
      <c r="CN54" s="833"/>
      <c r="CO54" s="833"/>
      <c r="CP54" s="833"/>
      <c r="CQ54" s="833"/>
      <c r="CR54" s="833"/>
      <c r="CS54" s="833"/>
      <c r="CT54" s="833"/>
      <c r="CU54" s="833"/>
      <c r="CV54" s="833"/>
      <c r="CW54" s="833"/>
      <c r="CX54" s="833"/>
      <c r="CY54" s="833"/>
      <c r="CZ54" s="833"/>
      <c r="DA54" s="833"/>
      <c r="DB54" s="833"/>
      <c r="DC54" s="833"/>
      <c r="DD54" s="833"/>
    </row>
    <row r="55" spans="1:108" x14ac:dyDescent="0.25">
      <c r="B55" s="113" t="s">
        <v>1365</v>
      </c>
      <c r="C55" s="264">
        <f t="shared" ref="C55:BN55" si="53">C$12</f>
        <v>42522</v>
      </c>
      <c r="D55" s="264">
        <f t="shared" si="53"/>
        <v>42552</v>
      </c>
      <c r="E55" s="264">
        <f t="shared" si="53"/>
        <v>42583</v>
      </c>
      <c r="F55" s="264">
        <f t="shared" si="53"/>
        <v>42614</v>
      </c>
      <c r="G55" s="264">
        <f t="shared" si="53"/>
        <v>42644</v>
      </c>
      <c r="H55" s="264">
        <f t="shared" si="53"/>
        <v>42675</v>
      </c>
      <c r="I55" s="264">
        <f t="shared" si="53"/>
        <v>42705</v>
      </c>
      <c r="J55" s="264">
        <f t="shared" si="53"/>
        <v>42736</v>
      </c>
      <c r="K55" s="264">
        <f t="shared" si="53"/>
        <v>42767</v>
      </c>
      <c r="L55" s="264">
        <f t="shared" si="53"/>
        <v>42795</v>
      </c>
      <c r="M55" s="264">
        <f t="shared" si="53"/>
        <v>42826</v>
      </c>
      <c r="N55" s="264">
        <f t="shared" si="53"/>
        <v>42856</v>
      </c>
      <c r="O55" s="264">
        <f t="shared" si="53"/>
        <v>42887</v>
      </c>
      <c r="P55" s="264">
        <f t="shared" si="53"/>
        <v>42917</v>
      </c>
      <c r="Q55" s="264">
        <f t="shared" si="53"/>
        <v>42948</v>
      </c>
      <c r="R55" s="264">
        <f t="shared" si="53"/>
        <v>42979</v>
      </c>
      <c r="S55" s="264">
        <f t="shared" si="53"/>
        <v>43009</v>
      </c>
      <c r="T55" s="264">
        <f t="shared" si="53"/>
        <v>43040</v>
      </c>
      <c r="U55" s="264">
        <f t="shared" si="53"/>
        <v>43070</v>
      </c>
      <c r="V55" s="264">
        <f t="shared" si="53"/>
        <v>43101</v>
      </c>
      <c r="W55" s="264">
        <f t="shared" si="53"/>
        <v>43132</v>
      </c>
      <c r="X55" s="264">
        <f t="shared" si="53"/>
        <v>43160</v>
      </c>
      <c r="Y55" s="264">
        <f t="shared" si="53"/>
        <v>43191</v>
      </c>
      <c r="Z55" s="264">
        <f t="shared" si="53"/>
        <v>43221</v>
      </c>
      <c r="AA55" s="264">
        <f t="shared" si="53"/>
        <v>43252</v>
      </c>
      <c r="AB55" s="264">
        <f t="shared" si="53"/>
        <v>43283</v>
      </c>
      <c r="AC55" s="264">
        <f t="shared" si="53"/>
        <v>43314</v>
      </c>
      <c r="AD55" s="264">
        <f t="shared" si="53"/>
        <v>43345</v>
      </c>
      <c r="AE55" s="264">
        <f t="shared" si="53"/>
        <v>43376</v>
      </c>
      <c r="AF55" s="264">
        <f t="shared" si="53"/>
        <v>43407</v>
      </c>
      <c r="AG55" s="264">
        <f t="shared" si="53"/>
        <v>43437</v>
      </c>
      <c r="AH55" s="264">
        <f t="shared" si="53"/>
        <v>43468</v>
      </c>
      <c r="AI55" s="264">
        <f t="shared" si="53"/>
        <v>43499</v>
      </c>
      <c r="AJ55" s="264">
        <f t="shared" si="53"/>
        <v>43527</v>
      </c>
      <c r="AK55" s="264">
        <f t="shared" si="53"/>
        <v>43558</v>
      </c>
      <c r="AL55" s="264">
        <f t="shared" si="53"/>
        <v>43587</v>
      </c>
      <c r="AM55" s="264">
        <f t="shared" si="53"/>
        <v>43618</v>
      </c>
      <c r="AN55" s="264">
        <f t="shared" si="53"/>
        <v>43647</v>
      </c>
      <c r="AO55" s="264">
        <f t="shared" si="53"/>
        <v>43678</v>
      </c>
      <c r="AP55" s="264">
        <f t="shared" si="53"/>
        <v>43709</v>
      </c>
      <c r="AQ55" s="264">
        <f t="shared" si="53"/>
        <v>43739</v>
      </c>
      <c r="AR55" s="264">
        <f t="shared" si="53"/>
        <v>43770</v>
      </c>
      <c r="AS55" s="264">
        <f t="shared" si="53"/>
        <v>43800</v>
      </c>
      <c r="AT55" s="264">
        <f t="shared" si="53"/>
        <v>43831</v>
      </c>
      <c r="AU55" s="264">
        <f t="shared" si="53"/>
        <v>43862</v>
      </c>
      <c r="AV55" s="946">
        <f t="shared" si="53"/>
        <v>43891</v>
      </c>
      <c r="AW55" s="264">
        <f t="shared" si="53"/>
        <v>43922</v>
      </c>
      <c r="AX55" s="264">
        <f t="shared" si="53"/>
        <v>43952</v>
      </c>
      <c r="AY55" s="264">
        <f t="shared" si="53"/>
        <v>43983</v>
      </c>
      <c r="AZ55" s="264">
        <f t="shared" si="53"/>
        <v>44013</v>
      </c>
      <c r="BA55" s="264">
        <f t="shared" si="53"/>
        <v>44044</v>
      </c>
      <c r="BB55" s="264">
        <f t="shared" si="53"/>
        <v>44075</v>
      </c>
      <c r="BC55" s="264">
        <f t="shared" si="53"/>
        <v>44105</v>
      </c>
      <c r="BD55" s="264">
        <f t="shared" si="53"/>
        <v>44136</v>
      </c>
      <c r="BE55" s="264">
        <f t="shared" si="53"/>
        <v>44166</v>
      </c>
      <c r="BF55" s="264">
        <f t="shared" si="53"/>
        <v>44197</v>
      </c>
      <c r="BG55" s="264">
        <f t="shared" si="53"/>
        <v>44228</v>
      </c>
      <c r="BH55" s="264">
        <f t="shared" si="53"/>
        <v>44256</v>
      </c>
      <c r="BI55" s="264">
        <f t="shared" si="53"/>
        <v>44287</v>
      </c>
      <c r="BJ55" s="264">
        <f t="shared" si="53"/>
        <v>44317</v>
      </c>
      <c r="BK55" s="264">
        <f t="shared" si="53"/>
        <v>44348</v>
      </c>
      <c r="BL55" s="264">
        <f t="shared" si="53"/>
        <v>44378</v>
      </c>
      <c r="BM55" s="264">
        <f t="shared" si="53"/>
        <v>44409</v>
      </c>
      <c r="BN55" s="264">
        <f t="shared" si="53"/>
        <v>44440</v>
      </c>
      <c r="BO55" s="264">
        <f t="shared" ref="BO55:DD55" si="54">BO$12</f>
        <v>44470</v>
      </c>
      <c r="BP55" s="264">
        <f t="shared" si="54"/>
        <v>44501</v>
      </c>
      <c r="BQ55" s="264">
        <f t="shared" si="54"/>
        <v>44531</v>
      </c>
      <c r="BR55" s="264">
        <f t="shared" si="54"/>
        <v>44562</v>
      </c>
      <c r="BS55" s="264">
        <f t="shared" si="54"/>
        <v>44593</v>
      </c>
      <c r="BT55" s="264">
        <f t="shared" si="54"/>
        <v>44622</v>
      </c>
      <c r="BU55" s="264">
        <f t="shared" si="54"/>
        <v>44654</v>
      </c>
      <c r="BV55" s="264">
        <f t="shared" si="54"/>
        <v>44685</v>
      </c>
      <c r="BW55" s="264">
        <f t="shared" si="54"/>
        <v>44716</v>
      </c>
      <c r="BX55" s="264">
        <f t="shared" si="54"/>
        <v>44746</v>
      </c>
      <c r="BY55" s="264">
        <f t="shared" si="54"/>
        <v>44774</v>
      </c>
      <c r="BZ55" s="264">
        <f t="shared" si="54"/>
        <v>44805</v>
      </c>
      <c r="CA55" s="264">
        <f t="shared" si="54"/>
        <v>44835</v>
      </c>
      <c r="CB55" s="264">
        <f t="shared" si="54"/>
        <v>44866</v>
      </c>
      <c r="CC55" s="264">
        <f t="shared" si="54"/>
        <v>44896</v>
      </c>
      <c r="CD55" s="264">
        <f t="shared" si="54"/>
        <v>44927</v>
      </c>
      <c r="CE55" s="264">
        <f t="shared" si="54"/>
        <v>44958</v>
      </c>
      <c r="CF55" s="264">
        <f t="shared" si="54"/>
        <v>44986</v>
      </c>
      <c r="CG55" s="264">
        <f t="shared" si="54"/>
        <v>45017</v>
      </c>
      <c r="CH55" s="264">
        <f t="shared" si="54"/>
        <v>45047</v>
      </c>
      <c r="CI55" s="264">
        <f t="shared" si="54"/>
        <v>45078</v>
      </c>
      <c r="CJ55" s="264">
        <f t="shared" si="54"/>
        <v>45108</v>
      </c>
      <c r="CK55" s="264">
        <f t="shared" si="54"/>
        <v>45139</v>
      </c>
      <c r="CL55" s="264">
        <f t="shared" si="54"/>
        <v>45170</v>
      </c>
      <c r="CM55" s="264">
        <f t="shared" si="54"/>
        <v>45200</v>
      </c>
      <c r="CN55" s="264">
        <f t="shared" si="54"/>
        <v>45231</v>
      </c>
      <c r="CO55" s="264">
        <f t="shared" si="54"/>
        <v>45261</v>
      </c>
      <c r="CP55" s="264">
        <f t="shared" si="54"/>
        <v>45292</v>
      </c>
      <c r="CQ55" s="264">
        <f t="shared" si="54"/>
        <v>45323</v>
      </c>
      <c r="CR55" s="264">
        <f t="shared" si="54"/>
        <v>45352</v>
      </c>
      <c r="CS55" s="264">
        <f t="shared" si="54"/>
        <v>45383</v>
      </c>
      <c r="CT55" s="264">
        <f t="shared" si="54"/>
        <v>45413</v>
      </c>
      <c r="CU55" s="264">
        <f t="shared" si="54"/>
        <v>45444</v>
      </c>
      <c r="CV55" s="264">
        <f t="shared" si="54"/>
        <v>45474</v>
      </c>
      <c r="CW55" s="264">
        <f t="shared" si="54"/>
        <v>45505</v>
      </c>
      <c r="CX55" s="264">
        <f t="shared" si="54"/>
        <v>45536</v>
      </c>
      <c r="CY55" s="264">
        <f t="shared" si="54"/>
        <v>45566</v>
      </c>
      <c r="CZ55" s="264">
        <f t="shared" si="54"/>
        <v>45597</v>
      </c>
      <c r="DA55" s="264">
        <f t="shared" si="54"/>
        <v>45627</v>
      </c>
      <c r="DB55" s="264">
        <f t="shared" si="54"/>
        <v>45658</v>
      </c>
      <c r="DC55" s="264">
        <f t="shared" si="54"/>
        <v>45689</v>
      </c>
      <c r="DD55" s="264">
        <f t="shared" si="54"/>
        <v>45717</v>
      </c>
    </row>
    <row r="56" spans="1:108" customFormat="1" x14ac:dyDescent="0.25">
      <c r="A56" s="263"/>
      <c r="B56" s="117" t="s">
        <v>131</v>
      </c>
      <c r="C56" s="265" t="s">
        <v>47</v>
      </c>
      <c r="D56" s="265" t="s">
        <v>47</v>
      </c>
      <c r="E56" s="265" t="s">
        <v>47</v>
      </c>
      <c r="F56" s="266" t="s">
        <v>47</v>
      </c>
      <c r="G56" s="266" t="s">
        <v>47</v>
      </c>
      <c r="H56" s="266" t="s">
        <v>47</v>
      </c>
      <c r="I56" s="266" t="s">
        <v>47</v>
      </c>
      <c r="J56" s="266" t="s">
        <v>47</v>
      </c>
      <c r="K56" s="266" t="s">
        <v>47</v>
      </c>
      <c r="L56" s="593" t="s">
        <v>47</v>
      </c>
      <c r="M56" s="593" t="s">
        <v>47</v>
      </c>
      <c r="N56" s="593" t="s">
        <v>47</v>
      </c>
      <c r="O56" s="593" t="s">
        <v>47</v>
      </c>
      <c r="P56" s="593" t="s">
        <v>47</v>
      </c>
      <c r="Q56" s="593" t="s">
        <v>47</v>
      </c>
      <c r="R56" s="593" t="s">
        <v>47</v>
      </c>
      <c r="S56" s="593" t="s">
        <v>47</v>
      </c>
      <c r="T56" s="593" t="s">
        <v>47</v>
      </c>
      <c r="U56" s="592" t="s">
        <v>47</v>
      </c>
      <c r="V56" s="592" t="s">
        <v>47</v>
      </c>
      <c r="W56" s="592" t="s">
        <v>47</v>
      </c>
      <c r="X56" s="592" t="s">
        <v>47</v>
      </c>
      <c r="Y56" s="592" t="s">
        <v>47</v>
      </c>
      <c r="Z56" s="592" t="s">
        <v>47</v>
      </c>
      <c r="AA56" s="592" t="s">
        <v>47</v>
      </c>
      <c r="AB56" s="592" t="s">
        <v>47</v>
      </c>
      <c r="AC56" s="592" t="s">
        <v>47</v>
      </c>
      <c r="AD56" s="592" t="s">
        <v>47</v>
      </c>
      <c r="AE56" s="592" t="s">
        <v>47</v>
      </c>
      <c r="AF56" s="592" t="s">
        <v>47</v>
      </c>
      <c r="AG56" s="592" t="s">
        <v>47</v>
      </c>
      <c r="AH56" s="592" t="s">
        <v>47</v>
      </c>
      <c r="AI56" s="592" t="s">
        <v>47</v>
      </c>
      <c r="AJ56" s="348" t="s">
        <v>47</v>
      </c>
      <c r="AK56" s="348" t="s">
        <v>47</v>
      </c>
      <c r="AL56" s="348" t="s">
        <v>47</v>
      </c>
      <c r="AM56" s="348" t="s">
        <v>47</v>
      </c>
      <c r="AN56" s="348" t="s">
        <v>47</v>
      </c>
      <c r="AO56" s="348" t="s">
        <v>47</v>
      </c>
      <c r="AP56" s="348" t="s">
        <v>47</v>
      </c>
      <c r="AQ56" s="348" t="s">
        <v>47</v>
      </c>
      <c r="AR56" s="348" t="s">
        <v>47</v>
      </c>
      <c r="AS56" s="348" t="s">
        <v>47</v>
      </c>
      <c r="AT56" s="348" t="s">
        <v>47</v>
      </c>
      <c r="AU56" s="348" t="s">
        <v>47</v>
      </c>
      <c r="AV56" s="962" t="s">
        <v>47</v>
      </c>
      <c r="AW56" s="348" t="s">
        <v>47</v>
      </c>
      <c r="AX56" s="348" t="s">
        <v>47</v>
      </c>
      <c r="AY56" s="348" t="s">
        <v>47</v>
      </c>
      <c r="AZ56" s="348" t="s">
        <v>47</v>
      </c>
      <c r="BA56" s="348" t="s">
        <v>47</v>
      </c>
      <c r="BB56" s="348" t="s">
        <v>47</v>
      </c>
      <c r="BC56" s="348" t="s">
        <v>47</v>
      </c>
      <c r="BD56" s="348" t="s">
        <v>47</v>
      </c>
      <c r="BE56" s="348" t="s">
        <v>47</v>
      </c>
      <c r="BF56" s="592" t="s">
        <v>47</v>
      </c>
      <c r="BG56" s="592" t="s">
        <v>47</v>
      </c>
      <c r="BH56" s="592" t="s">
        <v>47</v>
      </c>
      <c r="BI56" s="592" t="s">
        <v>47</v>
      </c>
      <c r="BJ56" s="592" t="s">
        <v>47</v>
      </c>
      <c r="BK56" s="592" t="s">
        <v>47</v>
      </c>
      <c r="BL56" s="592" t="s">
        <v>47</v>
      </c>
      <c r="BM56" s="592" t="s">
        <v>47</v>
      </c>
      <c r="BN56" s="592" t="s">
        <v>47</v>
      </c>
      <c r="BO56" s="592" t="s">
        <v>47</v>
      </c>
      <c r="BP56" s="592" t="s">
        <v>47</v>
      </c>
      <c r="BQ56" s="592" t="s">
        <v>47</v>
      </c>
      <c r="BR56" s="592" t="s">
        <v>47</v>
      </c>
      <c r="BS56" s="592" t="s">
        <v>47</v>
      </c>
      <c r="BT56" s="592" t="s">
        <v>47</v>
      </c>
      <c r="BU56" s="592" t="s">
        <v>47</v>
      </c>
      <c r="BV56" s="592" t="s">
        <v>47</v>
      </c>
      <c r="BW56" s="592" t="s">
        <v>47</v>
      </c>
      <c r="BX56" s="592" t="s">
        <v>47</v>
      </c>
      <c r="BY56" s="592" t="s">
        <v>47</v>
      </c>
      <c r="BZ56" s="592" t="s">
        <v>47</v>
      </c>
      <c r="CA56" s="592" t="s">
        <v>47</v>
      </c>
      <c r="CB56" s="592" t="s">
        <v>47</v>
      </c>
      <c r="CC56" s="592" t="s">
        <v>47</v>
      </c>
      <c r="CD56" s="592" t="s">
        <v>47</v>
      </c>
      <c r="CE56" s="592" t="s">
        <v>47</v>
      </c>
      <c r="CF56" s="592" t="s">
        <v>47</v>
      </c>
      <c r="CG56" s="592" t="s">
        <v>47</v>
      </c>
      <c r="CH56" s="592" t="s">
        <v>47</v>
      </c>
      <c r="CI56" s="592" t="s">
        <v>47</v>
      </c>
      <c r="CJ56" s="592" t="s">
        <v>47</v>
      </c>
      <c r="CK56" s="592" t="s">
        <v>47</v>
      </c>
      <c r="CL56" s="592" t="s">
        <v>47</v>
      </c>
      <c r="CM56" s="592" t="s">
        <v>47</v>
      </c>
      <c r="CN56" s="592" t="s">
        <v>47</v>
      </c>
      <c r="CO56" s="592" t="s">
        <v>47</v>
      </c>
      <c r="CP56" s="592" t="s">
        <v>47</v>
      </c>
      <c r="CQ56" s="592" t="s">
        <v>47</v>
      </c>
      <c r="CR56" s="592" t="s">
        <v>47</v>
      </c>
      <c r="CS56" s="592" t="s">
        <v>47</v>
      </c>
      <c r="CT56" s="592" t="s">
        <v>47</v>
      </c>
      <c r="CU56" s="592" t="s">
        <v>47</v>
      </c>
      <c r="CV56" s="592" t="s">
        <v>47</v>
      </c>
      <c r="CW56" s="592" t="s">
        <v>47</v>
      </c>
      <c r="CX56" s="592" t="s">
        <v>47</v>
      </c>
      <c r="CY56" s="592" t="s">
        <v>47</v>
      </c>
      <c r="CZ56" s="592" t="s">
        <v>47</v>
      </c>
      <c r="DA56" s="592" t="s">
        <v>47</v>
      </c>
      <c r="DB56" s="592" t="s">
        <v>47</v>
      </c>
      <c r="DC56" s="592" t="s">
        <v>47</v>
      </c>
      <c r="DD56" s="592" t="s">
        <v>47</v>
      </c>
    </row>
    <row r="57" spans="1:108" customFormat="1" x14ac:dyDescent="0.25">
      <c r="A57" s="263"/>
      <c r="B57" s="117" t="s">
        <v>135</v>
      </c>
      <c r="C57" s="265" t="s">
        <v>47</v>
      </c>
      <c r="D57" s="265" t="s">
        <v>47</v>
      </c>
      <c r="E57" s="265" t="s">
        <v>47</v>
      </c>
      <c r="F57" s="265" t="s">
        <v>47</v>
      </c>
      <c r="G57" s="265" t="s">
        <v>47</v>
      </c>
      <c r="H57" s="266" t="s">
        <v>47</v>
      </c>
      <c r="I57" s="266" t="s">
        <v>47</v>
      </c>
      <c r="J57" s="266" t="s">
        <v>47</v>
      </c>
      <c r="K57" s="266" t="s">
        <v>47</v>
      </c>
      <c r="L57" s="593" t="s">
        <v>47</v>
      </c>
      <c r="M57" s="593" t="s">
        <v>47</v>
      </c>
      <c r="N57" s="593" t="s">
        <v>47</v>
      </c>
      <c r="O57" s="593" t="s">
        <v>47</v>
      </c>
      <c r="P57" s="593" t="s">
        <v>47</v>
      </c>
      <c r="Q57" s="593" t="s">
        <v>47</v>
      </c>
      <c r="R57" s="593" t="s">
        <v>47</v>
      </c>
      <c r="S57" s="593" t="s">
        <v>47</v>
      </c>
      <c r="T57" s="593" t="s">
        <v>47</v>
      </c>
      <c r="U57" s="593" t="s">
        <v>47</v>
      </c>
      <c r="V57" s="593" t="s">
        <v>47</v>
      </c>
      <c r="W57" s="593" t="s">
        <v>47</v>
      </c>
      <c r="X57" s="593" t="s">
        <v>47</v>
      </c>
      <c r="Y57" s="593" t="s">
        <v>47</v>
      </c>
      <c r="Z57" s="593" t="s">
        <v>47</v>
      </c>
      <c r="AA57" s="593" t="s">
        <v>47</v>
      </c>
      <c r="AB57" s="593" t="s">
        <v>47</v>
      </c>
      <c r="AC57" s="593" t="s">
        <v>47</v>
      </c>
      <c r="AD57" s="593" t="s">
        <v>47</v>
      </c>
      <c r="AE57" s="593" t="s">
        <v>47</v>
      </c>
      <c r="AF57" s="592" t="s">
        <v>47</v>
      </c>
      <c r="AG57" s="592" t="s">
        <v>47</v>
      </c>
      <c r="AH57" s="592" t="s">
        <v>47</v>
      </c>
      <c r="AI57" s="592" t="s">
        <v>47</v>
      </c>
      <c r="AJ57" s="348" t="s">
        <v>47</v>
      </c>
      <c r="AK57" s="348" t="s">
        <v>47</v>
      </c>
      <c r="AL57" s="348" t="s">
        <v>47</v>
      </c>
      <c r="AM57" s="348" t="s">
        <v>47</v>
      </c>
      <c r="AN57" s="348" t="s">
        <v>47</v>
      </c>
      <c r="AO57" s="348" t="s">
        <v>47</v>
      </c>
      <c r="AP57" s="348" t="s">
        <v>47</v>
      </c>
      <c r="AQ57" s="348" t="s">
        <v>47</v>
      </c>
      <c r="AR57" s="348" t="s">
        <v>47</v>
      </c>
      <c r="AS57" s="348" t="s">
        <v>47</v>
      </c>
      <c r="AT57" s="348" t="s">
        <v>47</v>
      </c>
      <c r="AU57" s="348" t="s">
        <v>47</v>
      </c>
      <c r="AV57" s="962" t="s">
        <v>47</v>
      </c>
      <c r="AW57" s="348" t="s">
        <v>47</v>
      </c>
      <c r="AX57" s="348" t="s">
        <v>47</v>
      </c>
      <c r="AY57" s="348" t="s">
        <v>47</v>
      </c>
      <c r="AZ57" s="348" t="s">
        <v>47</v>
      </c>
      <c r="BA57" s="348" t="s">
        <v>47</v>
      </c>
      <c r="BB57" s="348" t="s">
        <v>47</v>
      </c>
      <c r="BC57" s="348" t="s">
        <v>47</v>
      </c>
      <c r="BD57" s="348" t="s">
        <v>47</v>
      </c>
      <c r="BE57" s="348" t="s">
        <v>47</v>
      </c>
      <c r="BF57" s="348" t="s">
        <v>47</v>
      </c>
      <c r="BG57" s="348" t="s">
        <v>47</v>
      </c>
      <c r="BH57" s="348" t="s">
        <v>47</v>
      </c>
      <c r="BI57" s="348" t="s">
        <v>47</v>
      </c>
      <c r="BJ57" s="348" t="s">
        <v>47</v>
      </c>
      <c r="BK57" s="348" t="s">
        <v>47</v>
      </c>
      <c r="BL57" s="348" t="s">
        <v>47</v>
      </c>
      <c r="BM57" s="348" t="s">
        <v>47</v>
      </c>
      <c r="BN57" s="592" t="s">
        <v>47</v>
      </c>
      <c r="BO57" s="592" t="s">
        <v>47</v>
      </c>
      <c r="BP57" s="592" t="s">
        <v>47</v>
      </c>
      <c r="BQ57" s="592" t="s">
        <v>47</v>
      </c>
      <c r="BR57" s="592" t="s">
        <v>47</v>
      </c>
      <c r="BS57" s="592" t="s">
        <v>47</v>
      </c>
      <c r="BT57" s="592" t="s">
        <v>47</v>
      </c>
      <c r="BU57" s="592" t="s">
        <v>47</v>
      </c>
      <c r="BV57" s="592" t="s">
        <v>47</v>
      </c>
      <c r="BW57" s="592" t="s">
        <v>47</v>
      </c>
      <c r="BX57" s="592" t="s">
        <v>47</v>
      </c>
      <c r="BY57" s="592" t="s">
        <v>47</v>
      </c>
      <c r="BZ57" s="592" t="s">
        <v>47</v>
      </c>
      <c r="CA57" s="592" t="s">
        <v>47</v>
      </c>
      <c r="CB57" s="592" t="s">
        <v>47</v>
      </c>
      <c r="CC57" s="592" t="s">
        <v>47</v>
      </c>
      <c r="CD57" s="592" t="s">
        <v>47</v>
      </c>
      <c r="CE57" s="592" t="s">
        <v>47</v>
      </c>
      <c r="CF57" s="592" t="s">
        <v>47</v>
      </c>
      <c r="CG57" s="592" t="s">
        <v>47</v>
      </c>
      <c r="CH57" s="592" t="s">
        <v>47</v>
      </c>
      <c r="CI57" s="592" t="s">
        <v>47</v>
      </c>
      <c r="CJ57" s="592" t="s">
        <v>47</v>
      </c>
      <c r="CK57" s="592" t="s">
        <v>47</v>
      </c>
      <c r="CL57" s="592" t="s">
        <v>47</v>
      </c>
      <c r="CM57" s="592" t="s">
        <v>47</v>
      </c>
      <c r="CN57" s="592" t="s">
        <v>47</v>
      </c>
      <c r="CO57" s="592" t="s">
        <v>47</v>
      </c>
      <c r="CP57" s="592" t="s">
        <v>47</v>
      </c>
      <c r="CQ57" s="592" t="s">
        <v>47</v>
      </c>
      <c r="CR57" s="592" t="s">
        <v>47</v>
      </c>
      <c r="CS57" s="592" t="s">
        <v>47</v>
      </c>
      <c r="CT57" s="592" t="s">
        <v>47</v>
      </c>
      <c r="CU57" s="592" t="s">
        <v>47</v>
      </c>
      <c r="CV57" s="592" t="s">
        <v>47</v>
      </c>
      <c r="CW57" s="592" t="s">
        <v>47</v>
      </c>
      <c r="CX57" s="592" t="s">
        <v>47</v>
      </c>
      <c r="CY57" s="592" t="s">
        <v>47</v>
      </c>
      <c r="CZ57" s="592" t="s">
        <v>47</v>
      </c>
      <c r="DA57" s="592" t="s">
        <v>47</v>
      </c>
      <c r="DB57" s="592" t="s">
        <v>47</v>
      </c>
      <c r="DC57" s="592" t="s">
        <v>47</v>
      </c>
      <c r="DD57" s="592" t="s">
        <v>47</v>
      </c>
    </row>
    <row r="58" spans="1:108" x14ac:dyDescent="0.25">
      <c r="B58" s="117" t="s">
        <v>136</v>
      </c>
      <c r="C58" s="265" t="s">
        <v>47</v>
      </c>
      <c r="D58" s="265" t="s">
        <v>47</v>
      </c>
      <c r="E58" s="265" t="s">
        <v>47</v>
      </c>
      <c r="F58" s="265" t="s">
        <v>47</v>
      </c>
      <c r="G58" s="266" t="s">
        <v>47</v>
      </c>
      <c r="H58" s="266" t="s">
        <v>47</v>
      </c>
      <c r="I58" s="266" t="s">
        <v>47</v>
      </c>
      <c r="J58" s="266" t="s">
        <v>47</v>
      </c>
      <c r="K58" s="266" t="s">
        <v>47</v>
      </c>
      <c r="L58" s="593" t="s">
        <v>47</v>
      </c>
      <c r="M58" s="593" t="s">
        <v>47</v>
      </c>
      <c r="N58" s="593" t="s">
        <v>47</v>
      </c>
      <c r="O58" s="593" t="s">
        <v>47</v>
      </c>
      <c r="P58" s="593" t="s">
        <v>47</v>
      </c>
      <c r="Q58" s="592" t="s">
        <v>47</v>
      </c>
      <c r="R58" s="592" t="s">
        <v>47</v>
      </c>
      <c r="S58" s="592" t="s">
        <v>47</v>
      </c>
      <c r="T58" s="592" t="s">
        <v>47</v>
      </c>
      <c r="U58" s="592" t="s">
        <v>47</v>
      </c>
      <c r="V58" s="592" t="s">
        <v>47</v>
      </c>
      <c r="W58" s="592" t="s">
        <v>47</v>
      </c>
      <c r="X58" s="592" t="s">
        <v>47</v>
      </c>
      <c r="Y58" s="592" t="s">
        <v>47</v>
      </c>
      <c r="Z58" s="592" t="s">
        <v>47</v>
      </c>
      <c r="AA58" s="592" t="s">
        <v>47</v>
      </c>
      <c r="AB58" s="592" t="s">
        <v>47</v>
      </c>
      <c r="AC58" s="592" t="s">
        <v>47</v>
      </c>
      <c r="AD58" s="592" t="s">
        <v>47</v>
      </c>
      <c r="AE58" s="592" t="s">
        <v>47</v>
      </c>
      <c r="AF58" s="592" t="s">
        <v>47</v>
      </c>
      <c r="AG58" s="592" t="s">
        <v>47</v>
      </c>
      <c r="AH58" s="592" t="s">
        <v>47</v>
      </c>
      <c r="AI58" s="592" t="s">
        <v>47</v>
      </c>
      <c r="AJ58" s="348" t="s">
        <v>47</v>
      </c>
      <c r="AK58" s="348" t="s">
        <v>47</v>
      </c>
      <c r="AL58" s="348" t="s">
        <v>47</v>
      </c>
      <c r="AM58" s="348" t="s">
        <v>47</v>
      </c>
      <c r="AN58" s="348" t="s">
        <v>47</v>
      </c>
      <c r="AO58" s="348" t="s">
        <v>47</v>
      </c>
      <c r="AP58" s="348" t="s">
        <v>47</v>
      </c>
      <c r="AQ58" s="348" t="s">
        <v>47</v>
      </c>
      <c r="AR58" s="348" t="s">
        <v>47</v>
      </c>
      <c r="AS58" s="348" t="s">
        <v>47</v>
      </c>
      <c r="AT58" s="348" t="s">
        <v>47</v>
      </c>
      <c r="AU58" s="348" t="s">
        <v>47</v>
      </c>
      <c r="AV58" s="962" t="s">
        <v>47</v>
      </c>
      <c r="AW58" s="348" t="s">
        <v>47</v>
      </c>
      <c r="AX58" s="348" t="s">
        <v>47</v>
      </c>
      <c r="AY58" s="348" t="s">
        <v>47</v>
      </c>
      <c r="AZ58" s="348" t="s">
        <v>47</v>
      </c>
      <c r="BA58" s="348" t="s">
        <v>47</v>
      </c>
      <c r="BB58" s="348" t="s">
        <v>47</v>
      </c>
      <c r="BC58" s="348" t="s">
        <v>47</v>
      </c>
      <c r="BD58" s="348" t="s">
        <v>47</v>
      </c>
      <c r="BE58" s="348" t="s">
        <v>47</v>
      </c>
      <c r="BF58" s="348" t="s">
        <v>47</v>
      </c>
      <c r="BG58" s="348" t="s">
        <v>47</v>
      </c>
      <c r="BH58" s="348" t="s">
        <v>47</v>
      </c>
      <c r="BI58" s="348" t="s">
        <v>47</v>
      </c>
      <c r="BJ58" s="348" t="s">
        <v>47</v>
      </c>
      <c r="BK58" s="348" t="s">
        <v>47</v>
      </c>
      <c r="BL58" s="348" t="s">
        <v>47</v>
      </c>
      <c r="BM58" s="348" t="s">
        <v>47</v>
      </c>
      <c r="BN58" s="592" t="s">
        <v>47</v>
      </c>
      <c r="BO58" s="592" t="s">
        <v>47</v>
      </c>
      <c r="BP58" s="592" t="s">
        <v>47</v>
      </c>
      <c r="BQ58" s="592" t="s">
        <v>47</v>
      </c>
      <c r="BR58" s="592" t="s">
        <v>47</v>
      </c>
      <c r="BS58" s="592" t="s">
        <v>47</v>
      </c>
      <c r="BT58" s="592" t="s">
        <v>47</v>
      </c>
      <c r="BU58" s="592" t="s">
        <v>47</v>
      </c>
      <c r="BV58" s="592" t="s">
        <v>47</v>
      </c>
      <c r="BW58" s="592" t="s">
        <v>47</v>
      </c>
      <c r="BX58" s="592" t="s">
        <v>47</v>
      </c>
      <c r="BY58" s="592" t="s">
        <v>47</v>
      </c>
      <c r="BZ58" s="592" t="s">
        <v>47</v>
      </c>
      <c r="CA58" s="592" t="s">
        <v>47</v>
      </c>
      <c r="CB58" s="592" t="s">
        <v>47</v>
      </c>
      <c r="CC58" s="592" t="s">
        <v>47</v>
      </c>
      <c r="CD58" s="592" t="s">
        <v>47</v>
      </c>
      <c r="CE58" s="592" t="s">
        <v>47</v>
      </c>
      <c r="CF58" s="592" t="s">
        <v>47</v>
      </c>
      <c r="CG58" s="592" t="s">
        <v>47</v>
      </c>
      <c r="CH58" s="592" t="s">
        <v>47</v>
      </c>
      <c r="CI58" s="592" t="s">
        <v>47</v>
      </c>
      <c r="CJ58" s="592" t="s">
        <v>47</v>
      </c>
      <c r="CK58" s="592" t="s">
        <v>47</v>
      </c>
      <c r="CL58" s="592" t="s">
        <v>47</v>
      </c>
      <c r="CM58" s="592" t="s">
        <v>47</v>
      </c>
      <c r="CN58" s="592" t="s">
        <v>47</v>
      </c>
      <c r="CO58" s="592" t="s">
        <v>47</v>
      </c>
      <c r="CP58" s="592" t="s">
        <v>47</v>
      </c>
      <c r="CQ58" s="592" t="s">
        <v>47</v>
      </c>
      <c r="CR58" s="592" t="s">
        <v>47</v>
      </c>
      <c r="CS58" s="592" t="s">
        <v>47</v>
      </c>
      <c r="CT58" s="592" t="s">
        <v>47</v>
      </c>
      <c r="CU58" s="592" t="s">
        <v>47</v>
      </c>
      <c r="CV58" s="592" t="s">
        <v>47</v>
      </c>
      <c r="CW58" s="592" t="s">
        <v>47</v>
      </c>
      <c r="CX58" s="592" t="s">
        <v>47</v>
      </c>
      <c r="CY58" s="592">
        <v>270</v>
      </c>
      <c r="CZ58" s="592">
        <v>270</v>
      </c>
      <c r="DA58" s="592">
        <v>270</v>
      </c>
      <c r="DB58" s="697">
        <v>303</v>
      </c>
      <c r="DC58" s="592">
        <v>303</v>
      </c>
      <c r="DD58" s="592">
        <v>303</v>
      </c>
    </row>
    <row r="59" spans="1:108" x14ac:dyDescent="0.25">
      <c r="A59"/>
      <c r="B59" s="1117" t="s">
        <v>381</v>
      </c>
      <c r="C59" s="1120" t="str">
        <f t="shared" ref="C59:AH59" si="55">IFERROR(AVERAGE(C56:C58),"-")</f>
        <v>-</v>
      </c>
      <c r="D59" s="1120" t="str">
        <f t="shared" si="55"/>
        <v>-</v>
      </c>
      <c r="E59" s="1120" t="str">
        <f t="shared" si="55"/>
        <v>-</v>
      </c>
      <c r="F59" s="1120" t="str">
        <f t="shared" si="55"/>
        <v>-</v>
      </c>
      <c r="G59" s="1120" t="str">
        <f t="shared" si="55"/>
        <v>-</v>
      </c>
      <c r="H59" s="1120" t="str">
        <f t="shared" si="55"/>
        <v>-</v>
      </c>
      <c r="I59" s="1120" t="str">
        <f t="shared" si="55"/>
        <v>-</v>
      </c>
      <c r="J59" s="1120" t="str">
        <f t="shared" si="55"/>
        <v>-</v>
      </c>
      <c r="K59" s="1120" t="str">
        <f t="shared" si="55"/>
        <v>-</v>
      </c>
      <c r="L59" s="1120" t="str">
        <f t="shared" si="55"/>
        <v>-</v>
      </c>
      <c r="M59" s="1120" t="str">
        <f t="shared" si="55"/>
        <v>-</v>
      </c>
      <c r="N59" s="1120" t="str">
        <f t="shared" si="55"/>
        <v>-</v>
      </c>
      <c r="O59" s="1120" t="str">
        <f t="shared" si="55"/>
        <v>-</v>
      </c>
      <c r="P59" s="1120" t="str">
        <f t="shared" si="55"/>
        <v>-</v>
      </c>
      <c r="Q59" s="1120" t="str">
        <f t="shared" si="55"/>
        <v>-</v>
      </c>
      <c r="R59" s="1120" t="str">
        <f t="shared" si="55"/>
        <v>-</v>
      </c>
      <c r="S59" s="1120" t="str">
        <f t="shared" si="55"/>
        <v>-</v>
      </c>
      <c r="T59" s="1120" t="str">
        <f t="shared" si="55"/>
        <v>-</v>
      </c>
      <c r="U59" s="1120" t="str">
        <f t="shared" si="55"/>
        <v>-</v>
      </c>
      <c r="V59" s="1120" t="str">
        <f t="shared" si="55"/>
        <v>-</v>
      </c>
      <c r="W59" s="1120" t="str">
        <f t="shared" si="55"/>
        <v>-</v>
      </c>
      <c r="X59" s="1120" t="str">
        <f t="shared" si="55"/>
        <v>-</v>
      </c>
      <c r="Y59" s="1120" t="str">
        <f t="shared" si="55"/>
        <v>-</v>
      </c>
      <c r="Z59" s="1120" t="str">
        <f t="shared" si="55"/>
        <v>-</v>
      </c>
      <c r="AA59" s="1120" t="str">
        <f t="shared" si="55"/>
        <v>-</v>
      </c>
      <c r="AB59" s="1120" t="str">
        <f t="shared" si="55"/>
        <v>-</v>
      </c>
      <c r="AC59" s="1120" t="str">
        <f t="shared" si="55"/>
        <v>-</v>
      </c>
      <c r="AD59" s="1120" t="str">
        <f t="shared" si="55"/>
        <v>-</v>
      </c>
      <c r="AE59" s="1120" t="str">
        <f t="shared" si="55"/>
        <v>-</v>
      </c>
      <c r="AF59" s="1120" t="str">
        <f t="shared" si="55"/>
        <v>-</v>
      </c>
      <c r="AG59" s="1120" t="str">
        <f t="shared" si="55"/>
        <v>-</v>
      </c>
      <c r="AH59" s="1120" t="str">
        <f t="shared" si="55"/>
        <v>-</v>
      </c>
      <c r="AI59" s="1120" t="str">
        <f t="shared" ref="AI59:BN59" si="56">IFERROR(AVERAGE(AI56:AI58),"-")</f>
        <v>-</v>
      </c>
      <c r="AJ59" s="1120" t="str">
        <f t="shared" si="56"/>
        <v>-</v>
      </c>
      <c r="AK59" s="1120" t="str">
        <f t="shared" si="56"/>
        <v>-</v>
      </c>
      <c r="AL59" s="1120" t="str">
        <f t="shared" si="56"/>
        <v>-</v>
      </c>
      <c r="AM59" s="1120" t="str">
        <f t="shared" si="56"/>
        <v>-</v>
      </c>
      <c r="AN59" s="1120" t="str">
        <f t="shared" si="56"/>
        <v>-</v>
      </c>
      <c r="AO59" s="1120" t="str">
        <f t="shared" si="56"/>
        <v>-</v>
      </c>
      <c r="AP59" s="1120" t="str">
        <f t="shared" si="56"/>
        <v>-</v>
      </c>
      <c r="AQ59" s="1120" t="str">
        <f t="shared" si="56"/>
        <v>-</v>
      </c>
      <c r="AR59" s="1120" t="str">
        <f t="shared" si="56"/>
        <v>-</v>
      </c>
      <c r="AS59" s="1120" t="str">
        <f t="shared" si="56"/>
        <v>-</v>
      </c>
      <c r="AT59" s="1120" t="str">
        <f t="shared" si="56"/>
        <v>-</v>
      </c>
      <c r="AU59" s="1120" t="str">
        <f t="shared" si="56"/>
        <v>-</v>
      </c>
      <c r="AV59" s="1120" t="str">
        <f t="shared" si="56"/>
        <v>-</v>
      </c>
      <c r="AW59" s="1120" t="str">
        <f t="shared" si="56"/>
        <v>-</v>
      </c>
      <c r="AX59" s="1120" t="str">
        <f t="shared" si="56"/>
        <v>-</v>
      </c>
      <c r="AY59" s="1120" t="str">
        <f t="shared" si="56"/>
        <v>-</v>
      </c>
      <c r="AZ59" s="1120" t="str">
        <f t="shared" si="56"/>
        <v>-</v>
      </c>
      <c r="BA59" s="1120" t="str">
        <f t="shared" si="56"/>
        <v>-</v>
      </c>
      <c r="BB59" s="1120" t="str">
        <f t="shared" si="56"/>
        <v>-</v>
      </c>
      <c r="BC59" s="1120" t="str">
        <f t="shared" si="56"/>
        <v>-</v>
      </c>
      <c r="BD59" s="1120" t="str">
        <f t="shared" si="56"/>
        <v>-</v>
      </c>
      <c r="BE59" s="1120" t="str">
        <f t="shared" si="56"/>
        <v>-</v>
      </c>
      <c r="BF59" s="1120" t="str">
        <f t="shared" si="56"/>
        <v>-</v>
      </c>
      <c r="BG59" s="1120" t="str">
        <f t="shared" si="56"/>
        <v>-</v>
      </c>
      <c r="BH59" s="1120" t="str">
        <f t="shared" si="56"/>
        <v>-</v>
      </c>
      <c r="BI59" s="1120" t="str">
        <f t="shared" si="56"/>
        <v>-</v>
      </c>
      <c r="BJ59" s="1120" t="str">
        <f t="shared" si="56"/>
        <v>-</v>
      </c>
      <c r="BK59" s="1120" t="str">
        <f t="shared" si="56"/>
        <v>-</v>
      </c>
      <c r="BL59" s="1120" t="str">
        <f t="shared" si="56"/>
        <v>-</v>
      </c>
      <c r="BM59" s="1120" t="str">
        <f t="shared" si="56"/>
        <v>-</v>
      </c>
      <c r="BN59" s="1120" t="str">
        <f t="shared" si="56"/>
        <v>-</v>
      </c>
      <c r="BO59" s="1120" t="str">
        <f t="shared" ref="BO59:CT59" si="57">IFERROR(AVERAGE(BO56:BO58),"-")</f>
        <v>-</v>
      </c>
      <c r="BP59" s="1120" t="str">
        <f t="shared" si="57"/>
        <v>-</v>
      </c>
      <c r="BQ59" s="1120" t="str">
        <f t="shared" si="57"/>
        <v>-</v>
      </c>
      <c r="BR59" s="1120" t="str">
        <f t="shared" si="57"/>
        <v>-</v>
      </c>
      <c r="BS59" s="1120" t="str">
        <f t="shared" si="57"/>
        <v>-</v>
      </c>
      <c r="BT59" s="1120" t="str">
        <f t="shared" si="57"/>
        <v>-</v>
      </c>
      <c r="BU59" s="1120" t="str">
        <f t="shared" si="57"/>
        <v>-</v>
      </c>
      <c r="BV59" s="1120" t="str">
        <f t="shared" si="57"/>
        <v>-</v>
      </c>
      <c r="BW59" s="1120" t="str">
        <f t="shared" si="57"/>
        <v>-</v>
      </c>
      <c r="BX59" s="1120" t="str">
        <f t="shared" si="57"/>
        <v>-</v>
      </c>
      <c r="BY59" s="1120" t="str">
        <f t="shared" si="57"/>
        <v>-</v>
      </c>
      <c r="BZ59" s="1120" t="str">
        <f t="shared" si="57"/>
        <v>-</v>
      </c>
      <c r="CA59" s="1120" t="str">
        <f t="shared" si="57"/>
        <v>-</v>
      </c>
      <c r="CB59" s="1120" t="str">
        <f t="shared" si="57"/>
        <v>-</v>
      </c>
      <c r="CC59" s="1120" t="str">
        <f t="shared" si="57"/>
        <v>-</v>
      </c>
      <c r="CD59" s="1120" t="str">
        <f t="shared" si="57"/>
        <v>-</v>
      </c>
      <c r="CE59" s="1120" t="str">
        <f t="shared" si="57"/>
        <v>-</v>
      </c>
      <c r="CF59" s="1120" t="str">
        <f t="shared" si="57"/>
        <v>-</v>
      </c>
      <c r="CG59" s="1120" t="str">
        <f t="shared" si="57"/>
        <v>-</v>
      </c>
      <c r="CH59" s="1120" t="str">
        <f t="shared" si="57"/>
        <v>-</v>
      </c>
      <c r="CI59" s="1120" t="str">
        <f t="shared" si="57"/>
        <v>-</v>
      </c>
      <c r="CJ59" s="1120" t="str">
        <f t="shared" si="57"/>
        <v>-</v>
      </c>
      <c r="CK59" s="1120" t="str">
        <f t="shared" si="57"/>
        <v>-</v>
      </c>
      <c r="CL59" s="1120" t="str">
        <f t="shared" si="57"/>
        <v>-</v>
      </c>
      <c r="CM59" s="1120" t="str">
        <f t="shared" si="57"/>
        <v>-</v>
      </c>
      <c r="CN59" s="1120" t="str">
        <f t="shared" si="57"/>
        <v>-</v>
      </c>
      <c r="CO59" s="1120" t="str">
        <f t="shared" si="57"/>
        <v>-</v>
      </c>
      <c r="CP59" s="1120" t="str">
        <f t="shared" si="57"/>
        <v>-</v>
      </c>
      <c r="CQ59" s="1120" t="str">
        <f t="shared" si="57"/>
        <v>-</v>
      </c>
      <c r="CR59" s="1120" t="str">
        <f t="shared" si="57"/>
        <v>-</v>
      </c>
      <c r="CS59" s="1120" t="str">
        <f t="shared" si="57"/>
        <v>-</v>
      </c>
      <c r="CT59" s="1120" t="str">
        <f t="shared" si="57"/>
        <v>-</v>
      </c>
      <c r="CU59" s="1120" t="str">
        <f t="shared" ref="CU59:CY59" si="58">IFERROR(AVERAGE(CU56:CU58),"-")</f>
        <v>-</v>
      </c>
      <c r="CV59" s="1120" t="str">
        <f t="shared" si="58"/>
        <v>-</v>
      </c>
      <c r="CW59" s="1120" t="str">
        <f t="shared" si="58"/>
        <v>-</v>
      </c>
      <c r="CX59" s="1120" t="str">
        <f t="shared" si="58"/>
        <v>-</v>
      </c>
      <c r="CY59" s="1120">
        <f t="shared" si="58"/>
        <v>270</v>
      </c>
      <c r="CZ59" s="1120">
        <f t="shared" ref="CZ59:DA59" si="59">IFERROR(AVERAGE(CZ56:CZ58),"-")</f>
        <v>270</v>
      </c>
      <c r="DA59" s="1120">
        <f t="shared" si="59"/>
        <v>270</v>
      </c>
      <c r="DB59" s="1120">
        <f t="shared" ref="DB59:DC59" si="60">IFERROR(AVERAGE(DB56:DB58),"-")</f>
        <v>303</v>
      </c>
      <c r="DC59" s="1120">
        <f t="shared" si="60"/>
        <v>303</v>
      </c>
      <c r="DD59" s="1120">
        <f t="shared" ref="DD59" si="61">IFERROR(AVERAGE(DD56:DD58),"-")</f>
        <v>303</v>
      </c>
    </row>
    <row r="60" spans="1:108" x14ac:dyDescent="0.25">
      <c r="A60" s="1030"/>
      <c r="B60" s="1028"/>
      <c r="C60" s="1029"/>
      <c r="D60" s="1029"/>
      <c r="E60" s="1029"/>
      <c r="F60" s="1029"/>
      <c r="G60" s="1029"/>
      <c r="H60" s="1029"/>
      <c r="I60" s="1029"/>
      <c r="J60" s="1029"/>
      <c r="K60" s="1029"/>
      <c r="L60" s="1030"/>
      <c r="M60" s="1030"/>
      <c r="N60" s="1030"/>
      <c r="O60" s="1030"/>
      <c r="P60" s="1030"/>
      <c r="Q60" s="1030"/>
      <c r="R60" s="1030"/>
      <c r="S60" s="1030"/>
      <c r="T60" s="1030"/>
      <c r="U60" s="1030"/>
      <c r="V60" s="1031"/>
      <c r="W60" s="1031"/>
      <c r="X60" s="1031"/>
      <c r="Y60" s="1031"/>
      <c r="Z60" s="1031"/>
      <c r="AA60" s="1031"/>
      <c r="AB60" s="1031"/>
      <c r="AC60" s="1031"/>
      <c r="AD60" s="1031"/>
      <c r="AE60" s="1031"/>
      <c r="AF60" s="1031"/>
      <c r="AG60" s="1031"/>
      <c r="AH60" s="1031"/>
      <c r="AI60" s="1031"/>
      <c r="AJ60" s="1031"/>
      <c r="AK60" s="1031"/>
      <c r="AL60" s="1031"/>
      <c r="AM60" s="1031"/>
      <c r="AN60" s="1031"/>
      <c r="AO60" s="1031"/>
      <c r="AP60" s="1031"/>
      <c r="AQ60" s="1031"/>
      <c r="AR60" s="1031"/>
      <c r="AS60" s="1031"/>
      <c r="AT60" s="1030"/>
      <c r="AU60" s="1030"/>
      <c r="AV60" s="1032"/>
      <c r="AW60" s="1033"/>
      <c r="AX60" s="1033"/>
      <c r="AY60" s="1033"/>
      <c r="AZ60" s="1030"/>
      <c r="BA60" s="1030"/>
      <c r="BB60" s="1030"/>
      <c r="BC60" s="1030"/>
      <c r="BD60" s="1030"/>
      <c r="BE60" s="1030"/>
      <c r="BF60" s="1030"/>
      <c r="BG60" s="1030"/>
      <c r="BH60" s="1030"/>
      <c r="BI60" s="1030"/>
      <c r="BJ60" s="1030"/>
      <c r="BK60" s="1030"/>
      <c r="BL60" s="1030"/>
      <c r="BM60" s="1030"/>
      <c r="BN60" s="1030"/>
      <c r="BO60" s="1030"/>
      <c r="BP60" s="1030"/>
      <c r="BQ60" s="1030"/>
      <c r="BR60" s="1030"/>
      <c r="BS60" s="1030"/>
      <c r="BT60" s="1030"/>
      <c r="BU60" s="1030"/>
      <c r="BV60" s="1030"/>
      <c r="BW60" s="1030"/>
      <c r="BX60" s="1030"/>
      <c r="BY60" s="1030"/>
      <c r="BZ60" s="1030"/>
      <c r="CA60" s="1030"/>
      <c r="CB60" s="1030"/>
      <c r="CC60" s="1030"/>
      <c r="CD60" s="1030"/>
      <c r="CE60" s="1030"/>
      <c r="CF60" s="1030"/>
      <c r="CG60" s="1030"/>
      <c r="CH60" s="1030"/>
      <c r="CI60" s="1030"/>
      <c r="CJ60" s="1030"/>
      <c r="CK60" s="1030"/>
      <c r="CL60" s="1030"/>
      <c r="CM60" s="1030"/>
      <c r="CN60" s="1030"/>
      <c r="CO60" s="1030"/>
      <c r="CP60" s="1030"/>
      <c r="CQ60" s="1030"/>
      <c r="CR60" s="1030"/>
      <c r="CS60" s="1030"/>
      <c r="CT60" s="1030"/>
      <c r="CU60" s="1030"/>
      <c r="CV60" s="1030"/>
      <c r="CW60" s="1030"/>
      <c r="CX60" s="1030"/>
      <c r="CY60" s="1030"/>
      <c r="CZ60" s="1030"/>
      <c r="DA60" s="1030"/>
      <c r="DB60" s="1030"/>
      <c r="DC60" s="1030"/>
      <c r="DD60" s="1030"/>
    </row>
    <row r="61" spans="1:108" x14ac:dyDescent="0.25">
      <c r="B61" s="113" t="s">
        <v>1367</v>
      </c>
      <c r="C61" s="264">
        <f t="shared" ref="C61:BN61" si="62">C$12</f>
        <v>42522</v>
      </c>
      <c r="D61" s="264">
        <f t="shared" si="62"/>
        <v>42552</v>
      </c>
      <c r="E61" s="264">
        <f t="shared" si="62"/>
        <v>42583</v>
      </c>
      <c r="F61" s="264">
        <f t="shared" si="62"/>
        <v>42614</v>
      </c>
      <c r="G61" s="264">
        <f t="shared" si="62"/>
        <v>42644</v>
      </c>
      <c r="H61" s="264">
        <f t="shared" si="62"/>
        <v>42675</v>
      </c>
      <c r="I61" s="264">
        <f t="shared" si="62"/>
        <v>42705</v>
      </c>
      <c r="J61" s="264">
        <f t="shared" si="62"/>
        <v>42736</v>
      </c>
      <c r="K61" s="264">
        <f t="shared" si="62"/>
        <v>42767</v>
      </c>
      <c r="L61" s="264">
        <f t="shared" si="62"/>
        <v>42795</v>
      </c>
      <c r="M61" s="264">
        <f t="shared" si="62"/>
        <v>42826</v>
      </c>
      <c r="N61" s="264">
        <f t="shared" si="62"/>
        <v>42856</v>
      </c>
      <c r="O61" s="264">
        <f t="shared" si="62"/>
        <v>42887</v>
      </c>
      <c r="P61" s="264">
        <f t="shared" si="62"/>
        <v>42917</v>
      </c>
      <c r="Q61" s="264">
        <f t="shared" si="62"/>
        <v>42948</v>
      </c>
      <c r="R61" s="264">
        <f t="shared" si="62"/>
        <v>42979</v>
      </c>
      <c r="S61" s="264">
        <f t="shared" si="62"/>
        <v>43009</v>
      </c>
      <c r="T61" s="264">
        <f t="shared" si="62"/>
        <v>43040</v>
      </c>
      <c r="U61" s="264">
        <f t="shared" si="62"/>
        <v>43070</v>
      </c>
      <c r="V61" s="264">
        <f t="shared" si="62"/>
        <v>43101</v>
      </c>
      <c r="W61" s="264">
        <f t="shared" si="62"/>
        <v>43132</v>
      </c>
      <c r="X61" s="264">
        <f t="shared" si="62"/>
        <v>43160</v>
      </c>
      <c r="Y61" s="264">
        <f t="shared" si="62"/>
        <v>43191</v>
      </c>
      <c r="Z61" s="264">
        <f t="shared" si="62"/>
        <v>43221</v>
      </c>
      <c r="AA61" s="264">
        <f t="shared" si="62"/>
        <v>43252</v>
      </c>
      <c r="AB61" s="264">
        <f t="shared" si="62"/>
        <v>43283</v>
      </c>
      <c r="AC61" s="264">
        <f t="shared" si="62"/>
        <v>43314</v>
      </c>
      <c r="AD61" s="264">
        <f t="shared" si="62"/>
        <v>43345</v>
      </c>
      <c r="AE61" s="264">
        <f t="shared" si="62"/>
        <v>43376</v>
      </c>
      <c r="AF61" s="264">
        <f t="shared" si="62"/>
        <v>43407</v>
      </c>
      <c r="AG61" s="264">
        <f t="shared" si="62"/>
        <v>43437</v>
      </c>
      <c r="AH61" s="264">
        <f t="shared" si="62"/>
        <v>43468</v>
      </c>
      <c r="AI61" s="264">
        <f t="shared" si="62"/>
        <v>43499</v>
      </c>
      <c r="AJ61" s="264">
        <f t="shared" si="62"/>
        <v>43527</v>
      </c>
      <c r="AK61" s="264">
        <f t="shared" si="62"/>
        <v>43558</v>
      </c>
      <c r="AL61" s="264">
        <f t="shared" si="62"/>
        <v>43587</v>
      </c>
      <c r="AM61" s="264">
        <f t="shared" si="62"/>
        <v>43618</v>
      </c>
      <c r="AN61" s="264">
        <f t="shared" si="62"/>
        <v>43647</v>
      </c>
      <c r="AO61" s="264">
        <f t="shared" si="62"/>
        <v>43678</v>
      </c>
      <c r="AP61" s="264">
        <f t="shared" si="62"/>
        <v>43709</v>
      </c>
      <c r="AQ61" s="264">
        <f t="shared" si="62"/>
        <v>43739</v>
      </c>
      <c r="AR61" s="264">
        <f t="shared" si="62"/>
        <v>43770</v>
      </c>
      <c r="AS61" s="264">
        <f t="shared" si="62"/>
        <v>43800</v>
      </c>
      <c r="AT61" s="264">
        <f t="shared" si="62"/>
        <v>43831</v>
      </c>
      <c r="AU61" s="264">
        <f t="shared" si="62"/>
        <v>43862</v>
      </c>
      <c r="AV61" s="946">
        <f t="shared" si="62"/>
        <v>43891</v>
      </c>
      <c r="AW61" s="264">
        <f t="shared" si="62"/>
        <v>43922</v>
      </c>
      <c r="AX61" s="264">
        <f t="shared" si="62"/>
        <v>43952</v>
      </c>
      <c r="AY61" s="264">
        <f t="shared" si="62"/>
        <v>43983</v>
      </c>
      <c r="AZ61" s="264">
        <f t="shared" si="62"/>
        <v>44013</v>
      </c>
      <c r="BA61" s="264">
        <f t="shared" si="62"/>
        <v>44044</v>
      </c>
      <c r="BB61" s="264">
        <f t="shared" si="62"/>
        <v>44075</v>
      </c>
      <c r="BC61" s="264">
        <f t="shared" si="62"/>
        <v>44105</v>
      </c>
      <c r="BD61" s="264">
        <f t="shared" si="62"/>
        <v>44136</v>
      </c>
      <c r="BE61" s="264">
        <f t="shared" si="62"/>
        <v>44166</v>
      </c>
      <c r="BF61" s="264">
        <f t="shared" si="62"/>
        <v>44197</v>
      </c>
      <c r="BG61" s="264">
        <f t="shared" si="62"/>
        <v>44228</v>
      </c>
      <c r="BH61" s="264">
        <f t="shared" si="62"/>
        <v>44256</v>
      </c>
      <c r="BI61" s="264">
        <f t="shared" si="62"/>
        <v>44287</v>
      </c>
      <c r="BJ61" s="264">
        <f t="shared" si="62"/>
        <v>44317</v>
      </c>
      <c r="BK61" s="264">
        <f t="shared" si="62"/>
        <v>44348</v>
      </c>
      <c r="BL61" s="264">
        <f t="shared" si="62"/>
        <v>44378</v>
      </c>
      <c r="BM61" s="264">
        <f t="shared" si="62"/>
        <v>44409</v>
      </c>
      <c r="BN61" s="264">
        <f t="shared" si="62"/>
        <v>44440</v>
      </c>
      <c r="BO61" s="264">
        <f t="shared" ref="BO61:DD61" si="63">BO$12</f>
        <v>44470</v>
      </c>
      <c r="BP61" s="264">
        <f t="shared" si="63"/>
        <v>44501</v>
      </c>
      <c r="BQ61" s="264">
        <f t="shared" si="63"/>
        <v>44531</v>
      </c>
      <c r="BR61" s="264">
        <f t="shared" si="63"/>
        <v>44562</v>
      </c>
      <c r="BS61" s="264">
        <f t="shared" si="63"/>
        <v>44593</v>
      </c>
      <c r="BT61" s="264">
        <f t="shared" si="63"/>
        <v>44622</v>
      </c>
      <c r="BU61" s="264">
        <f t="shared" si="63"/>
        <v>44654</v>
      </c>
      <c r="BV61" s="264">
        <f t="shared" si="63"/>
        <v>44685</v>
      </c>
      <c r="BW61" s="264">
        <f t="shared" si="63"/>
        <v>44716</v>
      </c>
      <c r="BX61" s="264">
        <f t="shared" si="63"/>
        <v>44746</v>
      </c>
      <c r="BY61" s="264">
        <f t="shared" si="63"/>
        <v>44774</v>
      </c>
      <c r="BZ61" s="264">
        <f t="shared" si="63"/>
        <v>44805</v>
      </c>
      <c r="CA61" s="264">
        <f t="shared" si="63"/>
        <v>44835</v>
      </c>
      <c r="CB61" s="264">
        <f t="shared" si="63"/>
        <v>44866</v>
      </c>
      <c r="CC61" s="264">
        <f t="shared" si="63"/>
        <v>44896</v>
      </c>
      <c r="CD61" s="264">
        <f t="shared" si="63"/>
        <v>44927</v>
      </c>
      <c r="CE61" s="264">
        <f t="shared" si="63"/>
        <v>44958</v>
      </c>
      <c r="CF61" s="264">
        <f t="shared" si="63"/>
        <v>44986</v>
      </c>
      <c r="CG61" s="264">
        <f t="shared" si="63"/>
        <v>45017</v>
      </c>
      <c r="CH61" s="264">
        <f t="shared" si="63"/>
        <v>45047</v>
      </c>
      <c r="CI61" s="264">
        <f t="shared" si="63"/>
        <v>45078</v>
      </c>
      <c r="CJ61" s="264">
        <f t="shared" si="63"/>
        <v>45108</v>
      </c>
      <c r="CK61" s="264">
        <f t="shared" si="63"/>
        <v>45139</v>
      </c>
      <c r="CL61" s="264">
        <f t="shared" si="63"/>
        <v>45170</v>
      </c>
      <c r="CM61" s="264">
        <f t="shared" si="63"/>
        <v>45200</v>
      </c>
      <c r="CN61" s="264">
        <f t="shared" si="63"/>
        <v>45231</v>
      </c>
      <c r="CO61" s="264">
        <f t="shared" si="63"/>
        <v>45261</v>
      </c>
      <c r="CP61" s="264">
        <f t="shared" si="63"/>
        <v>45292</v>
      </c>
      <c r="CQ61" s="264">
        <f t="shared" si="63"/>
        <v>45323</v>
      </c>
      <c r="CR61" s="264">
        <f t="shared" si="63"/>
        <v>45352</v>
      </c>
      <c r="CS61" s="264">
        <f t="shared" si="63"/>
        <v>45383</v>
      </c>
      <c r="CT61" s="264">
        <f t="shared" si="63"/>
        <v>45413</v>
      </c>
      <c r="CU61" s="264">
        <f t="shared" si="63"/>
        <v>45444</v>
      </c>
      <c r="CV61" s="264">
        <f t="shared" si="63"/>
        <v>45474</v>
      </c>
      <c r="CW61" s="264">
        <f t="shared" si="63"/>
        <v>45505</v>
      </c>
      <c r="CX61" s="264">
        <f t="shared" si="63"/>
        <v>45536</v>
      </c>
      <c r="CY61" s="264">
        <f t="shared" si="63"/>
        <v>45566</v>
      </c>
      <c r="CZ61" s="264">
        <f t="shared" si="63"/>
        <v>45597</v>
      </c>
      <c r="DA61" s="264">
        <f t="shared" si="63"/>
        <v>45627</v>
      </c>
      <c r="DB61" s="264">
        <f t="shared" si="63"/>
        <v>45658</v>
      </c>
      <c r="DC61" s="264">
        <f t="shared" si="63"/>
        <v>45689</v>
      </c>
      <c r="DD61" s="264">
        <f t="shared" si="63"/>
        <v>45717</v>
      </c>
    </row>
    <row r="62" spans="1:108" x14ac:dyDescent="0.25">
      <c r="B62" s="117" t="s">
        <v>131</v>
      </c>
      <c r="C62" s="593" t="s">
        <v>47</v>
      </c>
      <c r="D62" s="593" t="s">
        <v>47</v>
      </c>
      <c r="E62" s="593" t="s">
        <v>47</v>
      </c>
      <c r="F62" s="593" t="s">
        <v>47</v>
      </c>
      <c r="G62" s="593" t="s">
        <v>47</v>
      </c>
      <c r="H62" s="593" t="s">
        <v>47</v>
      </c>
      <c r="I62" s="593" t="s">
        <v>47</v>
      </c>
      <c r="J62" s="592" t="s">
        <v>47</v>
      </c>
      <c r="K62" s="592" t="s">
        <v>47</v>
      </c>
      <c r="L62" s="592" t="s">
        <v>47</v>
      </c>
      <c r="M62" s="592" t="s">
        <v>47</v>
      </c>
      <c r="N62" s="592" t="s">
        <v>47</v>
      </c>
      <c r="O62" s="592" t="s">
        <v>47</v>
      </c>
      <c r="P62" s="592" t="s">
        <v>47</v>
      </c>
      <c r="Q62" s="592" t="s">
        <v>47</v>
      </c>
      <c r="R62" s="592" t="s">
        <v>47</v>
      </c>
      <c r="S62" s="592" t="s">
        <v>47</v>
      </c>
      <c r="T62" s="592" t="s">
        <v>47</v>
      </c>
      <c r="U62" s="592" t="s">
        <v>47</v>
      </c>
      <c r="V62" s="592" t="s">
        <v>47</v>
      </c>
      <c r="W62" s="592" t="s">
        <v>47</v>
      </c>
      <c r="X62" s="592" t="s">
        <v>47</v>
      </c>
      <c r="Y62" s="592" t="s">
        <v>47</v>
      </c>
      <c r="Z62" s="592" t="s">
        <v>47</v>
      </c>
      <c r="AA62" s="592" t="s">
        <v>47</v>
      </c>
      <c r="AB62" s="592" t="s">
        <v>47</v>
      </c>
      <c r="AC62" s="592" t="s">
        <v>47</v>
      </c>
      <c r="AD62" s="592" t="s">
        <v>47</v>
      </c>
      <c r="AE62" s="592" t="s">
        <v>47</v>
      </c>
      <c r="AF62" s="592" t="s">
        <v>47</v>
      </c>
      <c r="AG62" s="592" t="s">
        <v>47</v>
      </c>
      <c r="AH62" s="592" t="s">
        <v>47</v>
      </c>
      <c r="AI62" s="592" t="s">
        <v>47</v>
      </c>
      <c r="AJ62" s="592" t="s">
        <v>47</v>
      </c>
      <c r="AK62" s="592" t="s">
        <v>47</v>
      </c>
      <c r="AL62" s="592" t="s">
        <v>47</v>
      </c>
      <c r="AM62" s="592" t="s">
        <v>47</v>
      </c>
      <c r="AN62" s="592" t="s">
        <v>47</v>
      </c>
      <c r="AO62" s="592" t="s">
        <v>47</v>
      </c>
      <c r="AP62" s="592" t="s">
        <v>47</v>
      </c>
      <c r="AQ62" s="592" t="s">
        <v>47</v>
      </c>
      <c r="AR62" s="592" t="s">
        <v>47</v>
      </c>
      <c r="AS62" s="592" t="s">
        <v>47</v>
      </c>
      <c r="AT62" s="592" t="s">
        <v>47</v>
      </c>
      <c r="AU62" s="592" t="s">
        <v>47</v>
      </c>
      <c r="AV62" s="948" t="s">
        <v>47</v>
      </c>
      <c r="AW62" s="592" t="s">
        <v>47</v>
      </c>
      <c r="AX62" s="592" t="s">
        <v>47</v>
      </c>
      <c r="AY62" s="592" t="s">
        <v>47</v>
      </c>
      <c r="AZ62" s="592" t="s">
        <v>47</v>
      </c>
      <c r="BA62" s="592" t="s">
        <v>47</v>
      </c>
      <c r="BB62" s="592" t="s">
        <v>47</v>
      </c>
      <c r="BC62" s="592" t="s">
        <v>47</v>
      </c>
      <c r="BD62" s="592" t="s">
        <v>47</v>
      </c>
      <c r="BE62" s="592" t="s">
        <v>47</v>
      </c>
      <c r="BF62" s="592" t="s">
        <v>47</v>
      </c>
      <c r="BG62" s="592" t="s">
        <v>47</v>
      </c>
      <c r="BH62" s="592" t="s">
        <v>47</v>
      </c>
      <c r="BI62" s="592" t="s">
        <v>47</v>
      </c>
      <c r="BJ62" s="592" t="s">
        <v>47</v>
      </c>
      <c r="BK62" s="592" t="s">
        <v>47</v>
      </c>
      <c r="BL62" s="592" t="s">
        <v>47</v>
      </c>
      <c r="BM62" s="592" t="s">
        <v>47</v>
      </c>
      <c r="BN62" s="592" t="s">
        <v>47</v>
      </c>
      <c r="BO62" s="592" t="s">
        <v>47</v>
      </c>
      <c r="BP62" s="592" t="s">
        <v>47</v>
      </c>
      <c r="BQ62" s="592" t="s">
        <v>47</v>
      </c>
      <c r="BR62" s="592" t="s">
        <v>47</v>
      </c>
      <c r="BS62" s="592" t="s">
        <v>47</v>
      </c>
      <c r="BT62" s="592" t="s">
        <v>47</v>
      </c>
      <c r="BU62" s="592" t="s">
        <v>47</v>
      </c>
      <c r="BV62" s="592" t="s">
        <v>47</v>
      </c>
      <c r="BW62" s="592" t="s">
        <v>47</v>
      </c>
      <c r="BX62" s="592" t="s">
        <v>47</v>
      </c>
      <c r="BY62" s="592" t="s">
        <v>47</v>
      </c>
      <c r="BZ62" s="592" t="s">
        <v>47</v>
      </c>
      <c r="CA62" s="592" t="s">
        <v>47</v>
      </c>
      <c r="CB62" s="592" t="s">
        <v>47</v>
      </c>
      <c r="CC62" s="592" t="s">
        <v>47</v>
      </c>
      <c r="CD62" s="592" t="s">
        <v>47</v>
      </c>
      <c r="CE62" s="592" t="s">
        <v>47</v>
      </c>
      <c r="CF62" s="592" t="s">
        <v>47</v>
      </c>
      <c r="CG62" s="592" t="s">
        <v>47</v>
      </c>
      <c r="CH62" s="592" t="s">
        <v>47</v>
      </c>
      <c r="CI62" s="592" t="s">
        <v>47</v>
      </c>
      <c r="CJ62" s="592" t="s">
        <v>47</v>
      </c>
      <c r="CK62" s="592" t="s">
        <v>47</v>
      </c>
      <c r="CL62" s="592" t="s">
        <v>47</v>
      </c>
      <c r="CM62" s="592" t="s">
        <v>47</v>
      </c>
      <c r="CN62" s="592" t="s">
        <v>47</v>
      </c>
      <c r="CO62" s="592" t="s">
        <v>47</v>
      </c>
      <c r="CP62" s="592" t="s">
        <v>47</v>
      </c>
      <c r="CQ62" s="592" t="s">
        <v>47</v>
      </c>
      <c r="CR62" s="592" t="s">
        <v>47</v>
      </c>
      <c r="CS62" s="592" t="s">
        <v>47</v>
      </c>
      <c r="CT62" s="592" t="s">
        <v>47</v>
      </c>
      <c r="CU62" s="592" t="s">
        <v>47</v>
      </c>
      <c r="CV62" s="592" t="s">
        <v>47</v>
      </c>
      <c r="CW62" s="592" t="s">
        <v>47</v>
      </c>
      <c r="CX62" s="592" t="s">
        <v>47</v>
      </c>
      <c r="CY62" s="592" t="s">
        <v>47</v>
      </c>
      <c r="CZ62" s="592" t="s">
        <v>47</v>
      </c>
      <c r="DA62" s="592" t="s">
        <v>47</v>
      </c>
      <c r="DB62" s="592" t="s">
        <v>47</v>
      </c>
      <c r="DC62" s="592" t="s">
        <v>47</v>
      </c>
      <c r="DD62" s="592" t="s">
        <v>47</v>
      </c>
    </row>
    <row r="63" spans="1:108" x14ac:dyDescent="0.25">
      <c r="B63" s="117" t="s">
        <v>135</v>
      </c>
      <c r="C63" s="266" t="s">
        <v>47</v>
      </c>
      <c r="D63" s="266" t="s">
        <v>47</v>
      </c>
      <c r="E63" s="266" t="s">
        <v>47</v>
      </c>
      <c r="F63" s="266" t="s">
        <v>47</v>
      </c>
      <c r="G63" s="266" t="s">
        <v>47</v>
      </c>
      <c r="H63" s="266" t="s">
        <v>47</v>
      </c>
      <c r="I63" s="266" t="s">
        <v>47</v>
      </c>
      <c r="J63" s="338" t="s">
        <v>47</v>
      </c>
      <c r="K63" s="338" t="s">
        <v>47</v>
      </c>
      <c r="L63" s="592" t="s">
        <v>47</v>
      </c>
      <c r="M63" s="592" t="s">
        <v>47</v>
      </c>
      <c r="N63" s="592" t="s">
        <v>47</v>
      </c>
      <c r="O63" s="592" t="s">
        <v>47</v>
      </c>
      <c r="P63" s="592" t="s">
        <v>47</v>
      </c>
      <c r="Q63" s="592" t="s">
        <v>47</v>
      </c>
      <c r="R63" s="592" t="s">
        <v>47</v>
      </c>
      <c r="S63" s="592" t="s">
        <v>47</v>
      </c>
      <c r="T63" s="592" t="s">
        <v>47</v>
      </c>
      <c r="U63" s="592" t="s">
        <v>47</v>
      </c>
      <c r="V63" s="592" t="s">
        <v>47</v>
      </c>
      <c r="W63" s="592" t="s">
        <v>47</v>
      </c>
      <c r="X63" s="592" t="s">
        <v>47</v>
      </c>
      <c r="Y63" s="592" t="s">
        <v>47</v>
      </c>
      <c r="Z63" s="592" t="s">
        <v>47</v>
      </c>
      <c r="AA63" s="592" t="s">
        <v>47</v>
      </c>
      <c r="AB63" s="592" t="s">
        <v>47</v>
      </c>
      <c r="AC63" s="592" t="s">
        <v>47</v>
      </c>
      <c r="AD63" s="592" t="s">
        <v>47</v>
      </c>
      <c r="AE63" s="592" t="s">
        <v>47</v>
      </c>
      <c r="AF63" s="592" t="s">
        <v>47</v>
      </c>
      <c r="AG63" s="592" t="s">
        <v>47</v>
      </c>
      <c r="AH63" s="592" t="s">
        <v>47</v>
      </c>
      <c r="AI63" s="592" t="s">
        <v>47</v>
      </c>
      <c r="AJ63" s="348" t="s">
        <v>47</v>
      </c>
      <c r="AK63" s="348" t="s">
        <v>47</v>
      </c>
      <c r="AL63" s="348" t="s">
        <v>47</v>
      </c>
      <c r="AM63" s="348" t="s">
        <v>47</v>
      </c>
      <c r="AN63" s="348" t="s">
        <v>47</v>
      </c>
      <c r="AO63" s="348" t="s">
        <v>47</v>
      </c>
      <c r="AP63" s="348" t="s">
        <v>47</v>
      </c>
      <c r="AQ63" s="348" t="s">
        <v>47</v>
      </c>
      <c r="AR63" s="348" t="s">
        <v>47</v>
      </c>
      <c r="AS63" s="348" t="s">
        <v>47</v>
      </c>
      <c r="AT63" s="348" t="s">
        <v>47</v>
      </c>
      <c r="AU63" s="348" t="s">
        <v>47</v>
      </c>
      <c r="AV63" s="962" t="s">
        <v>47</v>
      </c>
      <c r="AW63" s="348" t="s">
        <v>47</v>
      </c>
      <c r="AX63" s="348" t="s">
        <v>47</v>
      </c>
      <c r="AY63" s="348" t="s">
        <v>47</v>
      </c>
      <c r="AZ63" s="348" t="s">
        <v>47</v>
      </c>
      <c r="BA63" s="348" t="s">
        <v>47</v>
      </c>
      <c r="BB63" s="348" t="s">
        <v>47</v>
      </c>
      <c r="BC63" s="348" t="s">
        <v>47</v>
      </c>
      <c r="BD63" s="348" t="s">
        <v>47</v>
      </c>
      <c r="BE63" s="348" t="s">
        <v>47</v>
      </c>
      <c r="BF63" s="348" t="s">
        <v>47</v>
      </c>
      <c r="BG63" s="348" t="s">
        <v>47</v>
      </c>
      <c r="BH63" s="348" t="s">
        <v>47</v>
      </c>
      <c r="BI63" s="348" t="s">
        <v>47</v>
      </c>
      <c r="BJ63" s="348" t="s">
        <v>47</v>
      </c>
      <c r="BK63" s="348" t="s">
        <v>47</v>
      </c>
      <c r="BL63" s="348" t="s">
        <v>47</v>
      </c>
      <c r="BM63" s="348" t="s">
        <v>47</v>
      </c>
      <c r="BN63" s="592" t="s">
        <v>47</v>
      </c>
      <c r="BO63" s="592" t="s">
        <v>47</v>
      </c>
      <c r="BP63" s="592" t="s">
        <v>47</v>
      </c>
      <c r="BQ63" s="592" t="s">
        <v>47</v>
      </c>
      <c r="BR63" s="592" t="s">
        <v>47</v>
      </c>
      <c r="BS63" s="592" t="s">
        <v>47</v>
      </c>
      <c r="BT63" s="592" t="s">
        <v>47</v>
      </c>
      <c r="BU63" s="592" t="s">
        <v>47</v>
      </c>
      <c r="BV63" s="592" t="s">
        <v>47</v>
      </c>
      <c r="BW63" s="592" t="s">
        <v>47</v>
      </c>
      <c r="BX63" s="592" t="s">
        <v>47</v>
      </c>
      <c r="BY63" s="592" t="s">
        <v>47</v>
      </c>
      <c r="BZ63" s="592" t="s">
        <v>47</v>
      </c>
      <c r="CA63" s="592" t="s">
        <v>47</v>
      </c>
      <c r="CB63" s="592" t="s">
        <v>47</v>
      </c>
      <c r="CC63" s="592" t="s">
        <v>47</v>
      </c>
      <c r="CD63" s="592" t="s">
        <v>47</v>
      </c>
      <c r="CE63" s="592" t="s">
        <v>47</v>
      </c>
      <c r="CF63" s="592" t="s">
        <v>47</v>
      </c>
      <c r="CG63" s="592" t="s">
        <v>47</v>
      </c>
      <c r="CH63" s="592" t="s">
        <v>47</v>
      </c>
      <c r="CI63" s="592" t="s">
        <v>47</v>
      </c>
      <c r="CJ63" s="592" t="s">
        <v>47</v>
      </c>
      <c r="CK63" s="592" t="s">
        <v>47</v>
      </c>
      <c r="CL63" s="592" t="s">
        <v>47</v>
      </c>
      <c r="CM63" s="592" t="s">
        <v>47</v>
      </c>
      <c r="CN63" s="592" t="s">
        <v>47</v>
      </c>
      <c r="CO63" s="592" t="s">
        <v>47</v>
      </c>
      <c r="CP63" s="592" t="s">
        <v>47</v>
      </c>
      <c r="CQ63" s="592" t="s">
        <v>47</v>
      </c>
      <c r="CR63" s="592" t="s">
        <v>47</v>
      </c>
      <c r="CS63" s="592" t="s">
        <v>47</v>
      </c>
      <c r="CT63" s="592" t="s">
        <v>47</v>
      </c>
      <c r="CU63" s="592" t="s">
        <v>47</v>
      </c>
      <c r="CV63" s="592" t="s">
        <v>47</v>
      </c>
      <c r="CW63" s="592" t="s">
        <v>47</v>
      </c>
      <c r="CX63" s="592" t="s">
        <v>47</v>
      </c>
      <c r="CY63" s="592" t="s">
        <v>47</v>
      </c>
      <c r="CZ63" s="592" t="s">
        <v>47</v>
      </c>
      <c r="DA63" s="592" t="s">
        <v>47</v>
      </c>
      <c r="DB63" s="592" t="s">
        <v>47</v>
      </c>
      <c r="DC63" s="592" t="s">
        <v>47</v>
      </c>
      <c r="DD63" s="592" t="s">
        <v>47</v>
      </c>
    </row>
    <row r="64" spans="1:108" x14ac:dyDescent="0.25">
      <c r="B64" s="117" t="s">
        <v>136</v>
      </c>
      <c r="C64" s="266" t="s">
        <v>47</v>
      </c>
      <c r="D64" s="266" t="s">
        <v>47</v>
      </c>
      <c r="E64" s="266" t="s">
        <v>47</v>
      </c>
      <c r="F64" s="266" t="s">
        <v>47</v>
      </c>
      <c r="G64" s="266" t="s">
        <v>47</v>
      </c>
      <c r="H64" s="266" t="s">
        <v>47</v>
      </c>
      <c r="I64" s="266" t="s">
        <v>47</v>
      </c>
      <c r="J64" s="338" t="s">
        <v>47</v>
      </c>
      <c r="K64" s="338" t="s">
        <v>47</v>
      </c>
      <c r="L64" s="338" t="s">
        <v>47</v>
      </c>
      <c r="M64" s="338" t="s">
        <v>47</v>
      </c>
      <c r="N64" s="338" t="s">
        <v>47</v>
      </c>
      <c r="O64" s="338" t="s">
        <v>47</v>
      </c>
      <c r="P64" s="338" t="s">
        <v>47</v>
      </c>
      <c r="Q64" s="338" t="s">
        <v>47</v>
      </c>
      <c r="R64" s="338" t="s">
        <v>47</v>
      </c>
      <c r="S64" s="338" t="s">
        <v>47</v>
      </c>
      <c r="T64" s="338" t="s">
        <v>47</v>
      </c>
      <c r="U64" s="338" t="s">
        <v>47</v>
      </c>
      <c r="V64" s="338" t="s">
        <v>47</v>
      </c>
      <c r="W64" s="338" t="s">
        <v>47</v>
      </c>
      <c r="X64" s="338" t="s">
        <v>47</v>
      </c>
      <c r="Y64" s="338" t="s">
        <v>47</v>
      </c>
      <c r="Z64" s="338" t="s">
        <v>47</v>
      </c>
      <c r="AA64" s="338" t="s">
        <v>47</v>
      </c>
      <c r="AB64" s="338" t="s">
        <v>47</v>
      </c>
      <c r="AC64" s="338" t="s">
        <v>47</v>
      </c>
      <c r="AD64" s="338" t="s">
        <v>47</v>
      </c>
      <c r="AE64" s="338" t="s">
        <v>47</v>
      </c>
      <c r="AF64" s="338" t="s">
        <v>47</v>
      </c>
      <c r="AG64" s="338" t="s">
        <v>47</v>
      </c>
      <c r="AH64" s="338" t="s">
        <v>47</v>
      </c>
      <c r="AI64" s="338" t="s">
        <v>47</v>
      </c>
      <c r="AJ64" s="338" t="s">
        <v>47</v>
      </c>
      <c r="AK64" s="338" t="s">
        <v>47</v>
      </c>
      <c r="AL64" s="338" t="s">
        <v>47</v>
      </c>
      <c r="AM64" s="338" t="s">
        <v>47</v>
      </c>
      <c r="AN64" s="338" t="s">
        <v>47</v>
      </c>
      <c r="AO64" s="338" t="s">
        <v>47</v>
      </c>
      <c r="AP64" s="338" t="s">
        <v>47</v>
      </c>
      <c r="AQ64" s="338" t="s">
        <v>47</v>
      </c>
      <c r="AR64" s="338" t="s">
        <v>47</v>
      </c>
      <c r="AS64" s="338" t="s">
        <v>47</v>
      </c>
      <c r="AT64" s="338" t="s">
        <v>47</v>
      </c>
      <c r="AU64" s="338" t="s">
        <v>47</v>
      </c>
      <c r="AV64" s="1206" t="s">
        <v>47</v>
      </c>
      <c r="AW64" s="338" t="s">
        <v>47</v>
      </c>
      <c r="AX64" s="338" t="s">
        <v>47</v>
      </c>
      <c r="AY64" s="338" t="s">
        <v>47</v>
      </c>
      <c r="AZ64" s="338" t="s">
        <v>47</v>
      </c>
      <c r="BA64" s="338" t="s">
        <v>47</v>
      </c>
      <c r="BB64" s="338" t="s">
        <v>47</v>
      </c>
      <c r="BC64" s="338" t="s">
        <v>47</v>
      </c>
      <c r="BD64" s="338" t="s">
        <v>47</v>
      </c>
      <c r="BE64" s="338" t="s">
        <v>47</v>
      </c>
      <c r="BF64" s="338" t="s">
        <v>47</v>
      </c>
      <c r="BG64" s="338" t="s">
        <v>47</v>
      </c>
      <c r="BH64" s="338" t="s">
        <v>47</v>
      </c>
      <c r="BI64" s="338" t="s">
        <v>47</v>
      </c>
      <c r="BJ64" s="338" t="s">
        <v>47</v>
      </c>
      <c r="BK64" s="338" t="s">
        <v>47</v>
      </c>
      <c r="BL64" s="338" t="s">
        <v>47</v>
      </c>
      <c r="BM64" s="338" t="s">
        <v>47</v>
      </c>
      <c r="BN64" s="338" t="s">
        <v>47</v>
      </c>
      <c r="BO64" s="338" t="s">
        <v>47</v>
      </c>
      <c r="BP64" s="338" t="s">
        <v>47</v>
      </c>
      <c r="BQ64" s="338" t="s">
        <v>47</v>
      </c>
      <c r="BR64" s="338" t="s">
        <v>47</v>
      </c>
      <c r="BS64" s="338" t="s">
        <v>47</v>
      </c>
      <c r="BT64" s="338" t="s">
        <v>47</v>
      </c>
      <c r="BU64" s="338" t="s">
        <v>47</v>
      </c>
      <c r="BV64" s="338" t="s">
        <v>47</v>
      </c>
      <c r="BW64" s="338" t="s">
        <v>47</v>
      </c>
      <c r="BX64" s="338" t="s">
        <v>47</v>
      </c>
      <c r="BY64" s="338" t="s">
        <v>47</v>
      </c>
      <c r="BZ64" s="338" t="s">
        <v>47</v>
      </c>
      <c r="CA64" s="338" t="s">
        <v>47</v>
      </c>
      <c r="CB64" s="338" t="s">
        <v>47</v>
      </c>
      <c r="CC64" s="338" t="s">
        <v>47</v>
      </c>
      <c r="CD64" s="338" t="s">
        <v>47</v>
      </c>
      <c r="CE64" s="338" t="s">
        <v>47</v>
      </c>
      <c r="CF64" s="338" t="s">
        <v>47</v>
      </c>
      <c r="CG64" s="338" t="s">
        <v>47</v>
      </c>
      <c r="CH64" s="338" t="s">
        <v>47</v>
      </c>
      <c r="CI64" s="338" t="s">
        <v>47</v>
      </c>
      <c r="CJ64" s="338" t="s">
        <v>47</v>
      </c>
      <c r="CK64" s="338" t="s">
        <v>47</v>
      </c>
      <c r="CL64" s="338" t="s">
        <v>47</v>
      </c>
      <c r="CM64" s="338" t="s">
        <v>47</v>
      </c>
      <c r="CN64" s="338" t="s">
        <v>47</v>
      </c>
      <c r="CO64" s="338" t="s">
        <v>47</v>
      </c>
      <c r="CP64" s="338" t="s">
        <v>47</v>
      </c>
      <c r="CQ64" s="338" t="s">
        <v>47</v>
      </c>
      <c r="CR64" s="338" t="s">
        <v>47</v>
      </c>
      <c r="CS64" s="338" t="s">
        <v>47</v>
      </c>
      <c r="CT64" s="338" t="s">
        <v>47</v>
      </c>
      <c r="CU64" s="338" t="s">
        <v>47</v>
      </c>
      <c r="CV64" s="338" t="s">
        <v>47</v>
      </c>
      <c r="CW64" s="338" t="s">
        <v>47</v>
      </c>
      <c r="CX64" s="338" t="s">
        <v>47</v>
      </c>
      <c r="CY64" s="338">
        <v>2159</v>
      </c>
      <c r="CZ64" s="338">
        <v>2159</v>
      </c>
      <c r="DA64" s="338">
        <v>2159</v>
      </c>
      <c r="DB64" s="697">
        <v>2423</v>
      </c>
      <c r="DC64" s="592">
        <v>2423</v>
      </c>
      <c r="DD64" s="592">
        <v>2423</v>
      </c>
    </row>
    <row r="65" spans="1:108" x14ac:dyDescent="0.25">
      <c r="A65"/>
      <c r="B65" s="1117" t="s">
        <v>381</v>
      </c>
      <c r="C65" s="1124" t="str">
        <f t="shared" ref="C65:BN65" si="64">IFERROR(AVERAGE(C62:C64),"-")</f>
        <v>-</v>
      </c>
      <c r="D65" s="1124" t="str">
        <f t="shared" si="64"/>
        <v>-</v>
      </c>
      <c r="E65" s="1124" t="str">
        <f t="shared" si="64"/>
        <v>-</v>
      </c>
      <c r="F65" s="1124" t="str">
        <f t="shared" si="64"/>
        <v>-</v>
      </c>
      <c r="G65" s="1124" t="str">
        <f t="shared" si="64"/>
        <v>-</v>
      </c>
      <c r="H65" s="1124" t="str">
        <f t="shared" si="64"/>
        <v>-</v>
      </c>
      <c r="I65" s="1124" t="str">
        <f t="shared" si="64"/>
        <v>-</v>
      </c>
      <c r="J65" s="1124" t="str">
        <f t="shared" si="64"/>
        <v>-</v>
      </c>
      <c r="K65" s="1124" t="str">
        <f t="shared" si="64"/>
        <v>-</v>
      </c>
      <c r="L65" s="1124" t="str">
        <f t="shared" si="64"/>
        <v>-</v>
      </c>
      <c r="M65" s="1124" t="str">
        <f t="shared" si="64"/>
        <v>-</v>
      </c>
      <c r="N65" s="1124" t="str">
        <f t="shared" si="64"/>
        <v>-</v>
      </c>
      <c r="O65" s="1124" t="str">
        <f t="shared" si="64"/>
        <v>-</v>
      </c>
      <c r="P65" s="1124" t="str">
        <f t="shared" si="64"/>
        <v>-</v>
      </c>
      <c r="Q65" s="1124" t="str">
        <f t="shared" si="64"/>
        <v>-</v>
      </c>
      <c r="R65" s="1124" t="str">
        <f t="shared" si="64"/>
        <v>-</v>
      </c>
      <c r="S65" s="1124" t="str">
        <f t="shared" si="64"/>
        <v>-</v>
      </c>
      <c r="T65" s="1124" t="str">
        <f t="shared" si="64"/>
        <v>-</v>
      </c>
      <c r="U65" s="1124" t="str">
        <f t="shared" si="64"/>
        <v>-</v>
      </c>
      <c r="V65" s="1124" t="str">
        <f t="shared" si="64"/>
        <v>-</v>
      </c>
      <c r="W65" s="1124" t="str">
        <f t="shared" si="64"/>
        <v>-</v>
      </c>
      <c r="X65" s="1124" t="str">
        <f t="shared" si="64"/>
        <v>-</v>
      </c>
      <c r="Y65" s="1124" t="str">
        <f t="shared" si="64"/>
        <v>-</v>
      </c>
      <c r="Z65" s="1124" t="str">
        <f t="shared" si="64"/>
        <v>-</v>
      </c>
      <c r="AA65" s="1124" t="str">
        <f t="shared" si="64"/>
        <v>-</v>
      </c>
      <c r="AB65" s="1124" t="str">
        <f t="shared" si="64"/>
        <v>-</v>
      </c>
      <c r="AC65" s="1124" t="str">
        <f t="shared" si="64"/>
        <v>-</v>
      </c>
      <c r="AD65" s="1124" t="str">
        <f t="shared" si="64"/>
        <v>-</v>
      </c>
      <c r="AE65" s="1124" t="str">
        <f t="shared" si="64"/>
        <v>-</v>
      </c>
      <c r="AF65" s="1124" t="str">
        <f t="shared" si="64"/>
        <v>-</v>
      </c>
      <c r="AG65" s="1124" t="str">
        <f t="shared" si="64"/>
        <v>-</v>
      </c>
      <c r="AH65" s="1124" t="str">
        <f t="shared" si="64"/>
        <v>-</v>
      </c>
      <c r="AI65" s="1124" t="str">
        <f t="shared" si="64"/>
        <v>-</v>
      </c>
      <c r="AJ65" s="1124" t="str">
        <f t="shared" si="64"/>
        <v>-</v>
      </c>
      <c r="AK65" s="1124" t="str">
        <f t="shared" si="64"/>
        <v>-</v>
      </c>
      <c r="AL65" s="1124" t="str">
        <f t="shared" si="64"/>
        <v>-</v>
      </c>
      <c r="AM65" s="1124" t="str">
        <f t="shared" si="64"/>
        <v>-</v>
      </c>
      <c r="AN65" s="1124" t="str">
        <f t="shared" si="64"/>
        <v>-</v>
      </c>
      <c r="AO65" s="1124" t="str">
        <f t="shared" si="64"/>
        <v>-</v>
      </c>
      <c r="AP65" s="1124" t="str">
        <f t="shared" si="64"/>
        <v>-</v>
      </c>
      <c r="AQ65" s="1124" t="str">
        <f t="shared" si="64"/>
        <v>-</v>
      </c>
      <c r="AR65" s="1124" t="str">
        <f t="shared" si="64"/>
        <v>-</v>
      </c>
      <c r="AS65" s="1124" t="str">
        <f t="shared" si="64"/>
        <v>-</v>
      </c>
      <c r="AT65" s="1124" t="str">
        <f t="shared" si="64"/>
        <v>-</v>
      </c>
      <c r="AU65" s="1124" t="str">
        <f t="shared" si="64"/>
        <v>-</v>
      </c>
      <c r="AV65" s="1124" t="str">
        <f t="shared" si="64"/>
        <v>-</v>
      </c>
      <c r="AW65" s="1124" t="str">
        <f t="shared" si="64"/>
        <v>-</v>
      </c>
      <c r="AX65" s="1124" t="str">
        <f t="shared" si="64"/>
        <v>-</v>
      </c>
      <c r="AY65" s="1124" t="str">
        <f t="shared" si="64"/>
        <v>-</v>
      </c>
      <c r="AZ65" s="1124" t="str">
        <f t="shared" si="64"/>
        <v>-</v>
      </c>
      <c r="BA65" s="1124" t="str">
        <f t="shared" si="64"/>
        <v>-</v>
      </c>
      <c r="BB65" s="1124" t="str">
        <f t="shared" si="64"/>
        <v>-</v>
      </c>
      <c r="BC65" s="1124" t="str">
        <f t="shared" si="64"/>
        <v>-</v>
      </c>
      <c r="BD65" s="1124" t="str">
        <f t="shared" si="64"/>
        <v>-</v>
      </c>
      <c r="BE65" s="1124" t="str">
        <f t="shared" si="64"/>
        <v>-</v>
      </c>
      <c r="BF65" s="1124" t="str">
        <f t="shared" si="64"/>
        <v>-</v>
      </c>
      <c r="BG65" s="1124" t="str">
        <f t="shared" si="64"/>
        <v>-</v>
      </c>
      <c r="BH65" s="1124" t="str">
        <f t="shared" si="64"/>
        <v>-</v>
      </c>
      <c r="BI65" s="1124" t="str">
        <f t="shared" si="64"/>
        <v>-</v>
      </c>
      <c r="BJ65" s="1124" t="str">
        <f t="shared" si="64"/>
        <v>-</v>
      </c>
      <c r="BK65" s="1124" t="str">
        <f t="shared" si="64"/>
        <v>-</v>
      </c>
      <c r="BL65" s="1124" t="str">
        <f t="shared" si="64"/>
        <v>-</v>
      </c>
      <c r="BM65" s="1124" t="str">
        <f t="shared" si="64"/>
        <v>-</v>
      </c>
      <c r="BN65" s="1124" t="str">
        <f t="shared" si="64"/>
        <v>-</v>
      </c>
      <c r="BO65" s="1124" t="str">
        <f t="shared" ref="BO65:CY65" si="65">IFERROR(AVERAGE(BO62:BO64),"-")</f>
        <v>-</v>
      </c>
      <c r="BP65" s="1124" t="str">
        <f t="shared" si="65"/>
        <v>-</v>
      </c>
      <c r="BQ65" s="1124" t="str">
        <f t="shared" si="65"/>
        <v>-</v>
      </c>
      <c r="BR65" s="1124" t="str">
        <f t="shared" si="65"/>
        <v>-</v>
      </c>
      <c r="BS65" s="1124" t="str">
        <f t="shared" si="65"/>
        <v>-</v>
      </c>
      <c r="BT65" s="1124" t="str">
        <f t="shared" si="65"/>
        <v>-</v>
      </c>
      <c r="BU65" s="1124" t="str">
        <f t="shared" si="65"/>
        <v>-</v>
      </c>
      <c r="BV65" s="1124" t="str">
        <f t="shared" si="65"/>
        <v>-</v>
      </c>
      <c r="BW65" s="1124" t="str">
        <f t="shared" si="65"/>
        <v>-</v>
      </c>
      <c r="BX65" s="1124" t="str">
        <f t="shared" si="65"/>
        <v>-</v>
      </c>
      <c r="BY65" s="1124" t="str">
        <f t="shared" si="65"/>
        <v>-</v>
      </c>
      <c r="BZ65" s="1124" t="str">
        <f t="shared" si="65"/>
        <v>-</v>
      </c>
      <c r="CA65" s="1124" t="str">
        <f t="shared" si="65"/>
        <v>-</v>
      </c>
      <c r="CB65" s="1124" t="str">
        <f t="shared" si="65"/>
        <v>-</v>
      </c>
      <c r="CC65" s="1124" t="str">
        <f t="shared" si="65"/>
        <v>-</v>
      </c>
      <c r="CD65" s="1124" t="str">
        <f t="shared" si="65"/>
        <v>-</v>
      </c>
      <c r="CE65" s="1124" t="str">
        <f t="shared" si="65"/>
        <v>-</v>
      </c>
      <c r="CF65" s="1124" t="str">
        <f t="shared" si="65"/>
        <v>-</v>
      </c>
      <c r="CG65" s="1124" t="str">
        <f t="shared" si="65"/>
        <v>-</v>
      </c>
      <c r="CH65" s="1124" t="str">
        <f t="shared" si="65"/>
        <v>-</v>
      </c>
      <c r="CI65" s="1124" t="str">
        <f t="shared" si="65"/>
        <v>-</v>
      </c>
      <c r="CJ65" s="1124" t="str">
        <f t="shared" si="65"/>
        <v>-</v>
      </c>
      <c r="CK65" s="1124" t="str">
        <f t="shared" si="65"/>
        <v>-</v>
      </c>
      <c r="CL65" s="1124" t="str">
        <f t="shared" si="65"/>
        <v>-</v>
      </c>
      <c r="CM65" s="1124" t="str">
        <f t="shared" si="65"/>
        <v>-</v>
      </c>
      <c r="CN65" s="1124" t="str">
        <f t="shared" si="65"/>
        <v>-</v>
      </c>
      <c r="CO65" s="1124" t="str">
        <f t="shared" si="65"/>
        <v>-</v>
      </c>
      <c r="CP65" s="1124" t="str">
        <f t="shared" si="65"/>
        <v>-</v>
      </c>
      <c r="CQ65" s="1124" t="str">
        <f t="shared" si="65"/>
        <v>-</v>
      </c>
      <c r="CR65" s="1124" t="str">
        <f t="shared" si="65"/>
        <v>-</v>
      </c>
      <c r="CS65" s="1124" t="str">
        <f t="shared" si="65"/>
        <v>-</v>
      </c>
      <c r="CT65" s="1124" t="str">
        <f t="shared" si="65"/>
        <v>-</v>
      </c>
      <c r="CU65" s="1124" t="str">
        <f t="shared" si="65"/>
        <v>-</v>
      </c>
      <c r="CV65" s="1124" t="str">
        <f t="shared" si="65"/>
        <v>-</v>
      </c>
      <c r="CW65" s="1124" t="str">
        <f t="shared" si="65"/>
        <v>-</v>
      </c>
      <c r="CX65" s="1124" t="str">
        <f t="shared" si="65"/>
        <v>-</v>
      </c>
      <c r="CY65" s="1124">
        <f t="shared" si="65"/>
        <v>2159</v>
      </c>
      <c r="CZ65" s="1124">
        <f t="shared" ref="CZ65:DA65" si="66">IFERROR(AVERAGE(CZ62:CZ64),"-")</f>
        <v>2159</v>
      </c>
      <c r="DA65" s="1124">
        <f t="shared" si="66"/>
        <v>2159</v>
      </c>
      <c r="DB65" s="1124">
        <f t="shared" ref="DB65:DC65" si="67">IFERROR(AVERAGE(DB62:DB64),"-")</f>
        <v>2423</v>
      </c>
      <c r="DC65" s="1124">
        <f t="shared" si="67"/>
        <v>2423</v>
      </c>
      <c r="DD65" s="1124">
        <f t="shared" ref="DD65" si="68">IFERROR(AVERAGE(DD62:DD64),"-")</f>
        <v>2423</v>
      </c>
    </row>
    <row r="66" spans="1:108" customFormat="1" x14ac:dyDescent="0.25">
      <c r="A66" s="263"/>
      <c r="B66" s="263"/>
      <c r="C66" s="263"/>
      <c r="D66" s="263"/>
      <c r="E66" s="263"/>
      <c r="F66" s="263"/>
      <c r="G66" s="263"/>
      <c r="H66" s="263"/>
      <c r="I66" s="263"/>
      <c r="J66" s="263"/>
      <c r="K66" s="263"/>
      <c r="L66" s="263"/>
      <c r="M66" s="263"/>
      <c r="N66" s="263"/>
      <c r="O66" s="263"/>
      <c r="P66" s="263"/>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V66" s="950"/>
    </row>
    <row r="67" spans="1:108" customFormat="1" x14ac:dyDescent="0.25">
      <c r="A67" s="263"/>
      <c r="B67" s="113" t="s">
        <v>1368</v>
      </c>
      <c r="C67" s="264">
        <f t="shared" ref="C67:BN67" si="69">C$12</f>
        <v>42522</v>
      </c>
      <c r="D67" s="264">
        <f t="shared" si="69"/>
        <v>42552</v>
      </c>
      <c r="E67" s="264">
        <f t="shared" si="69"/>
        <v>42583</v>
      </c>
      <c r="F67" s="264">
        <f t="shared" si="69"/>
        <v>42614</v>
      </c>
      <c r="G67" s="264">
        <f t="shared" si="69"/>
        <v>42644</v>
      </c>
      <c r="H67" s="264">
        <f t="shared" si="69"/>
        <v>42675</v>
      </c>
      <c r="I67" s="264">
        <f t="shared" si="69"/>
        <v>42705</v>
      </c>
      <c r="J67" s="264">
        <f t="shared" si="69"/>
        <v>42736</v>
      </c>
      <c r="K67" s="264">
        <f t="shared" si="69"/>
        <v>42767</v>
      </c>
      <c r="L67" s="264">
        <f t="shared" si="69"/>
        <v>42795</v>
      </c>
      <c r="M67" s="264">
        <f t="shared" si="69"/>
        <v>42826</v>
      </c>
      <c r="N67" s="264">
        <f t="shared" si="69"/>
        <v>42856</v>
      </c>
      <c r="O67" s="264">
        <f t="shared" si="69"/>
        <v>42887</v>
      </c>
      <c r="P67" s="264">
        <f t="shared" si="69"/>
        <v>42917</v>
      </c>
      <c r="Q67" s="264">
        <f t="shared" si="69"/>
        <v>42948</v>
      </c>
      <c r="R67" s="264">
        <f t="shared" si="69"/>
        <v>42979</v>
      </c>
      <c r="S67" s="264">
        <f t="shared" si="69"/>
        <v>43009</v>
      </c>
      <c r="T67" s="264">
        <f t="shared" si="69"/>
        <v>43040</v>
      </c>
      <c r="U67" s="264">
        <f t="shared" si="69"/>
        <v>43070</v>
      </c>
      <c r="V67" s="264">
        <f t="shared" si="69"/>
        <v>43101</v>
      </c>
      <c r="W67" s="264">
        <f t="shared" si="69"/>
        <v>43132</v>
      </c>
      <c r="X67" s="264">
        <f t="shared" si="69"/>
        <v>43160</v>
      </c>
      <c r="Y67" s="264">
        <f t="shared" si="69"/>
        <v>43191</v>
      </c>
      <c r="Z67" s="264">
        <f t="shared" si="69"/>
        <v>43221</v>
      </c>
      <c r="AA67" s="264">
        <f t="shared" si="69"/>
        <v>43252</v>
      </c>
      <c r="AB67" s="264">
        <f t="shared" si="69"/>
        <v>43283</v>
      </c>
      <c r="AC67" s="264">
        <f t="shared" si="69"/>
        <v>43314</v>
      </c>
      <c r="AD67" s="264">
        <f t="shared" si="69"/>
        <v>43345</v>
      </c>
      <c r="AE67" s="264">
        <f t="shared" si="69"/>
        <v>43376</v>
      </c>
      <c r="AF67" s="264">
        <f t="shared" si="69"/>
        <v>43407</v>
      </c>
      <c r="AG67" s="264">
        <f t="shared" si="69"/>
        <v>43437</v>
      </c>
      <c r="AH67" s="264">
        <f t="shared" si="69"/>
        <v>43468</v>
      </c>
      <c r="AI67" s="264">
        <f t="shared" si="69"/>
        <v>43499</v>
      </c>
      <c r="AJ67" s="264">
        <f t="shared" si="69"/>
        <v>43527</v>
      </c>
      <c r="AK67" s="264">
        <f t="shared" si="69"/>
        <v>43558</v>
      </c>
      <c r="AL67" s="264">
        <f t="shared" si="69"/>
        <v>43587</v>
      </c>
      <c r="AM67" s="264">
        <f t="shared" si="69"/>
        <v>43618</v>
      </c>
      <c r="AN67" s="264">
        <f t="shared" si="69"/>
        <v>43647</v>
      </c>
      <c r="AO67" s="264">
        <f t="shared" si="69"/>
        <v>43678</v>
      </c>
      <c r="AP67" s="264">
        <f t="shared" si="69"/>
        <v>43709</v>
      </c>
      <c r="AQ67" s="264">
        <f t="shared" si="69"/>
        <v>43739</v>
      </c>
      <c r="AR67" s="264">
        <f t="shared" si="69"/>
        <v>43770</v>
      </c>
      <c r="AS67" s="264">
        <f t="shared" si="69"/>
        <v>43800</v>
      </c>
      <c r="AT67" s="264">
        <f t="shared" si="69"/>
        <v>43831</v>
      </c>
      <c r="AU67" s="264">
        <f t="shared" si="69"/>
        <v>43862</v>
      </c>
      <c r="AV67" s="946">
        <f t="shared" si="69"/>
        <v>43891</v>
      </c>
      <c r="AW67" s="264">
        <f t="shared" si="69"/>
        <v>43922</v>
      </c>
      <c r="AX67" s="264">
        <f t="shared" si="69"/>
        <v>43952</v>
      </c>
      <c r="AY67" s="264">
        <f t="shared" si="69"/>
        <v>43983</v>
      </c>
      <c r="AZ67" s="264">
        <f t="shared" si="69"/>
        <v>44013</v>
      </c>
      <c r="BA67" s="264">
        <f t="shared" si="69"/>
        <v>44044</v>
      </c>
      <c r="BB67" s="264">
        <f t="shared" si="69"/>
        <v>44075</v>
      </c>
      <c r="BC67" s="264">
        <f t="shared" si="69"/>
        <v>44105</v>
      </c>
      <c r="BD67" s="264">
        <f t="shared" si="69"/>
        <v>44136</v>
      </c>
      <c r="BE67" s="264">
        <f t="shared" si="69"/>
        <v>44166</v>
      </c>
      <c r="BF67" s="264">
        <f t="shared" si="69"/>
        <v>44197</v>
      </c>
      <c r="BG67" s="264">
        <f t="shared" si="69"/>
        <v>44228</v>
      </c>
      <c r="BH67" s="264">
        <f t="shared" si="69"/>
        <v>44256</v>
      </c>
      <c r="BI67" s="264">
        <f t="shared" si="69"/>
        <v>44287</v>
      </c>
      <c r="BJ67" s="264">
        <f t="shared" si="69"/>
        <v>44317</v>
      </c>
      <c r="BK67" s="264">
        <f t="shared" si="69"/>
        <v>44348</v>
      </c>
      <c r="BL67" s="264">
        <f t="shared" si="69"/>
        <v>44378</v>
      </c>
      <c r="BM67" s="264">
        <f t="shared" si="69"/>
        <v>44409</v>
      </c>
      <c r="BN67" s="264">
        <f t="shared" si="69"/>
        <v>44440</v>
      </c>
      <c r="BO67" s="264">
        <f t="shared" ref="BO67:DD67" si="70">BO$12</f>
        <v>44470</v>
      </c>
      <c r="BP67" s="264">
        <f t="shared" si="70"/>
        <v>44501</v>
      </c>
      <c r="BQ67" s="264">
        <f t="shared" si="70"/>
        <v>44531</v>
      </c>
      <c r="BR67" s="264">
        <f t="shared" si="70"/>
        <v>44562</v>
      </c>
      <c r="BS67" s="264">
        <f t="shared" si="70"/>
        <v>44593</v>
      </c>
      <c r="BT67" s="264">
        <f t="shared" si="70"/>
        <v>44622</v>
      </c>
      <c r="BU67" s="264">
        <f t="shared" si="70"/>
        <v>44654</v>
      </c>
      <c r="BV67" s="264">
        <f t="shared" si="70"/>
        <v>44685</v>
      </c>
      <c r="BW67" s="264">
        <f t="shared" si="70"/>
        <v>44716</v>
      </c>
      <c r="BX67" s="264">
        <f t="shared" si="70"/>
        <v>44746</v>
      </c>
      <c r="BY67" s="264">
        <f t="shared" si="70"/>
        <v>44774</v>
      </c>
      <c r="BZ67" s="264">
        <f t="shared" si="70"/>
        <v>44805</v>
      </c>
      <c r="CA67" s="264">
        <f t="shared" si="70"/>
        <v>44835</v>
      </c>
      <c r="CB67" s="264">
        <f t="shared" si="70"/>
        <v>44866</v>
      </c>
      <c r="CC67" s="264">
        <f t="shared" si="70"/>
        <v>44896</v>
      </c>
      <c r="CD67" s="264">
        <f t="shared" si="70"/>
        <v>44927</v>
      </c>
      <c r="CE67" s="264">
        <f t="shared" si="70"/>
        <v>44958</v>
      </c>
      <c r="CF67" s="264">
        <f t="shared" si="70"/>
        <v>44986</v>
      </c>
      <c r="CG67" s="264">
        <f t="shared" si="70"/>
        <v>45017</v>
      </c>
      <c r="CH67" s="264">
        <f t="shared" si="70"/>
        <v>45047</v>
      </c>
      <c r="CI67" s="264">
        <f t="shared" si="70"/>
        <v>45078</v>
      </c>
      <c r="CJ67" s="264">
        <f t="shared" si="70"/>
        <v>45108</v>
      </c>
      <c r="CK67" s="264">
        <f t="shared" si="70"/>
        <v>45139</v>
      </c>
      <c r="CL67" s="264">
        <f t="shared" si="70"/>
        <v>45170</v>
      </c>
      <c r="CM67" s="264">
        <f t="shared" si="70"/>
        <v>45200</v>
      </c>
      <c r="CN67" s="264">
        <f t="shared" si="70"/>
        <v>45231</v>
      </c>
      <c r="CO67" s="264">
        <f t="shared" si="70"/>
        <v>45261</v>
      </c>
      <c r="CP67" s="264">
        <f t="shared" si="70"/>
        <v>45292</v>
      </c>
      <c r="CQ67" s="264">
        <f t="shared" si="70"/>
        <v>45323</v>
      </c>
      <c r="CR67" s="264">
        <f t="shared" si="70"/>
        <v>45352</v>
      </c>
      <c r="CS67" s="264">
        <f t="shared" si="70"/>
        <v>45383</v>
      </c>
      <c r="CT67" s="264">
        <f t="shared" si="70"/>
        <v>45413</v>
      </c>
      <c r="CU67" s="264">
        <f t="shared" si="70"/>
        <v>45444</v>
      </c>
      <c r="CV67" s="264">
        <f t="shared" si="70"/>
        <v>45474</v>
      </c>
      <c r="CW67" s="264">
        <f t="shared" si="70"/>
        <v>45505</v>
      </c>
      <c r="CX67" s="264">
        <f t="shared" si="70"/>
        <v>45536</v>
      </c>
      <c r="CY67" s="264">
        <f t="shared" si="70"/>
        <v>45566</v>
      </c>
      <c r="CZ67" s="264">
        <f t="shared" si="70"/>
        <v>45597</v>
      </c>
      <c r="DA67" s="264">
        <f t="shared" si="70"/>
        <v>45627</v>
      </c>
      <c r="DB67" s="264">
        <f t="shared" si="70"/>
        <v>45658</v>
      </c>
      <c r="DC67" s="264">
        <f t="shared" si="70"/>
        <v>45689</v>
      </c>
      <c r="DD67" s="264">
        <f t="shared" si="70"/>
        <v>45717</v>
      </c>
    </row>
    <row r="68" spans="1:108" customFormat="1" x14ac:dyDescent="0.25">
      <c r="A68" s="263"/>
      <c r="B68" s="117" t="s">
        <v>131</v>
      </c>
      <c r="C68" s="265" t="s">
        <v>47</v>
      </c>
      <c r="D68" s="265" t="s">
        <v>47</v>
      </c>
      <c r="E68" s="265" t="s">
        <v>47</v>
      </c>
      <c r="F68" s="266" t="s">
        <v>47</v>
      </c>
      <c r="G68" s="266" t="s">
        <v>47</v>
      </c>
      <c r="H68" s="266" t="s">
        <v>47</v>
      </c>
      <c r="I68" s="266" t="s">
        <v>47</v>
      </c>
      <c r="J68" s="266" t="s">
        <v>47</v>
      </c>
      <c r="K68" s="266" t="s">
        <v>47</v>
      </c>
      <c r="L68" s="266" t="s">
        <v>47</v>
      </c>
      <c r="M68" s="266" t="s">
        <v>47</v>
      </c>
      <c r="N68" s="266" t="s">
        <v>47</v>
      </c>
      <c r="O68" s="266" t="s">
        <v>47</v>
      </c>
      <c r="P68" s="266" t="s">
        <v>47</v>
      </c>
      <c r="Q68" s="266" t="s">
        <v>47</v>
      </c>
      <c r="R68" s="266" t="s">
        <v>47</v>
      </c>
      <c r="S68" s="266" t="s">
        <v>47</v>
      </c>
      <c r="T68" s="266" t="s">
        <v>47</v>
      </c>
      <c r="U68" s="338" t="s">
        <v>47</v>
      </c>
      <c r="V68" s="338" t="s">
        <v>47</v>
      </c>
      <c r="W68" s="338" t="s">
        <v>47</v>
      </c>
      <c r="X68" s="338" t="s">
        <v>47</v>
      </c>
      <c r="Y68" s="338" t="s">
        <v>47</v>
      </c>
      <c r="Z68" s="338" t="s">
        <v>47</v>
      </c>
      <c r="AA68" s="338" t="s">
        <v>47</v>
      </c>
      <c r="AB68" s="338" t="s">
        <v>47</v>
      </c>
      <c r="AC68" s="338" t="s">
        <v>47</v>
      </c>
      <c r="AD68" s="338" t="s">
        <v>47</v>
      </c>
      <c r="AE68" s="338" t="s">
        <v>47</v>
      </c>
      <c r="AF68" s="338" t="s">
        <v>47</v>
      </c>
      <c r="AG68" s="338" t="s">
        <v>47</v>
      </c>
      <c r="AH68" s="338" t="s">
        <v>47</v>
      </c>
      <c r="AI68" s="338" t="s">
        <v>47</v>
      </c>
      <c r="AJ68" s="338" t="s">
        <v>47</v>
      </c>
      <c r="AK68" s="338" t="s">
        <v>47</v>
      </c>
      <c r="AL68" s="338" t="s">
        <v>47</v>
      </c>
      <c r="AM68" s="338" t="s">
        <v>47</v>
      </c>
      <c r="AN68" s="338" t="s">
        <v>47</v>
      </c>
      <c r="AO68" s="338" t="s">
        <v>47</v>
      </c>
      <c r="AP68" s="338" t="s">
        <v>47</v>
      </c>
      <c r="AQ68" s="338" t="s">
        <v>47</v>
      </c>
      <c r="AR68" s="338" t="s">
        <v>47</v>
      </c>
      <c r="AS68" s="338" t="s">
        <v>47</v>
      </c>
      <c r="AT68" s="338" t="s">
        <v>47</v>
      </c>
      <c r="AU68" s="338" t="s">
        <v>47</v>
      </c>
      <c r="AV68" s="1206" t="s">
        <v>47</v>
      </c>
      <c r="AW68" s="338" t="s">
        <v>47</v>
      </c>
      <c r="AX68" s="338" t="s">
        <v>47</v>
      </c>
      <c r="AY68" s="338" t="s">
        <v>47</v>
      </c>
      <c r="AZ68" s="338" t="s">
        <v>47</v>
      </c>
      <c r="BA68" s="338" t="s">
        <v>47</v>
      </c>
      <c r="BB68" s="338" t="s">
        <v>47</v>
      </c>
      <c r="BC68" s="338" t="s">
        <v>47</v>
      </c>
      <c r="BD68" s="338" t="s">
        <v>47</v>
      </c>
      <c r="BE68" s="338" t="s">
        <v>47</v>
      </c>
      <c r="BF68" s="338" t="s">
        <v>47</v>
      </c>
      <c r="BG68" s="338" t="s">
        <v>47</v>
      </c>
      <c r="BH68" s="338" t="s">
        <v>47</v>
      </c>
      <c r="BI68" s="338" t="s">
        <v>47</v>
      </c>
      <c r="BJ68" s="338" t="s">
        <v>47</v>
      </c>
      <c r="BK68" s="338" t="s">
        <v>47</v>
      </c>
      <c r="BL68" s="338" t="s">
        <v>47</v>
      </c>
      <c r="BM68" s="338" t="s">
        <v>47</v>
      </c>
      <c r="BN68" s="338" t="s">
        <v>47</v>
      </c>
      <c r="BO68" s="338" t="s">
        <v>47</v>
      </c>
      <c r="BP68" s="338" t="s">
        <v>47</v>
      </c>
      <c r="BQ68" s="338" t="s">
        <v>47</v>
      </c>
      <c r="BR68" s="338" t="s">
        <v>47</v>
      </c>
      <c r="BS68" s="338" t="s">
        <v>47</v>
      </c>
      <c r="BT68" s="338" t="s">
        <v>47</v>
      </c>
      <c r="BU68" s="338" t="s">
        <v>47</v>
      </c>
      <c r="BV68" s="338" t="s">
        <v>47</v>
      </c>
      <c r="BW68" s="338" t="s">
        <v>47</v>
      </c>
      <c r="BX68" s="338" t="s">
        <v>47</v>
      </c>
      <c r="BY68" s="338" t="s">
        <v>47</v>
      </c>
      <c r="BZ68" s="338" t="s">
        <v>47</v>
      </c>
      <c r="CA68" s="338" t="s">
        <v>47</v>
      </c>
      <c r="CB68" s="338" t="s">
        <v>47</v>
      </c>
      <c r="CC68" s="338" t="s">
        <v>47</v>
      </c>
      <c r="CD68" s="338" t="s">
        <v>47</v>
      </c>
      <c r="CE68" s="338" t="s">
        <v>47</v>
      </c>
      <c r="CF68" s="338" t="s">
        <v>47</v>
      </c>
      <c r="CG68" s="338" t="s">
        <v>47</v>
      </c>
      <c r="CH68" s="338" t="s">
        <v>47</v>
      </c>
      <c r="CI68" s="338" t="s">
        <v>47</v>
      </c>
      <c r="CJ68" s="338" t="s">
        <v>47</v>
      </c>
      <c r="CK68" s="338" t="s">
        <v>47</v>
      </c>
      <c r="CL68" s="338" t="s">
        <v>47</v>
      </c>
      <c r="CM68" s="338" t="s">
        <v>47</v>
      </c>
      <c r="CN68" s="338" t="s">
        <v>47</v>
      </c>
      <c r="CO68" s="338" t="s">
        <v>47</v>
      </c>
      <c r="CP68" s="338" t="s">
        <v>47</v>
      </c>
      <c r="CQ68" s="338" t="s">
        <v>47</v>
      </c>
      <c r="CR68" s="338" t="s">
        <v>47</v>
      </c>
      <c r="CS68" s="338" t="s">
        <v>47</v>
      </c>
      <c r="CT68" s="338" t="s">
        <v>47</v>
      </c>
      <c r="CU68" s="338" t="s">
        <v>47</v>
      </c>
      <c r="CV68" s="338" t="s">
        <v>47</v>
      </c>
      <c r="CW68" s="338" t="s">
        <v>47</v>
      </c>
      <c r="CX68" s="338" t="s">
        <v>47</v>
      </c>
      <c r="CY68" s="338" t="s">
        <v>47</v>
      </c>
      <c r="CZ68" s="338" t="s">
        <v>47</v>
      </c>
      <c r="DA68" s="338" t="s">
        <v>47</v>
      </c>
      <c r="DB68" s="338" t="s">
        <v>47</v>
      </c>
      <c r="DC68" s="338" t="s">
        <v>47</v>
      </c>
      <c r="DD68" s="338" t="s">
        <v>47</v>
      </c>
    </row>
    <row r="69" spans="1:108" x14ac:dyDescent="0.25">
      <c r="B69" s="117" t="s">
        <v>135</v>
      </c>
      <c r="C69" s="265" t="s">
        <v>47</v>
      </c>
      <c r="D69" s="265" t="s">
        <v>47</v>
      </c>
      <c r="E69" s="265" t="s">
        <v>47</v>
      </c>
      <c r="F69" s="265" t="s">
        <v>47</v>
      </c>
      <c r="G69" s="265" t="s">
        <v>47</v>
      </c>
      <c r="H69" s="266" t="s">
        <v>47</v>
      </c>
      <c r="I69" s="266" t="s">
        <v>47</v>
      </c>
      <c r="J69" s="266" t="s">
        <v>47</v>
      </c>
      <c r="K69" s="266" t="s">
        <v>47</v>
      </c>
      <c r="L69" s="593" t="s">
        <v>47</v>
      </c>
      <c r="M69" s="593" t="s">
        <v>47</v>
      </c>
      <c r="N69" s="593" t="s">
        <v>47</v>
      </c>
      <c r="O69" s="593" t="s">
        <v>47</v>
      </c>
      <c r="P69" s="593" t="s">
        <v>47</v>
      </c>
      <c r="Q69" s="593" t="s">
        <v>47</v>
      </c>
      <c r="R69" s="593" t="s">
        <v>47</v>
      </c>
      <c r="S69" s="593" t="s">
        <v>47</v>
      </c>
      <c r="T69" s="593" t="s">
        <v>47</v>
      </c>
      <c r="U69" s="593" t="s">
        <v>47</v>
      </c>
      <c r="V69" s="593" t="s">
        <v>47</v>
      </c>
      <c r="W69" s="593" t="s">
        <v>47</v>
      </c>
      <c r="X69" s="593" t="s">
        <v>47</v>
      </c>
      <c r="Y69" s="593" t="s">
        <v>47</v>
      </c>
      <c r="Z69" s="593" t="s">
        <v>47</v>
      </c>
      <c r="AA69" s="593" t="s">
        <v>47</v>
      </c>
      <c r="AB69" s="593" t="s">
        <v>47</v>
      </c>
      <c r="AC69" s="593" t="s">
        <v>47</v>
      </c>
      <c r="AD69" s="593" t="s">
        <v>47</v>
      </c>
      <c r="AE69" s="593" t="s">
        <v>47</v>
      </c>
      <c r="AF69" s="592" t="s">
        <v>47</v>
      </c>
      <c r="AG69" s="593" t="s">
        <v>47</v>
      </c>
      <c r="AH69" s="593" t="s">
        <v>47</v>
      </c>
      <c r="AI69" s="593" t="s">
        <v>47</v>
      </c>
      <c r="AJ69" s="348" t="s">
        <v>47</v>
      </c>
      <c r="AK69" s="348" t="s">
        <v>47</v>
      </c>
      <c r="AL69" s="348" t="s">
        <v>47</v>
      </c>
      <c r="AM69" s="348" t="s">
        <v>47</v>
      </c>
      <c r="AN69" s="348" t="s">
        <v>47</v>
      </c>
      <c r="AO69" s="348" t="s">
        <v>47</v>
      </c>
      <c r="AP69" s="348" t="s">
        <v>47</v>
      </c>
      <c r="AQ69" s="348" t="s">
        <v>47</v>
      </c>
      <c r="AR69" s="348" t="s">
        <v>47</v>
      </c>
      <c r="AS69" s="348" t="s">
        <v>47</v>
      </c>
      <c r="AT69" s="348" t="s">
        <v>47</v>
      </c>
      <c r="AU69" s="348" t="s">
        <v>47</v>
      </c>
      <c r="AV69" s="962" t="s">
        <v>47</v>
      </c>
      <c r="AW69" s="348" t="s">
        <v>47</v>
      </c>
      <c r="AX69" s="348" t="s">
        <v>47</v>
      </c>
      <c r="AY69" s="348" t="s">
        <v>47</v>
      </c>
      <c r="AZ69" s="348" t="s">
        <v>47</v>
      </c>
      <c r="BA69" s="348" t="s">
        <v>47</v>
      </c>
      <c r="BB69" s="348" t="s">
        <v>47</v>
      </c>
      <c r="BC69" s="348" t="s">
        <v>47</v>
      </c>
      <c r="BD69" s="348" t="s">
        <v>47</v>
      </c>
      <c r="BE69" s="348" t="s">
        <v>47</v>
      </c>
      <c r="BF69" s="348" t="s">
        <v>47</v>
      </c>
      <c r="BG69" s="348" t="s">
        <v>47</v>
      </c>
      <c r="BH69" s="348" t="s">
        <v>47</v>
      </c>
      <c r="BI69" s="348" t="s">
        <v>47</v>
      </c>
      <c r="BJ69" s="348" t="s">
        <v>47</v>
      </c>
      <c r="BK69" s="348" t="s">
        <v>47</v>
      </c>
      <c r="BL69" s="348" t="s">
        <v>47</v>
      </c>
      <c r="BM69" s="348" t="s">
        <v>47</v>
      </c>
      <c r="BN69" s="592" t="s">
        <v>47</v>
      </c>
      <c r="BO69" s="592" t="s">
        <v>47</v>
      </c>
      <c r="BP69" s="592" t="s">
        <v>47</v>
      </c>
      <c r="BQ69" s="592" t="s">
        <v>47</v>
      </c>
      <c r="BR69" s="592" t="s">
        <v>47</v>
      </c>
      <c r="BS69" s="592" t="s">
        <v>47</v>
      </c>
      <c r="BT69" s="592" t="s">
        <v>47</v>
      </c>
      <c r="BU69" s="592" t="s">
        <v>47</v>
      </c>
      <c r="BV69" s="592" t="s">
        <v>47</v>
      </c>
      <c r="BW69" s="592" t="s">
        <v>47</v>
      </c>
      <c r="BX69" s="592" t="s">
        <v>47</v>
      </c>
      <c r="BY69" s="592" t="s">
        <v>47</v>
      </c>
      <c r="BZ69" s="592" t="s">
        <v>47</v>
      </c>
      <c r="CA69" s="592" t="s">
        <v>47</v>
      </c>
      <c r="CB69" s="592" t="s">
        <v>47</v>
      </c>
      <c r="CC69" s="592" t="s">
        <v>47</v>
      </c>
      <c r="CD69" s="592" t="s">
        <v>47</v>
      </c>
      <c r="CE69" s="592" t="s">
        <v>47</v>
      </c>
      <c r="CF69" s="592" t="s">
        <v>47</v>
      </c>
      <c r="CG69" s="592" t="s">
        <v>47</v>
      </c>
      <c r="CH69" s="592" t="s">
        <v>47</v>
      </c>
      <c r="CI69" s="592" t="s">
        <v>47</v>
      </c>
      <c r="CJ69" s="592" t="s">
        <v>47</v>
      </c>
      <c r="CK69" s="592" t="s">
        <v>47</v>
      </c>
      <c r="CL69" s="592" t="s">
        <v>47</v>
      </c>
      <c r="CM69" s="592" t="s">
        <v>47</v>
      </c>
      <c r="CN69" s="592" t="s">
        <v>47</v>
      </c>
      <c r="CO69" s="592" t="s">
        <v>47</v>
      </c>
      <c r="CP69" s="592" t="s">
        <v>47</v>
      </c>
      <c r="CQ69" s="592" t="s">
        <v>47</v>
      </c>
      <c r="CR69" s="592" t="s">
        <v>47</v>
      </c>
      <c r="CS69" s="592" t="s">
        <v>47</v>
      </c>
      <c r="CT69" s="592" t="s">
        <v>47</v>
      </c>
      <c r="CU69" s="592" t="s">
        <v>47</v>
      </c>
      <c r="CV69" s="592" t="s">
        <v>47</v>
      </c>
      <c r="CW69" s="592" t="s">
        <v>47</v>
      </c>
      <c r="CX69" s="592" t="s">
        <v>47</v>
      </c>
      <c r="CY69" s="592" t="s">
        <v>47</v>
      </c>
      <c r="CZ69" s="592" t="s">
        <v>47</v>
      </c>
      <c r="DA69" s="592" t="s">
        <v>47</v>
      </c>
      <c r="DB69" s="592" t="s">
        <v>47</v>
      </c>
      <c r="DC69" s="592" t="s">
        <v>47</v>
      </c>
      <c r="DD69" s="592" t="s">
        <v>47</v>
      </c>
    </row>
    <row r="70" spans="1:108" x14ac:dyDescent="0.25">
      <c r="B70" s="117" t="s">
        <v>136</v>
      </c>
      <c r="C70" s="265" t="s">
        <v>47</v>
      </c>
      <c r="D70" s="265" t="s">
        <v>47</v>
      </c>
      <c r="E70" s="265" t="s">
        <v>47</v>
      </c>
      <c r="F70" s="265" t="s">
        <v>47</v>
      </c>
      <c r="G70" s="266" t="s">
        <v>47</v>
      </c>
      <c r="H70" s="266" t="s">
        <v>47</v>
      </c>
      <c r="I70" s="266" t="s">
        <v>47</v>
      </c>
      <c r="J70" s="266" t="s">
        <v>47</v>
      </c>
      <c r="K70" s="266" t="s">
        <v>47</v>
      </c>
      <c r="L70" s="266" t="s">
        <v>47</v>
      </c>
      <c r="M70" s="266" t="s">
        <v>47</v>
      </c>
      <c r="N70" s="266" t="s">
        <v>47</v>
      </c>
      <c r="O70" s="266" t="s">
        <v>47</v>
      </c>
      <c r="P70" s="266" t="s">
        <v>47</v>
      </c>
      <c r="Q70" s="266" t="s">
        <v>47</v>
      </c>
      <c r="R70" s="266" t="s">
        <v>47</v>
      </c>
      <c r="S70" s="266" t="s">
        <v>47</v>
      </c>
      <c r="T70" s="266" t="s">
        <v>47</v>
      </c>
      <c r="U70" s="266" t="s">
        <v>47</v>
      </c>
      <c r="V70" s="338" t="s">
        <v>47</v>
      </c>
      <c r="W70" s="266" t="s">
        <v>47</v>
      </c>
      <c r="X70" s="266" t="s">
        <v>47</v>
      </c>
      <c r="Y70" s="266" t="s">
        <v>47</v>
      </c>
      <c r="Z70" s="266" t="s">
        <v>47</v>
      </c>
      <c r="AA70" s="266" t="s">
        <v>47</v>
      </c>
      <c r="AB70" s="266" t="s">
        <v>47</v>
      </c>
      <c r="AC70" s="266" t="s">
        <v>47</v>
      </c>
      <c r="AD70" s="338" t="s">
        <v>47</v>
      </c>
      <c r="AE70" s="266" t="s">
        <v>47</v>
      </c>
      <c r="AF70" s="266" t="s">
        <v>47</v>
      </c>
      <c r="AG70" s="266" t="s">
        <v>47</v>
      </c>
      <c r="AH70" s="266" t="s">
        <v>47</v>
      </c>
      <c r="AI70" s="266" t="s">
        <v>47</v>
      </c>
      <c r="AJ70" s="338" t="s">
        <v>47</v>
      </c>
      <c r="AK70" s="338" t="s">
        <v>47</v>
      </c>
      <c r="AL70" s="338" t="s">
        <v>47</v>
      </c>
      <c r="AM70" s="338" t="s">
        <v>47</v>
      </c>
      <c r="AN70" s="338" t="s">
        <v>47</v>
      </c>
      <c r="AO70" s="338" t="s">
        <v>47</v>
      </c>
      <c r="AP70" s="338" t="s">
        <v>47</v>
      </c>
      <c r="AQ70" s="338" t="s">
        <v>47</v>
      </c>
      <c r="AR70" s="338" t="s">
        <v>47</v>
      </c>
      <c r="AS70" s="338" t="s">
        <v>47</v>
      </c>
      <c r="AT70" s="338" t="s">
        <v>47</v>
      </c>
      <c r="AU70" s="338" t="s">
        <v>47</v>
      </c>
      <c r="AV70" s="1206" t="s">
        <v>47</v>
      </c>
      <c r="AW70" s="338" t="s">
        <v>47</v>
      </c>
      <c r="AX70" s="338" t="s">
        <v>47</v>
      </c>
      <c r="AY70" s="338" t="s">
        <v>47</v>
      </c>
      <c r="AZ70" s="338" t="s">
        <v>47</v>
      </c>
      <c r="BA70" s="338" t="s">
        <v>47</v>
      </c>
      <c r="BB70" s="338" t="s">
        <v>47</v>
      </c>
      <c r="BC70" s="338" t="s">
        <v>47</v>
      </c>
      <c r="BD70" s="338" t="s">
        <v>47</v>
      </c>
      <c r="BE70" s="338" t="s">
        <v>47</v>
      </c>
      <c r="BF70" s="338" t="s">
        <v>47</v>
      </c>
      <c r="BG70" s="338" t="s">
        <v>47</v>
      </c>
      <c r="BH70" s="338" t="s">
        <v>47</v>
      </c>
      <c r="BI70" s="338" t="s">
        <v>47</v>
      </c>
      <c r="BJ70" s="338" t="s">
        <v>47</v>
      </c>
      <c r="BK70" s="338" t="s">
        <v>47</v>
      </c>
      <c r="BL70" s="338" t="s">
        <v>47</v>
      </c>
      <c r="BM70" s="338" t="s">
        <v>47</v>
      </c>
      <c r="BN70" s="338" t="s">
        <v>47</v>
      </c>
      <c r="BO70" s="338" t="s">
        <v>47</v>
      </c>
      <c r="BP70" s="338" t="s">
        <v>47</v>
      </c>
      <c r="BQ70" s="338" t="s">
        <v>47</v>
      </c>
      <c r="BR70" s="338" t="s">
        <v>47</v>
      </c>
      <c r="BS70" s="338" t="s">
        <v>47</v>
      </c>
      <c r="BT70" s="338" t="s">
        <v>47</v>
      </c>
      <c r="BU70" s="338" t="s">
        <v>47</v>
      </c>
      <c r="BV70" s="338" t="s">
        <v>47</v>
      </c>
      <c r="BW70" s="338" t="s">
        <v>47</v>
      </c>
      <c r="BX70" s="338" t="s">
        <v>47</v>
      </c>
      <c r="BY70" s="338" t="s">
        <v>47</v>
      </c>
      <c r="BZ70" s="338" t="s">
        <v>47</v>
      </c>
      <c r="CA70" s="338" t="s">
        <v>47</v>
      </c>
      <c r="CB70" s="338" t="s">
        <v>47</v>
      </c>
      <c r="CC70" s="338" t="s">
        <v>47</v>
      </c>
      <c r="CD70" s="338" t="s">
        <v>47</v>
      </c>
      <c r="CE70" s="338" t="s">
        <v>47</v>
      </c>
      <c r="CF70" s="338" t="s">
        <v>47</v>
      </c>
      <c r="CG70" s="338" t="s">
        <v>47</v>
      </c>
      <c r="CH70" s="338" t="s">
        <v>47</v>
      </c>
      <c r="CI70" s="338" t="s">
        <v>47</v>
      </c>
      <c r="CJ70" s="338" t="s">
        <v>47</v>
      </c>
      <c r="CK70" s="338" t="s">
        <v>47</v>
      </c>
      <c r="CL70" s="338" t="s">
        <v>47</v>
      </c>
      <c r="CM70" s="338" t="s">
        <v>47</v>
      </c>
      <c r="CN70" s="338" t="s">
        <v>47</v>
      </c>
      <c r="CO70" s="338" t="s">
        <v>47</v>
      </c>
      <c r="CP70" s="338" t="s">
        <v>47</v>
      </c>
      <c r="CQ70" s="338" t="s">
        <v>47</v>
      </c>
      <c r="CR70" s="338" t="s">
        <v>47</v>
      </c>
      <c r="CS70" s="338" t="s">
        <v>47</v>
      </c>
      <c r="CT70" s="338" t="s">
        <v>47</v>
      </c>
      <c r="CU70" s="338" t="s">
        <v>47</v>
      </c>
      <c r="CV70" s="338" t="s">
        <v>47</v>
      </c>
      <c r="CW70" s="338" t="s">
        <v>47</v>
      </c>
      <c r="CX70" s="338" t="s">
        <v>47</v>
      </c>
      <c r="CY70" s="338">
        <v>399</v>
      </c>
      <c r="CZ70" s="338">
        <v>399</v>
      </c>
      <c r="DA70" s="338">
        <v>399</v>
      </c>
      <c r="DB70" s="697">
        <v>476</v>
      </c>
      <c r="DC70" s="592">
        <v>476</v>
      </c>
      <c r="DD70" s="592">
        <v>476</v>
      </c>
    </row>
    <row r="71" spans="1:108" x14ac:dyDescent="0.25">
      <c r="A71"/>
      <c r="B71" s="1117" t="s">
        <v>381</v>
      </c>
      <c r="C71" s="1118" t="str">
        <f t="shared" ref="C71:K71" si="71">IFERROR(AVERAGE(C68:C70),"-")</f>
        <v>-</v>
      </c>
      <c r="D71" s="1118" t="str">
        <f t="shared" si="71"/>
        <v>-</v>
      </c>
      <c r="E71" s="1118" t="str">
        <f t="shared" si="71"/>
        <v>-</v>
      </c>
      <c r="F71" s="1118" t="str">
        <f t="shared" si="71"/>
        <v>-</v>
      </c>
      <c r="G71" s="1118" t="str">
        <f t="shared" si="71"/>
        <v>-</v>
      </c>
      <c r="H71" s="1118" t="str">
        <f t="shared" si="71"/>
        <v>-</v>
      </c>
      <c r="I71" s="1118" t="str">
        <f t="shared" si="71"/>
        <v>-</v>
      </c>
      <c r="J71" s="1118" t="str">
        <f t="shared" si="71"/>
        <v>-</v>
      </c>
      <c r="K71" s="1118" t="str">
        <f t="shared" si="71"/>
        <v>-</v>
      </c>
      <c r="L71" s="1120" t="s">
        <v>47</v>
      </c>
      <c r="M71" s="1120" t="s">
        <v>47</v>
      </c>
      <c r="N71" s="1120" t="s">
        <v>47</v>
      </c>
      <c r="O71" s="1120" t="s">
        <v>47</v>
      </c>
      <c r="P71" s="1120" t="s">
        <v>47</v>
      </c>
      <c r="Q71" s="1120" t="s">
        <v>47</v>
      </c>
      <c r="R71" s="1120" t="s">
        <v>47</v>
      </c>
      <c r="S71" s="1120" t="s">
        <v>47</v>
      </c>
      <c r="T71" s="1120" t="s">
        <v>47</v>
      </c>
      <c r="U71" s="1120" t="s">
        <v>47</v>
      </c>
      <c r="V71" s="1121" t="str">
        <f t="shared" ref="V71:CG71" si="72">IFERROR(AVERAGE(V68:V70),"-")</f>
        <v>-</v>
      </c>
      <c r="W71" s="1121" t="str">
        <f t="shared" si="72"/>
        <v>-</v>
      </c>
      <c r="X71" s="1121" t="str">
        <f t="shared" si="72"/>
        <v>-</v>
      </c>
      <c r="Y71" s="1121" t="str">
        <f t="shared" si="72"/>
        <v>-</v>
      </c>
      <c r="Z71" s="1121" t="str">
        <f t="shared" si="72"/>
        <v>-</v>
      </c>
      <c r="AA71" s="1121" t="str">
        <f t="shared" si="72"/>
        <v>-</v>
      </c>
      <c r="AB71" s="1121" t="str">
        <f t="shared" si="72"/>
        <v>-</v>
      </c>
      <c r="AC71" s="1121" t="str">
        <f t="shared" si="72"/>
        <v>-</v>
      </c>
      <c r="AD71" s="1121" t="str">
        <f t="shared" si="72"/>
        <v>-</v>
      </c>
      <c r="AE71" s="1121" t="str">
        <f t="shared" si="72"/>
        <v>-</v>
      </c>
      <c r="AF71" s="1121" t="str">
        <f t="shared" si="72"/>
        <v>-</v>
      </c>
      <c r="AG71" s="1121" t="str">
        <f t="shared" si="72"/>
        <v>-</v>
      </c>
      <c r="AH71" s="1121" t="str">
        <f t="shared" si="72"/>
        <v>-</v>
      </c>
      <c r="AI71" s="1121" t="str">
        <f t="shared" si="72"/>
        <v>-</v>
      </c>
      <c r="AJ71" s="1121" t="str">
        <f t="shared" si="72"/>
        <v>-</v>
      </c>
      <c r="AK71" s="1121" t="str">
        <f t="shared" si="72"/>
        <v>-</v>
      </c>
      <c r="AL71" s="1121" t="str">
        <f t="shared" si="72"/>
        <v>-</v>
      </c>
      <c r="AM71" s="1121" t="str">
        <f t="shared" si="72"/>
        <v>-</v>
      </c>
      <c r="AN71" s="1121" t="str">
        <f t="shared" si="72"/>
        <v>-</v>
      </c>
      <c r="AO71" s="1121" t="str">
        <f t="shared" si="72"/>
        <v>-</v>
      </c>
      <c r="AP71" s="1121" t="str">
        <f t="shared" si="72"/>
        <v>-</v>
      </c>
      <c r="AQ71" s="1121" t="str">
        <f t="shared" si="72"/>
        <v>-</v>
      </c>
      <c r="AR71" s="1121" t="str">
        <f t="shared" si="72"/>
        <v>-</v>
      </c>
      <c r="AS71" s="1120" t="str">
        <f t="shared" si="72"/>
        <v>-</v>
      </c>
      <c r="AT71" s="1120" t="str">
        <f t="shared" si="72"/>
        <v>-</v>
      </c>
      <c r="AU71" s="1120" t="str">
        <f t="shared" si="72"/>
        <v>-</v>
      </c>
      <c r="AV71" s="1120" t="str">
        <f t="shared" si="72"/>
        <v>-</v>
      </c>
      <c r="AW71" s="1120" t="str">
        <f t="shared" si="72"/>
        <v>-</v>
      </c>
      <c r="AX71" s="1120" t="str">
        <f t="shared" si="72"/>
        <v>-</v>
      </c>
      <c r="AY71" s="1120" t="str">
        <f t="shared" si="72"/>
        <v>-</v>
      </c>
      <c r="AZ71" s="1120" t="str">
        <f t="shared" si="72"/>
        <v>-</v>
      </c>
      <c r="BA71" s="1120" t="str">
        <f t="shared" si="72"/>
        <v>-</v>
      </c>
      <c r="BB71" s="1120" t="str">
        <f t="shared" si="72"/>
        <v>-</v>
      </c>
      <c r="BC71" s="1120" t="str">
        <f t="shared" si="72"/>
        <v>-</v>
      </c>
      <c r="BD71" s="1120" t="str">
        <f t="shared" si="72"/>
        <v>-</v>
      </c>
      <c r="BE71" s="1120" t="str">
        <f t="shared" si="72"/>
        <v>-</v>
      </c>
      <c r="BF71" s="1120" t="str">
        <f t="shared" si="72"/>
        <v>-</v>
      </c>
      <c r="BG71" s="1120" t="str">
        <f t="shared" si="72"/>
        <v>-</v>
      </c>
      <c r="BH71" s="1120" t="str">
        <f t="shared" si="72"/>
        <v>-</v>
      </c>
      <c r="BI71" s="1120" t="str">
        <f t="shared" si="72"/>
        <v>-</v>
      </c>
      <c r="BJ71" s="1120" t="str">
        <f t="shared" si="72"/>
        <v>-</v>
      </c>
      <c r="BK71" s="1120" t="str">
        <f t="shared" si="72"/>
        <v>-</v>
      </c>
      <c r="BL71" s="1120" t="str">
        <f t="shared" si="72"/>
        <v>-</v>
      </c>
      <c r="BM71" s="1120" t="str">
        <f t="shared" si="72"/>
        <v>-</v>
      </c>
      <c r="BN71" s="1120" t="str">
        <f t="shared" si="72"/>
        <v>-</v>
      </c>
      <c r="BO71" s="1120" t="str">
        <f t="shared" si="72"/>
        <v>-</v>
      </c>
      <c r="BP71" s="1120" t="str">
        <f t="shared" si="72"/>
        <v>-</v>
      </c>
      <c r="BQ71" s="1120" t="str">
        <f t="shared" si="72"/>
        <v>-</v>
      </c>
      <c r="BR71" s="1120" t="str">
        <f t="shared" si="72"/>
        <v>-</v>
      </c>
      <c r="BS71" s="1120" t="str">
        <f t="shared" si="72"/>
        <v>-</v>
      </c>
      <c r="BT71" s="1120" t="str">
        <f t="shared" si="72"/>
        <v>-</v>
      </c>
      <c r="BU71" s="1120" t="str">
        <f t="shared" si="72"/>
        <v>-</v>
      </c>
      <c r="BV71" s="1120" t="str">
        <f t="shared" si="72"/>
        <v>-</v>
      </c>
      <c r="BW71" s="1120" t="str">
        <f t="shared" si="72"/>
        <v>-</v>
      </c>
      <c r="BX71" s="1120" t="str">
        <f t="shared" si="72"/>
        <v>-</v>
      </c>
      <c r="BY71" s="1120" t="str">
        <f t="shared" si="72"/>
        <v>-</v>
      </c>
      <c r="BZ71" s="1120" t="str">
        <f t="shared" si="72"/>
        <v>-</v>
      </c>
      <c r="CA71" s="1120" t="str">
        <f t="shared" si="72"/>
        <v>-</v>
      </c>
      <c r="CB71" s="1120" t="str">
        <f t="shared" si="72"/>
        <v>-</v>
      </c>
      <c r="CC71" s="1120" t="str">
        <f t="shared" si="72"/>
        <v>-</v>
      </c>
      <c r="CD71" s="1120" t="str">
        <f t="shared" si="72"/>
        <v>-</v>
      </c>
      <c r="CE71" s="1120" t="str">
        <f t="shared" si="72"/>
        <v>-</v>
      </c>
      <c r="CF71" s="1120" t="str">
        <f t="shared" si="72"/>
        <v>-</v>
      </c>
      <c r="CG71" s="1120" t="str">
        <f t="shared" si="72"/>
        <v>-</v>
      </c>
      <c r="CH71" s="1120" t="str">
        <f t="shared" ref="CH71:CY71" si="73">IFERROR(AVERAGE(CH68:CH70),"-")</f>
        <v>-</v>
      </c>
      <c r="CI71" s="1120" t="str">
        <f t="shared" si="73"/>
        <v>-</v>
      </c>
      <c r="CJ71" s="1120" t="str">
        <f t="shared" si="73"/>
        <v>-</v>
      </c>
      <c r="CK71" s="1120" t="str">
        <f t="shared" si="73"/>
        <v>-</v>
      </c>
      <c r="CL71" s="1120" t="str">
        <f t="shared" si="73"/>
        <v>-</v>
      </c>
      <c r="CM71" s="1120" t="str">
        <f t="shared" si="73"/>
        <v>-</v>
      </c>
      <c r="CN71" s="1120" t="str">
        <f t="shared" si="73"/>
        <v>-</v>
      </c>
      <c r="CO71" s="1120" t="str">
        <f t="shared" si="73"/>
        <v>-</v>
      </c>
      <c r="CP71" s="1120" t="str">
        <f t="shared" si="73"/>
        <v>-</v>
      </c>
      <c r="CQ71" s="1120" t="str">
        <f t="shared" si="73"/>
        <v>-</v>
      </c>
      <c r="CR71" s="1120" t="str">
        <f t="shared" si="73"/>
        <v>-</v>
      </c>
      <c r="CS71" s="1120" t="str">
        <f t="shared" si="73"/>
        <v>-</v>
      </c>
      <c r="CT71" s="1120" t="str">
        <f t="shared" si="73"/>
        <v>-</v>
      </c>
      <c r="CU71" s="1120" t="str">
        <f t="shared" si="73"/>
        <v>-</v>
      </c>
      <c r="CV71" s="1120" t="str">
        <f t="shared" si="73"/>
        <v>-</v>
      </c>
      <c r="CW71" s="1120" t="str">
        <f t="shared" si="73"/>
        <v>-</v>
      </c>
      <c r="CX71" s="1120" t="str">
        <f t="shared" si="73"/>
        <v>-</v>
      </c>
      <c r="CY71" s="1120">
        <f t="shared" si="73"/>
        <v>399</v>
      </c>
      <c r="CZ71" s="1120">
        <f t="shared" ref="CZ71:DA71" si="74">IFERROR(AVERAGE(CZ68:CZ70),"-")</f>
        <v>399</v>
      </c>
      <c r="DA71" s="1120">
        <f t="shared" si="74"/>
        <v>399</v>
      </c>
      <c r="DB71" s="1120">
        <f t="shared" ref="DB71:DC71" si="75">IFERROR(AVERAGE(DB68:DB70),"-")</f>
        <v>476</v>
      </c>
      <c r="DC71" s="1120">
        <f t="shared" si="75"/>
        <v>476</v>
      </c>
      <c r="DD71" s="1120">
        <f t="shared" ref="DD71" si="76">IFERROR(AVERAGE(DD68:DD70),"-")</f>
        <v>476</v>
      </c>
    </row>
    <row r="72" spans="1:108" x14ac:dyDescent="0.25">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833"/>
      <c r="AU72" s="833"/>
      <c r="AV72" s="954"/>
      <c r="AW72" s="833"/>
      <c r="AX72" s="833"/>
      <c r="AY72" s="833"/>
      <c r="AZ72" s="833"/>
      <c r="BA72" s="833"/>
      <c r="BB72" s="833"/>
      <c r="BC72" s="833"/>
      <c r="BD72" s="833"/>
      <c r="BE72" s="833"/>
      <c r="BF72" s="833"/>
      <c r="BG72" s="833"/>
      <c r="BH72" s="833"/>
      <c r="BI72" s="833"/>
      <c r="BJ72" s="833"/>
      <c r="BK72" s="833"/>
      <c r="BL72" s="833"/>
      <c r="BM72" s="833"/>
      <c r="BN72" s="833"/>
      <c r="BO72" s="833"/>
      <c r="BP72" s="833"/>
      <c r="BQ72" s="833"/>
      <c r="BR72" s="833"/>
      <c r="BS72" s="833"/>
      <c r="BT72" s="833"/>
      <c r="BU72" s="833"/>
      <c r="BV72" s="833"/>
      <c r="BW72" s="833"/>
      <c r="BX72" s="833"/>
      <c r="BY72" s="833"/>
      <c r="BZ72" s="833"/>
      <c r="CA72" s="833"/>
      <c r="CB72" s="833"/>
      <c r="CC72" s="833"/>
      <c r="CD72" s="833"/>
      <c r="CE72" s="833"/>
      <c r="CF72" s="833"/>
      <c r="CG72" s="833"/>
      <c r="CH72" s="833"/>
      <c r="CI72" s="833"/>
      <c r="CJ72" s="833"/>
      <c r="CK72" s="833"/>
      <c r="CL72" s="833"/>
      <c r="CM72" s="833"/>
      <c r="CN72" s="833"/>
      <c r="CO72" s="833"/>
      <c r="CP72" s="833"/>
      <c r="CQ72" s="833"/>
      <c r="CR72" s="833"/>
      <c r="CS72" s="833"/>
      <c r="CT72" s="833"/>
      <c r="CU72" s="833"/>
      <c r="CV72" s="833"/>
      <c r="CW72" s="833"/>
      <c r="CX72" s="833"/>
      <c r="CY72" s="833"/>
      <c r="CZ72" s="833"/>
      <c r="DA72" s="833"/>
      <c r="DB72" s="833"/>
      <c r="DC72" s="833"/>
      <c r="DD72" s="833"/>
    </row>
    <row r="73" spans="1:108" x14ac:dyDescent="0.25">
      <c r="B73" s="113" t="s">
        <v>1369</v>
      </c>
      <c r="C73" s="264">
        <f t="shared" ref="C73:BN73" si="77">C$12</f>
        <v>42522</v>
      </c>
      <c r="D73" s="264">
        <f t="shared" si="77"/>
        <v>42552</v>
      </c>
      <c r="E73" s="264">
        <f t="shared" si="77"/>
        <v>42583</v>
      </c>
      <c r="F73" s="264">
        <f t="shared" si="77"/>
        <v>42614</v>
      </c>
      <c r="G73" s="264">
        <f t="shared" si="77"/>
        <v>42644</v>
      </c>
      <c r="H73" s="264">
        <f t="shared" si="77"/>
        <v>42675</v>
      </c>
      <c r="I73" s="264">
        <f t="shared" si="77"/>
        <v>42705</v>
      </c>
      <c r="J73" s="264">
        <f t="shared" si="77"/>
        <v>42736</v>
      </c>
      <c r="K73" s="264">
        <f t="shared" si="77"/>
        <v>42767</v>
      </c>
      <c r="L73" s="264">
        <f t="shared" si="77"/>
        <v>42795</v>
      </c>
      <c r="M73" s="264">
        <f t="shared" si="77"/>
        <v>42826</v>
      </c>
      <c r="N73" s="264">
        <f t="shared" si="77"/>
        <v>42856</v>
      </c>
      <c r="O73" s="264">
        <f t="shared" si="77"/>
        <v>42887</v>
      </c>
      <c r="P73" s="264">
        <f t="shared" si="77"/>
        <v>42917</v>
      </c>
      <c r="Q73" s="264">
        <f t="shared" si="77"/>
        <v>42948</v>
      </c>
      <c r="R73" s="264">
        <f t="shared" si="77"/>
        <v>42979</v>
      </c>
      <c r="S73" s="264">
        <f t="shared" si="77"/>
        <v>43009</v>
      </c>
      <c r="T73" s="264">
        <f t="shared" si="77"/>
        <v>43040</v>
      </c>
      <c r="U73" s="264">
        <f t="shared" si="77"/>
        <v>43070</v>
      </c>
      <c r="V73" s="264">
        <f t="shared" si="77"/>
        <v>43101</v>
      </c>
      <c r="W73" s="264">
        <f t="shared" si="77"/>
        <v>43132</v>
      </c>
      <c r="X73" s="264">
        <f t="shared" si="77"/>
        <v>43160</v>
      </c>
      <c r="Y73" s="264">
        <f t="shared" si="77"/>
        <v>43191</v>
      </c>
      <c r="Z73" s="264">
        <f t="shared" si="77"/>
        <v>43221</v>
      </c>
      <c r="AA73" s="264">
        <f t="shared" si="77"/>
        <v>43252</v>
      </c>
      <c r="AB73" s="264">
        <f t="shared" si="77"/>
        <v>43283</v>
      </c>
      <c r="AC73" s="264">
        <f t="shared" si="77"/>
        <v>43314</v>
      </c>
      <c r="AD73" s="264">
        <f t="shared" si="77"/>
        <v>43345</v>
      </c>
      <c r="AE73" s="264">
        <f t="shared" si="77"/>
        <v>43376</v>
      </c>
      <c r="AF73" s="264">
        <f t="shared" si="77"/>
        <v>43407</v>
      </c>
      <c r="AG73" s="264">
        <f t="shared" si="77"/>
        <v>43437</v>
      </c>
      <c r="AH73" s="264">
        <f t="shared" si="77"/>
        <v>43468</v>
      </c>
      <c r="AI73" s="264">
        <f t="shared" si="77"/>
        <v>43499</v>
      </c>
      <c r="AJ73" s="264">
        <f t="shared" si="77"/>
        <v>43527</v>
      </c>
      <c r="AK73" s="264">
        <f t="shared" si="77"/>
        <v>43558</v>
      </c>
      <c r="AL73" s="264">
        <f t="shared" si="77"/>
        <v>43587</v>
      </c>
      <c r="AM73" s="264">
        <f t="shared" si="77"/>
        <v>43618</v>
      </c>
      <c r="AN73" s="264">
        <f t="shared" si="77"/>
        <v>43647</v>
      </c>
      <c r="AO73" s="264">
        <f t="shared" si="77"/>
        <v>43678</v>
      </c>
      <c r="AP73" s="264">
        <f t="shared" si="77"/>
        <v>43709</v>
      </c>
      <c r="AQ73" s="264">
        <f t="shared" si="77"/>
        <v>43739</v>
      </c>
      <c r="AR73" s="264">
        <f t="shared" si="77"/>
        <v>43770</v>
      </c>
      <c r="AS73" s="264">
        <f t="shared" si="77"/>
        <v>43800</v>
      </c>
      <c r="AT73" s="264">
        <f t="shared" si="77"/>
        <v>43831</v>
      </c>
      <c r="AU73" s="264">
        <f t="shared" si="77"/>
        <v>43862</v>
      </c>
      <c r="AV73" s="946">
        <f t="shared" si="77"/>
        <v>43891</v>
      </c>
      <c r="AW73" s="264">
        <f t="shared" si="77"/>
        <v>43922</v>
      </c>
      <c r="AX73" s="264">
        <f t="shared" si="77"/>
        <v>43952</v>
      </c>
      <c r="AY73" s="264">
        <f t="shared" si="77"/>
        <v>43983</v>
      </c>
      <c r="AZ73" s="264">
        <f t="shared" si="77"/>
        <v>44013</v>
      </c>
      <c r="BA73" s="264">
        <f t="shared" si="77"/>
        <v>44044</v>
      </c>
      <c r="BB73" s="264">
        <f t="shared" si="77"/>
        <v>44075</v>
      </c>
      <c r="BC73" s="264">
        <f t="shared" si="77"/>
        <v>44105</v>
      </c>
      <c r="BD73" s="264">
        <f t="shared" si="77"/>
        <v>44136</v>
      </c>
      <c r="BE73" s="264">
        <f t="shared" si="77"/>
        <v>44166</v>
      </c>
      <c r="BF73" s="264">
        <f t="shared" si="77"/>
        <v>44197</v>
      </c>
      <c r="BG73" s="264">
        <f t="shared" si="77"/>
        <v>44228</v>
      </c>
      <c r="BH73" s="264">
        <f t="shared" si="77"/>
        <v>44256</v>
      </c>
      <c r="BI73" s="264">
        <f t="shared" si="77"/>
        <v>44287</v>
      </c>
      <c r="BJ73" s="264">
        <f t="shared" si="77"/>
        <v>44317</v>
      </c>
      <c r="BK73" s="264">
        <f t="shared" si="77"/>
        <v>44348</v>
      </c>
      <c r="BL73" s="264">
        <f t="shared" si="77"/>
        <v>44378</v>
      </c>
      <c r="BM73" s="264">
        <f t="shared" si="77"/>
        <v>44409</v>
      </c>
      <c r="BN73" s="264">
        <f t="shared" si="77"/>
        <v>44440</v>
      </c>
      <c r="BO73" s="264">
        <f t="shared" ref="BO73:DD73" si="78">BO$12</f>
        <v>44470</v>
      </c>
      <c r="BP73" s="264">
        <f t="shared" si="78"/>
        <v>44501</v>
      </c>
      <c r="BQ73" s="264">
        <f t="shared" si="78"/>
        <v>44531</v>
      </c>
      <c r="BR73" s="264">
        <f t="shared" si="78"/>
        <v>44562</v>
      </c>
      <c r="BS73" s="264">
        <f t="shared" si="78"/>
        <v>44593</v>
      </c>
      <c r="BT73" s="264">
        <f t="shared" si="78"/>
        <v>44622</v>
      </c>
      <c r="BU73" s="264">
        <f t="shared" si="78"/>
        <v>44654</v>
      </c>
      <c r="BV73" s="264">
        <f t="shared" si="78"/>
        <v>44685</v>
      </c>
      <c r="BW73" s="264">
        <f t="shared" si="78"/>
        <v>44716</v>
      </c>
      <c r="BX73" s="264">
        <f t="shared" si="78"/>
        <v>44746</v>
      </c>
      <c r="BY73" s="264">
        <f t="shared" si="78"/>
        <v>44774</v>
      </c>
      <c r="BZ73" s="264">
        <f t="shared" si="78"/>
        <v>44805</v>
      </c>
      <c r="CA73" s="264">
        <f t="shared" si="78"/>
        <v>44835</v>
      </c>
      <c r="CB73" s="264">
        <f t="shared" si="78"/>
        <v>44866</v>
      </c>
      <c r="CC73" s="264">
        <f t="shared" si="78"/>
        <v>44896</v>
      </c>
      <c r="CD73" s="264">
        <f t="shared" si="78"/>
        <v>44927</v>
      </c>
      <c r="CE73" s="264">
        <f t="shared" si="78"/>
        <v>44958</v>
      </c>
      <c r="CF73" s="264">
        <f t="shared" si="78"/>
        <v>44986</v>
      </c>
      <c r="CG73" s="264">
        <f t="shared" si="78"/>
        <v>45017</v>
      </c>
      <c r="CH73" s="264">
        <f t="shared" si="78"/>
        <v>45047</v>
      </c>
      <c r="CI73" s="264">
        <f t="shared" si="78"/>
        <v>45078</v>
      </c>
      <c r="CJ73" s="264">
        <f t="shared" si="78"/>
        <v>45108</v>
      </c>
      <c r="CK73" s="264">
        <f t="shared" si="78"/>
        <v>45139</v>
      </c>
      <c r="CL73" s="264">
        <f t="shared" si="78"/>
        <v>45170</v>
      </c>
      <c r="CM73" s="264">
        <f t="shared" si="78"/>
        <v>45200</v>
      </c>
      <c r="CN73" s="264">
        <f t="shared" si="78"/>
        <v>45231</v>
      </c>
      <c r="CO73" s="264">
        <f t="shared" si="78"/>
        <v>45261</v>
      </c>
      <c r="CP73" s="264">
        <f t="shared" si="78"/>
        <v>45292</v>
      </c>
      <c r="CQ73" s="264">
        <f t="shared" si="78"/>
        <v>45323</v>
      </c>
      <c r="CR73" s="264">
        <f t="shared" si="78"/>
        <v>45352</v>
      </c>
      <c r="CS73" s="264">
        <f t="shared" si="78"/>
        <v>45383</v>
      </c>
      <c r="CT73" s="264">
        <f t="shared" si="78"/>
        <v>45413</v>
      </c>
      <c r="CU73" s="264">
        <f t="shared" si="78"/>
        <v>45444</v>
      </c>
      <c r="CV73" s="264">
        <f t="shared" si="78"/>
        <v>45474</v>
      </c>
      <c r="CW73" s="264">
        <f t="shared" si="78"/>
        <v>45505</v>
      </c>
      <c r="CX73" s="264">
        <f t="shared" si="78"/>
        <v>45536</v>
      </c>
      <c r="CY73" s="264">
        <f t="shared" si="78"/>
        <v>45566</v>
      </c>
      <c r="CZ73" s="264">
        <f t="shared" si="78"/>
        <v>45597</v>
      </c>
      <c r="DA73" s="264">
        <f t="shared" si="78"/>
        <v>45627</v>
      </c>
      <c r="DB73" s="264">
        <f t="shared" si="78"/>
        <v>45658</v>
      </c>
      <c r="DC73" s="264">
        <f t="shared" si="78"/>
        <v>45689</v>
      </c>
      <c r="DD73" s="264">
        <f t="shared" si="78"/>
        <v>45717</v>
      </c>
    </row>
    <row r="74" spans="1:108" customFormat="1" x14ac:dyDescent="0.25">
      <c r="A74" s="263"/>
      <c r="B74" s="117" t="s">
        <v>131</v>
      </c>
      <c r="C74" s="265" t="s">
        <v>47</v>
      </c>
      <c r="D74" s="265" t="s">
        <v>47</v>
      </c>
      <c r="E74" s="265" t="s">
        <v>47</v>
      </c>
      <c r="F74" s="266" t="s">
        <v>47</v>
      </c>
      <c r="G74" s="266" t="s">
        <v>47</v>
      </c>
      <c r="H74" s="266" t="s">
        <v>47</v>
      </c>
      <c r="I74" s="266" t="s">
        <v>47</v>
      </c>
      <c r="J74" s="266" t="s">
        <v>47</v>
      </c>
      <c r="K74" s="266" t="s">
        <v>47</v>
      </c>
      <c r="L74" s="593" t="s">
        <v>47</v>
      </c>
      <c r="M74" s="593" t="s">
        <v>47</v>
      </c>
      <c r="N74" s="593" t="s">
        <v>47</v>
      </c>
      <c r="O74" s="593" t="s">
        <v>47</v>
      </c>
      <c r="P74" s="593" t="s">
        <v>47</v>
      </c>
      <c r="Q74" s="593" t="s">
        <v>47</v>
      </c>
      <c r="R74" s="593" t="s">
        <v>47</v>
      </c>
      <c r="S74" s="593" t="s">
        <v>47</v>
      </c>
      <c r="T74" s="593" t="s">
        <v>47</v>
      </c>
      <c r="U74" s="592" t="s">
        <v>47</v>
      </c>
      <c r="V74" s="592" t="s">
        <v>47</v>
      </c>
      <c r="W74" s="592" t="s">
        <v>47</v>
      </c>
      <c r="X74" s="592" t="s">
        <v>47</v>
      </c>
      <c r="Y74" s="592" t="s">
        <v>47</v>
      </c>
      <c r="Z74" s="592" t="s">
        <v>47</v>
      </c>
      <c r="AA74" s="592" t="s">
        <v>47</v>
      </c>
      <c r="AB74" s="592" t="s">
        <v>47</v>
      </c>
      <c r="AC74" s="592" t="s">
        <v>47</v>
      </c>
      <c r="AD74" s="592" t="s">
        <v>47</v>
      </c>
      <c r="AE74" s="592" t="s">
        <v>47</v>
      </c>
      <c r="AF74" s="592" t="s">
        <v>47</v>
      </c>
      <c r="AG74" s="592" t="s">
        <v>47</v>
      </c>
      <c r="AH74" s="592" t="s">
        <v>47</v>
      </c>
      <c r="AI74" s="592" t="s">
        <v>47</v>
      </c>
      <c r="AJ74" s="348" t="s">
        <v>47</v>
      </c>
      <c r="AK74" s="348" t="s">
        <v>47</v>
      </c>
      <c r="AL74" s="348" t="s">
        <v>47</v>
      </c>
      <c r="AM74" s="348" t="s">
        <v>47</v>
      </c>
      <c r="AN74" s="348" t="s">
        <v>47</v>
      </c>
      <c r="AO74" s="348" t="s">
        <v>47</v>
      </c>
      <c r="AP74" s="348" t="s">
        <v>47</v>
      </c>
      <c r="AQ74" s="348" t="s">
        <v>47</v>
      </c>
      <c r="AR74" s="348" t="s">
        <v>47</v>
      </c>
      <c r="AS74" s="348" t="s">
        <v>47</v>
      </c>
      <c r="AT74" s="348" t="s">
        <v>47</v>
      </c>
      <c r="AU74" s="348" t="s">
        <v>47</v>
      </c>
      <c r="AV74" s="962" t="s">
        <v>47</v>
      </c>
      <c r="AW74" s="348" t="s">
        <v>47</v>
      </c>
      <c r="AX74" s="348" t="s">
        <v>47</v>
      </c>
      <c r="AY74" s="348" t="s">
        <v>47</v>
      </c>
      <c r="AZ74" s="348" t="s">
        <v>47</v>
      </c>
      <c r="BA74" s="348" t="s">
        <v>47</v>
      </c>
      <c r="BB74" s="348" t="s">
        <v>47</v>
      </c>
      <c r="BC74" s="348" t="s">
        <v>47</v>
      </c>
      <c r="BD74" s="348" t="s">
        <v>47</v>
      </c>
      <c r="BE74" s="348" t="s">
        <v>47</v>
      </c>
      <c r="BF74" s="592" t="s">
        <v>47</v>
      </c>
      <c r="BG74" s="592" t="s">
        <v>47</v>
      </c>
      <c r="BH74" s="592" t="s">
        <v>47</v>
      </c>
      <c r="BI74" s="592" t="s">
        <v>47</v>
      </c>
      <c r="BJ74" s="592" t="s">
        <v>47</v>
      </c>
      <c r="BK74" s="592" t="s">
        <v>47</v>
      </c>
      <c r="BL74" s="592" t="s">
        <v>47</v>
      </c>
      <c r="BM74" s="592" t="s">
        <v>47</v>
      </c>
      <c r="BN74" s="592" t="s">
        <v>47</v>
      </c>
      <c r="BO74" s="592" t="s">
        <v>47</v>
      </c>
      <c r="BP74" s="592" t="s">
        <v>47</v>
      </c>
      <c r="BQ74" s="592" t="s">
        <v>47</v>
      </c>
      <c r="BR74" s="592" t="s">
        <v>47</v>
      </c>
      <c r="BS74" s="592" t="s">
        <v>47</v>
      </c>
      <c r="BT74" s="592" t="s">
        <v>47</v>
      </c>
      <c r="BU74" s="592" t="s">
        <v>47</v>
      </c>
      <c r="BV74" s="592" t="s">
        <v>47</v>
      </c>
      <c r="BW74" s="592" t="s">
        <v>47</v>
      </c>
      <c r="BX74" s="592" t="s">
        <v>47</v>
      </c>
      <c r="BY74" s="592" t="s">
        <v>47</v>
      </c>
      <c r="BZ74" s="592" t="s">
        <v>47</v>
      </c>
      <c r="CA74" s="592" t="s">
        <v>47</v>
      </c>
      <c r="CB74" s="592" t="s">
        <v>47</v>
      </c>
      <c r="CC74" s="592" t="s">
        <v>47</v>
      </c>
      <c r="CD74" s="592" t="s">
        <v>47</v>
      </c>
      <c r="CE74" s="592" t="s">
        <v>47</v>
      </c>
      <c r="CF74" s="592" t="s">
        <v>47</v>
      </c>
      <c r="CG74" s="592" t="s">
        <v>47</v>
      </c>
      <c r="CH74" s="592" t="s">
        <v>47</v>
      </c>
      <c r="CI74" s="592" t="s">
        <v>47</v>
      </c>
      <c r="CJ74" s="592" t="s">
        <v>47</v>
      </c>
      <c r="CK74" s="592" t="s">
        <v>47</v>
      </c>
      <c r="CL74" s="592" t="s">
        <v>47</v>
      </c>
      <c r="CM74" s="592" t="s">
        <v>47</v>
      </c>
      <c r="CN74" s="592" t="s">
        <v>47</v>
      </c>
      <c r="CO74" s="592" t="s">
        <v>47</v>
      </c>
      <c r="CP74" s="592" t="s">
        <v>47</v>
      </c>
      <c r="CQ74" s="592" t="s">
        <v>47</v>
      </c>
      <c r="CR74" s="592" t="s">
        <v>47</v>
      </c>
      <c r="CS74" s="592" t="s">
        <v>47</v>
      </c>
      <c r="CT74" s="592" t="s">
        <v>47</v>
      </c>
      <c r="CU74" s="592" t="s">
        <v>47</v>
      </c>
      <c r="CV74" s="592" t="s">
        <v>47</v>
      </c>
      <c r="CW74" s="592" t="s">
        <v>47</v>
      </c>
      <c r="CX74" s="592" t="s">
        <v>47</v>
      </c>
      <c r="CY74" s="592" t="s">
        <v>47</v>
      </c>
      <c r="CZ74" s="592" t="s">
        <v>47</v>
      </c>
      <c r="DA74" s="592" t="s">
        <v>47</v>
      </c>
      <c r="DB74" s="592" t="s">
        <v>47</v>
      </c>
      <c r="DC74" s="592" t="s">
        <v>47</v>
      </c>
      <c r="DD74" s="592" t="s">
        <v>47</v>
      </c>
    </row>
    <row r="75" spans="1:108" customFormat="1" x14ac:dyDescent="0.25">
      <c r="A75" s="263"/>
      <c r="B75" s="117" t="s">
        <v>135</v>
      </c>
      <c r="C75" s="265" t="s">
        <v>47</v>
      </c>
      <c r="D75" s="265" t="s">
        <v>47</v>
      </c>
      <c r="E75" s="265" t="s">
        <v>47</v>
      </c>
      <c r="F75" s="265" t="s">
        <v>47</v>
      </c>
      <c r="G75" s="265" t="s">
        <v>47</v>
      </c>
      <c r="H75" s="266" t="s">
        <v>47</v>
      </c>
      <c r="I75" s="266" t="s">
        <v>47</v>
      </c>
      <c r="J75" s="266" t="s">
        <v>47</v>
      </c>
      <c r="K75" s="266" t="s">
        <v>47</v>
      </c>
      <c r="L75" s="593" t="s">
        <v>47</v>
      </c>
      <c r="M75" s="593" t="s">
        <v>47</v>
      </c>
      <c r="N75" s="593" t="s">
        <v>47</v>
      </c>
      <c r="O75" s="593" t="s">
        <v>47</v>
      </c>
      <c r="P75" s="593" t="s">
        <v>47</v>
      </c>
      <c r="Q75" s="593" t="s">
        <v>47</v>
      </c>
      <c r="R75" s="593" t="s">
        <v>47</v>
      </c>
      <c r="S75" s="593" t="s">
        <v>47</v>
      </c>
      <c r="T75" s="593" t="s">
        <v>47</v>
      </c>
      <c r="U75" s="593" t="s">
        <v>47</v>
      </c>
      <c r="V75" s="593" t="s">
        <v>47</v>
      </c>
      <c r="W75" s="593" t="s">
        <v>47</v>
      </c>
      <c r="X75" s="593" t="s">
        <v>47</v>
      </c>
      <c r="Y75" s="593" t="s">
        <v>47</v>
      </c>
      <c r="Z75" s="593" t="s">
        <v>47</v>
      </c>
      <c r="AA75" s="593" t="s">
        <v>47</v>
      </c>
      <c r="AB75" s="593" t="s">
        <v>47</v>
      </c>
      <c r="AC75" s="593" t="s">
        <v>47</v>
      </c>
      <c r="AD75" s="593" t="s">
        <v>47</v>
      </c>
      <c r="AE75" s="593" t="s">
        <v>47</v>
      </c>
      <c r="AF75" s="592" t="s">
        <v>47</v>
      </c>
      <c r="AG75" s="592" t="s">
        <v>47</v>
      </c>
      <c r="AH75" s="592" t="s">
        <v>47</v>
      </c>
      <c r="AI75" s="592" t="s">
        <v>47</v>
      </c>
      <c r="AJ75" s="348" t="s">
        <v>47</v>
      </c>
      <c r="AK75" s="348" t="s">
        <v>47</v>
      </c>
      <c r="AL75" s="348" t="s">
        <v>47</v>
      </c>
      <c r="AM75" s="348" t="s">
        <v>47</v>
      </c>
      <c r="AN75" s="348" t="s">
        <v>47</v>
      </c>
      <c r="AO75" s="348" t="s">
        <v>47</v>
      </c>
      <c r="AP75" s="348" t="s">
        <v>47</v>
      </c>
      <c r="AQ75" s="348" t="s">
        <v>47</v>
      </c>
      <c r="AR75" s="348" t="s">
        <v>47</v>
      </c>
      <c r="AS75" s="348" t="s">
        <v>47</v>
      </c>
      <c r="AT75" s="348" t="s">
        <v>47</v>
      </c>
      <c r="AU75" s="348" t="s">
        <v>47</v>
      </c>
      <c r="AV75" s="962" t="s">
        <v>47</v>
      </c>
      <c r="AW75" s="348" t="s">
        <v>47</v>
      </c>
      <c r="AX75" s="348" t="s">
        <v>47</v>
      </c>
      <c r="AY75" s="348" t="s">
        <v>47</v>
      </c>
      <c r="AZ75" s="348" t="s">
        <v>47</v>
      </c>
      <c r="BA75" s="348" t="s">
        <v>47</v>
      </c>
      <c r="BB75" s="348" t="s">
        <v>47</v>
      </c>
      <c r="BC75" s="348" t="s">
        <v>47</v>
      </c>
      <c r="BD75" s="348" t="s">
        <v>47</v>
      </c>
      <c r="BE75" s="348" t="s">
        <v>47</v>
      </c>
      <c r="BF75" s="348" t="s">
        <v>47</v>
      </c>
      <c r="BG75" s="348" t="s">
        <v>47</v>
      </c>
      <c r="BH75" s="348" t="s">
        <v>47</v>
      </c>
      <c r="BI75" s="348" t="s">
        <v>47</v>
      </c>
      <c r="BJ75" s="348" t="s">
        <v>47</v>
      </c>
      <c r="BK75" s="348" t="s">
        <v>47</v>
      </c>
      <c r="BL75" s="348" t="s">
        <v>47</v>
      </c>
      <c r="BM75" s="348" t="s">
        <v>47</v>
      </c>
      <c r="BN75" s="592" t="s">
        <v>47</v>
      </c>
      <c r="BO75" s="592" t="s">
        <v>47</v>
      </c>
      <c r="BP75" s="592" t="s">
        <v>47</v>
      </c>
      <c r="BQ75" s="592" t="s">
        <v>47</v>
      </c>
      <c r="BR75" s="592" t="s">
        <v>47</v>
      </c>
      <c r="BS75" s="592" t="s">
        <v>47</v>
      </c>
      <c r="BT75" s="592" t="s">
        <v>47</v>
      </c>
      <c r="BU75" s="592" t="s">
        <v>47</v>
      </c>
      <c r="BV75" s="592" t="s">
        <v>47</v>
      </c>
      <c r="BW75" s="592" t="s">
        <v>47</v>
      </c>
      <c r="BX75" s="592" t="s">
        <v>47</v>
      </c>
      <c r="BY75" s="592" t="s">
        <v>47</v>
      </c>
      <c r="BZ75" s="592" t="s">
        <v>47</v>
      </c>
      <c r="CA75" s="592" t="s">
        <v>47</v>
      </c>
      <c r="CB75" s="592" t="s">
        <v>47</v>
      </c>
      <c r="CC75" s="592" t="s">
        <v>47</v>
      </c>
      <c r="CD75" s="592" t="s">
        <v>47</v>
      </c>
      <c r="CE75" s="592" t="s">
        <v>47</v>
      </c>
      <c r="CF75" s="592" t="s">
        <v>47</v>
      </c>
      <c r="CG75" s="592" t="s">
        <v>47</v>
      </c>
      <c r="CH75" s="592" t="s">
        <v>47</v>
      </c>
      <c r="CI75" s="592" t="s">
        <v>47</v>
      </c>
      <c r="CJ75" s="592" t="s">
        <v>47</v>
      </c>
      <c r="CK75" s="592" t="s">
        <v>47</v>
      </c>
      <c r="CL75" s="592" t="s">
        <v>47</v>
      </c>
      <c r="CM75" s="592" t="s">
        <v>47</v>
      </c>
      <c r="CN75" s="592" t="s">
        <v>47</v>
      </c>
      <c r="CO75" s="592" t="s">
        <v>47</v>
      </c>
      <c r="CP75" s="592" t="s">
        <v>47</v>
      </c>
      <c r="CQ75" s="592" t="s">
        <v>47</v>
      </c>
      <c r="CR75" s="592" t="s">
        <v>47</v>
      </c>
      <c r="CS75" s="592" t="s">
        <v>47</v>
      </c>
      <c r="CT75" s="592" t="s">
        <v>47</v>
      </c>
      <c r="CU75" s="592" t="s">
        <v>47</v>
      </c>
      <c r="CV75" s="592" t="s">
        <v>47</v>
      </c>
      <c r="CW75" s="592" t="s">
        <v>47</v>
      </c>
      <c r="CX75" s="592" t="s">
        <v>47</v>
      </c>
      <c r="CY75" s="592" t="s">
        <v>47</v>
      </c>
      <c r="CZ75" s="592" t="s">
        <v>47</v>
      </c>
      <c r="DA75" s="592" t="s">
        <v>47</v>
      </c>
      <c r="DB75" s="592" t="s">
        <v>47</v>
      </c>
      <c r="DC75" s="592" t="s">
        <v>47</v>
      </c>
      <c r="DD75" s="592" t="s">
        <v>47</v>
      </c>
    </row>
    <row r="76" spans="1:108" x14ac:dyDescent="0.25">
      <c r="B76" s="117" t="s">
        <v>136</v>
      </c>
      <c r="C76" s="265" t="s">
        <v>47</v>
      </c>
      <c r="D76" s="265" t="s">
        <v>47</v>
      </c>
      <c r="E76" s="265" t="s">
        <v>47</v>
      </c>
      <c r="F76" s="265" t="s">
        <v>47</v>
      </c>
      <c r="G76" s="266" t="s">
        <v>47</v>
      </c>
      <c r="H76" s="266" t="s">
        <v>47</v>
      </c>
      <c r="I76" s="266" t="s">
        <v>47</v>
      </c>
      <c r="J76" s="266" t="s">
        <v>47</v>
      </c>
      <c r="K76" s="266" t="s">
        <v>47</v>
      </c>
      <c r="L76" s="593" t="s">
        <v>47</v>
      </c>
      <c r="M76" s="593" t="s">
        <v>47</v>
      </c>
      <c r="N76" s="593" t="s">
        <v>47</v>
      </c>
      <c r="O76" s="593" t="s">
        <v>47</v>
      </c>
      <c r="P76" s="593" t="s">
        <v>47</v>
      </c>
      <c r="Q76" s="592" t="s">
        <v>47</v>
      </c>
      <c r="R76" s="592" t="s">
        <v>47</v>
      </c>
      <c r="S76" s="592" t="s">
        <v>47</v>
      </c>
      <c r="T76" s="592" t="s">
        <v>47</v>
      </c>
      <c r="U76" s="592" t="s">
        <v>47</v>
      </c>
      <c r="V76" s="592" t="s">
        <v>47</v>
      </c>
      <c r="W76" s="592" t="s">
        <v>47</v>
      </c>
      <c r="X76" s="592" t="s">
        <v>47</v>
      </c>
      <c r="Y76" s="592" t="s">
        <v>47</v>
      </c>
      <c r="Z76" s="592" t="s">
        <v>47</v>
      </c>
      <c r="AA76" s="592" t="s">
        <v>47</v>
      </c>
      <c r="AB76" s="592" t="s">
        <v>47</v>
      </c>
      <c r="AC76" s="592" t="s">
        <v>47</v>
      </c>
      <c r="AD76" s="592" t="s">
        <v>47</v>
      </c>
      <c r="AE76" s="592" t="s">
        <v>47</v>
      </c>
      <c r="AF76" s="592" t="s">
        <v>47</v>
      </c>
      <c r="AG76" s="592" t="s">
        <v>47</v>
      </c>
      <c r="AH76" s="592" t="s">
        <v>47</v>
      </c>
      <c r="AI76" s="592" t="s">
        <v>47</v>
      </c>
      <c r="AJ76" s="348" t="s">
        <v>47</v>
      </c>
      <c r="AK76" s="348" t="s">
        <v>47</v>
      </c>
      <c r="AL76" s="348" t="s">
        <v>47</v>
      </c>
      <c r="AM76" s="348" t="s">
        <v>47</v>
      </c>
      <c r="AN76" s="348" t="s">
        <v>47</v>
      </c>
      <c r="AO76" s="348" t="s">
        <v>47</v>
      </c>
      <c r="AP76" s="348" t="s">
        <v>47</v>
      </c>
      <c r="AQ76" s="348" t="s">
        <v>47</v>
      </c>
      <c r="AR76" s="348" t="s">
        <v>47</v>
      </c>
      <c r="AS76" s="348" t="s">
        <v>47</v>
      </c>
      <c r="AT76" s="348" t="s">
        <v>47</v>
      </c>
      <c r="AU76" s="348" t="s">
        <v>47</v>
      </c>
      <c r="AV76" s="962" t="s">
        <v>47</v>
      </c>
      <c r="AW76" s="348" t="s">
        <v>47</v>
      </c>
      <c r="AX76" s="348" t="s">
        <v>47</v>
      </c>
      <c r="AY76" s="348" t="s">
        <v>47</v>
      </c>
      <c r="AZ76" s="348" t="s">
        <v>47</v>
      </c>
      <c r="BA76" s="348" t="s">
        <v>47</v>
      </c>
      <c r="BB76" s="348" t="s">
        <v>47</v>
      </c>
      <c r="BC76" s="348" t="s">
        <v>47</v>
      </c>
      <c r="BD76" s="348" t="s">
        <v>47</v>
      </c>
      <c r="BE76" s="348" t="s">
        <v>47</v>
      </c>
      <c r="BF76" s="348" t="s">
        <v>47</v>
      </c>
      <c r="BG76" s="348" t="s">
        <v>47</v>
      </c>
      <c r="BH76" s="348" t="s">
        <v>47</v>
      </c>
      <c r="BI76" s="348" t="s">
        <v>47</v>
      </c>
      <c r="BJ76" s="348" t="s">
        <v>47</v>
      </c>
      <c r="BK76" s="348" t="s">
        <v>47</v>
      </c>
      <c r="BL76" s="348" t="s">
        <v>47</v>
      </c>
      <c r="BM76" s="348" t="s">
        <v>47</v>
      </c>
      <c r="BN76" s="592" t="s">
        <v>47</v>
      </c>
      <c r="BO76" s="592" t="s">
        <v>47</v>
      </c>
      <c r="BP76" s="592" t="s">
        <v>47</v>
      </c>
      <c r="BQ76" s="592" t="s">
        <v>47</v>
      </c>
      <c r="BR76" s="592" t="s">
        <v>47</v>
      </c>
      <c r="BS76" s="592" t="s">
        <v>47</v>
      </c>
      <c r="BT76" s="592" t="s">
        <v>47</v>
      </c>
      <c r="BU76" s="592" t="s">
        <v>47</v>
      </c>
      <c r="BV76" s="592" t="s">
        <v>47</v>
      </c>
      <c r="BW76" s="592" t="s">
        <v>47</v>
      </c>
      <c r="BX76" s="592" t="s">
        <v>47</v>
      </c>
      <c r="BY76" s="592" t="s">
        <v>47</v>
      </c>
      <c r="BZ76" s="592" t="s">
        <v>47</v>
      </c>
      <c r="CA76" s="592" t="s">
        <v>47</v>
      </c>
      <c r="CB76" s="592" t="s">
        <v>47</v>
      </c>
      <c r="CC76" s="592" t="s">
        <v>47</v>
      </c>
      <c r="CD76" s="592" t="s">
        <v>47</v>
      </c>
      <c r="CE76" s="592" t="s">
        <v>47</v>
      </c>
      <c r="CF76" s="592" t="s">
        <v>47</v>
      </c>
      <c r="CG76" s="592" t="s">
        <v>47</v>
      </c>
      <c r="CH76" s="592" t="s">
        <v>47</v>
      </c>
      <c r="CI76" s="592" t="s">
        <v>47</v>
      </c>
      <c r="CJ76" s="592" t="s">
        <v>47</v>
      </c>
      <c r="CK76" s="592" t="s">
        <v>47</v>
      </c>
      <c r="CL76" s="592" t="s">
        <v>47</v>
      </c>
      <c r="CM76" s="592" t="s">
        <v>47</v>
      </c>
      <c r="CN76" s="592" t="s">
        <v>47</v>
      </c>
      <c r="CO76" s="592" t="s">
        <v>47</v>
      </c>
      <c r="CP76" s="592" t="s">
        <v>47</v>
      </c>
      <c r="CQ76" s="592" t="s">
        <v>47</v>
      </c>
      <c r="CR76" s="592" t="s">
        <v>47</v>
      </c>
      <c r="CS76" s="592" t="s">
        <v>47</v>
      </c>
      <c r="CT76" s="592" t="s">
        <v>47</v>
      </c>
      <c r="CU76" s="592" t="s">
        <v>47</v>
      </c>
      <c r="CV76" s="592" t="s">
        <v>47</v>
      </c>
      <c r="CW76" s="592" t="s">
        <v>47</v>
      </c>
      <c r="CX76" s="592" t="s">
        <v>47</v>
      </c>
      <c r="CY76" s="592">
        <v>285</v>
      </c>
      <c r="CZ76" s="592">
        <v>285</v>
      </c>
      <c r="DA76" s="592">
        <v>285</v>
      </c>
      <c r="DB76" s="697">
        <v>326</v>
      </c>
      <c r="DC76" s="592">
        <v>326</v>
      </c>
      <c r="DD76" s="592">
        <v>326</v>
      </c>
    </row>
    <row r="77" spans="1:108" x14ac:dyDescent="0.25">
      <c r="A77"/>
      <c r="B77" s="1117" t="s">
        <v>381</v>
      </c>
      <c r="C77" s="1120" t="str">
        <f t="shared" ref="C77:BN77" si="79">IFERROR(AVERAGE(C74:C76),"-")</f>
        <v>-</v>
      </c>
      <c r="D77" s="1120" t="str">
        <f t="shared" si="79"/>
        <v>-</v>
      </c>
      <c r="E77" s="1120" t="str">
        <f t="shared" si="79"/>
        <v>-</v>
      </c>
      <c r="F77" s="1120" t="str">
        <f t="shared" si="79"/>
        <v>-</v>
      </c>
      <c r="G77" s="1120" t="str">
        <f t="shared" si="79"/>
        <v>-</v>
      </c>
      <c r="H77" s="1120" t="str">
        <f t="shared" si="79"/>
        <v>-</v>
      </c>
      <c r="I77" s="1120" t="str">
        <f t="shared" si="79"/>
        <v>-</v>
      </c>
      <c r="J77" s="1120" t="str">
        <f t="shared" si="79"/>
        <v>-</v>
      </c>
      <c r="K77" s="1120" t="str">
        <f t="shared" si="79"/>
        <v>-</v>
      </c>
      <c r="L77" s="1120" t="str">
        <f t="shared" si="79"/>
        <v>-</v>
      </c>
      <c r="M77" s="1120" t="str">
        <f t="shared" si="79"/>
        <v>-</v>
      </c>
      <c r="N77" s="1120" t="str">
        <f t="shared" si="79"/>
        <v>-</v>
      </c>
      <c r="O77" s="1120" t="str">
        <f t="shared" si="79"/>
        <v>-</v>
      </c>
      <c r="P77" s="1120" t="str">
        <f t="shared" si="79"/>
        <v>-</v>
      </c>
      <c r="Q77" s="1120" t="str">
        <f t="shared" si="79"/>
        <v>-</v>
      </c>
      <c r="R77" s="1120" t="str">
        <f t="shared" si="79"/>
        <v>-</v>
      </c>
      <c r="S77" s="1120" t="str">
        <f t="shared" si="79"/>
        <v>-</v>
      </c>
      <c r="T77" s="1120" t="str">
        <f t="shared" si="79"/>
        <v>-</v>
      </c>
      <c r="U77" s="1120" t="str">
        <f t="shared" si="79"/>
        <v>-</v>
      </c>
      <c r="V77" s="1120" t="str">
        <f t="shared" si="79"/>
        <v>-</v>
      </c>
      <c r="W77" s="1120" t="str">
        <f t="shared" si="79"/>
        <v>-</v>
      </c>
      <c r="X77" s="1120" t="str">
        <f t="shared" si="79"/>
        <v>-</v>
      </c>
      <c r="Y77" s="1120" t="str">
        <f t="shared" si="79"/>
        <v>-</v>
      </c>
      <c r="Z77" s="1120" t="str">
        <f t="shared" si="79"/>
        <v>-</v>
      </c>
      <c r="AA77" s="1120" t="str">
        <f t="shared" si="79"/>
        <v>-</v>
      </c>
      <c r="AB77" s="1120" t="str">
        <f t="shared" si="79"/>
        <v>-</v>
      </c>
      <c r="AC77" s="1120" t="str">
        <f t="shared" si="79"/>
        <v>-</v>
      </c>
      <c r="AD77" s="1120" t="str">
        <f t="shared" si="79"/>
        <v>-</v>
      </c>
      <c r="AE77" s="1120" t="str">
        <f t="shared" si="79"/>
        <v>-</v>
      </c>
      <c r="AF77" s="1120" t="str">
        <f t="shared" si="79"/>
        <v>-</v>
      </c>
      <c r="AG77" s="1120" t="str">
        <f t="shared" si="79"/>
        <v>-</v>
      </c>
      <c r="AH77" s="1120" t="str">
        <f t="shared" si="79"/>
        <v>-</v>
      </c>
      <c r="AI77" s="1120" t="str">
        <f t="shared" si="79"/>
        <v>-</v>
      </c>
      <c r="AJ77" s="1120" t="str">
        <f t="shared" si="79"/>
        <v>-</v>
      </c>
      <c r="AK77" s="1120" t="str">
        <f t="shared" si="79"/>
        <v>-</v>
      </c>
      <c r="AL77" s="1120" t="str">
        <f t="shared" si="79"/>
        <v>-</v>
      </c>
      <c r="AM77" s="1120" t="str">
        <f t="shared" si="79"/>
        <v>-</v>
      </c>
      <c r="AN77" s="1120" t="str">
        <f t="shared" si="79"/>
        <v>-</v>
      </c>
      <c r="AO77" s="1120" t="str">
        <f t="shared" si="79"/>
        <v>-</v>
      </c>
      <c r="AP77" s="1120" t="str">
        <f t="shared" si="79"/>
        <v>-</v>
      </c>
      <c r="AQ77" s="1120" t="str">
        <f t="shared" si="79"/>
        <v>-</v>
      </c>
      <c r="AR77" s="1120" t="str">
        <f t="shared" si="79"/>
        <v>-</v>
      </c>
      <c r="AS77" s="1120" t="str">
        <f t="shared" si="79"/>
        <v>-</v>
      </c>
      <c r="AT77" s="1120" t="str">
        <f t="shared" si="79"/>
        <v>-</v>
      </c>
      <c r="AU77" s="1120" t="str">
        <f t="shared" si="79"/>
        <v>-</v>
      </c>
      <c r="AV77" s="1120" t="str">
        <f t="shared" si="79"/>
        <v>-</v>
      </c>
      <c r="AW77" s="1120" t="str">
        <f t="shared" si="79"/>
        <v>-</v>
      </c>
      <c r="AX77" s="1120" t="str">
        <f t="shared" si="79"/>
        <v>-</v>
      </c>
      <c r="AY77" s="1120" t="str">
        <f t="shared" si="79"/>
        <v>-</v>
      </c>
      <c r="AZ77" s="1120" t="str">
        <f t="shared" si="79"/>
        <v>-</v>
      </c>
      <c r="BA77" s="1120" t="str">
        <f t="shared" si="79"/>
        <v>-</v>
      </c>
      <c r="BB77" s="1120" t="str">
        <f t="shared" si="79"/>
        <v>-</v>
      </c>
      <c r="BC77" s="1120" t="str">
        <f t="shared" si="79"/>
        <v>-</v>
      </c>
      <c r="BD77" s="1120" t="str">
        <f t="shared" si="79"/>
        <v>-</v>
      </c>
      <c r="BE77" s="1120" t="str">
        <f t="shared" si="79"/>
        <v>-</v>
      </c>
      <c r="BF77" s="1120" t="str">
        <f t="shared" si="79"/>
        <v>-</v>
      </c>
      <c r="BG77" s="1120" t="str">
        <f t="shared" si="79"/>
        <v>-</v>
      </c>
      <c r="BH77" s="1120" t="str">
        <f t="shared" si="79"/>
        <v>-</v>
      </c>
      <c r="BI77" s="1120" t="str">
        <f t="shared" si="79"/>
        <v>-</v>
      </c>
      <c r="BJ77" s="1120" t="str">
        <f t="shared" si="79"/>
        <v>-</v>
      </c>
      <c r="BK77" s="1120" t="str">
        <f t="shared" si="79"/>
        <v>-</v>
      </c>
      <c r="BL77" s="1120" t="str">
        <f t="shared" si="79"/>
        <v>-</v>
      </c>
      <c r="BM77" s="1120" t="str">
        <f t="shared" si="79"/>
        <v>-</v>
      </c>
      <c r="BN77" s="1120" t="str">
        <f t="shared" si="79"/>
        <v>-</v>
      </c>
      <c r="BO77" s="1120" t="str">
        <f t="shared" ref="BO77:CY77" si="80">IFERROR(AVERAGE(BO74:BO76),"-")</f>
        <v>-</v>
      </c>
      <c r="BP77" s="1120" t="str">
        <f t="shared" si="80"/>
        <v>-</v>
      </c>
      <c r="BQ77" s="1120" t="str">
        <f t="shared" si="80"/>
        <v>-</v>
      </c>
      <c r="BR77" s="1120" t="str">
        <f t="shared" si="80"/>
        <v>-</v>
      </c>
      <c r="BS77" s="1120" t="str">
        <f t="shared" si="80"/>
        <v>-</v>
      </c>
      <c r="BT77" s="1120" t="str">
        <f t="shared" si="80"/>
        <v>-</v>
      </c>
      <c r="BU77" s="1120" t="str">
        <f t="shared" si="80"/>
        <v>-</v>
      </c>
      <c r="BV77" s="1120" t="str">
        <f t="shared" si="80"/>
        <v>-</v>
      </c>
      <c r="BW77" s="1120" t="str">
        <f t="shared" si="80"/>
        <v>-</v>
      </c>
      <c r="BX77" s="1120" t="str">
        <f t="shared" si="80"/>
        <v>-</v>
      </c>
      <c r="BY77" s="1120" t="str">
        <f t="shared" si="80"/>
        <v>-</v>
      </c>
      <c r="BZ77" s="1120" t="str">
        <f t="shared" si="80"/>
        <v>-</v>
      </c>
      <c r="CA77" s="1120" t="str">
        <f t="shared" si="80"/>
        <v>-</v>
      </c>
      <c r="CB77" s="1120" t="str">
        <f t="shared" si="80"/>
        <v>-</v>
      </c>
      <c r="CC77" s="1120" t="str">
        <f t="shared" si="80"/>
        <v>-</v>
      </c>
      <c r="CD77" s="1120" t="str">
        <f t="shared" si="80"/>
        <v>-</v>
      </c>
      <c r="CE77" s="1120" t="str">
        <f t="shared" si="80"/>
        <v>-</v>
      </c>
      <c r="CF77" s="1120" t="str">
        <f t="shared" si="80"/>
        <v>-</v>
      </c>
      <c r="CG77" s="1120" t="str">
        <f t="shared" si="80"/>
        <v>-</v>
      </c>
      <c r="CH77" s="1120" t="str">
        <f t="shared" si="80"/>
        <v>-</v>
      </c>
      <c r="CI77" s="1120" t="str">
        <f t="shared" si="80"/>
        <v>-</v>
      </c>
      <c r="CJ77" s="1120" t="str">
        <f t="shared" si="80"/>
        <v>-</v>
      </c>
      <c r="CK77" s="1120" t="str">
        <f t="shared" si="80"/>
        <v>-</v>
      </c>
      <c r="CL77" s="1120" t="str">
        <f t="shared" si="80"/>
        <v>-</v>
      </c>
      <c r="CM77" s="1120" t="str">
        <f t="shared" si="80"/>
        <v>-</v>
      </c>
      <c r="CN77" s="1120" t="str">
        <f t="shared" si="80"/>
        <v>-</v>
      </c>
      <c r="CO77" s="1120" t="str">
        <f t="shared" si="80"/>
        <v>-</v>
      </c>
      <c r="CP77" s="1120" t="str">
        <f t="shared" si="80"/>
        <v>-</v>
      </c>
      <c r="CQ77" s="1120" t="str">
        <f t="shared" si="80"/>
        <v>-</v>
      </c>
      <c r="CR77" s="1120" t="str">
        <f t="shared" si="80"/>
        <v>-</v>
      </c>
      <c r="CS77" s="1120" t="str">
        <f t="shared" si="80"/>
        <v>-</v>
      </c>
      <c r="CT77" s="1120" t="str">
        <f t="shared" si="80"/>
        <v>-</v>
      </c>
      <c r="CU77" s="1120" t="str">
        <f t="shared" si="80"/>
        <v>-</v>
      </c>
      <c r="CV77" s="1120" t="str">
        <f t="shared" si="80"/>
        <v>-</v>
      </c>
      <c r="CW77" s="1120" t="str">
        <f t="shared" si="80"/>
        <v>-</v>
      </c>
      <c r="CX77" s="1120" t="str">
        <f t="shared" si="80"/>
        <v>-</v>
      </c>
      <c r="CY77" s="1120">
        <f t="shared" si="80"/>
        <v>285</v>
      </c>
      <c r="CZ77" s="1120">
        <f t="shared" ref="CZ77:DA77" si="81">IFERROR(AVERAGE(CZ74:CZ76),"-")</f>
        <v>285</v>
      </c>
      <c r="DA77" s="1120">
        <f t="shared" si="81"/>
        <v>285</v>
      </c>
      <c r="DB77" s="1120">
        <f t="shared" ref="DB77:DC77" si="82">IFERROR(AVERAGE(DB74:DB76),"-")</f>
        <v>326</v>
      </c>
      <c r="DC77" s="1120">
        <f t="shared" si="82"/>
        <v>326</v>
      </c>
      <c r="DD77" s="1120">
        <f t="shared" ref="DD77" si="83">IFERROR(AVERAGE(DD74:DD76),"-")</f>
        <v>326</v>
      </c>
    </row>
    <row r="78" spans="1:108" x14ac:dyDescent="0.25">
      <c r="A78" s="1030"/>
      <c r="B78" s="1028"/>
      <c r="C78" s="1029"/>
      <c r="D78" s="1029"/>
      <c r="E78" s="1029"/>
      <c r="F78" s="1029"/>
      <c r="G78" s="1029"/>
      <c r="H78" s="1029"/>
      <c r="I78" s="1029"/>
      <c r="J78" s="1029"/>
      <c r="K78" s="1029"/>
      <c r="L78" s="1030"/>
      <c r="M78" s="1030"/>
      <c r="N78" s="1030"/>
      <c r="O78" s="1030"/>
      <c r="P78" s="1030"/>
      <c r="Q78" s="1030"/>
      <c r="R78" s="1030"/>
      <c r="S78" s="1030"/>
      <c r="T78" s="1030"/>
      <c r="U78" s="1030"/>
      <c r="V78" s="1031"/>
      <c r="W78" s="1031"/>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0"/>
      <c r="AU78" s="1030"/>
      <c r="AV78" s="1032"/>
      <c r="AW78" s="1033"/>
      <c r="AX78" s="1033"/>
      <c r="AY78" s="1033"/>
      <c r="AZ78" s="1030"/>
      <c r="BA78" s="1030"/>
      <c r="BB78" s="1030"/>
      <c r="BC78" s="1030"/>
      <c r="BD78" s="1030"/>
      <c r="BE78" s="1030"/>
      <c r="BF78" s="1030"/>
      <c r="BG78" s="1030"/>
      <c r="BH78" s="1030"/>
      <c r="BI78" s="1030"/>
      <c r="BJ78" s="1030"/>
      <c r="BK78" s="1030"/>
      <c r="BL78" s="1030"/>
      <c r="BM78" s="1030"/>
      <c r="BN78" s="1030"/>
      <c r="BO78" s="1030"/>
      <c r="BP78" s="1030"/>
      <c r="BQ78" s="1030"/>
      <c r="BR78" s="1030"/>
      <c r="BS78" s="1030"/>
      <c r="BT78" s="1030"/>
      <c r="BU78" s="1030"/>
      <c r="BV78" s="1030"/>
      <c r="BW78" s="1030"/>
      <c r="BX78" s="1030"/>
      <c r="BY78" s="1030"/>
      <c r="BZ78" s="1030"/>
      <c r="CA78" s="1030"/>
      <c r="CB78" s="1030"/>
      <c r="CC78" s="1030"/>
      <c r="CD78" s="1030"/>
      <c r="CE78" s="1030"/>
      <c r="CF78" s="1030"/>
      <c r="CG78" s="1030"/>
      <c r="CH78" s="1030"/>
      <c r="CI78" s="1030"/>
      <c r="CJ78" s="1030"/>
      <c r="CK78" s="1030"/>
      <c r="CL78" s="1030"/>
      <c r="CM78" s="1030"/>
      <c r="CN78" s="1030"/>
      <c r="CO78" s="1030"/>
      <c r="CP78" s="1030"/>
      <c r="CQ78" s="1030"/>
      <c r="CR78" s="1030"/>
      <c r="CS78" s="1030"/>
      <c r="CT78" s="1030"/>
      <c r="CU78" s="1030"/>
      <c r="CV78" s="1030"/>
      <c r="CW78" s="1030"/>
      <c r="CX78" s="1030"/>
      <c r="CY78" s="1030"/>
      <c r="CZ78" s="1030"/>
      <c r="DA78" s="1030"/>
      <c r="DB78" s="1030"/>
      <c r="DC78" s="1030"/>
      <c r="DD78" s="1030"/>
    </row>
    <row r="79" spans="1:108" x14ac:dyDescent="0.25">
      <c r="B79" s="113" t="s">
        <v>380</v>
      </c>
      <c r="C79" s="264" t="str">
        <f t="shared" ref="C79:AS79" si="84">+C$147</f>
        <v>Jun-16</v>
      </c>
      <c r="D79" s="264" t="str">
        <f t="shared" si="84"/>
        <v>Jul-16</v>
      </c>
      <c r="E79" s="264" t="str">
        <f t="shared" si="84"/>
        <v>Aug-16</v>
      </c>
      <c r="F79" s="264" t="str">
        <f t="shared" si="84"/>
        <v>Sep-16</v>
      </c>
      <c r="G79" s="264" t="str">
        <f t="shared" si="84"/>
        <v>Oct-16</v>
      </c>
      <c r="H79" s="264" t="str">
        <f t="shared" si="84"/>
        <v>Nov-16</v>
      </c>
      <c r="I79" s="264" t="str">
        <f t="shared" si="84"/>
        <v>Dec-16</v>
      </c>
      <c r="J79" s="264" t="str">
        <f t="shared" si="84"/>
        <v>Jan-17</v>
      </c>
      <c r="K79" s="264" t="str">
        <f t="shared" si="84"/>
        <v>Feb-17</v>
      </c>
      <c r="L79" s="264" t="str">
        <f t="shared" si="84"/>
        <v>Mar-17</v>
      </c>
      <c r="M79" s="264" t="str">
        <f t="shared" si="84"/>
        <v>Apr-17</v>
      </c>
      <c r="N79" s="264" t="str">
        <f t="shared" si="84"/>
        <v>May-17</v>
      </c>
      <c r="O79" s="264" t="str">
        <f t="shared" si="84"/>
        <v>Jun-17</v>
      </c>
      <c r="P79" s="264" t="str">
        <f t="shared" si="84"/>
        <v>Jul-17</v>
      </c>
      <c r="Q79" s="264" t="str">
        <f t="shared" si="84"/>
        <v>Aug-17</v>
      </c>
      <c r="R79" s="345" t="str">
        <f t="shared" si="84"/>
        <v>Sep-17</v>
      </c>
      <c r="S79" s="264" t="str">
        <f t="shared" si="84"/>
        <v>Oct-17</v>
      </c>
      <c r="T79" s="264" t="str">
        <f t="shared" si="84"/>
        <v>Nov-17</v>
      </c>
      <c r="U79" s="264" t="str">
        <f t="shared" si="84"/>
        <v>Dec-17</v>
      </c>
      <c r="V79" s="264" t="str">
        <f t="shared" si="84"/>
        <v>Jan-18</v>
      </c>
      <c r="W79" s="264" t="str">
        <f t="shared" si="84"/>
        <v>Feb-18</v>
      </c>
      <c r="X79" s="264" t="str">
        <f t="shared" si="84"/>
        <v>Mar-18</v>
      </c>
      <c r="Y79" s="264" t="str">
        <f t="shared" si="84"/>
        <v>Apr-18</v>
      </c>
      <c r="Z79" s="264" t="str">
        <f t="shared" si="84"/>
        <v>May-18</v>
      </c>
      <c r="AA79" s="264" t="str">
        <f t="shared" si="84"/>
        <v>Jun-18</v>
      </c>
      <c r="AB79" s="264" t="str">
        <f t="shared" si="84"/>
        <v>Jul-18</v>
      </c>
      <c r="AC79" s="264" t="str">
        <f t="shared" si="84"/>
        <v>Aug-18</v>
      </c>
      <c r="AD79" s="264" t="str">
        <f t="shared" si="84"/>
        <v>Sep-18</v>
      </c>
      <c r="AE79" s="264" t="str">
        <f t="shared" si="84"/>
        <v>Oct-18</v>
      </c>
      <c r="AF79" s="264" t="str">
        <f t="shared" si="84"/>
        <v>Nov-18</v>
      </c>
      <c r="AG79" s="264" t="str">
        <f t="shared" si="84"/>
        <v>Dec-18</v>
      </c>
      <c r="AH79" s="264" t="str">
        <f t="shared" si="84"/>
        <v>Jan-19</v>
      </c>
      <c r="AI79" s="264" t="str">
        <f t="shared" si="84"/>
        <v>Feb-19</v>
      </c>
      <c r="AJ79" s="264" t="str">
        <f t="shared" si="84"/>
        <v>Mar-19</v>
      </c>
      <c r="AK79" s="264" t="str">
        <f t="shared" si="84"/>
        <v>Apr-19</v>
      </c>
      <c r="AL79" s="264" t="str">
        <f t="shared" si="84"/>
        <v>May-19</v>
      </c>
      <c r="AM79" s="264" t="str">
        <f t="shared" si="84"/>
        <v>Jun-19</v>
      </c>
      <c r="AN79" s="264" t="str">
        <f t="shared" si="84"/>
        <v>Jul-19</v>
      </c>
      <c r="AO79" s="264" t="str">
        <f t="shared" si="84"/>
        <v>Aug-19</v>
      </c>
      <c r="AP79" s="264" t="str">
        <f t="shared" si="84"/>
        <v>Sep-19</v>
      </c>
      <c r="AQ79" s="264" t="str">
        <f t="shared" si="84"/>
        <v>Oct-19</v>
      </c>
      <c r="AR79" s="264" t="str">
        <f t="shared" si="84"/>
        <v>Nov-19</v>
      </c>
      <c r="AS79" s="264" t="str">
        <f t="shared" si="84"/>
        <v>Dec-19</v>
      </c>
    </row>
    <row r="80" spans="1:108" x14ac:dyDescent="0.25">
      <c r="B80" s="117" t="s">
        <v>131</v>
      </c>
      <c r="C80" s="265" t="s">
        <v>47</v>
      </c>
      <c r="D80" s="265" t="s">
        <v>47</v>
      </c>
      <c r="E80" s="265" t="s">
        <v>47</v>
      </c>
      <c r="F80" s="265" t="s">
        <v>47</v>
      </c>
      <c r="G80" s="265" t="s">
        <v>47</v>
      </c>
      <c r="H80" s="265" t="s">
        <v>47</v>
      </c>
      <c r="I80" s="265" t="s">
        <v>47</v>
      </c>
      <c r="J80" s="265" t="s">
        <v>47</v>
      </c>
      <c r="K80" s="265" t="s">
        <v>47</v>
      </c>
      <c r="L80" s="265" t="s">
        <v>47</v>
      </c>
      <c r="M80" s="265" t="s">
        <v>47</v>
      </c>
      <c r="N80" s="265" t="s">
        <v>47</v>
      </c>
      <c r="O80" s="265" t="s">
        <v>47</v>
      </c>
      <c r="P80" s="265" t="s">
        <v>47</v>
      </c>
      <c r="Q80" s="265">
        <v>20</v>
      </c>
      <c r="R80" s="346">
        <v>20</v>
      </c>
      <c r="S80" s="346">
        <v>20</v>
      </c>
      <c r="T80" s="346">
        <v>20</v>
      </c>
      <c r="U80" s="591">
        <v>26</v>
      </c>
      <c r="V80" s="597">
        <v>26</v>
      </c>
      <c r="W80" s="597">
        <v>26</v>
      </c>
      <c r="X80" s="597">
        <v>26</v>
      </c>
      <c r="Y80" s="597">
        <v>26</v>
      </c>
      <c r="Z80" s="597">
        <v>26</v>
      </c>
      <c r="AA80" s="597">
        <v>26</v>
      </c>
      <c r="AB80" s="597">
        <v>26</v>
      </c>
      <c r="AC80" s="597">
        <v>26</v>
      </c>
      <c r="AD80" s="597">
        <v>26</v>
      </c>
      <c r="AE80" s="597">
        <v>26</v>
      </c>
      <c r="AF80" s="597">
        <v>26</v>
      </c>
      <c r="AG80" s="597" t="s">
        <v>47</v>
      </c>
      <c r="AH80" s="597" t="s">
        <v>47</v>
      </c>
      <c r="AI80" s="597" t="s">
        <v>47</v>
      </c>
      <c r="AJ80" s="597" t="s">
        <v>47</v>
      </c>
      <c r="AK80" s="597" t="s">
        <v>47</v>
      </c>
      <c r="AL80" s="597" t="s">
        <v>47</v>
      </c>
      <c r="AM80" s="597" t="s">
        <v>47</v>
      </c>
      <c r="AN80" s="597" t="s">
        <v>47</v>
      </c>
      <c r="AO80" s="597" t="s">
        <v>47</v>
      </c>
      <c r="AP80" s="597" t="s">
        <v>47</v>
      </c>
      <c r="AQ80" s="597" t="s">
        <v>47</v>
      </c>
      <c r="AR80" s="597" t="s">
        <v>47</v>
      </c>
      <c r="AS80" s="597" t="s">
        <v>47</v>
      </c>
    </row>
    <row r="81" spans="2:47" x14ac:dyDescent="0.25">
      <c r="B81" s="117" t="s">
        <v>134</v>
      </c>
      <c r="C81" s="265" t="s">
        <v>47</v>
      </c>
      <c r="D81" s="265" t="s">
        <v>47</v>
      </c>
      <c r="E81" s="265" t="s">
        <v>47</v>
      </c>
      <c r="F81" s="265" t="s">
        <v>47</v>
      </c>
      <c r="G81" s="265" t="s">
        <v>47</v>
      </c>
      <c r="H81" s="265" t="s">
        <v>47</v>
      </c>
      <c r="I81" s="265" t="s">
        <v>47</v>
      </c>
      <c r="J81" s="265" t="s">
        <v>47</v>
      </c>
      <c r="K81" s="265" t="s">
        <v>47</v>
      </c>
      <c r="L81" s="265" t="s">
        <v>47</v>
      </c>
      <c r="M81" s="265" t="s">
        <v>47</v>
      </c>
      <c r="N81" s="265" t="s">
        <v>47</v>
      </c>
      <c r="O81" s="265" t="s">
        <v>47</v>
      </c>
      <c r="P81" s="265" t="s">
        <v>47</v>
      </c>
      <c r="Q81" s="265" t="s">
        <v>47</v>
      </c>
      <c r="R81" s="346" t="s">
        <v>47</v>
      </c>
      <c r="S81" s="346" t="s">
        <v>47</v>
      </c>
      <c r="T81" s="346" t="s">
        <v>47</v>
      </c>
      <c r="U81" s="346" t="s">
        <v>47</v>
      </c>
      <c r="V81" s="346" t="s">
        <v>47</v>
      </c>
      <c r="W81" s="346">
        <v>24</v>
      </c>
      <c r="X81" s="346">
        <v>24</v>
      </c>
      <c r="Y81" s="346">
        <v>24</v>
      </c>
      <c r="Z81" s="346">
        <v>23</v>
      </c>
      <c r="AA81" s="346">
        <v>23</v>
      </c>
      <c r="AB81" s="346">
        <v>23</v>
      </c>
      <c r="AC81" s="690">
        <v>21</v>
      </c>
      <c r="AD81" s="597">
        <v>21</v>
      </c>
      <c r="AE81" s="597">
        <v>21</v>
      </c>
      <c r="AF81" s="698">
        <v>23</v>
      </c>
      <c r="AG81" s="597" t="s">
        <v>47</v>
      </c>
      <c r="AH81" s="597" t="s">
        <v>47</v>
      </c>
      <c r="AI81" s="597" t="s">
        <v>47</v>
      </c>
      <c r="AJ81" s="597" t="s">
        <v>47</v>
      </c>
      <c r="AK81" s="597" t="s">
        <v>47</v>
      </c>
      <c r="AL81" s="597" t="s">
        <v>47</v>
      </c>
      <c r="AM81" s="597" t="s">
        <v>47</v>
      </c>
      <c r="AN81" s="597" t="s">
        <v>47</v>
      </c>
      <c r="AO81" s="597" t="s">
        <v>47</v>
      </c>
      <c r="AP81" s="597" t="s">
        <v>47</v>
      </c>
      <c r="AQ81" s="597" t="s">
        <v>47</v>
      </c>
      <c r="AR81" s="597" t="s">
        <v>47</v>
      </c>
      <c r="AS81" s="597" t="s">
        <v>47</v>
      </c>
    </row>
    <row r="82" spans="2:47" x14ac:dyDescent="0.25">
      <c r="B82" s="117" t="s">
        <v>135</v>
      </c>
      <c r="C82" s="265" t="s">
        <v>47</v>
      </c>
      <c r="D82" s="265" t="s">
        <v>47</v>
      </c>
      <c r="E82" s="265" t="s">
        <v>47</v>
      </c>
      <c r="F82" s="265" t="s">
        <v>47</v>
      </c>
      <c r="G82" s="265" t="s">
        <v>47</v>
      </c>
      <c r="H82" s="265" t="s">
        <v>47</v>
      </c>
      <c r="I82" s="265" t="s">
        <v>47</v>
      </c>
      <c r="J82" s="265" t="s">
        <v>47</v>
      </c>
      <c r="K82" s="265" t="s">
        <v>47</v>
      </c>
      <c r="L82" s="265" t="s">
        <v>47</v>
      </c>
      <c r="M82" s="265" t="s">
        <v>47</v>
      </c>
      <c r="N82" s="265" t="s">
        <v>47</v>
      </c>
      <c r="O82" s="265" t="s">
        <v>47</v>
      </c>
      <c r="P82" s="265" t="s">
        <v>47</v>
      </c>
      <c r="Q82" s="265" t="s">
        <v>47</v>
      </c>
      <c r="R82" s="346" t="s">
        <v>47</v>
      </c>
      <c r="S82" s="346" t="s">
        <v>47</v>
      </c>
      <c r="T82" s="346">
        <v>24</v>
      </c>
      <c r="U82" s="346">
        <v>24</v>
      </c>
      <c r="V82" s="346">
        <v>24</v>
      </c>
      <c r="W82" s="346">
        <v>24</v>
      </c>
      <c r="X82" s="346">
        <v>24</v>
      </c>
      <c r="Y82" s="346">
        <v>24</v>
      </c>
      <c r="Z82" s="591">
        <v>27</v>
      </c>
      <c r="AA82" s="346">
        <v>27</v>
      </c>
      <c r="AB82" s="346">
        <v>27</v>
      </c>
      <c r="AC82" s="690">
        <v>26</v>
      </c>
      <c r="AD82" s="597">
        <v>26</v>
      </c>
      <c r="AE82" s="597">
        <v>26</v>
      </c>
      <c r="AF82" s="597" t="s">
        <v>47</v>
      </c>
      <c r="AG82" s="597" t="s">
        <v>47</v>
      </c>
      <c r="AH82" s="597" t="s">
        <v>47</v>
      </c>
      <c r="AI82" s="597" t="s">
        <v>47</v>
      </c>
      <c r="AJ82" s="597" t="s">
        <v>47</v>
      </c>
      <c r="AK82" s="597" t="s">
        <v>47</v>
      </c>
      <c r="AL82" s="597" t="s">
        <v>47</v>
      </c>
      <c r="AM82" s="597" t="s">
        <v>47</v>
      </c>
      <c r="AN82" s="597" t="s">
        <v>47</v>
      </c>
      <c r="AO82" s="597" t="s">
        <v>47</v>
      </c>
      <c r="AP82" s="597" t="s">
        <v>47</v>
      </c>
      <c r="AQ82" s="597" t="s">
        <v>47</v>
      </c>
      <c r="AR82" s="597" t="s">
        <v>47</v>
      </c>
      <c r="AS82" s="597" t="s">
        <v>47</v>
      </c>
    </row>
    <row r="83" spans="2:47" x14ac:dyDescent="0.25">
      <c r="B83" s="117" t="s">
        <v>142</v>
      </c>
      <c r="C83" s="265" t="s">
        <v>47</v>
      </c>
      <c r="D83" s="265" t="s">
        <v>47</v>
      </c>
      <c r="E83" s="265" t="s">
        <v>47</v>
      </c>
      <c r="F83" s="265" t="s">
        <v>47</v>
      </c>
      <c r="G83" s="265" t="s">
        <v>47</v>
      </c>
      <c r="H83" s="265" t="s">
        <v>47</v>
      </c>
      <c r="I83" s="265" t="s">
        <v>47</v>
      </c>
      <c r="J83" s="265" t="s">
        <v>47</v>
      </c>
      <c r="K83" s="265" t="s">
        <v>47</v>
      </c>
      <c r="L83" s="265" t="s">
        <v>47</v>
      </c>
      <c r="M83" s="265" t="s">
        <v>47</v>
      </c>
      <c r="N83" s="265" t="s">
        <v>47</v>
      </c>
      <c r="O83" s="265" t="s">
        <v>47</v>
      </c>
      <c r="P83" s="265" t="s">
        <v>47</v>
      </c>
      <c r="Q83" s="353">
        <v>22.5</v>
      </c>
      <c r="R83" s="353">
        <v>22.5</v>
      </c>
      <c r="S83" s="353">
        <v>22.5</v>
      </c>
      <c r="T83" s="353">
        <v>22.5</v>
      </c>
      <c r="U83" s="353">
        <v>22.5</v>
      </c>
      <c r="V83" s="353">
        <v>22.5</v>
      </c>
      <c r="W83" s="591">
        <v>26</v>
      </c>
      <c r="X83" s="597">
        <v>26</v>
      </c>
      <c r="Y83" s="597">
        <v>26</v>
      </c>
      <c r="Z83" s="597">
        <v>26</v>
      </c>
      <c r="AA83" s="597">
        <v>26</v>
      </c>
      <c r="AB83" s="597">
        <v>26</v>
      </c>
      <c r="AC83" s="597">
        <v>26</v>
      </c>
      <c r="AD83" s="597">
        <v>26</v>
      </c>
      <c r="AE83" s="597">
        <v>26</v>
      </c>
      <c r="AF83" s="597">
        <v>26</v>
      </c>
      <c r="AG83" s="597" t="s">
        <v>47</v>
      </c>
      <c r="AH83" s="597" t="s">
        <v>47</v>
      </c>
      <c r="AI83" s="597" t="s">
        <v>47</v>
      </c>
      <c r="AJ83" s="597" t="s">
        <v>47</v>
      </c>
      <c r="AK83" s="597" t="s">
        <v>47</v>
      </c>
      <c r="AL83" s="597" t="s">
        <v>47</v>
      </c>
      <c r="AM83" s="597" t="s">
        <v>47</v>
      </c>
      <c r="AN83" s="597" t="s">
        <v>47</v>
      </c>
      <c r="AO83" s="597" t="s">
        <v>47</v>
      </c>
      <c r="AP83" s="597" t="s">
        <v>47</v>
      </c>
      <c r="AQ83" s="597" t="s">
        <v>47</v>
      </c>
      <c r="AR83" s="597" t="s">
        <v>47</v>
      </c>
      <c r="AS83" s="597" t="s">
        <v>47</v>
      </c>
    </row>
    <row r="84" spans="2:47" x14ac:dyDescent="0.25">
      <c r="B84" s="117" t="s">
        <v>136</v>
      </c>
      <c r="C84" s="265" t="s">
        <v>47</v>
      </c>
      <c r="D84" s="265" t="s">
        <v>47</v>
      </c>
      <c r="E84" s="265" t="s">
        <v>47</v>
      </c>
      <c r="F84" s="265" t="s">
        <v>47</v>
      </c>
      <c r="G84" s="265" t="s">
        <v>47</v>
      </c>
      <c r="H84" s="265" t="s">
        <v>47</v>
      </c>
      <c r="I84" s="265" t="s">
        <v>47</v>
      </c>
      <c r="J84" s="265" t="s">
        <v>47</v>
      </c>
      <c r="K84" s="265" t="s">
        <v>47</v>
      </c>
      <c r="L84" s="265" t="s">
        <v>47</v>
      </c>
      <c r="M84" s="265" t="s">
        <v>47</v>
      </c>
      <c r="N84" s="265" t="s">
        <v>47</v>
      </c>
      <c r="O84" s="265" t="s">
        <v>47</v>
      </c>
      <c r="P84" s="265" t="s">
        <v>47</v>
      </c>
      <c r="Q84" s="265">
        <v>19.5</v>
      </c>
      <c r="R84" s="265">
        <v>19.5</v>
      </c>
      <c r="S84" s="265">
        <v>19.5</v>
      </c>
      <c r="T84" s="265">
        <v>19.5</v>
      </c>
      <c r="U84" s="265">
        <v>19.5</v>
      </c>
      <c r="V84" s="591">
        <v>27</v>
      </c>
      <c r="W84" s="597">
        <v>27</v>
      </c>
      <c r="X84" s="597">
        <v>27</v>
      </c>
      <c r="Y84" s="597">
        <v>27</v>
      </c>
      <c r="Z84" s="597">
        <v>27</v>
      </c>
      <c r="AA84" s="597">
        <v>27</v>
      </c>
      <c r="AB84" s="597">
        <v>27</v>
      </c>
      <c r="AC84" s="597">
        <v>27</v>
      </c>
      <c r="AD84" s="597" t="s">
        <v>47</v>
      </c>
      <c r="AE84" s="597" t="s">
        <v>47</v>
      </c>
      <c r="AF84" s="597" t="s">
        <v>47</v>
      </c>
      <c r="AG84" s="597" t="s">
        <v>47</v>
      </c>
      <c r="AH84" s="597" t="s">
        <v>47</v>
      </c>
      <c r="AI84" s="597" t="s">
        <v>47</v>
      </c>
      <c r="AJ84" s="597" t="s">
        <v>47</v>
      </c>
      <c r="AK84" s="597" t="s">
        <v>47</v>
      </c>
      <c r="AL84" s="597" t="s">
        <v>47</v>
      </c>
      <c r="AM84" s="597" t="s">
        <v>47</v>
      </c>
      <c r="AN84" s="597" t="s">
        <v>47</v>
      </c>
      <c r="AO84" s="597" t="s">
        <v>47</v>
      </c>
      <c r="AP84" s="597" t="s">
        <v>47</v>
      </c>
      <c r="AQ84" s="597" t="s">
        <v>47</v>
      </c>
      <c r="AR84" s="597" t="s">
        <v>47</v>
      </c>
      <c r="AS84" s="597" t="s">
        <v>47</v>
      </c>
    </row>
    <row r="85" spans="2:47" customFormat="1" x14ac:dyDescent="0.25">
      <c r="B85" s="279" t="s">
        <v>381</v>
      </c>
      <c r="C85" s="280" t="str">
        <f t="shared" ref="C85:Q85" si="85">IFERROR(AVERAGE(C80:C84),"-")</f>
        <v>-</v>
      </c>
      <c r="D85" s="280" t="str">
        <f t="shared" si="85"/>
        <v>-</v>
      </c>
      <c r="E85" s="280" t="str">
        <f t="shared" si="85"/>
        <v>-</v>
      </c>
      <c r="F85" s="280" t="str">
        <f t="shared" si="85"/>
        <v>-</v>
      </c>
      <c r="G85" s="280" t="str">
        <f t="shared" si="85"/>
        <v>-</v>
      </c>
      <c r="H85" s="280" t="str">
        <f t="shared" si="85"/>
        <v>-</v>
      </c>
      <c r="I85" s="280" t="str">
        <f t="shared" si="85"/>
        <v>-</v>
      </c>
      <c r="J85" s="280" t="str">
        <f t="shared" si="85"/>
        <v>-</v>
      </c>
      <c r="K85" s="280" t="str">
        <f t="shared" si="85"/>
        <v>-</v>
      </c>
      <c r="L85" s="280" t="str">
        <f t="shared" si="85"/>
        <v>-</v>
      </c>
      <c r="M85" s="280" t="str">
        <f t="shared" si="85"/>
        <v>-</v>
      </c>
      <c r="N85" s="280" t="str">
        <f t="shared" si="85"/>
        <v>-</v>
      </c>
      <c r="O85" s="280" t="str">
        <f t="shared" si="85"/>
        <v>-</v>
      </c>
      <c r="P85" s="280" t="str">
        <f t="shared" si="85"/>
        <v>-</v>
      </c>
      <c r="Q85" s="280">
        <f t="shared" si="85"/>
        <v>20.666666666666668</v>
      </c>
      <c r="R85" s="347">
        <f t="shared" ref="R85:AF85" si="86">IFERROR(AVERAGE(R80:R84),"-")</f>
        <v>20.666666666666668</v>
      </c>
      <c r="S85" s="347">
        <f t="shared" si="86"/>
        <v>20.666666666666668</v>
      </c>
      <c r="T85" s="347">
        <f t="shared" si="86"/>
        <v>21.5</v>
      </c>
      <c r="U85" s="347">
        <f t="shared" si="86"/>
        <v>23</v>
      </c>
      <c r="V85" s="347">
        <f t="shared" si="86"/>
        <v>24.875</v>
      </c>
      <c r="W85" s="347">
        <f t="shared" si="86"/>
        <v>25.4</v>
      </c>
      <c r="X85" s="347">
        <f t="shared" si="86"/>
        <v>25.4</v>
      </c>
      <c r="Y85" s="347">
        <f t="shared" si="86"/>
        <v>25.4</v>
      </c>
      <c r="Z85" s="347">
        <f t="shared" si="86"/>
        <v>25.8</v>
      </c>
      <c r="AA85" s="347">
        <f t="shared" si="86"/>
        <v>25.8</v>
      </c>
      <c r="AB85" s="347">
        <f t="shared" si="86"/>
        <v>25.8</v>
      </c>
      <c r="AC85" s="347">
        <f t="shared" si="86"/>
        <v>25.2</v>
      </c>
      <c r="AD85" s="347">
        <f t="shared" si="86"/>
        <v>24.75</v>
      </c>
      <c r="AE85" s="347">
        <f t="shared" si="86"/>
        <v>24.75</v>
      </c>
      <c r="AF85" s="347">
        <f t="shared" si="86"/>
        <v>25</v>
      </c>
      <c r="AG85" s="347" t="str">
        <f t="shared" ref="AG85:AL85" si="87">IFERROR(AVERAGE(AG80:AG84),"-")</f>
        <v>-</v>
      </c>
      <c r="AH85" s="347" t="str">
        <f t="shared" si="87"/>
        <v>-</v>
      </c>
      <c r="AI85" s="347" t="str">
        <f t="shared" si="87"/>
        <v>-</v>
      </c>
      <c r="AJ85" s="347" t="str">
        <f t="shared" si="87"/>
        <v>-</v>
      </c>
      <c r="AK85" s="347" t="str">
        <f t="shared" si="87"/>
        <v>-</v>
      </c>
      <c r="AL85" s="347" t="str">
        <f t="shared" si="87"/>
        <v>-</v>
      </c>
      <c r="AM85" s="347" t="str">
        <f t="shared" ref="AM85:AR85" si="88">IFERROR(AVERAGE(AM80:AM84),"-")</f>
        <v>-</v>
      </c>
      <c r="AN85" s="347" t="str">
        <f t="shared" si="88"/>
        <v>-</v>
      </c>
      <c r="AO85" s="347" t="str">
        <f t="shared" si="88"/>
        <v>-</v>
      </c>
      <c r="AP85" s="347" t="str">
        <f t="shared" si="88"/>
        <v>-</v>
      </c>
      <c r="AQ85" s="347" t="str">
        <f t="shared" si="88"/>
        <v>-</v>
      </c>
      <c r="AR85" s="347" t="str">
        <f t="shared" si="88"/>
        <v>-</v>
      </c>
      <c r="AS85" s="347" t="str">
        <f>IFERROR(AVERAGE(AS80:AS84),"-")</f>
        <v>-</v>
      </c>
      <c r="AT85" s="263"/>
      <c r="AU85" s="263"/>
    </row>
    <row r="86" spans="2:47" x14ac:dyDescent="0.25">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row>
    <row r="87" spans="2:47" x14ac:dyDescent="0.25">
      <c r="B87" s="113" t="s">
        <v>382</v>
      </c>
      <c r="C87" s="264" t="str">
        <f t="shared" ref="C87:AS87" si="89">+C$147</f>
        <v>Jun-16</v>
      </c>
      <c r="D87" s="264" t="str">
        <f t="shared" si="89"/>
        <v>Jul-16</v>
      </c>
      <c r="E87" s="264" t="str">
        <f t="shared" si="89"/>
        <v>Aug-16</v>
      </c>
      <c r="F87" s="264" t="str">
        <f t="shared" si="89"/>
        <v>Sep-16</v>
      </c>
      <c r="G87" s="264" t="str">
        <f t="shared" si="89"/>
        <v>Oct-16</v>
      </c>
      <c r="H87" s="264" t="str">
        <f t="shared" si="89"/>
        <v>Nov-16</v>
      </c>
      <c r="I87" s="264" t="str">
        <f t="shared" si="89"/>
        <v>Dec-16</v>
      </c>
      <c r="J87" s="264" t="str">
        <f t="shared" si="89"/>
        <v>Jan-17</v>
      </c>
      <c r="K87" s="264" t="str">
        <f t="shared" si="89"/>
        <v>Feb-17</v>
      </c>
      <c r="L87" s="264" t="str">
        <f t="shared" si="89"/>
        <v>Mar-17</v>
      </c>
      <c r="M87" s="264" t="str">
        <f t="shared" si="89"/>
        <v>Apr-17</v>
      </c>
      <c r="N87" s="264" t="str">
        <f t="shared" si="89"/>
        <v>May-17</v>
      </c>
      <c r="O87" s="264" t="str">
        <f t="shared" si="89"/>
        <v>Jun-17</v>
      </c>
      <c r="P87" s="264" t="str">
        <f t="shared" si="89"/>
        <v>Jul-17</v>
      </c>
      <c r="Q87" s="264" t="str">
        <f t="shared" si="89"/>
        <v>Aug-17</v>
      </c>
      <c r="R87" s="264" t="str">
        <f t="shared" si="89"/>
        <v>Sep-17</v>
      </c>
      <c r="S87" s="264" t="str">
        <f t="shared" si="89"/>
        <v>Oct-17</v>
      </c>
      <c r="T87" s="264" t="str">
        <f t="shared" si="89"/>
        <v>Nov-17</v>
      </c>
      <c r="U87" s="264" t="str">
        <f t="shared" si="89"/>
        <v>Dec-17</v>
      </c>
      <c r="V87" s="264" t="str">
        <f t="shared" si="89"/>
        <v>Jan-18</v>
      </c>
      <c r="W87" s="264" t="str">
        <f t="shared" si="89"/>
        <v>Feb-18</v>
      </c>
      <c r="X87" s="264" t="str">
        <f t="shared" si="89"/>
        <v>Mar-18</v>
      </c>
      <c r="Y87" s="264" t="str">
        <f t="shared" si="89"/>
        <v>Apr-18</v>
      </c>
      <c r="Z87" s="264" t="str">
        <f t="shared" si="89"/>
        <v>May-18</v>
      </c>
      <c r="AA87" s="264" t="str">
        <f t="shared" si="89"/>
        <v>Jun-18</v>
      </c>
      <c r="AB87" s="264" t="str">
        <f t="shared" si="89"/>
        <v>Jul-18</v>
      </c>
      <c r="AC87" s="264" t="str">
        <f t="shared" si="89"/>
        <v>Aug-18</v>
      </c>
      <c r="AD87" s="264" t="str">
        <f t="shared" si="89"/>
        <v>Sep-18</v>
      </c>
      <c r="AE87" s="264" t="str">
        <f t="shared" si="89"/>
        <v>Oct-18</v>
      </c>
      <c r="AF87" s="264" t="str">
        <f t="shared" si="89"/>
        <v>Nov-18</v>
      </c>
      <c r="AG87" s="264" t="str">
        <f t="shared" si="89"/>
        <v>Dec-18</v>
      </c>
      <c r="AH87" s="264" t="str">
        <f t="shared" si="89"/>
        <v>Jan-19</v>
      </c>
      <c r="AI87" s="264" t="str">
        <f t="shared" si="89"/>
        <v>Feb-19</v>
      </c>
      <c r="AJ87" s="264" t="str">
        <f t="shared" si="89"/>
        <v>Mar-19</v>
      </c>
      <c r="AK87" s="264" t="str">
        <f t="shared" si="89"/>
        <v>Apr-19</v>
      </c>
      <c r="AL87" s="264" t="str">
        <f t="shared" si="89"/>
        <v>May-19</v>
      </c>
      <c r="AM87" s="264" t="str">
        <f t="shared" si="89"/>
        <v>Jun-19</v>
      </c>
      <c r="AN87" s="264" t="str">
        <f t="shared" si="89"/>
        <v>Jul-19</v>
      </c>
      <c r="AO87" s="264" t="str">
        <f t="shared" si="89"/>
        <v>Aug-19</v>
      </c>
      <c r="AP87" s="264" t="str">
        <f t="shared" si="89"/>
        <v>Sep-19</v>
      </c>
      <c r="AQ87" s="264" t="str">
        <f t="shared" si="89"/>
        <v>Oct-19</v>
      </c>
      <c r="AR87" s="264" t="str">
        <f t="shared" si="89"/>
        <v>Nov-19</v>
      </c>
      <c r="AS87" s="264" t="str">
        <f t="shared" si="89"/>
        <v>Dec-19</v>
      </c>
    </row>
    <row r="88" spans="2:47" x14ac:dyDescent="0.25">
      <c r="B88" s="117" t="s">
        <v>131</v>
      </c>
      <c r="C88" s="266" t="s">
        <v>47</v>
      </c>
      <c r="D88" s="266" t="s">
        <v>47</v>
      </c>
      <c r="E88" s="266" t="s">
        <v>47</v>
      </c>
      <c r="F88" s="338">
        <v>1176</v>
      </c>
      <c r="G88" s="338">
        <v>1176</v>
      </c>
      <c r="H88" s="338">
        <v>1176</v>
      </c>
      <c r="I88" s="338">
        <v>1176</v>
      </c>
      <c r="J88" s="338">
        <v>1176</v>
      </c>
      <c r="K88" s="338">
        <v>1176</v>
      </c>
      <c r="L88" s="338">
        <v>1176</v>
      </c>
      <c r="M88" s="338">
        <v>1176</v>
      </c>
      <c r="N88" s="338">
        <v>1176</v>
      </c>
      <c r="O88" s="338">
        <v>1176</v>
      </c>
      <c r="P88" s="338">
        <v>1176</v>
      </c>
      <c r="Q88" s="342">
        <v>1138</v>
      </c>
      <c r="R88" s="348">
        <v>1138</v>
      </c>
      <c r="S88" s="348">
        <v>1138</v>
      </c>
      <c r="T88" s="348">
        <v>1138</v>
      </c>
      <c r="U88" s="343">
        <v>1240</v>
      </c>
      <c r="V88" s="592">
        <v>1240</v>
      </c>
      <c r="W88" s="592">
        <v>1240</v>
      </c>
      <c r="X88" s="592">
        <v>1240</v>
      </c>
      <c r="Y88" s="592">
        <v>1240</v>
      </c>
      <c r="Z88" s="592">
        <v>1240</v>
      </c>
      <c r="AA88" s="592">
        <v>1240</v>
      </c>
      <c r="AB88" s="592">
        <v>1240</v>
      </c>
      <c r="AC88" s="592">
        <v>1240</v>
      </c>
      <c r="AD88" s="592">
        <v>1240</v>
      </c>
      <c r="AE88" s="592">
        <v>1240</v>
      </c>
      <c r="AF88" s="592">
        <v>1240</v>
      </c>
      <c r="AG88" s="592" t="s">
        <v>47</v>
      </c>
      <c r="AH88" s="592" t="s">
        <v>47</v>
      </c>
      <c r="AI88" s="592" t="s">
        <v>47</v>
      </c>
      <c r="AJ88" s="592" t="s">
        <v>47</v>
      </c>
      <c r="AK88" s="592" t="s">
        <v>47</v>
      </c>
      <c r="AL88" s="592" t="s">
        <v>47</v>
      </c>
      <c r="AM88" s="592" t="s">
        <v>47</v>
      </c>
      <c r="AN88" s="592" t="s">
        <v>47</v>
      </c>
      <c r="AO88" s="592" t="s">
        <v>47</v>
      </c>
      <c r="AP88" s="592" t="s">
        <v>47</v>
      </c>
      <c r="AQ88" s="592" t="s">
        <v>47</v>
      </c>
      <c r="AR88" s="592" t="s">
        <v>47</v>
      </c>
      <c r="AS88" s="592" t="s">
        <v>47</v>
      </c>
    </row>
    <row r="89" spans="2:47" x14ac:dyDescent="0.25">
      <c r="B89" s="117" t="s">
        <v>134</v>
      </c>
      <c r="C89" s="266" t="s">
        <v>47</v>
      </c>
      <c r="D89" s="266" t="s">
        <v>47</v>
      </c>
      <c r="E89" s="266" t="s">
        <v>47</v>
      </c>
      <c r="F89" s="266" t="s">
        <v>47</v>
      </c>
      <c r="G89" s="266" t="s">
        <v>47</v>
      </c>
      <c r="H89" s="266">
        <v>1091</v>
      </c>
      <c r="I89" s="266">
        <v>1091</v>
      </c>
      <c r="J89" s="338">
        <v>1091</v>
      </c>
      <c r="K89" s="338">
        <v>1091</v>
      </c>
      <c r="L89" s="338">
        <v>1091</v>
      </c>
      <c r="M89" s="343">
        <v>1093</v>
      </c>
      <c r="N89" s="338">
        <v>1093</v>
      </c>
      <c r="O89" s="338">
        <v>1093</v>
      </c>
      <c r="P89" s="338">
        <v>1093</v>
      </c>
      <c r="Q89" s="343">
        <v>1120</v>
      </c>
      <c r="R89" s="348">
        <v>1120</v>
      </c>
      <c r="S89" s="348">
        <v>1120</v>
      </c>
      <c r="T89" s="348">
        <v>1120</v>
      </c>
      <c r="U89" s="348">
        <v>1120</v>
      </c>
      <c r="V89" s="348">
        <f>+U89</f>
        <v>1120</v>
      </c>
      <c r="W89" s="343">
        <v>1155</v>
      </c>
      <c r="X89" s="348">
        <v>1155</v>
      </c>
      <c r="Y89" s="348">
        <v>1155</v>
      </c>
      <c r="Z89" s="343">
        <v>1202</v>
      </c>
      <c r="AA89" s="592">
        <v>1202</v>
      </c>
      <c r="AB89" s="592">
        <v>1202</v>
      </c>
      <c r="AC89" s="592">
        <v>1202</v>
      </c>
      <c r="AD89" s="592">
        <v>1202</v>
      </c>
      <c r="AE89" s="592">
        <v>1202</v>
      </c>
      <c r="AF89" s="697">
        <v>1236</v>
      </c>
      <c r="AG89" s="592" t="s">
        <v>47</v>
      </c>
      <c r="AH89" s="592" t="s">
        <v>47</v>
      </c>
      <c r="AI89" s="592" t="s">
        <v>47</v>
      </c>
      <c r="AJ89" s="592" t="s">
        <v>47</v>
      </c>
      <c r="AK89" s="592" t="s">
        <v>47</v>
      </c>
      <c r="AL89" s="592" t="s">
        <v>47</v>
      </c>
      <c r="AM89" s="592" t="s">
        <v>47</v>
      </c>
      <c r="AN89" s="592" t="s">
        <v>47</v>
      </c>
      <c r="AO89" s="592" t="s">
        <v>47</v>
      </c>
      <c r="AP89" s="592" t="s">
        <v>47</v>
      </c>
      <c r="AQ89" s="592" t="s">
        <v>47</v>
      </c>
      <c r="AR89" s="592" t="s">
        <v>47</v>
      </c>
      <c r="AS89" s="592" t="s">
        <v>47</v>
      </c>
    </row>
    <row r="90" spans="2:47" x14ac:dyDescent="0.25">
      <c r="B90" s="117" t="s">
        <v>135</v>
      </c>
      <c r="C90" s="266" t="s">
        <v>47</v>
      </c>
      <c r="D90" s="266" t="s">
        <v>47</v>
      </c>
      <c r="E90" s="266" t="s">
        <v>47</v>
      </c>
      <c r="F90" s="266" t="s">
        <v>47</v>
      </c>
      <c r="G90" s="266" t="s">
        <v>47</v>
      </c>
      <c r="H90" s="338">
        <v>1093</v>
      </c>
      <c r="I90" s="338">
        <v>1093</v>
      </c>
      <c r="J90" s="338">
        <v>1093</v>
      </c>
      <c r="K90" s="338">
        <v>1093</v>
      </c>
      <c r="L90" s="338">
        <v>1093</v>
      </c>
      <c r="M90" s="338">
        <v>1093</v>
      </c>
      <c r="N90" s="338">
        <v>1093</v>
      </c>
      <c r="O90" s="338">
        <v>1093</v>
      </c>
      <c r="P90" s="338">
        <v>1093</v>
      </c>
      <c r="Q90" s="338">
        <v>1093</v>
      </c>
      <c r="R90" s="348">
        <v>1093</v>
      </c>
      <c r="S90" s="348">
        <v>1093</v>
      </c>
      <c r="T90" s="343">
        <v>1226</v>
      </c>
      <c r="U90" s="592">
        <v>1226</v>
      </c>
      <c r="V90" s="592">
        <v>1226</v>
      </c>
      <c r="W90" s="592">
        <v>1226</v>
      </c>
      <c r="X90" s="592">
        <v>1226</v>
      </c>
      <c r="Y90" s="592">
        <v>1226</v>
      </c>
      <c r="Z90" s="592">
        <v>1226</v>
      </c>
      <c r="AA90" s="592">
        <v>1226</v>
      </c>
      <c r="AB90" s="592">
        <v>1226</v>
      </c>
      <c r="AC90" s="592">
        <v>1226</v>
      </c>
      <c r="AD90" s="592">
        <v>1226</v>
      </c>
      <c r="AE90" s="592">
        <v>1226</v>
      </c>
      <c r="AF90" s="697">
        <v>1252</v>
      </c>
      <c r="AG90" s="592" t="s">
        <v>47</v>
      </c>
      <c r="AH90" s="592" t="s">
        <v>47</v>
      </c>
      <c r="AI90" s="592" t="s">
        <v>47</v>
      </c>
      <c r="AJ90" s="592" t="s">
        <v>47</v>
      </c>
      <c r="AK90" s="592" t="s">
        <v>47</v>
      </c>
      <c r="AL90" s="592" t="s">
        <v>47</v>
      </c>
      <c r="AM90" s="592" t="s">
        <v>47</v>
      </c>
      <c r="AN90" s="592" t="s">
        <v>47</v>
      </c>
      <c r="AO90" s="592" t="s">
        <v>47</v>
      </c>
      <c r="AP90" s="592" t="s">
        <v>47</v>
      </c>
      <c r="AQ90" s="592" t="s">
        <v>47</v>
      </c>
      <c r="AR90" s="592" t="s">
        <v>47</v>
      </c>
      <c r="AS90" s="592" t="s">
        <v>47</v>
      </c>
    </row>
    <row r="91" spans="2:47" x14ac:dyDescent="0.25">
      <c r="B91" s="117" t="s">
        <v>142</v>
      </c>
      <c r="C91" s="265" t="s">
        <v>47</v>
      </c>
      <c r="D91" s="265" t="s">
        <v>47</v>
      </c>
      <c r="E91" s="265" t="s">
        <v>47</v>
      </c>
      <c r="F91" s="265" t="s">
        <v>47</v>
      </c>
      <c r="G91" s="265" t="s">
        <v>47</v>
      </c>
      <c r="H91" s="265" t="s">
        <v>47</v>
      </c>
      <c r="I91" s="265" t="s">
        <v>47</v>
      </c>
      <c r="J91" s="338" t="s">
        <v>47</v>
      </c>
      <c r="K91" s="338" t="s">
        <v>47</v>
      </c>
      <c r="L91" s="338" t="s">
        <v>47</v>
      </c>
      <c r="M91" s="338" t="s">
        <v>47</v>
      </c>
      <c r="N91" s="338"/>
      <c r="O91" s="338">
        <v>1283</v>
      </c>
      <c r="P91" s="338">
        <v>1283</v>
      </c>
      <c r="Q91" s="338">
        <v>1283</v>
      </c>
      <c r="R91" s="343">
        <v>1285</v>
      </c>
      <c r="S91" s="348">
        <v>1285</v>
      </c>
      <c r="T91" s="348">
        <v>1285</v>
      </c>
      <c r="U91" s="348">
        <v>1285</v>
      </c>
      <c r="V91" s="348">
        <v>1285</v>
      </c>
      <c r="W91" s="343">
        <v>1338</v>
      </c>
      <c r="X91" s="592">
        <v>1338</v>
      </c>
      <c r="Y91" s="592">
        <v>1338</v>
      </c>
      <c r="Z91" s="592">
        <v>1338</v>
      </c>
      <c r="AA91" s="592">
        <v>1338</v>
      </c>
      <c r="AB91" s="592">
        <v>1338</v>
      </c>
      <c r="AC91" s="592">
        <v>1338</v>
      </c>
      <c r="AD91" s="592">
        <v>1338</v>
      </c>
      <c r="AE91" s="592">
        <v>1338</v>
      </c>
      <c r="AF91" s="592">
        <v>1338</v>
      </c>
      <c r="AG91" s="592" t="s">
        <v>47</v>
      </c>
      <c r="AH91" s="592" t="s">
        <v>47</v>
      </c>
      <c r="AI91" s="592" t="s">
        <v>47</v>
      </c>
      <c r="AJ91" s="592" t="s">
        <v>47</v>
      </c>
      <c r="AK91" s="592" t="s">
        <v>47</v>
      </c>
      <c r="AL91" s="592" t="s">
        <v>47</v>
      </c>
      <c r="AM91" s="592" t="s">
        <v>47</v>
      </c>
      <c r="AN91" s="592" t="s">
        <v>47</v>
      </c>
      <c r="AO91" s="592" t="s">
        <v>47</v>
      </c>
      <c r="AP91" s="592" t="s">
        <v>47</v>
      </c>
      <c r="AQ91" s="592" t="s">
        <v>47</v>
      </c>
      <c r="AR91" s="592" t="s">
        <v>47</v>
      </c>
      <c r="AS91" s="592" t="s">
        <v>47</v>
      </c>
    </row>
    <row r="92" spans="2:47" x14ac:dyDescent="0.25">
      <c r="B92" s="117" t="s">
        <v>136</v>
      </c>
      <c r="C92" s="266" t="s">
        <v>47</v>
      </c>
      <c r="D92" s="266" t="s">
        <v>47</v>
      </c>
      <c r="E92" s="266" t="s">
        <v>47</v>
      </c>
      <c r="F92" s="266" t="s">
        <v>47</v>
      </c>
      <c r="G92" s="338">
        <v>1229</v>
      </c>
      <c r="H92" s="338">
        <v>1229</v>
      </c>
      <c r="I92" s="338">
        <v>1229</v>
      </c>
      <c r="J92" s="338">
        <v>1229</v>
      </c>
      <c r="K92" s="338">
        <v>1229</v>
      </c>
      <c r="L92" s="342">
        <v>1081</v>
      </c>
      <c r="M92" s="338">
        <v>1081</v>
      </c>
      <c r="N92" s="338">
        <v>1081</v>
      </c>
      <c r="O92" s="338">
        <v>1081</v>
      </c>
      <c r="P92" s="338">
        <v>1081</v>
      </c>
      <c r="Q92" s="343">
        <v>1118</v>
      </c>
      <c r="R92" s="348">
        <v>1118</v>
      </c>
      <c r="S92" s="348">
        <v>1118</v>
      </c>
      <c r="T92" s="348">
        <v>1118</v>
      </c>
      <c r="U92" s="348">
        <v>1118</v>
      </c>
      <c r="V92" s="343">
        <v>1241</v>
      </c>
      <c r="W92" s="592">
        <v>1241</v>
      </c>
      <c r="X92" s="592">
        <v>1241</v>
      </c>
      <c r="Y92" s="592">
        <v>1241</v>
      </c>
      <c r="Z92" s="592">
        <v>1241</v>
      </c>
      <c r="AA92" s="592">
        <v>1241</v>
      </c>
      <c r="AB92" s="592">
        <v>1241</v>
      </c>
      <c r="AC92" s="592">
        <v>1241</v>
      </c>
      <c r="AD92" s="342">
        <v>1207</v>
      </c>
      <c r="AE92" s="592">
        <v>1207</v>
      </c>
      <c r="AF92" s="592">
        <v>1207</v>
      </c>
      <c r="AG92" s="592" t="s">
        <v>47</v>
      </c>
      <c r="AH92" s="592" t="s">
        <v>47</v>
      </c>
      <c r="AI92" s="592" t="s">
        <v>47</v>
      </c>
      <c r="AJ92" s="592" t="s">
        <v>47</v>
      </c>
      <c r="AK92" s="592" t="s">
        <v>47</v>
      </c>
      <c r="AL92" s="592" t="s">
        <v>47</v>
      </c>
      <c r="AM92" s="592" t="s">
        <v>47</v>
      </c>
      <c r="AN92" s="592" t="s">
        <v>47</v>
      </c>
      <c r="AO92" s="592" t="s">
        <v>47</v>
      </c>
      <c r="AP92" s="592" t="s">
        <v>47</v>
      </c>
      <c r="AQ92" s="592" t="s">
        <v>47</v>
      </c>
      <c r="AR92" s="592" t="s">
        <v>47</v>
      </c>
      <c r="AS92" s="592" t="s">
        <v>47</v>
      </c>
    </row>
    <row r="93" spans="2:47" customFormat="1" ht="12.75" x14ac:dyDescent="0.2">
      <c r="B93" s="279" t="s">
        <v>381</v>
      </c>
      <c r="C93" s="328" t="str">
        <f t="shared" ref="C93:Q93" si="90">IFERROR(AVERAGE(C88:C92),"-")</f>
        <v>-</v>
      </c>
      <c r="D93" s="328" t="str">
        <f t="shared" si="90"/>
        <v>-</v>
      </c>
      <c r="E93" s="328" t="str">
        <f t="shared" si="90"/>
        <v>-</v>
      </c>
      <c r="F93" s="328">
        <f t="shared" si="90"/>
        <v>1176</v>
      </c>
      <c r="G93" s="328">
        <f t="shared" si="90"/>
        <v>1202.5</v>
      </c>
      <c r="H93" s="328">
        <f t="shared" si="90"/>
        <v>1147.25</v>
      </c>
      <c r="I93" s="328">
        <f t="shared" si="90"/>
        <v>1147.25</v>
      </c>
      <c r="J93" s="339">
        <f t="shared" si="90"/>
        <v>1147.25</v>
      </c>
      <c r="K93" s="339">
        <f t="shared" si="90"/>
        <v>1147.25</v>
      </c>
      <c r="L93" s="339">
        <f t="shared" si="90"/>
        <v>1110.25</v>
      </c>
      <c r="M93" s="339">
        <f t="shared" si="90"/>
        <v>1110.75</v>
      </c>
      <c r="N93" s="339">
        <f t="shared" si="90"/>
        <v>1110.75</v>
      </c>
      <c r="O93" s="339">
        <f t="shared" si="90"/>
        <v>1145.2</v>
      </c>
      <c r="P93" s="339">
        <f t="shared" si="90"/>
        <v>1145.2</v>
      </c>
      <c r="Q93" s="339">
        <f t="shared" si="90"/>
        <v>1150.4000000000001</v>
      </c>
      <c r="R93" s="349">
        <f t="shared" ref="R93:AF93" si="91">IFERROR(AVERAGE(R88:R92),"-")</f>
        <v>1150.8</v>
      </c>
      <c r="S93" s="349">
        <f t="shared" si="91"/>
        <v>1150.8</v>
      </c>
      <c r="T93" s="349">
        <f t="shared" si="91"/>
        <v>1177.4000000000001</v>
      </c>
      <c r="U93" s="349">
        <f t="shared" si="91"/>
        <v>1197.8</v>
      </c>
      <c r="V93" s="349">
        <f t="shared" si="91"/>
        <v>1222.4000000000001</v>
      </c>
      <c r="W93" s="349">
        <f t="shared" si="91"/>
        <v>1240</v>
      </c>
      <c r="X93" s="349">
        <f t="shared" si="91"/>
        <v>1240</v>
      </c>
      <c r="Y93" s="349">
        <f t="shared" si="91"/>
        <v>1240</v>
      </c>
      <c r="Z93" s="349">
        <f t="shared" si="91"/>
        <v>1249.4000000000001</v>
      </c>
      <c r="AA93" s="349">
        <f t="shared" si="91"/>
        <v>1249.4000000000001</v>
      </c>
      <c r="AB93" s="349">
        <f t="shared" si="91"/>
        <v>1249.4000000000001</v>
      </c>
      <c r="AC93" s="349">
        <f t="shared" si="91"/>
        <v>1249.4000000000001</v>
      </c>
      <c r="AD93" s="349">
        <f t="shared" si="91"/>
        <v>1242.5999999999999</v>
      </c>
      <c r="AE93" s="349">
        <f t="shared" si="91"/>
        <v>1242.5999999999999</v>
      </c>
      <c r="AF93" s="349">
        <f t="shared" si="91"/>
        <v>1254.5999999999999</v>
      </c>
      <c r="AG93" s="349" t="str">
        <f t="shared" ref="AG93:AL93" si="92">IFERROR(AVERAGE(AG88:AG92),"-")</f>
        <v>-</v>
      </c>
      <c r="AH93" s="349" t="str">
        <f t="shared" si="92"/>
        <v>-</v>
      </c>
      <c r="AI93" s="349" t="str">
        <f t="shared" si="92"/>
        <v>-</v>
      </c>
      <c r="AJ93" s="349" t="str">
        <f t="shared" si="92"/>
        <v>-</v>
      </c>
      <c r="AK93" s="349" t="str">
        <f t="shared" si="92"/>
        <v>-</v>
      </c>
      <c r="AL93" s="349" t="str">
        <f t="shared" si="92"/>
        <v>-</v>
      </c>
      <c r="AM93" s="349" t="str">
        <f t="shared" ref="AM93:AR93" si="93">IFERROR(AVERAGE(AM88:AM92),"-")</f>
        <v>-</v>
      </c>
      <c r="AN93" s="349" t="str">
        <f t="shared" si="93"/>
        <v>-</v>
      </c>
      <c r="AO93" s="349" t="str">
        <f t="shared" si="93"/>
        <v>-</v>
      </c>
      <c r="AP93" s="349" t="str">
        <f t="shared" si="93"/>
        <v>-</v>
      </c>
      <c r="AQ93" s="349" t="str">
        <f t="shared" si="93"/>
        <v>-</v>
      </c>
      <c r="AR93" s="349" t="str">
        <f t="shared" si="93"/>
        <v>-</v>
      </c>
      <c r="AS93" s="349" t="str">
        <f>IFERROR(AVERAGE(AS88:AS92),"-")</f>
        <v>-</v>
      </c>
    </row>
    <row r="94" spans="2:47" x14ac:dyDescent="0.25">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row>
    <row r="95" spans="2:47" x14ac:dyDescent="0.25">
      <c r="B95" s="113" t="s">
        <v>383</v>
      </c>
      <c r="C95" s="264" t="str">
        <f t="shared" ref="C95:AS95" si="94">+C$147</f>
        <v>Jun-16</v>
      </c>
      <c r="D95" s="264" t="str">
        <f t="shared" si="94"/>
        <v>Jul-16</v>
      </c>
      <c r="E95" s="264" t="str">
        <f t="shared" si="94"/>
        <v>Aug-16</v>
      </c>
      <c r="F95" s="264" t="str">
        <f t="shared" si="94"/>
        <v>Sep-16</v>
      </c>
      <c r="G95" s="264" t="str">
        <f t="shared" si="94"/>
        <v>Oct-16</v>
      </c>
      <c r="H95" s="264" t="str">
        <f t="shared" si="94"/>
        <v>Nov-16</v>
      </c>
      <c r="I95" s="264" t="str">
        <f t="shared" si="94"/>
        <v>Dec-16</v>
      </c>
      <c r="J95" s="264" t="str">
        <f t="shared" si="94"/>
        <v>Jan-17</v>
      </c>
      <c r="K95" s="264" t="str">
        <f t="shared" si="94"/>
        <v>Feb-17</v>
      </c>
      <c r="L95" s="264" t="str">
        <f t="shared" si="94"/>
        <v>Mar-17</v>
      </c>
      <c r="M95" s="264" t="str">
        <f t="shared" si="94"/>
        <v>Apr-17</v>
      </c>
      <c r="N95" s="264" t="str">
        <f t="shared" si="94"/>
        <v>May-17</v>
      </c>
      <c r="O95" s="264" t="str">
        <f t="shared" si="94"/>
        <v>Jun-17</v>
      </c>
      <c r="P95" s="264" t="str">
        <f t="shared" si="94"/>
        <v>Jul-17</v>
      </c>
      <c r="Q95" s="264" t="str">
        <f t="shared" si="94"/>
        <v>Aug-17</v>
      </c>
      <c r="R95" s="264" t="str">
        <f t="shared" si="94"/>
        <v>Sep-17</v>
      </c>
      <c r="S95" s="264" t="str">
        <f t="shared" si="94"/>
        <v>Oct-17</v>
      </c>
      <c r="T95" s="264" t="str">
        <f t="shared" si="94"/>
        <v>Nov-17</v>
      </c>
      <c r="U95" s="264" t="str">
        <f t="shared" si="94"/>
        <v>Dec-17</v>
      </c>
      <c r="V95" s="264" t="str">
        <f t="shared" si="94"/>
        <v>Jan-18</v>
      </c>
      <c r="W95" s="264" t="str">
        <f t="shared" si="94"/>
        <v>Feb-18</v>
      </c>
      <c r="X95" s="264" t="str">
        <f t="shared" si="94"/>
        <v>Mar-18</v>
      </c>
      <c r="Y95" s="264" t="str">
        <f t="shared" si="94"/>
        <v>Apr-18</v>
      </c>
      <c r="Z95" s="264" t="str">
        <f t="shared" si="94"/>
        <v>May-18</v>
      </c>
      <c r="AA95" s="264" t="str">
        <f t="shared" si="94"/>
        <v>Jun-18</v>
      </c>
      <c r="AB95" s="264" t="str">
        <f t="shared" si="94"/>
        <v>Jul-18</v>
      </c>
      <c r="AC95" s="264" t="str">
        <f t="shared" si="94"/>
        <v>Aug-18</v>
      </c>
      <c r="AD95" s="264" t="str">
        <f t="shared" si="94"/>
        <v>Sep-18</v>
      </c>
      <c r="AE95" s="264" t="str">
        <f t="shared" si="94"/>
        <v>Oct-18</v>
      </c>
      <c r="AF95" s="264" t="str">
        <f t="shared" si="94"/>
        <v>Nov-18</v>
      </c>
      <c r="AG95" s="264" t="str">
        <f t="shared" si="94"/>
        <v>Dec-18</v>
      </c>
      <c r="AH95" s="264" t="str">
        <f t="shared" si="94"/>
        <v>Jan-19</v>
      </c>
      <c r="AI95" s="264" t="str">
        <f t="shared" si="94"/>
        <v>Feb-19</v>
      </c>
      <c r="AJ95" s="264" t="str">
        <f t="shared" si="94"/>
        <v>Mar-19</v>
      </c>
      <c r="AK95" s="264" t="str">
        <f t="shared" si="94"/>
        <v>Apr-19</v>
      </c>
      <c r="AL95" s="264" t="str">
        <f t="shared" si="94"/>
        <v>May-19</v>
      </c>
      <c r="AM95" s="264" t="str">
        <f t="shared" si="94"/>
        <v>Jun-19</v>
      </c>
      <c r="AN95" s="264" t="str">
        <f t="shared" si="94"/>
        <v>Jul-19</v>
      </c>
      <c r="AO95" s="264" t="str">
        <f t="shared" si="94"/>
        <v>Aug-19</v>
      </c>
      <c r="AP95" s="264" t="str">
        <f t="shared" si="94"/>
        <v>Sep-19</v>
      </c>
      <c r="AQ95" s="264" t="str">
        <f t="shared" si="94"/>
        <v>Oct-19</v>
      </c>
      <c r="AR95" s="264" t="str">
        <f t="shared" si="94"/>
        <v>Nov-19</v>
      </c>
      <c r="AS95" s="264" t="str">
        <f t="shared" si="94"/>
        <v>Dec-19</v>
      </c>
    </row>
    <row r="96" spans="2:47" x14ac:dyDescent="0.25">
      <c r="B96" s="117" t="s">
        <v>131</v>
      </c>
      <c r="C96" s="265" t="s">
        <v>47</v>
      </c>
      <c r="D96" s="265" t="s">
        <v>47</v>
      </c>
      <c r="E96" s="265" t="s">
        <v>47</v>
      </c>
      <c r="F96" s="266">
        <v>117</v>
      </c>
      <c r="G96" s="266">
        <v>117</v>
      </c>
      <c r="H96" s="266">
        <v>117</v>
      </c>
      <c r="I96" s="266">
        <v>117</v>
      </c>
      <c r="J96" s="266">
        <v>117</v>
      </c>
      <c r="K96" s="266">
        <v>117</v>
      </c>
      <c r="L96" s="266">
        <v>117</v>
      </c>
      <c r="M96" s="266">
        <v>117</v>
      </c>
      <c r="N96" s="266">
        <v>117</v>
      </c>
      <c r="O96" s="266">
        <v>117</v>
      </c>
      <c r="P96" s="266">
        <v>117</v>
      </c>
      <c r="Q96" s="343">
        <v>132</v>
      </c>
      <c r="R96" s="348">
        <v>132</v>
      </c>
      <c r="S96" s="348">
        <v>132</v>
      </c>
      <c r="T96" s="348">
        <v>132</v>
      </c>
      <c r="U96" s="343">
        <v>172</v>
      </c>
      <c r="V96" s="592">
        <v>172</v>
      </c>
      <c r="W96" s="592">
        <v>172</v>
      </c>
      <c r="X96" s="592">
        <v>172</v>
      </c>
      <c r="Y96" s="592">
        <v>172</v>
      </c>
      <c r="Z96" s="592">
        <v>172</v>
      </c>
      <c r="AA96" s="592">
        <v>172</v>
      </c>
      <c r="AB96" s="592">
        <v>172</v>
      </c>
      <c r="AC96" s="592">
        <v>172</v>
      </c>
      <c r="AD96" s="592">
        <v>172</v>
      </c>
      <c r="AE96" s="592">
        <v>172</v>
      </c>
      <c r="AF96" s="592">
        <v>172</v>
      </c>
      <c r="AG96" s="697" t="s">
        <v>47</v>
      </c>
      <c r="AH96" s="697" t="s">
        <v>47</v>
      </c>
      <c r="AI96" s="697" t="s">
        <v>47</v>
      </c>
      <c r="AJ96" s="697" t="s">
        <v>47</v>
      </c>
      <c r="AK96" s="697" t="s">
        <v>47</v>
      </c>
      <c r="AL96" s="697" t="s">
        <v>47</v>
      </c>
      <c r="AM96" s="697" t="s">
        <v>47</v>
      </c>
      <c r="AN96" s="697" t="s">
        <v>47</v>
      </c>
      <c r="AO96" s="697" t="s">
        <v>47</v>
      </c>
      <c r="AP96" s="697" t="s">
        <v>47</v>
      </c>
      <c r="AQ96" s="697" t="s">
        <v>47</v>
      </c>
      <c r="AR96" s="697" t="s">
        <v>47</v>
      </c>
      <c r="AS96" s="697" t="s">
        <v>47</v>
      </c>
    </row>
    <row r="97" spans="2:45" x14ac:dyDescent="0.25">
      <c r="B97" s="228" t="s">
        <v>132</v>
      </c>
      <c r="C97" s="278">
        <v>99</v>
      </c>
      <c r="D97" s="278">
        <v>99</v>
      </c>
      <c r="E97" s="278">
        <v>99</v>
      </c>
      <c r="F97" s="278">
        <v>99</v>
      </c>
      <c r="G97" s="278">
        <v>99</v>
      </c>
      <c r="H97" s="278">
        <v>99</v>
      </c>
      <c r="I97" s="278" t="s">
        <v>47</v>
      </c>
      <c r="J97" s="278" t="s">
        <v>47</v>
      </c>
      <c r="K97" s="278" t="s">
        <v>47</v>
      </c>
      <c r="L97" s="278" t="s">
        <v>47</v>
      </c>
      <c r="M97" s="278" t="s">
        <v>47</v>
      </c>
      <c r="N97" s="278" t="s">
        <v>47</v>
      </c>
      <c r="O97" s="278" t="s">
        <v>47</v>
      </c>
      <c r="P97" s="278" t="s">
        <v>47</v>
      </c>
      <c r="Q97" s="278" t="s">
        <v>47</v>
      </c>
      <c r="R97" s="350" t="s">
        <v>47</v>
      </c>
      <c r="S97" s="350" t="s">
        <v>47</v>
      </c>
      <c r="T97" s="350" t="s">
        <v>47</v>
      </c>
      <c r="U97" s="350" t="s">
        <v>47</v>
      </c>
      <c r="V97" s="350" t="s">
        <v>47</v>
      </c>
      <c r="W97" s="350" t="s">
        <v>47</v>
      </c>
      <c r="X97" s="350" t="s">
        <v>47</v>
      </c>
      <c r="Y97" s="350" t="s">
        <v>47</v>
      </c>
      <c r="Z97" s="350" t="s">
        <v>47</v>
      </c>
      <c r="AA97" s="350" t="s">
        <v>47</v>
      </c>
      <c r="AB97" s="350" t="s">
        <v>47</v>
      </c>
      <c r="AC97" s="350" t="s">
        <v>47</v>
      </c>
      <c r="AD97" s="350" t="s">
        <v>47</v>
      </c>
      <c r="AE97" s="350" t="s">
        <v>47</v>
      </c>
      <c r="AF97" s="350" t="s">
        <v>47</v>
      </c>
      <c r="AG97" s="722" t="s">
        <v>47</v>
      </c>
      <c r="AH97" s="722" t="s">
        <v>47</v>
      </c>
      <c r="AI97" s="722" t="s">
        <v>47</v>
      </c>
      <c r="AJ97" s="722" t="s">
        <v>47</v>
      </c>
      <c r="AK97" s="722" t="s">
        <v>47</v>
      </c>
      <c r="AL97" s="722" t="s">
        <v>47</v>
      </c>
      <c r="AM97" s="722" t="s">
        <v>47</v>
      </c>
      <c r="AN97" s="722" t="s">
        <v>47</v>
      </c>
      <c r="AO97" s="722" t="s">
        <v>47</v>
      </c>
      <c r="AP97" s="722" t="s">
        <v>47</v>
      </c>
      <c r="AQ97" s="722" t="s">
        <v>47</v>
      </c>
      <c r="AR97" s="722" t="s">
        <v>47</v>
      </c>
      <c r="AS97" s="722" t="s">
        <v>47</v>
      </c>
    </row>
    <row r="98" spans="2:45" x14ac:dyDescent="0.25">
      <c r="B98" s="228" t="s">
        <v>133</v>
      </c>
      <c r="C98" s="277" t="s">
        <v>47</v>
      </c>
      <c r="D98" s="277" t="s">
        <v>47</v>
      </c>
      <c r="E98" s="277" t="s">
        <v>47</v>
      </c>
      <c r="F98" s="277" t="s">
        <v>47</v>
      </c>
      <c r="G98" s="277" t="s">
        <v>47</v>
      </c>
      <c r="H98" s="278">
        <v>121</v>
      </c>
      <c r="I98" s="278" t="s">
        <v>47</v>
      </c>
      <c r="J98" s="278" t="s">
        <v>47</v>
      </c>
      <c r="K98" s="278" t="s">
        <v>47</v>
      </c>
      <c r="L98" s="278" t="s">
        <v>47</v>
      </c>
      <c r="M98" s="278" t="s">
        <v>47</v>
      </c>
      <c r="N98" s="278" t="s">
        <v>47</v>
      </c>
      <c r="O98" s="278" t="s">
        <v>47</v>
      </c>
      <c r="P98" s="278" t="s">
        <v>47</v>
      </c>
      <c r="Q98" s="278" t="s">
        <v>47</v>
      </c>
      <c r="R98" s="350" t="s">
        <v>47</v>
      </c>
      <c r="S98" s="350" t="s">
        <v>47</v>
      </c>
      <c r="T98" s="350" t="s">
        <v>47</v>
      </c>
      <c r="U98" s="350" t="s">
        <v>47</v>
      </c>
      <c r="V98" s="350" t="s">
        <v>47</v>
      </c>
      <c r="W98" s="350" t="s">
        <v>47</v>
      </c>
      <c r="X98" s="350" t="s">
        <v>47</v>
      </c>
      <c r="Y98" s="350" t="s">
        <v>47</v>
      </c>
      <c r="Z98" s="350" t="s">
        <v>47</v>
      </c>
      <c r="AA98" s="350" t="s">
        <v>47</v>
      </c>
      <c r="AB98" s="350" t="s">
        <v>47</v>
      </c>
      <c r="AC98" s="350" t="s">
        <v>47</v>
      </c>
      <c r="AD98" s="350" t="s">
        <v>47</v>
      </c>
      <c r="AE98" s="350" t="s">
        <v>47</v>
      </c>
      <c r="AF98" s="350" t="s">
        <v>47</v>
      </c>
      <c r="AG98" s="722" t="s">
        <v>47</v>
      </c>
      <c r="AH98" s="722" t="s">
        <v>47</v>
      </c>
      <c r="AI98" s="722" t="s">
        <v>47</v>
      </c>
      <c r="AJ98" s="722" t="s">
        <v>47</v>
      </c>
      <c r="AK98" s="722" t="s">
        <v>47</v>
      </c>
      <c r="AL98" s="722" t="s">
        <v>47</v>
      </c>
      <c r="AM98" s="722" t="s">
        <v>47</v>
      </c>
      <c r="AN98" s="722" t="s">
        <v>47</v>
      </c>
      <c r="AO98" s="722" t="s">
        <v>47</v>
      </c>
      <c r="AP98" s="722" t="s">
        <v>47</v>
      </c>
      <c r="AQ98" s="722" t="s">
        <v>47</v>
      </c>
      <c r="AR98" s="722" t="s">
        <v>47</v>
      </c>
      <c r="AS98" s="722" t="s">
        <v>47</v>
      </c>
    </row>
    <row r="99" spans="2:45" x14ac:dyDescent="0.25">
      <c r="B99" s="117" t="s">
        <v>134</v>
      </c>
      <c r="C99" s="265" t="s">
        <v>47</v>
      </c>
      <c r="D99" s="265" t="s">
        <v>47</v>
      </c>
      <c r="E99" s="265" t="s">
        <v>47</v>
      </c>
      <c r="F99" s="265" t="s">
        <v>47</v>
      </c>
      <c r="G99" s="265" t="s">
        <v>47</v>
      </c>
      <c r="H99" s="266">
        <v>124</v>
      </c>
      <c r="I99" s="266">
        <v>124</v>
      </c>
      <c r="J99" s="266">
        <v>124</v>
      </c>
      <c r="K99" s="266">
        <v>124</v>
      </c>
      <c r="L99" s="266">
        <v>124</v>
      </c>
      <c r="M99" s="266">
        <v>124</v>
      </c>
      <c r="N99" s="266">
        <v>137</v>
      </c>
      <c r="O99" s="266">
        <v>137</v>
      </c>
      <c r="P99" s="266">
        <v>137</v>
      </c>
      <c r="Q99" s="343">
        <v>141</v>
      </c>
      <c r="R99" s="348">
        <v>141</v>
      </c>
      <c r="S99" s="348">
        <v>141</v>
      </c>
      <c r="T99" s="348">
        <v>141</v>
      </c>
      <c r="U99" s="348">
        <v>141</v>
      </c>
      <c r="V99" s="348">
        <f>+U99</f>
        <v>141</v>
      </c>
      <c r="W99" s="343">
        <v>164</v>
      </c>
      <c r="X99" s="348">
        <v>164</v>
      </c>
      <c r="Y99" s="348">
        <v>164</v>
      </c>
      <c r="Z99" s="342">
        <v>160</v>
      </c>
      <c r="AA99" s="592">
        <v>160</v>
      </c>
      <c r="AB99" s="592">
        <v>160</v>
      </c>
      <c r="AC99" s="592">
        <v>169</v>
      </c>
      <c r="AD99" s="697">
        <v>169</v>
      </c>
      <c r="AE99" s="592">
        <v>169</v>
      </c>
      <c r="AF99" s="697">
        <v>182</v>
      </c>
      <c r="AG99" s="697" t="s">
        <v>47</v>
      </c>
      <c r="AH99" s="697" t="s">
        <v>47</v>
      </c>
      <c r="AI99" s="697" t="s">
        <v>47</v>
      </c>
      <c r="AJ99" s="697" t="s">
        <v>47</v>
      </c>
      <c r="AK99" s="697" t="s">
        <v>47</v>
      </c>
      <c r="AL99" s="697" t="s">
        <v>47</v>
      </c>
      <c r="AM99" s="697" t="s">
        <v>47</v>
      </c>
      <c r="AN99" s="697" t="s">
        <v>47</v>
      </c>
      <c r="AO99" s="697" t="s">
        <v>47</v>
      </c>
      <c r="AP99" s="697" t="s">
        <v>47</v>
      </c>
      <c r="AQ99" s="697" t="s">
        <v>47</v>
      </c>
      <c r="AR99" s="697" t="s">
        <v>47</v>
      </c>
      <c r="AS99" s="697" t="s">
        <v>47</v>
      </c>
    </row>
    <row r="100" spans="2:45" x14ac:dyDescent="0.25">
      <c r="B100" s="117" t="s">
        <v>135</v>
      </c>
      <c r="C100" s="265" t="s">
        <v>47</v>
      </c>
      <c r="D100" s="265" t="s">
        <v>47</v>
      </c>
      <c r="E100" s="265" t="s">
        <v>47</v>
      </c>
      <c r="F100" s="265" t="s">
        <v>47</v>
      </c>
      <c r="G100" s="265" t="s">
        <v>47</v>
      </c>
      <c r="H100" s="266">
        <v>131</v>
      </c>
      <c r="I100" s="266">
        <v>131</v>
      </c>
      <c r="J100" s="266">
        <v>131</v>
      </c>
      <c r="K100" s="266">
        <v>131</v>
      </c>
      <c r="L100" s="266">
        <v>131</v>
      </c>
      <c r="M100" s="266">
        <v>131</v>
      </c>
      <c r="N100" s="266">
        <v>131</v>
      </c>
      <c r="O100" s="266">
        <v>131</v>
      </c>
      <c r="P100" s="266">
        <v>131</v>
      </c>
      <c r="Q100" s="266">
        <v>131</v>
      </c>
      <c r="R100" s="350">
        <v>131</v>
      </c>
      <c r="S100" s="350">
        <v>131</v>
      </c>
      <c r="T100" s="343">
        <v>173</v>
      </c>
      <c r="U100" s="592">
        <v>173</v>
      </c>
      <c r="V100" s="592">
        <v>173</v>
      </c>
      <c r="W100" s="592">
        <v>173</v>
      </c>
      <c r="X100" s="592">
        <v>173</v>
      </c>
      <c r="Y100" s="592">
        <v>173</v>
      </c>
      <c r="Z100" s="592">
        <v>173</v>
      </c>
      <c r="AA100" s="592">
        <v>173</v>
      </c>
      <c r="AB100" s="592">
        <v>173</v>
      </c>
      <c r="AC100" s="592">
        <v>173</v>
      </c>
      <c r="AD100" s="592">
        <v>173</v>
      </c>
      <c r="AE100" s="592">
        <v>173</v>
      </c>
      <c r="AF100" s="697">
        <v>190</v>
      </c>
      <c r="AG100" s="697" t="s">
        <v>47</v>
      </c>
      <c r="AH100" s="697" t="s">
        <v>47</v>
      </c>
      <c r="AI100" s="697" t="s">
        <v>47</v>
      </c>
      <c r="AJ100" s="697" t="s">
        <v>47</v>
      </c>
      <c r="AK100" s="697" t="s">
        <v>47</v>
      </c>
      <c r="AL100" s="697" t="s">
        <v>47</v>
      </c>
      <c r="AM100" s="697" t="s">
        <v>47</v>
      </c>
      <c r="AN100" s="697" t="s">
        <v>47</v>
      </c>
      <c r="AO100" s="697" t="s">
        <v>47</v>
      </c>
      <c r="AP100" s="697" t="s">
        <v>47</v>
      </c>
      <c r="AQ100" s="697" t="s">
        <v>47</v>
      </c>
      <c r="AR100" s="697" t="s">
        <v>47</v>
      </c>
      <c r="AS100" s="697" t="s">
        <v>47</v>
      </c>
    </row>
    <row r="101" spans="2:45" x14ac:dyDescent="0.25">
      <c r="B101" s="117" t="s">
        <v>142</v>
      </c>
      <c r="C101" s="265" t="s">
        <v>47</v>
      </c>
      <c r="D101" s="265" t="s">
        <v>47</v>
      </c>
      <c r="E101" s="265" t="s">
        <v>47</v>
      </c>
      <c r="F101" s="265" t="s">
        <v>47</v>
      </c>
      <c r="G101" s="265" t="s">
        <v>47</v>
      </c>
      <c r="H101" s="265" t="s">
        <v>47</v>
      </c>
      <c r="I101" s="265" t="s">
        <v>47</v>
      </c>
      <c r="J101" s="265" t="s">
        <v>47</v>
      </c>
      <c r="K101" s="265" t="s">
        <v>47</v>
      </c>
      <c r="L101" s="265" t="s">
        <v>47</v>
      </c>
      <c r="M101" s="265" t="s">
        <v>47</v>
      </c>
      <c r="N101" s="265" t="s">
        <v>47</v>
      </c>
      <c r="O101" s="266">
        <v>128</v>
      </c>
      <c r="P101" s="266">
        <v>128</v>
      </c>
      <c r="Q101" s="266">
        <v>128</v>
      </c>
      <c r="R101" s="344">
        <v>121</v>
      </c>
      <c r="S101" s="350">
        <v>121</v>
      </c>
      <c r="T101" s="350">
        <v>121</v>
      </c>
      <c r="U101" s="350">
        <v>121</v>
      </c>
      <c r="V101" s="350">
        <v>121</v>
      </c>
      <c r="W101" s="343">
        <v>180</v>
      </c>
      <c r="X101" s="592">
        <v>180</v>
      </c>
      <c r="Y101" s="592">
        <v>180</v>
      </c>
      <c r="Z101" s="592">
        <v>180</v>
      </c>
      <c r="AA101" s="592">
        <v>180</v>
      </c>
      <c r="AB101" s="592">
        <v>180</v>
      </c>
      <c r="AC101" s="592">
        <v>180</v>
      </c>
      <c r="AD101" s="592">
        <v>180</v>
      </c>
      <c r="AE101" s="592">
        <v>180</v>
      </c>
      <c r="AF101" s="592">
        <v>180</v>
      </c>
      <c r="AG101" s="697" t="s">
        <v>47</v>
      </c>
      <c r="AH101" s="697" t="s">
        <v>47</v>
      </c>
      <c r="AI101" s="697" t="s">
        <v>47</v>
      </c>
      <c r="AJ101" s="697" t="s">
        <v>47</v>
      </c>
      <c r="AK101" s="697" t="s">
        <v>47</v>
      </c>
      <c r="AL101" s="697" t="s">
        <v>47</v>
      </c>
      <c r="AM101" s="697" t="s">
        <v>47</v>
      </c>
      <c r="AN101" s="697" t="s">
        <v>47</v>
      </c>
      <c r="AO101" s="697" t="s">
        <v>47</v>
      </c>
      <c r="AP101" s="697" t="s">
        <v>47</v>
      </c>
      <c r="AQ101" s="697" t="s">
        <v>47</v>
      </c>
      <c r="AR101" s="697" t="s">
        <v>47</v>
      </c>
      <c r="AS101" s="697" t="s">
        <v>47</v>
      </c>
    </row>
    <row r="102" spans="2:45" x14ac:dyDescent="0.25">
      <c r="B102" s="117" t="s">
        <v>136</v>
      </c>
      <c r="C102" s="265" t="s">
        <v>47</v>
      </c>
      <c r="D102" s="265" t="s">
        <v>47</v>
      </c>
      <c r="E102" s="265" t="s">
        <v>47</v>
      </c>
      <c r="F102" s="265" t="s">
        <v>47</v>
      </c>
      <c r="G102" s="266">
        <v>149.9</v>
      </c>
      <c r="H102" s="266">
        <v>149.9</v>
      </c>
      <c r="I102" s="266">
        <v>149.9</v>
      </c>
      <c r="J102" s="266">
        <v>149.9</v>
      </c>
      <c r="K102" s="266">
        <v>149.9</v>
      </c>
      <c r="L102" s="342">
        <v>122</v>
      </c>
      <c r="M102" s="266">
        <v>122</v>
      </c>
      <c r="N102" s="266">
        <v>122</v>
      </c>
      <c r="O102" s="266">
        <v>122</v>
      </c>
      <c r="P102" s="266">
        <v>122</v>
      </c>
      <c r="Q102" s="343">
        <v>133</v>
      </c>
      <c r="R102" s="348">
        <v>133</v>
      </c>
      <c r="S102" s="348">
        <v>133</v>
      </c>
      <c r="T102" s="348">
        <v>133</v>
      </c>
      <c r="U102" s="348">
        <v>133</v>
      </c>
      <c r="V102" s="343">
        <v>156</v>
      </c>
      <c r="W102" s="592">
        <v>156</v>
      </c>
      <c r="X102" s="592">
        <v>156</v>
      </c>
      <c r="Y102" s="592">
        <v>156</v>
      </c>
      <c r="Z102" s="592">
        <v>156</v>
      </c>
      <c r="AA102" s="592">
        <v>156</v>
      </c>
      <c r="AB102" s="592">
        <v>156</v>
      </c>
      <c r="AC102" s="592">
        <v>156</v>
      </c>
      <c r="AD102" s="343">
        <v>174</v>
      </c>
      <c r="AE102" s="592">
        <v>174</v>
      </c>
      <c r="AF102" s="592">
        <v>174</v>
      </c>
      <c r="AG102" s="697" t="s">
        <v>47</v>
      </c>
      <c r="AH102" s="697" t="s">
        <v>47</v>
      </c>
      <c r="AI102" s="697" t="s">
        <v>47</v>
      </c>
      <c r="AJ102" s="697" t="s">
        <v>47</v>
      </c>
      <c r="AK102" s="697" t="s">
        <v>47</v>
      </c>
      <c r="AL102" s="697" t="s">
        <v>47</v>
      </c>
      <c r="AM102" s="697" t="s">
        <v>47</v>
      </c>
      <c r="AN102" s="697" t="s">
        <v>47</v>
      </c>
      <c r="AO102" s="697" t="s">
        <v>47</v>
      </c>
      <c r="AP102" s="697" t="s">
        <v>47</v>
      </c>
      <c r="AQ102" s="697" t="s">
        <v>47</v>
      </c>
      <c r="AR102" s="697" t="s">
        <v>47</v>
      </c>
      <c r="AS102" s="697" t="s">
        <v>47</v>
      </c>
    </row>
    <row r="103" spans="2:45" customFormat="1" ht="12.75" x14ac:dyDescent="0.2">
      <c r="B103" s="279" t="s">
        <v>381</v>
      </c>
      <c r="C103" s="328">
        <f t="shared" ref="C103:AL103" si="95">IFERROR(AVERAGE(C96:C102),"-")</f>
        <v>99</v>
      </c>
      <c r="D103" s="328">
        <f t="shared" si="95"/>
        <v>99</v>
      </c>
      <c r="E103" s="328">
        <f t="shared" si="95"/>
        <v>99</v>
      </c>
      <c r="F103" s="328">
        <f t="shared" si="95"/>
        <v>108</v>
      </c>
      <c r="G103" s="328">
        <f t="shared" si="95"/>
        <v>121.96666666666665</v>
      </c>
      <c r="H103" s="328">
        <f t="shared" si="95"/>
        <v>123.64999999999999</v>
      </c>
      <c r="I103" s="328">
        <f t="shared" si="95"/>
        <v>130.47499999999999</v>
      </c>
      <c r="J103" s="328">
        <f t="shared" si="95"/>
        <v>130.47499999999999</v>
      </c>
      <c r="K103" s="328">
        <f t="shared" si="95"/>
        <v>130.47499999999999</v>
      </c>
      <c r="L103" s="328">
        <f t="shared" si="95"/>
        <v>123.5</v>
      </c>
      <c r="M103" s="328">
        <f t="shared" si="95"/>
        <v>123.5</v>
      </c>
      <c r="N103" s="328">
        <f t="shared" si="95"/>
        <v>126.75</v>
      </c>
      <c r="O103" s="328">
        <f t="shared" si="95"/>
        <v>127</v>
      </c>
      <c r="P103" s="328">
        <f t="shared" si="95"/>
        <v>127</v>
      </c>
      <c r="Q103" s="328">
        <f t="shared" si="95"/>
        <v>133</v>
      </c>
      <c r="R103" s="351">
        <f t="shared" si="95"/>
        <v>131.6</v>
      </c>
      <c r="S103" s="351">
        <f t="shared" si="95"/>
        <v>131.6</v>
      </c>
      <c r="T103" s="351">
        <f t="shared" si="95"/>
        <v>140</v>
      </c>
      <c r="U103" s="351">
        <f t="shared" si="95"/>
        <v>148</v>
      </c>
      <c r="V103" s="351">
        <f t="shared" si="95"/>
        <v>152.6</v>
      </c>
      <c r="W103" s="351">
        <f t="shared" si="95"/>
        <v>169</v>
      </c>
      <c r="X103" s="351">
        <f t="shared" si="95"/>
        <v>169</v>
      </c>
      <c r="Y103" s="351">
        <f t="shared" si="95"/>
        <v>169</v>
      </c>
      <c r="Z103" s="351">
        <f t="shared" si="95"/>
        <v>168.2</v>
      </c>
      <c r="AA103" s="351">
        <f t="shared" si="95"/>
        <v>168.2</v>
      </c>
      <c r="AB103" s="351">
        <f t="shared" si="95"/>
        <v>168.2</v>
      </c>
      <c r="AC103" s="351">
        <f t="shared" si="95"/>
        <v>170</v>
      </c>
      <c r="AD103" s="351">
        <f t="shared" si="95"/>
        <v>173.6</v>
      </c>
      <c r="AE103" s="351">
        <f t="shared" si="95"/>
        <v>173.6</v>
      </c>
      <c r="AF103" s="351">
        <f t="shared" si="95"/>
        <v>179.6</v>
      </c>
      <c r="AG103" s="351" t="str">
        <f t="shared" si="95"/>
        <v>-</v>
      </c>
      <c r="AH103" s="351" t="str">
        <f t="shared" si="95"/>
        <v>-</v>
      </c>
      <c r="AI103" s="351" t="str">
        <f t="shared" si="95"/>
        <v>-</v>
      </c>
      <c r="AJ103" s="351" t="str">
        <f t="shared" si="95"/>
        <v>-</v>
      </c>
      <c r="AK103" s="351" t="str">
        <f t="shared" si="95"/>
        <v>-</v>
      </c>
      <c r="AL103" s="351" t="str">
        <f t="shared" si="95"/>
        <v>-</v>
      </c>
      <c r="AM103" s="351" t="str">
        <f t="shared" ref="AM103:AR103" si="96">IFERROR(AVERAGE(AM96:AM102),"-")</f>
        <v>-</v>
      </c>
      <c r="AN103" s="351" t="str">
        <f t="shared" si="96"/>
        <v>-</v>
      </c>
      <c r="AO103" s="351" t="str">
        <f t="shared" si="96"/>
        <v>-</v>
      </c>
      <c r="AP103" s="351" t="str">
        <f t="shared" si="96"/>
        <v>-</v>
      </c>
      <c r="AQ103" s="351" t="str">
        <f t="shared" si="96"/>
        <v>-</v>
      </c>
      <c r="AR103" s="351" t="str">
        <f t="shared" si="96"/>
        <v>-</v>
      </c>
      <c r="AS103" s="351" t="str">
        <f>IFERROR(AVERAGE(AS96:AS102),"-")</f>
        <v>-</v>
      </c>
    </row>
    <row r="104" spans="2:45" x14ac:dyDescent="0.25">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row>
    <row r="105" spans="2:45" x14ac:dyDescent="0.25">
      <c r="B105" s="113" t="s">
        <v>384</v>
      </c>
      <c r="C105" s="264" t="str">
        <f t="shared" ref="C105:AS105" si="97">+C$147</f>
        <v>Jun-16</v>
      </c>
      <c r="D105" s="264" t="str">
        <f t="shared" si="97"/>
        <v>Jul-16</v>
      </c>
      <c r="E105" s="264" t="str">
        <f t="shared" si="97"/>
        <v>Aug-16</v>
      </c>
      <c r="F105" s="264" t="str">
        <f t="shared" si="97"/>
        <v>Sep-16</v>
      </c>
      <c r="G105" s="264" t="str">
        <f t="shared" si="97"/>
        <v>Oct-16</v>
      </c>
      <c r="H105" s="264" t="str">
        <f t="shared" si="97"/>
        <v>Nov-16</v>
      </c>
      <c r="I105" s="264" t="str">
        <f t="shared" si="97"/>
        <v>Dec-16</v>
      </c>
      <c r="J105" s="264" t="str">
        <f t="shared" si="97"/>
        <v>Jan-17</v>
      </c>
      <c r="K105" s="264" t="str">
        <f t="shared" si="97"/>
        <v>Feb-17</v>
      </c>
      <c r="L105" s="264" t="str">
        <f t="shared" si="97"/>
        <v>Mar-17</v>
      </c>
      <c r="M105" s="264" t="str">
        <f t="shared" si="97"/>
        <v>Apr-17</v>
      </c>
      <c r="N105" s="264" t="str">
        <f t="shared" si="97"/>
        <v>May-17</v>
      </c>
      <c r="O105" s="264" t="str">
        <f t="shared" si="97"/>
        <v>Jun-17</v>
      </c>
      <c r="P105" s="264" t="str">
        <f t="shared" si="97"/>
        <v>Jul-17</v>
      </c>
      <c r="Q105" s="264" t="str">
        <f t="shared" si="97"/>
        <v>Aug-17</v>
      </c>
      <c r="R105" s="264" t="str">
        <f t="shared" si="97"/>
        <v>Sep-17</v>
      </c>
      <c r="S105" s="264" t="str">
        <f t="shared" si="97"/>
        <v>Oct-17</v>
      </c>
      <c r="T105" s="264" t="str">
        <f t="shared" si="97"/>
        <v>Nov-17</v>
      </c>
      <c r="U105" s="264" t="str">
        <f t="shared" si="97"/>
        <v>Dec-17</v>
      </c>
      <c r="V105" s="264" t="str">
        <f t="shared" si="97"/>
        <v>Jan-18</v>
      </c>
      <c r="W105" s="264" t="str">
        <f t="shared" si="97"/>
        <v>Feb-18</v>
      </c>
      <c r="X105" s="264" t="str">
        <f t="shared" si="97"/>
        <v>Mar-18</v>
      </c>
      <c r="Y105" s="264" t="str">
        <f t="shared" si="97"/>
        <v>Apr-18</v>
      </c>
      <c r="Z105" s="264" t="str">
        <f t="shared" si="97"/>
        <v>May-18</v>
      </c>
      <c r="AA105" s="264" t="str">
        <f t="shared" si="97"/>
        <v>Jun-18</v>
      </c>
      <c r="AB105" s="264" t="str">
        <f t="shared" si="97"/>
        <v>Jul-18</v>
      </c>
      <c r="AC105" s="264" t="str">
        <f t="shared" si="97"/>
        <v>Aug-18</v>
      </c>
      <c r="AD105" s="264" t="str">
        <f t="shared" si="97"/>
        <v>Sep-18</v>
      </c>
      <c r="AE105" s="264" t="str">
        <f t="shared" si="97"/>
        <v>Oct-18</v>
      </c>
      <c r="AF105" s="264" t="str">
        <f t="shared" si="97"/>
        <v>Nov-18</v>
      </c>
      <c r="AG105" s="264" t="str">
        <f t="shared" si="97"/>
        <v>Dec-18</v>
      </c>
      <c r="AH105" s="264" t="str">
        <f t="shared" si="97"/>
        <v>Jan-19</v>
      </c>
      <c r="AI105" s="264" t="str">
        <f t="shared" si="97"/>
        <v>Feb-19</v>
      </c>
      <c r="AJ105" s="264" t="str">
        <f t="shared" si="97"/>
        <v>Mar-19</v>
      </c>
      <c r="AK105" s="264" t="str">
        <f t="shared" si="97"/>
        <v>Apr-19</v>
      </c>
      <c r="AL105" s="264" t="str">
        <f t="shared" si="97"/>
        <v>May-19</v>
      </c>
      <c r="AM105" s="264" t="str">
        <f t="shared" si="97"/>
        <v>Jun-19</v>
      </c>
      <c r="AN105" s="264" t="str">
        <f t="shared" si="97"/>
        <v>Jul-19</v>
      </c>
      <c r="AO105" s="264" t="str">
        <f t="shared" si="97"/>
        <v>Aug-19</v>
      </c>
      <c r="AP105" s="264" t="str">
        <f t="shared" si="97"/>
        <v>Sep-19</v>
      </c>
      <c r="AQ105" s="264" t="str">
        <f t="shared" si="97"/>
        <v>Oct-19</v>
      </c>
      <c r="AR105" s="264" t="str">
        <f t="shared" si="97"/>
        <v>Nov-19</v>
      </c>
      <c r="AS105" s="264" t="str">
        <f t="shared" si="97"/>
        <v>Dec-19</v>
      </c>
    </row>
    <row r="106" spans="2:45" x14ac:dyDescent="0.25">
      <c r="B106" s="117" t="s">
        <v>131</v>
      </c>
      <c r="C106" s="265" t="s">
        <v>47</v>
      </c>
      <c r="D106" s="265" t="s">
        <v>47</v>
      </c>
      <c r="E106" s="265" t="s">
        <v>47</v>
      </c>
      <c r="F106" s="266">
        <v>45</v>
      </c>
      <c r="G106" s="266">
        <v>45</v>
      </c>
      <c r="H106" s="266">
        <v>45</v>
      </c>
      <c r="I106" s="266">
        <v>45</v>
      </c>
      <c r="J106" s="266">
        <v>45</v>
      </c>
      <c r="K106" s="266">
        <v>45</v>
      </c>
      <c r="L106" s="266">
        <v>45</v>
      </c>
      <c r="M106" s="266">
        <v>45</v>
      </c>
      <c r="N106" s="343">
        <v>46</v>
      </c>
      <c r="O106" s="266">
        <v>46</v>
      </c>
      <c r="P106" s="266">
        <v>46</v>
      </c>
      <c r="Q106" s="343">
        <v>59</v>
      </c>
      <c r="R106" s="348">
        <v>59</v>
      </c>
      <c r="S106" s="348">
        <v>59</v>
      </c>
      <c r="T106" s="348">
        <v>59</v>
      </c>
      <c r="U106" s="352">
        <v>85</v>
      </c>
      <c r="V106" s="593">
        <v>85</v>
      </c>
      <c r="W106" s="593">
        <v>85</v>
      </c>
      <c r="X106" s="593">
        <v>85</v>
      </c>
      <c r="Y106" s="593">
        <v>85</v>
      </c>
      <c r="Z106" s="593">
        <v>85</v>
      </c>
      <c r="AA106" s="593">
        <v>85</v>
      </c>
      <c r="AB106" s="593">
        <v>85</v>
      </c>
      <c r="AC106" s="593">
        <v>85</v>
      </c>
      <c r="AD106" s="593">
        <v>85</v>
      </c>
      <c r="AE106" s="593">
        <v>85</v>
      </c>
      <c r="AF106" s="593">
        <v>85</v>
      </c>
      <c r="AG106" s="697" t="s">
        <v>47</v>
      </c>
      <c r="AH106" s="722" t="s">
        <v>47</v>
      </c>
      <c r="AI106" s="722" t="s">
        <v>47</v>
      </c>
      <c r="AJ106" s="722" t="s">
        <v>47</v>
      </c>
      <c r="AK106" s="722" t="s">
        <v>47</v>
      </c>
      <c r="AL106" s="722" t="s">
        <v>47</v>
      </c>
      <c r="AM106" s="722" t="s">
        <v>47</v>
      </c>
      <c r="AN106" s="722" t="s">
        <v>47</v>
      </c>
      <c r="AO106" s="722" t="s">
        <v>47</v>
      </c>
      <c r="AP106" s="722" t="s">
        <v>47</v>
      </c>
      <c r="AQ106" s="722" t="s">
        <v>47</v>
      </c>
      <c r="AR106" s="722" t="s">
        <v>47</v>
      </c>
      <c r="AS106" s="722" t="s">
        <v>47</v>
      </c>
    </row>
    <row r="107" spans="2:45" x14ac:dyDescent="0.25">
      <c r="B107" s="228" t="s">
        <v>132</v>
      </c>
      <c r="C107" s="278">
        <v>36</v>
      </c>
      <c r="D107" s="278">
        <v>36</v>
      </c>
      <c r="E107" s="278">
        <v>36</v>
      </c>
      <c r="F107" s="278">
        <v>36</v>
      </c>
      <c r="G107" s="278">
        <v>36</v>
      </c>
      <c r="H107" s="278">
        <v>36</v>
      </c>
      <c r="I107" s="278" t="s">
        <v>47</v>
      </c>
      <c r="J107" s="278" t="s">
        <v>47</v>
      </c>
      <c r="K107" s="278" t="s">
        <v>47</v>
      </c>
      <c r="L107" s="278" t="s">
        <v>47</v>
      </c>
      <c r="M107" s="278" t="s">
        <v>47</v>
      </c>
      <c r="N107" s="278" t="s">
        <v>47</v>
      </c>
      <c r="O107" s="278" t="s">
        <v>47</v>
      </c>
      <c r="P107" s="278" t="s">
        <v>47</v>
      </c>
      <c r="Q107" s="278" t="s">
        <v>47</v>
      </c>
      <c r="R107" s="350" t="s">
        <v>47</v>
      </c>
      <c r="S107" s="350" t="s">
        <v>47</v>
      </c>
      <c r="T107" s="350" t="s">
        <v>47</v>
      </c>
      <c r="U107" s="350" t="s">
        <v>47</v>
      </c>
      <c r="V107" s="350" t="s">
        <v>47</v>
      </c>
      <c r="W107" s="350" t="s">
        <v>47</v>
      </c>
      <c r="X107" s="350" t="s">
        <v>47</v>
      </c>
      <c r="Y107" s="350" t="s">
        <v>47</v>
      </c>
      <c r="Z107" s="350" t="s">
        <v>47</v>
      </c>
      <c r="AA107" s="350" t="s">
        <v>47</v>
      </c>
      <c r="AB107" s="350" t="s">
        <v>47</v>
      </c>
      <c r="AC107" s="350" t="s">
        <v>47</v>
      </c>
      <c r="AD107" s="350" t="s">
        <v>47</v>
      </c>
      <c r="AE107" s="350" t="s">
        <v>47</v>
      </c>
      <c r="AF107" s="350" t="s">
        <v>47</v>
      </c>
      <c r="AG107" s="722" t="s">
        <v>47</v>
      </c>
      <c r="AH107" s="722" t="s">
        <v>47</v>
      </c>
      <c r="AI107" s="722" t="s">
        <v>47</v>
      </c>
      <c r="AJ107" s="722" t="s">
        <v>47</v>
      </c>
      <c r="AK107" s="722" t="s">
        <v>47</v>
      </c>
      <c r="AL107" s="722" t="s">
        <v>47</v>
      </c>
      <c r="AM107" s="722" t="s">
        <v>47</v>
      </c>
      <c r="AN107" s="722" t="s">
        <v>47</v>
      </c>
      <c r="AO107" s="722" t="s">
        <v>47</v>
      </c>
      <c r="AP107" s="722" t="s">
        <v>47</v>
      </c>
      <c r="AQ107" s="722" t="s">
        <v>47</v>
      </c>
      <c r="AR107" s="722" t="s">
        <v>47</v>
      </c>
      <c r="AS107" s="722" t="s">
        <v>47</v>
      </c>
    </row>
    <row r="108" spans="2:45" x14ac:dyDescent="0.25">
      <c r="B108" s="228" t="s">
        <v>133</v>
      </c>
      <c r="C108" s="277" t="s">
        <v>47</v>
      </c>
      <c r="D108" s="277" t="s">
        <v>47</v>
      </c>
      <c r="E108" s="277" t="s">
        <v>47</v>
      </c>
      <c r="F108" s="277" t="s">
        <v>47</v>
      </c>
      <c r="G108" s="277" t="s">
        <v>47</v>
      </c>
      <c r="H108" s="278">
        <v>53</v>
      </c>
      <c r="I108" s="278" t="s">
        <v>47</v>
      </c>
      <c r="J108" s="278" t="s">
        <v>47</v>
      </c>
      <c r="K108" s="278" t="s">
        <v>47</v>
      </c>
      <c r="L108" s="278" t="s">
        <v>47</v>
      </c>
      <c r="M108" s="278" t="s">
        <v>47</v>
      </c>
      <c r="N108" s="278" t="s">
        <v>47</v>
      </c>
      <c r="O108" s="278" t="s">
        <v>47</v>
      </c>
      <c r="P108" s="278" t="s">
        <v>47</v>
      </c>
      <c r="Q108" s="278" t="s">
        <v>47</v>
      </c>
      <c r="R108" s="350" t="s">
        <v>47</v>
      </c>
      <c r="S108" s="350" t="s">
        <v>47</v>
      </c>
      <c r="T108" s="350" t="s">
        <v>47</v>
      </c>
      <c r="U108" s="350" t="s">
        <v>47</v>
      </c>
      <c r="V108" s="350" t="s">
        <v>47</v>
      </c>
      <c r="W108" s="350" t="s">
        <v>47</v>
      </c>
      <c r="X108" s="350" t="s">
        <v>47</v>
      </c>
      <c r="Y108" s="350" t="s">
        <v>47</v>
      </c>
      <c r="Z108" s="350" t="s">
        <v>47</v>
      </c>
      <c r="AA108" s="350" t="s">
        <v>47</v>
      </c>
      <c r="AB108" s="350" t="s">
        <v>47</v>
      </c>
      <c r="AC108" s="350" t="s">
        <v>47</v>
      </c>
      <c r="AD108" s="350" t="s">
        <v>47</v>
      </c>
      <c r="AE108" s="350" t="s">
        <v>47</v>
      </c>
      <c r="AF108" s="350" t="s">
        <v>47</v>
      </c>
      <c r="AG108" s="722" t="s">
        <v>47</v>
      </c>
      <c r="AH108" s="722" t="s">
        <v>47</v>
      </c>
      <c r="AI108" s="722" t="s">
        <v>47</v>
      </c>
      <c r="AJ108" s="722" t="s">
        <v>47</v>
      </c>
      <c r="AK108" s="722" t="s">
        <v>47</v>
      </c>
      <c r="AL108" s="722" t="s">
        <v>47</v>
      </c>
      <c r="AM108" s="722" t="s">
        <v>47</v>
      </c>
      <c r="AN108" s="722" t="s">
        <v>47</v>
      </c>
      <c r="AO108" s="722" t="s">
        <v>47</v>
      </c>
      <c r="AP108" s="722" t="s">
        <v>47</v>
      </c>
      <c r="AQ108" s="722" t="s">
        <v>47</v>
      </c>
      <c r="AR108" s="722" t="s">
        <v>47</v>
      </c>
      <c r="AS108" s="722" t="s">
        <v>47</v>
      </c>
    </row>
    <row r="109" spans="2:45" x14ac:dyDescent="0.25">
      <c r="B109" s="117" t="s">
        <v>134</v>
      </c>
      <c r="C109" s="265" t="s">
        <v>47</v>
      </c>
      <c r="D109" s="265" t="s">
        <v>47</v>
      </c>
      <c r="E109" s="265" t="s">
        <v>47</v>
      </c>
      <c r="F109" s="265" t="s">
        <v>47</v>
      </c>
      <c r="G109" s="265" t="s">
        <v>47</v>
      </c>
      <c r="H109" s="266">
        <v>43</v>
      </c>
      <c r="I109" s="266">
        <v>43</v>
      </c>
      <c r="J109" s="266">
        <v>43</v>
      </c>
      <c r="K109" s="266">
        <v>43</v>
      </c>
      <c r="L109" s="266">
        <v>43</v>
      </c>
      <c r="M109" s="266">
        <v>43</v>
      </c>
      <c r="N109" s="343">
        <v>58</v>
      </c>
      <c r="O109" s="266">
        <v>58</v>
      </c>
      <c r="P109" s="266">
        <v>58</v>
      </c>
      <c r="Q109" s="343">
        <v>62</v>
      </c>
      <c r="R109" s="348">
        <v>62</v>
      </c>
      <c r="S109" s="348">
        <v>62</v>
      </c>
      <c r="T109" s="348">
        <v>62</v>
      </c>
      <c r="U109" s="348">
        <v>62</v>
      </c>
      <c r="V109" s="352">
        <f>+U109</f>
        <v>62</v>
      </c>
      <c r="W109" s="348">
        <v>83.6</v>
      </c>
      <c r="X109" s="348">
        <v>83.6</v>
      </c>
      <c r="Y109" s="348">
        <v>83.6</v>
      </c>
      <c r="Z109" s="348">
        <v>83</v>
      </c>
      <c r="AA109" s="348">
        <v>83</v>
      </c>
      <c r="AB109" s="348">
        <v>83</v>
      </c>
      <c r="AC109" s="348">
        <v>83</v>
      </c>
      <c r="AD109" s="348">
        <v>83</v>
      </c>
      <c r="AE109" s="348">
        <v>83</v>
      </c>
      <c r="AF109" s="697">
        <v>103</v>
      </c>
      <c r="AG109" s="722" t="s">
        <v>47</v>
      </c>
      <c r="AH109" s="722" t="s">
        <v>47</v>
      </c>
      <c r="AI109" s="722" t="s">
        <v>47</v>
      </c>
      <c r="AJ109" s="722" t="s">
        <v>47</v>
      </c>
      <c r="AK109" s="722" t="s">
        <v>47</v>
      </c>
      <c r="AL109" s="722" t="s">
        <v>47</v>
      </c>
      <c r="AM109" s="722" t="s">
        <v>47</v>
      </c>
      <c r="AN109" s="722" t="s">
        <v>47</v>
      </c>
      <c r="AO109" s="722" t="s">
        <v>47</v>
      </c>
      <c r="AP109" s="722" t="s">
        <v>47</v>
      </c>
      <c r="AQ109" s="722" t="s">
        <v>47</v>
      </c>
      <c r="AR109" s="722" t="s">
        <v>47</v>
      </c>
      <c r="AS109" s="722" t="s">
        <v>47</v>
      </c>
    </row>
    <row r="110" spans="2:45" x14ac:dyDescent="0.25">
      <c r="B110" s="117" t="s">
        <v>135</v>
      </c>
      <c r="C110" s="265" t="s">
        <v>47</v>
      </c>
      <c r="D110" s="265" t="s">
        <v>47</v>
      </c>
      <c r="E110" s="265" t="s">
        <v>47</v>
      </c>
      <c r="F110" s="265" t="s">
        <v>47</v>
      </c>
      <c r="G110" s="265" t="s">
        <v>47</v>
      </c>
      <c r="H110" s="266">
        <v>54</v>
      </c>
      <c r="I110" s="266">
        <v>54</v>
      </c>
      <c r="J110" s="266">
        <v>54</v>
      </c>
      <c r="K110" s="266">
        <v>54</v>
      </c>
      <c r="L110" s="266">
        <v>54</v>
      </c>
      <c r="M110" s="266">
        <v>54</v>
      </c>
      <c r="N110" s="266">
        <v>54</v>
      </c>
      <c r="O110" s="266">
        <v>54</v>
      </c>
      <c r="P110" s="266">
        <v>54</v>
      </c>
      <c r="Q110" s="266">
        <v>54</v>
      </c>
      <c r="R110" s="350">
        <v>54</v>
      </c>
      <c r="S110" s="350">
        <v>54</v>
      </c>
      <c r="T110" s="352">
        <v>89</v>
      </c>
      <c r="U110" s="593">
        <v>89</v>
      </c>
      <c r="V110" s="593">
        <v>89</v>
      </c>
      <c r="W110" s="593">
        <v>89</v>
      </c>
      <c r="X110" s="593">
        <v>89</v>
      </c>
      <c r="Y110" s="593">
        <v>89</v>
      </c>
      <c r="Z110" s="593">
        <v>89</v>
      </c>
      <c r="AA110" s="593">
        <v>89</v>
      </c>
      <c r="AB110" s="593">
        <v>89</v>
      </c>
      <c r="AC110" s="593">
        <v>89</v>
      </c>
      <c r="AD110" s="593">
        <v>89</v>
      </c>
      <c r="AE110" s="593">
        <v>89</v>
      </c>
      <c r="AF110" s="697">
        <v>111</v>
      </c>
      <c r="AG110" s="722" t="s">
        <v>47</v>
      </c>
      <c r="AH110" s="722" t="s">
        <v>47</v>
      </c>
      <c r="AI110" s="722" t="s">
        <v>47</v>
      </c>
      <c r="AJ110" s="722" t="s">
        <v>47</v>
      </c>
      <c r="AK110" s="722" t="s">
        <v>47</v>
      </c>
      <c r="AL110" s="722" t="s">
        <v>47</v>
      </c>
      <c r="AM110" s="722" t="s">
        <v>47</v>
      </c>
      <c r="AN110" s="722" t="s">
        <v>47</v>
      </c>
      <c r="AO110" s="722" t="s">
        <v>47</v>
      </c>
      <c r="AP110" s="722" t="s">
        <v>47</v>
      </c>
      <c r="AQ110" s="722" t="s">
        <v>47</v>
      </c>
      <c r="AR110" s="722" t="s">
        <v>47</v>
      </c>
      <c r="AS110" s="722" t="s">
        <v>47</v>
      </c>
    </row>
    <row r="111" spans="2:45" x14ac:dyDescent="0.25">
      <c r="B111" s="117" t="s">
        <v>142</v>
      </c>
      <c r="C111" s="265" t="s">
        <v>47</v>
      </c>
      <c r="D111" s="265" t="s">
        <v>47</v>
      </c>
      <c r="E111" s="265" t="s">
        <v>47</v>
      </c>
      <c r="F111" s="265" t="s">
        <v>47</v>
      </c>
      <c r="G111" s="265" t="s">
        <v>47</v>
      </c>
      <c r="H111" s="265" t="s">
        <v>47</v>
      </c>
      <c r="I111" s="265" t="s">
        <v>47</v>
      </c>
      <c r="J111" s="265" t="s">
        <v>47</v>
      </c>
      <c r="K111" s="265" t="s">
        <v>47</v>
      </c>
      <c r="L111" s="265" t="s">
        <v>47</v>
      </c>
      <c r="M111" s="265" t="s">
        <v>47</v>
      </c>
      <c r="N111" s="265" t="s">
        <v>47</v>
      </c>
      <c r="O111" s="266">
        <v>54</v>
      </c>
      <c r="P111" s="266">
        <v>54</v>
      </c>
      <c r="Q111" s="266">
        <v>54</v>
      </c>
      <c r="R111" s="352">
        <v>67</v>
      </c>
      <c r="S111" s="350">
        <v>67</v>
      </c>
      <c r="T111" s="350">
        <v>67</v>
      </c>
      <c r="U111" s="350">
        <v>67</v>
      </c>
      <c r="V111" s="350">
        <v>67</v>
      </c>
      <c r="W111" s="352">
        <v>89</v>
      </c>
      <c r="X111" s="593">
        <v>89</v>
      </c>
      <c r="Y111" s="593">
        <v>89</v>
      </c>
      <c r="Z111" s="593">
        <v>89</v>
      </c>
      <c r="AA111" s="593">
        <v>89</v>
      </c>
      <c r="AB111" s="593">
        <v>89</v>
      </c>
      <c r="AC111" s="593">
        <v>89</v>
      </c>
      <c r="AD111" s="593">
        <v>89</v>
      </c>
      <c r="AE111" s="593">
        <v>89</v>
      </c>
      <c r="AF111" s="593">
        <v>89</v>
      </c>
      <c r="AG111" s="722" t="s">
        <v>47</v>
      </c>
      <c r="AH111" s="722" t="s">
        <v>47</v>
      </c>
      <c r="AI111" s="722" t="s">
        <v>47</v>
      </c>
      <c r="AJ111" s="722" t="s">
        <v>47</v>
      </c>
      <c r="AK111" s="722" t="s">
        <v>47</v>
      </c>
      <c r="AL111" s="722" t="s">
        <v>47</v>
      </c>
      <c r="AM111" s="722" t="s">
        <v>47</v>
      </c>
      <c r="AN111" s="722" t="s">
        <v>47</v>
      </c>
      <c r="AO111" s="722" t="s">
        <v>47</v>
      </c>
      <c r="AP111" s="722" t="s">
        <v>47</v>
      </c>
      <c r="AQ111" s="722" t="s">
        <v>47</v>
      </c>
      <c r="AR111" s="722" t="s">
        <v>47</v>
      </c>
      <c r="AS111" s="722" t="s">
        <v>47</v>
      </c>
    </row>
    <row r="112" spans="2:45" x14ac:dyDescent="0.25">
      <c r="B112" s="117" t="s">
        <v>136</v>
      </c>
      <c r="C112" s="265" t="s">
        <v>47</v>
      </c>
      <c r="D112" s="265" t="s">
        <v>47</v>
      </c>
      <c r="E112" s="265" t="s">
        <v>47</v>
      </c>
      <c r="F112" s="265" t="s">
        <v>47</v>
      </c>
      <c r="G112" s="266">
        <v>57.7</v>
      </c>
      <c r="H112" s="266">
        <v>57.7</v>
      </c>
      <c r="I112" s="266">
        <v>57.7</v>
      </c>
      <c r="J112" s="266">
        <v>57.7</v>
      </c>
      <c r="K112" s="266">
        <v>57.7</v>
      </c>
      <c r="L112" s="342">
        <v>42</v>
      </c>
      <c r="M112" s="266">
        <v>42</v>
      </c>
      <c r="N112" s="266">
        <v>42</v>
      </c>
      <c r="O112" s="266">
        <v>42</v>
      </c>
      <c r="P112" s="266">
        <v>42</v>
      </c>
      <c r="Q112" s="343">
        <v>60</v>
      </c>
      <c r="R112" s="348">
        <v>60</v>
      </c>
      <c r="S112" s="348">
        <v>60</v>
      </c>
      <c r="T112" s="348">
        <v>60</v>
      </c>
      <c r="U112" s="348">
        <v>60</v>
      </c>
      <c r="V112" s="352">
        <v>79</v>
      </c>
      <c r="W112" s="593">
        <v>79</v>
      </c>
      <c r="X112" s="593">
        <v>79</v>
      </c>
      <c r="Y112" s="593">
        <v>79</v>
      </c>
      <c r="Z112" s="593">
        <v>79</v>
      </c>
      <c r="AA112" s="593">
        <v>79</v>
      </c>
      <c r="AB112" s="593">
        <v>79</v>
      </c>
      <c r="AC112" s="593">
        <v>79</v>
      </c>
      <c r="AD112" s="352">
        <v>103</v>
      </c>
      <c r="AE112" s="593">
        <v>103</v>
      </c>
      <c r="AF112" s="593">
        <v>103</v>
      </c>
      <c r="AG112" s="722" t="s">
        <v>47</v>
      </c>
      <c r="AH112" s="722" t="s">
        <v>47</v>
      </c>
      <c r="AI112" s="722" t="s">
        <v>47</v>
      </c>
      <c r="AJ112" s="722" t="s">
        <v>47</v>
      </c>
      <c r="AK112" s="722" t="s">
        <v>47</v>
      </c>
      <c r="AL112" s="722" t="s">
        <v>47</v>
      </c>
      <c r="AM112" s="722" t="s">
        <v>47</v>
      </c>
      <c r="AN112" s="722" t="s">
        <v>47</v>
      </c>
      <c r="AO112" s="722" t="s">
        <v>47</v>
      </c>
      <c r="AP112" s="722" t="s">
        <v>47</v>
      </c>
      <c r="AQ112" s="722" t="s">
        <v>47</v>
      </c>
      <c r="AR112" s="722" t="s">
        <v>47</v>
      </c>
      <c r="AS112" s="722" t="s">
        <v>47</v>
      </c>
    </row>
    <row r="113" spans="2:45" customFormat="1" ht="12.75" x14ac:dyDescent="0.2">
      <c r="B113" s="279" t="s">
        <v>381</v>
      </c>
      <c r="C113" s="328">
        <f t="shared" ref="C113:AF113" si="98">IFERROR(AVERAGE(C106:C112),"-")</f>
        <v>36</v>
      </c>
      <c r="D113" s="328">
        <f t="shared" si="98"/>
        <v>36</v>
      </c>
      <c r="E113" s="328">
        <f t="shared" si="98"/>
        <v>36</v>
      </c>
      <c r="F113" s="328">
        <f t="shared" si="98"/>
        <v>40.5</v>
      </c>
      <c r="G113" s="328">
        <f t="shared" si="98"/>
        <v>46.233333333333327</v>
      </c>
      <c r="H113" s="328">
        <f t="shared" si="98"/>
        <v>48.116666666666667</v>
      </c>
      <c r="I113" s="328">
        <f t="shared" si="98"/>
        <v>49.924999999999997</v>
      </c>
      <c r="J113" s="328">
        <f t="shared" si="98"/>
        <v>49.924999999999997</v>
      </c>
      <c r="K113" s="328">
        <f t="shared" si="98"/>
        <v>49.924999999999997</v>
      </c>
      <c r="L113" s="328">
        <f t="shared" si="98"/>
        <v>46</v>
      </c>
      <c r="M113" s="328">
        <f t="shared" si="98"/>
        <v>46</v>
      </c>
      <c r="N113" s="328">
        <f t="shared" si="98"/>
        <v>50</v>
      </c>
      <c r="O113" s="328">
        <f t="shared" si="98"/>
        <v>50.8</v>
      </c>
      <c r="P113" s="328">
        <f t="shared" si="98"/>
        <v>50.8</v>
      </c>
      <c r="Q113" s="328">
        <f t="shared" si="98"/>
        <v>57.8</v>
      </c>
      <c r="R113" s="351">
        <f t="shared" si="98"/>
        <v>60.4</v>
      </c>
      <c r="S113" s="351">
        <f t="shared" si="98"/>
        <v>60.4</v>
      </c>
      <c r="T113" s="351">
        <f t="shared" si="98"/>
        <v>67.400000000000006</v>
      </c>
      <c r="U113" s="351">
        <f t="shared" si="98"/>
        <v>72.599999999999994</v>
      </c>
      <c r="V113" s="351">
        <f t="shared" si="98"/>
        <v>76.400000000000006</v>
      </c>
      <c r="W113" s="351">
        <f t="shared" si="98"/>
        <v>85.12</v>
      </c>
      <c r="X113" s="351">
        <f t="shared" si="98"/>
        <v>85.12</v>
      </c>
      <c r="Y113" s="351">
        <f t="shared" si="98"/>
        <v>85.12</v>
      </c>
      <c r="Z113" s="351">
        <f t="shared" si="98"/>
        <v>85</v>
      </c>
      <c r="AA113" s="351">
        <f t="shared" si="98"/>
        <v>85</v>
      </c>
      <c r="AB113" s="351">
        <f t="shared" si="98"/>
        <v>85</v>
      </c>
      <c r="AC113" s="351">
        <f t="shared" si="98"/>
        <v>85</v>
      </c>
      <c r="AD113" s="351">
        <f t="shared" si="98"/>
        <v>89.8</v>
      </c>
      <c r="AE113" s="351">
        <f t="shared" si="98"/>
        <v>89.8</v>
      </c>
      <c r="AF113" s="351">
        <f t="shared" si="98"/>
        <v>98.2</v>
      </c>
      <c r="AG113" s="351" t="str">
        <f t="shared" ref="AG113:AL113" si="99">IFERROR(AVERAGE(AG106:AG112),"-")</f>
        <v>-</v>
      </c>
      <c r="AH113" s="351" t="str">
        <f t="shared" si="99"/>
        <v>-</v>
      </c>
      <c r="AI113" s="351" t="str">
        <f t="shared" si="99"/>
        <v>-</v>
      </c>
      <c r="AJ113" s="351" t="str">
        <f t="shared" si="99"/>
        <v>-</v>
      </c>
      <c r="AK113" s="351" t="str">
        <f t="shared" si="99"/>
        <v>-</v>
      </c>
      <c r="AL113" s="351" t="str">
        <f t="shared" si="99"/>
        <v>-</v>
      </c>
      <c r="AM113" s="351" t="str">
        <f t="shared" ref="AM113:AR113" si="100">IFERROR(AVERAGE(AM106:AM112),"-")</f>
        <v>-</v>
      </c>
      <c r="AN113" s="351" t="str">
        <f t="shared" si="100"/>
        <v>-</v>
      </c>
      <c r="AO113" s="351" t="str">
        <f t="shared" si="100"/>
        <v>-</v>
      </c>
      <c r="AP113" s="351" t="str">
        <f t="shared" si="100"/>
        <v>-</v>
      </c>
      <c r="AQ113" s="351" t="str">
        <f t="shared" si="100"/>
        <v>-</v>
      </c>
      <c r="AR113" s="351" t="str">
        <f t="shared" si="100"/>
        <v>-</v>
      </c>
      <c r="AS113" s="351" t="str">
        <f>IFERROR(AVERAGE(AS106:AS112),"-")</f>
        <v>-</v>
      </c>
    </row>
    <row r="114" spans="2:45" x14ac:dyDescent="0.25">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row>
    <row r="115" spans="2:45" x14ac:dyDescent="0.25">
      <c r="B115" s="113" t="s">
        <v>787</v>
      </c>
      <c r="C115" s="264" t="str">
        <f t="shared" ref="C115:AS115" si="101">+C$147</f>
        <v>Jun-16</v>
      </c>
      <c r="D115" s="264" t="str">
        <f t="shared" si="101"/>
        <v>Jul-16</v>
      </c>
      <c r="E115" s="264" t="str">
        <f t="shared" si="101"/>
        <v>Aug-16</v>
      </c>
      <c r="F115" s="264" t="str">
        <f t="shared" si="101"/>
        <v>Sep-16</v>
      </c>
      <c r="G115" s="264" t="str">
        <f t="shared" si="101"/>
        <v>Oct-16</v>
      </c>
      <c r="H115" s="264" t="str">
        <f t="shared" si="101"/>
        <v>Nov-16</v>
      </c>
      <c r="I115" s="264" t="str">
        <f t="shared" si="101"/>
        <v>Dec-16</v>
      </c>
      <c r="J115" s="264" t="str">
        <f t="shared" si="101"/>
        <v>Jan-17</v>
      </c>
      <c r="K115" s="264" t="str">
        <f t="shared" si="101"/>
        <v>Feb-17</v>
      </c>
      <c r="L115" s="264" t="str">
        <f t="shared" si="101"/>
        <v>Mar-17</v>
      </c>
      <c r="M115" s="264" t="str">
        <f t="shared" si="101"/>
        <v>Apr-17</v>
      </c>
      <c r="N115" s="264" t="str">
        <f t="shared" si="101"/>
        <v>May-17</v>
      </c>
      <c r="O115" s="264" t="str">
        <f t="shared" si="101"/>
        <v>Jun-17</v>
      </c>
      <c r="P115" s="264" t="str">
        <f t="shared" si="101"/>
        <v>Jul-17</v>
      </c>
      <c r="Q115" s="264" t="str">
        <f t="shared" si="101"/>
        <v>Aug-17</v>
      </c>
      <c r="R115" s="264" t="str">
        <f t="shared" si="101"/>
        <v>Sep-17</v>
      </c>
      <c r="S115" s="264" t="str">
        <f t="shared" si="101"/>
        <v>Oct-17</v>
      </c>
      <c r="T115" s="264" t="str">
        <f t="shared" si="101"/>
        <v>Nov-17</v>
      </c>
      <c r="U115" s="264" t="str">
        <f t="shared" si="101"/>
        <v>Dec-17</v>
      </c>
      <c r="V115" s="264" t="str">
        <f t="shared" si="101"/>
        <v>Jan-18</v>
      </c>
      <c r="W115" s="264" t="str">
        <f t="shared" si="101"/>
        <v>Feb-18</v>
      </c>
      <c r="X115" s="264" t="str">
        <f t="shared" si="101"/>
        <v>Mar-18</v>
      </c>
      <c r="Y115" s="264" t="str">
        <f t="shared" si="101"/>
        <v>Apr-18</v>
      </c>
      <c r="Z115" s="264" t="str">
        <f t="shared" si="101"/>
        <v>May-18</v>
      </c>
      <c r="AA115" s="264" t="str">
        <f t="shared" si="101"/>
        <v>Jun-18</v>
      </c>
      <c r="AB115" s="264" t="str">
        <f t="shared" si="101"/>
        <v>Jul-18</v>
      </c>
      <c r="AC115" s="264" t="str">
        <f t="shared" si="101"/>
        <v>Aug-18</v>
      </c>
      <c r="AD115" s="264" t="str">
        <f t="shared" si="101"/>
        <v>Sep-18</v>
      </c>
      <c r="AE115" s="264" t="str">
        <f t="shared" si="101"/>
        <v>Oct-18</v>
      </c>
      <c r="AF115" s="264" t="str">
        <f t="shared" si="101"/>
        <v>Nov-18</v>
      </c>
      <c r="AG115" s="264" t="str">
        <f t="shared" si="101"/>
        <v>Dec-18</v>
      </c>
      <c r="AH115" s="264" t="str">
        <f t="shared" si="101"/>
        <v>Jan-19</v>
      </c>
      <c r="AI115" s="264" t="str">
        <f t="shared" si="101"/>
        <v>Feb-19</v>
      </c>
      <c r="AJ115" s="264" t="str">
        <f t="shared" si="101"/>
        <v>Mar-19</v>
      </c>
      <c r="AK115" s="264" t="str">
        <f t="shared" si="101"/>
        <v>Apr-19</v>
      </c>
      <c r="AL115" s="264" t="str">
        <f t="shared" si="101"/>
        <v>May-19</v>
      </c>
      <c r="AM115" s="264" t="str">
        <f t="shared" si="101"/>
        <v>Jun-19</v>
      </c>
      <c r="AN115" s="264" t="str">
        <f t="shared" si="101"/>
        <v>Jul-19</v>
      </c>
      <c r="AO115" s="264" t="str">
        <f t="shared" si="101"/>
        <v>Aug-19</v>
      </c>
      <c r="AP115" s="264" t="str">
        <f t="shared" si="101"/>
        <v>Sep-19</v>
      </c>
      <c r="AQ115" s="264" t="str">
        <f t="shared" si="101"/>
        <v>Oct-19</v>
      </c>
      <c r="AR115" s="264" t="str">
        <f t="shared" si="101"/>
        <v>Nov-19</v>
      </c>
      <c r="AS115" s="264" t="str">
        <f t="shared" si="101"/>
        <v>Dec-19</v>
      </c>
    </row>
    <row r="116" spans="2:45" x14ac:dyDescent="0.25">
      <c r="B116" s="117" t="s">
        <v>131</v>
      </c>
      <c r="C116" s="265" t="s">
        <v>47</v>
      </c>
      <c r="D116" s="265" t="s">
        <v>47</v>
      </c>
      <c r="E116" s="265" t="s">
        <v>47</v>
      </c>
      <c r="F116" s="265" t="s">
        <v>47</v>
      </c>
      <c r="G116" s="265" t="s">
        <v>47</v>
      </c>
      <c r="H116" s="265" t="s">
        <v>47</v>
      </c>
      <c r="I116" s="265" t="s">
        <v>47</v>
      </c>
      <c r="J116" s="265" t="s">
        <v>47</v>
      </c>
      <c r="K116" s="265" t="s">
        <v>47</v>
      </c>
      <c r="L116" s="265" t="s">
        <v>47</v>
      </c>
      <c r="M116" s="265" t="s">
        <v>47</v>
      </c>
      <c r="N116" s="265" t="s">
        <v>47</v>
      </c>
      <c r="O116" s="265" t="s">
        <v>47</v>
      </c>
      <c r="P116" s="265" t="s">
        <v>47</v>
      </c>
      <c r="Q116" s="265" t="s">
        <v>47</v>
      </c>
      <c r="R116" s="265" t="s">
        <v>47</v>
      </c>
      <c r="S116" s="265" t="s">
        <v>47</v>
      </c>
      <c r="T116" s="265" t="s">
        <v>47</v>
      </c>
      <c r="U116" s="692" t="s">
        <v>47</v>
      </c>
      <c r="V116" s="692" t="s">
        <v>47</v>
      </c>
      <c r="W116" s="692" t="s">
        <v>47</v>
      </c>
      <c r="X116" s="692" t="s">
        <v>47</v>
      </c>
      <c r="Y116" s="692" t="s">
        <v>47</v>
      </c>
      <c r="Z116" s="692" t="s">
        <v>47</v>
      </c>
      <c r="AA116" s="692" t="s">
        <v>47</v>
      </c>
      <c r="AB116" s="692" t="s">
        <v>47</v>
      </c>
      <c r="AC116" s="692" t="s">
        <v>47</v>
      </c>
      <c r="AD116" s="692" t="s">
        <v>47</v>
      </c>
      <c r="AE116" s="692" t="s">
        <v>47</v>
      </c>
      <c r="AF116" s="692" t="s">
        <v>47</v>
      </c>
      <c r="AG116" s="692">
        <v>32</v>
      </c>
      <c r="AH116" s="692">
        <v>32</v>
      </c>
      <c r="AI116" s="692">
        <v>32</v>
      </c>
      <c r="AJ116" s="692">
        <v>32</v>
      </c>
      <c r="AK116" s="692">
        <v>32</v>
      </c>
      <c r="AL116" s="692">
        <v>32</v>
      </c>
      <c r="AM116" s="692">
        <v>32</v>
      </c>
      <c r="AN116" s="692">
        <v>32</v>
      </c>
      <c r="AO116" s="692">
        <v>32</v>
      </c>
      <c r="AP116" s="692">
        <v>32</v>
      </c>
      <c r="AQ116" s="692">
        <v>32</v>
      </c>
      <c r="AR116" s="692">
        <v>32</v>
      </c>
      <c r="AS116" s="692" t="s">
        <v>47</v>
      </c>
    </row>
    <row r="117" spans="2:45" x14ac:dyDescent="0.25">
      <c r="B117" s="117" t="s">
        <v>134</v>
      </c>
      <c r="C117" s="265" t="s">
        <v>47</v>
      </c>
      <c r="D117" s="265" t="s">
        <v>47</v>
      </c>
      <c r="E117" s="265" t="s">
        <v>47</v>
      </c>
      <c r="F117" s="265" t="s">
        <v>47</v>
      </c>
      <c r="G117" s="265" t="s">
        <v>47</v>
      </c>
      <c r="H117" s="265" t="s">
        <v>47</v>
      </c>
      <c r="I117" s="265" t="s">
        <v>47</v>
      </c>
      <c r="J117" s="265" t="s">
        <v>47</v>
      </c>
      <c r="K117" s="265" t="s">
        <v>47</v>
      </c>
      <c r="L117" s="265" t="s">
        <v>47</v>
      </c>
      <c r="M117" s="265" t="s">
        <v>47</v>
      </c>
      <c r="N117" s="265" t="s">
        <v>47</v>
      </c>
      <c r="O117" s="265" t="s">
        <v>47</v>
      </c>
      <c r="P117" s="265" t="s">
        <v>47</v>
      </c>
      <c r="Q117" s="265" t="s">
        <v>47</v>
      </c>
      <c r="R117" s="265" t="s">
        <v>47</v>
      </c>
      <c r="S117" s="265" t="s">
        <v>47</v>
      </c>
      <c r="T117" s="265" t="s">
        <v>47</v>
      </c>
      <c r="U117" s="265" t="s">
        <v>47</v>
      </c>
      <c r="V117" s="265" t="s">
        <v>47</v>
      </c>
      <c r="W117" s="265" t="s">
        <v>47</v>
      </c>
      <c r="X117" s="265" t="s">
        <v>47</v>
      </c>
      <c r="Y117" s="265" t="s">
        <v>47</v>
      </c>
      <c r="Z117" s="265" t="s">
        <v>47</v>
      </c>
      <c r="AA117" s="265" t="s">
        <v>47</v>
      </c>
      <c r="AB117" s="265" t="s">
        <v>47</v>
      </c>
      <c r="AC117" s="265" t="s">
        <v>47</v>
      </c>
      <c r="AD117" s="265" t="s">
        <v>47</v>
      </c>
      <c r="AE117" s="265" t="s">
        <v>47</v>
      </c>
      <c r="AF117" s="265" t="s">
        <v>47</v>
      </c>
      <c r="AG117" s="265" t="s">
        <v>47</v>
      </c>
      <c r="AH117" s="265" t="s">
        <v>47</v>
      </c>
      <c r="AI117" s="265" t="s">
        <v>47</v>
      </c>
      <c r="AJ117" s="265">
        <v>26</v>
      </c>
      <c r="AK117" s="265">
        <v>26</v>
      </c>
      <c r="AL117" s="698">
        <v>27</v>
      </c>
      <c r="AM117" s="265">
        <v>27</v>
      </c>
      <c r="AN117" s="265">
        <v>27</v>
      </c>
      <c r="AO117" s="265">
        <v>27</v>
      </c>
      <c r="AP117" s="265">
        <v>27</v>
      </c>
      <c r="AQ117" s="265">
        <v>27</v>
      </c>
      <c r="AR117" s="265">
        <f>AQ117</f>
        <v>27</v>
      </c>
      <c r="AS117" s="265" t="s">
        <v>47</v>
      </c>
    </row>
    <row r="118" spans="2:45" x14ac:dyDescent="0.25">
      <c r="B118" s="117" t="s">
        <v>135</v>
      </c>
      <c r="C118" s="265" t="s">
        <v>47</v>
      </c>
      <c r="D118" s="265" t="s">
        <v>47</v>
      </c>
      <c r="E118" s="265" t="s">
        <v>47</v>
      </c>
      <c r="F118" s="265" t="s">
        <v>47</v>
      </c>
      <c r="G118" s="265" t="s">
        <v>47</v>
      </c>
      <c r="H118" s="265" t="s">
        <v>47</v>
      </c>
      <c r="I118" s="265" t="s">
        <v>47</v>
      </c>
      <c r="J118" s="265" t="s">
        <v>47</v>
      </c>
      <c r="K118" s="265" t="s">
        <v>47</v>
      </c>
      <c r="L118" s="265" t="s">
        <v>47</v>
      </c>
      <c r="M118" s="265" t="s">
        <v>47</v>
      </c>
      <c r="N118" s="265" t="s">
        <v>47</v>
      </c>
      <c r="O118" s="265" t="s">
        <v>47</v>
      </c>
      <c r="P118" s="265" t="s">
        <v>47</v>
      </c>
      <c r="Q118" s="265" t="s">
        <v>47</v>
      </c>
      <c r="R118" s="265" t="s">
        <v>47</v>
      </c>
      <c r="S118" s="265" t="s">
        <v>47</v>
      </c>
      <c r="T118" s="265" t="s">
        <v>47</v>
      </c>
      <c r="U118" s="265" t="s">
        <v>47</v>
      </c>
      <c r="V118" s="265" t="s">
        <v>47</v>
      </c>
      <c r="W118" s="265" t="s">
        <v>47</v>
      </c>
      <c r="X118" s="265" t="s">
        <v>47</v>
      </c>
      <c r="Y118" s="265" t="s">
        <v>47</v>
      </c>
      <c r="Z118" s="692" t="s">
        <v>47</v>
      </c>
      <c r="AA118" s="265" t="s">
        <v>47</v>
      </c>
      <c r="AB118" s="265" t="s">
        <v>47</v>
      </c>
      <c r="AC118" s="265" t="s">
        <v>47</v>
      </c>
      <c r="AD118" s="265" t="s">
        <v>47</v>
      </c>
      <c r="AE118" s="265" t="s">
        <v>47</v>
      </c>
      <c r="AF118" s="265">
        <v>29</v>
      </c>
      <c r="AG118" s="265">
        <v>29</v>
      </c>
      <c r="AH118" s="265">
        <v>29</v>
      </c>
      <c r="AI118" s="265">
        <v>29</v>
      </c>
      <c r="AJ118" s="265">
        <v>29</v>
      </c>
      <c r="AK118" s="265">
        <v>29</v>
      </c>
      <c r="AL118" s="265">
        <v>34</v>
      </c>
      <c r="AM118" s="265">
        <v>34</v>
      </c>
      <c r="AN118" s="265">
        <v>34</v>
      </c>
      <c r="AO118" s="265">
        <v>34</v>
      </c>
      <c r="AP118" s="265">
        <v>34</v>
      </c>
      <c r="AQ118" s="265">
        <v>34</v>
      </c>
      <c r="AR118" s="265" t="s">
        <v>47</v>
      </c>
      <c r="AS118" s="265" t="s">
        <v>47</v>
      </c>
    </row>
    <row r="119" spans="2:45" x14ac:dyDescent="0.25">
      <c r="B119" s="117" t="s">
        <v>142</v>
      </c>
      <c r="C119" s="265" t="s">
        <v>47</v>
      </c>
      <c r="D119" s="265" t="s">
        <v>47</v>
      </c>
      <c r="E119" s="265" t="s">
        <v>47</v>
      </c>
      <c r="F119" s="265" t="s">
        <v>47</v>
      </c>
      <c r="G119" s="265" t="s">
        <v>47</v>
      </c>
      <c r="H119" s="265" t="s">
        <v>47</v>
      </c>
      <c r="I119" s="265" t="s">
        <v>47</v>
      </c>
      <c r="J119" s="265" t="s">
        <v>47</v>
      </c>
      <c r="K119" s="265" t="s">
        <v>47</v>
      </c>
      <c r="L119" s="265" t="s">
        <v>47</v>
      </c>
      <c r="M119" s="265" t="s">
        <v>47</v>
      </c>
      <c r="N119" s="265" t="s">
        <v>47</v>
      </c>
      <c r="O119" s="265" t="s">
        <v>47</v>
      </c>
      <c r="P119" s="265" t="s">
        <v>47</v>
      </c>
      <c r="Q119" s="265" t="s">
        <v>47</v>
      </c>
      <c r="R119" s="265" t="s">
        <v>47</v>
      </c>
      <c r="S119" s="265" t="s">
        <v>47</v>
      </c>
      <c r="T119" s="265" t="s">
        <v>47</v>
      </c>
      <c r="U119" s="265" t="s">
        <v>47</v>
      </c>
      <c r="V119" s="265" t="s">
        <v>47</v>
      </c>
      <c r="W119" s="692" t="s">
        <v>47</v>
      </c>
      <c r="X119" s="692" t="s">
        <v>47</v>
      </c>
      <c r="Y119" s="692" t="s">
        <v>47</v>
      </c>
      <c r="Z119" s="692" t="s">
        <v>47</v>
      </c>
      <c r="AA119" s="692" t="s">
        <v>47</v>
      </c>
      <c r="AB119" s="692" t="s">
        <v>47</v>
      </c>
      <c r="AC119" s="692" t="s">
        <v>47</v>
      </c>
      <c r="AD119" s="692" t="s">
        <v>47</v>
      </c>
      <c r="AE119" s="692" t="s">
        <v>47</v>
      </c>
      <c r="AF119" s="692" t="s">
        <v>47</v>
      </c>
      <c r="AG119" s="692" t="s">
        <v>47</v>
      </c>
      <c r="AH119" s="692" t="s">
        <v>47</v>
      </c>
      <c r="AI119" s="692" t="s">
        <v>47</v>
      </c>
      <c r="AJ119" s="692" t="s">
        <v>47</v>
      </c>
      <c r="AK119" s="698">
        <v>33</v>
      </c>
      <c r="AL119" s="692">
        <v>33</v>
      </c>
      <c r="AM119" s="692">
        <v>33</v>
      </c>
      <c r="AN119" s="692" t="s">
        <v>47</v>
      </c>
      <c r="AO119" s="692" t="s">
        <v>47</v>
      </c>
      <c r="AP119" s="692" t="s">
        <v>47</v>
      </c>
      <c r="AQ119" s="692" t="s">
        <v>47</v>
      </c>
      <c r="AR119" s="692" t="s">
        <v>47</v>
      </c>
      <c r="AS119" s="692" t="s">
        <v>47</v>
      </c>
    </row>
    <row r="120" spans="2:45" x14ac:dyDescent="0.25">
      <c r="B120" s="117" t="s">
        <v>136</v>
      </c>
      <c r="C120" s="265" t="s">
        <v>47</v>
      </c>
      <c r="D120" s="265" t="s">
        <v>47</v>
      </c>
      <c r="E120" s="265" t="s">
        <v>47</v>
      </c>
      <c r="F120" s="265" t="s">
        <v>47</v>
      </c>
      <c r="G120" s="265" t="s">
        <v>47</v>
      </c>
      <c r="H120" s="265" t="s">
        <v>47</v>
      </c>
      <c r="I120" s="265" t="s">
        <v>47</v>
      </c>
      <c r="J120" s="265" t="s">
        <v>47</v>
      </c>
      <c r="K120" s="265" t="s">
        <v>47</v>
      </c>
      <c r="L120" s="265" t="s">
        <v>47</v>
      </c>
      <c r="M120" s="265" t="s">
        <v>47</v>
      </c>
      <c r="N120" s="265" t="s">
        <v>47</v>
      </c>
      <c r="O120" s="265" t="s">
        <v>47</v>
      </c>
      <c r="P120" s="265" t="s">
        <v>47</v>
      </c>
      <c r="Q120" s="265" t="s">
        <v>47</v>
      </c>
      <c r="R120" s="265" t="s">
        <v>47</v>
      </c>
      <c r="S120" s="265" t="s">
        <v>47</v>
      </c>
      <c r="T120" s="265" t="s">
        <v>47</v>
      </c>
      <c r="U120" s="265" t="s">
        <v>47</v>
      </c>
      <c r="V120" s="692" t="s">
        <v>47</v>
      </c>
      <c r="W120" s="692" t="s">
        <v>47</v>
      </c>
      <c r="X120" s="692" t="s">
        <v>47</v>
      </c>
      <c r="Y120" s="692" t="s">
        <v>47</v>
      </c>
      <c r="Z120" s="692" t="s">
        <v>47</v>
      </c>
      <c r="AA120" s="692" t="s">
        <v>47</v>
      </c>
      <c r="AB120" s="692" t="s">
        <v>47</v>
      </c>
      <c r="AC120" s="692" t="s">
        <v>47</v>
      </c>
      <c r="AD120" s="692">
        <v>28.8</v>
      </c>
      <c r="AE120" s="692">
        <v>28.8</v>
      </c>
      <c r="AF120" s="692">
        <v>28.8</v>
      </c>
      <c r="AG120" s="692">
        <v>28.8</v>
      </c>
      <c r="AH120" s="692">
        <v>28.8</v>
      </c>
      <c r="AI120" s="692">
        <v>28.8</v>
      </c>
      <c r="AJ120" s="692">
        <v>28.8</v>
      </c>
      <c r="AK120" s="692">
        <v>28.8</v>
      </c>
      <c r="AL120" s="692">
        <v>28.8</v>
      </c>
      <c r="AM120" s="692">
        <v>28.8</v>
      </c>
      <c r="AN120" s="692">
        <v>28.8</v>
      </c>
      <c r="AO120" s="692">
        <v>28.8</v>
      </c>
      <c r="AP120" s="692" t="s">
        <v>47</v>
      </c>
      <c r="AQ120" s="692" t="s">
        <v>47</v>
      </c>
      <c r="AR120" s="692" t="s">
        <v>47</v>
      </c>
      <c r="AS120" s="692" t="s">
        <v>47</v>
      </c>
    </row>
    <row r="121" spans="2:45" customFormat="1" ht="12.75" x14ac:dyDescent="0.2">
      <c r="B121" s="279" t="s">
        <v>381</v>
      </c>
      <c r="C121" s="280" t="str">
        <f t="shared" ref="C121:AC121" si="102">IFERROR(AVERAGE(C116:C120),"-")</f>
        <v>-</v>
      </c>
      <c r="D121" s="280" t="str">
        <f t="shared" si="102"/>
        <v>-</v>
      </c>
      <c r="E121" s="280" t="str">
        <f t="shared" si="102"/>
        <v>-</v>
      </c>
      <c r="F121" s="280" t="str">
        <f t="shared" si="102"/>
        <v>-</v>
      </c>
      <c r="G121" s="280" t="str">
        <f t="shared" si="102"/>
        <v>-</v>
      </c>
      <c r="H121" s="280" t="str">
        <f t="shared" si="102"/>
        <v>-</v>
      </c>
      <c r="I121" s="280" t="str">
        <f t="shared" si="102"/>
        <v>-</v>
      </c>
      <c r="J121" s="280" t="str">
        <f t="shared" si="102"/>
        <v>-</v>
      </c>
      <c r="K121" s="280" t="str">
        <f t="shared" si="102"/>
        <v>-</v>
      </c>
      <c r="L121" s="280" t="str">
        <f t="shared" si="102"/>
        <v>-</v>
      </c>
      <c r="M121" s="280" t="str">
        <f t="shared" si="102"/>
        <v>-</v>
      </c>
      <c r="N121" s="280" t="str">
        <f t="shared" si="102"/>
        <v>-</v>
      </c>
      <c r="O121" s="280" t="str">
        <f t="shared" si="102"/>
        <v>-</v>
      </c>
      <c r="P121" s="280" t="str">
        <f t="shared" si="102"/>
        <v>-</v>
      </c>
      <c r="Q121" s="280" t="str">
        <f t="shared" si="102"/>
        <v>-</v>
      </c>
      <c r="R121" s="347" t="str">
        <f t="shared" si="102"/>
        <v>-</v>
      </c>
      <c r="S121" s="347" t="str">
        <f t="shared" si="102"/>
        <v>-</v>
      </c>
      <c r="T121" s="347" t="str">
        <f t="shared" si="102"/>
        <v>-</v>
      </c>
      <c r="U121" s="347" t="str">
        <f t="shared" si="102"/>
        <v>-</v>
      </c>
      <c r="V121" s="347" t="str">
        <f t="shared" si="102"/>
        <v>-</v>
      </c>
      <c r="W121" s="347" t="str">
        <f t="shared" si="102"/>
        <v>-</v>
      </c>
      <c r="X121" s="347" t="str">
        <f t="shared" si="102"/>
        <v>-</v>
      </c>
      <c r="Y121" s="347" t="str">
        <f t="shared" si="102"/>
        <v>-</v>
      </c>
      <c r="Z121" s="347" t="str">
        <f t="shared" si="102"/>
        <v>-</v>
      </c>
      <c r="AA121" s="347" t="str">
        <f t="shared" si="102"/>
        <v>-</v>
      </c>
      <c r="AB121" s="347" t="str">
        <f t="shared" si="102"/>
        <v>-</v>
      </c>
      <c r="AC121" s="347" t="str">
        <f t="shared" si="102"/>
        <v>-</v>
      </c>
      <c r="AD121" s="347">
        <f t="shared" ref="AD121:AI121" si="103">IFERROR(AVERAGE(AD116:AD120),"-")</f>
        <v>28.8</v>
      </c>
      <c r="AE121" s="347">
        <f t="shared" si="103"/>
        <v>28.8</v>
      </c>
      <c r="AF121" s="347">
        <f t="shared" si="103"/>
        <v>28.9</v>
      </c>
      <c r="AG121" s="347">
        <f t="shared" si="103"/>
        <v>29.933333333333334</v>
      </c>
      <c r="AH121" s="347">
        <f t="shared" si="103"/>
        <v>29.933333333333334</v>
      </c>
      <c r="AI121" s="347">
        <f t="shared" si="103"/>
        <v>29.933333333333334</v>
      </c>
      <c r="AJ121" s="347">
        <f t="shared" ref="AJ121:AO121" si="104">IFERROR(AVERAGE(AJ116:AJ120),"-")</f>
        <v>28.95</v>
      </c>
      <c r="AK121" s="347">
        <f t="shared" si="104"/>
        <v>29.76</v>
      </c>
      <c r="AL121" s="347">
        <f t="shared" si="104"/>
        <v>30.96</v>
      </c>
      <c r="AM121" s="347">
        <f t="shared" si="104"/>
        <v>30.96</v>
      </c>
      <c r="AN121" s="347">
        <f t="shared" si="104"/>
        <v>30.45</v>
      </c>
      <c r="AO121" s="347">
        <f t="shared" si="104"/>
        <v>30.45</v>
      </c>
      <c r="AP121" s="347">
        <f>IFERROR(AVERAGE(AP116:AP120),"-")</f>
        <v>31</v>
      </c>
      <c r="AQ121" s="347">
        <f>IFERROR(AVERAGE(AQ116:AQ120),"-")</f>
        <v>31</v>
      </c>
      <c r="AR121" s="347">
        <f>IFERROR(AVERAGE(AR116:AR120),"-")</f>
        <v>29.5</v>
      </c>
      <c r="AS121" s="347" t="str">
        <f>IFERROR(AVERAGE(AS116:AS120),"-")</f>
        <v>-</v>
      </c>
    </row>
    <row r="122" spans="2:45" s="787" customFormat="1" x14ac:dyDescent="0.25"/>
    <row r="123" spans="2:45" x14ac:dyDescent="0.25">
      <c r="B123" s="113" t="s">
        <v>385</v>
      </c>
      <c r="C123" s="264" t="str">
        <f t="shared" ref="C123:AS123" si="105">+C$147</f>
        <v>Jun-16</v>
      </c>
      <c r="D123" s="264" t="str">
        <f t="shared" si="105"/>
        <v>Jul-16</v>
      </c>
      <c r="E123" s="264" t="str">
        <f t="shared" si="105"/>
        <v>Aug-16</v>
      </c>
      <c r="F123" s="264" t="str">
        <f t="shared" si="105"/>
        <v>Sep-16</v>
      </c>
      <c r="G123" s="264" t="str">
        <f t="shared" si="105"/>
        <v>Oct-16</v>
      </c>
      <c r="H123" s="264" t="str">
        <f t="shared" si="105"/>
        <v>Nov-16</v>
      </c>
      <c r="I123" s="264" t="str">
        <f t="shared" si="105"/>
        <v>Dec-16</v>
      </c>
      <c r="J123" s="264" t="str">
        <f t="shared" si="105"/>
        <v>Jan-17</v>
      </c>
      <c r="K123" s="264" t="str">
        <f t="shared" si="105"/>
        <v>Feb-17</v>
      </c>
      <c r="L123" s="264" t="str">
        <f t="shared" si="105"/>
        <v>Mar-17</v>
      </c>
      <c r="M123" s="264" t="str">
        <f t="shared" si="105"/>
        <v>Apr-17</v>
      </c>
      <c r="N123" s="264" t="str">
        <f t="shared" si="105"/>
        <v>May-17</v>
      </c>
      <c r="O123" s="264" t="str">
        <f t="shared" si="105"/>
        <v>Jun-17</v>
      </c>
      <c r="P123" s="264" t="str">
        <f t="shared" si="105"/>
        <v>Jul-17</v>
      </c>
      <c r="Q123" s="264" t="str">
        <f t="shared" si="105"/>
        <v>Aug-17</v>
      </c>
      <c r="R123" s="264" t="str">
        <f t="shared" si="105"/>
        <v>Sep-17</v>
      </c>
      <c r="S123" s="264" t="str">
        <f t="shared" si="105"/>
        <v>Oct-17</v>
      </c>
      <c r="T123" s="264" t="str">
        <f t="shared" si="105"/>
        <v>Nov-17</v>
      </c>
      <c r="U123" s="264" t="str">
        <f t="shared" si="105"/>
        <v>Dec-17</v>
      </c>
      <c r="V123" s="264" t="str">
        <f t="shared" si="105"/>
        <v>Jan-18</v>
      </c>
      <c r="W123" s="264" t="str">
        <f t="shared" si="105"/>
        <v>Feb-18</v>
      </c>
      <c r="X123" s="264" t="str">
        <f t="shared" si="105"/>
        <v>Mar-18</v>
      </c>
      <c r="Y123" s="264" t="str">
        <f t="shared" si="105"/>
        <v>Apr-18</v>
      </c>
      <c r="Z123" s="264" t="str">
        <f t="shared" si="105"/>
        <v>May-18</v>
      </c>
      <c r="AA123" s="264" t="str">
        <f t="shared" si="105"/>
        <v>Jun-18</v>
      </c>
      <c r="AB123" s="264" t="str">
        <f t="shared" si="105"/>
        <v>Jul-18</v>
      </c>
      <c r="AC123" s="264" t="str">
        <f t="shared" si="105"/>
        <v>Aug-18</v>
      </c>
      <c r="AD123" s="264" t="str">
        <f t="shared" si="105"/>
        <v>Sep-18</v>
      </c>
      <c r="AE123" s="264" t="str">
        <f t="shared" si="105"/>
        <v>Oct-18</v>
      </c>
      <c r="AF123" s="264" t="str">
        <f t="shared" si="105"/>
        <v>Nov-18</v>
      </c>
      <c r="AG123" s="264" t="str">
        <f t="shared" si="105"/>
        <v>Dec-18</v>
      </c>
      <c r="AH123" s="264" t="str">
        <f t="shared" si="105"/>
        <v>Jan-19</v>
      </c>
      <c r="AI123" s="264" t="str">
        <f t="shared" si="105"/>
        <v>Feb-19</v>
      </c>
      <c r="AJ123" s="264" t="str">
        <f t="shared" si="105"/>
        <v>Mar-19</v>
      </c>
      <c r="AK123" s="264" t="str">
        <f t="shared" si="105"/>
        <v>Apr-19</v>
      </c>
      <c r="AL123" s="264" t="str">
        <f t="shared" si="105"/>
        <v>May-19</v>
      </c>
      <c r="AM123" s="264" t="str">
        <f t="shared" si="105"/>
        <v>Jun-19</v>
      </c>
      <c r="AN123" s="264" t="str">
        <f t="shared" si="105"/>
        <v>Jul-19</v>
      </c>
      <c r="AO123" s="264" t="str">
        <f t="shared" si="105"/>
        <v>Aug-19</v>
      </c>
      <c r="AP123" s="264" t="str">
        <f t="shared" si="105"/>
        <v>Sep-19</v>
      </c>
      <c r="AQ123" s="264" t="str">
        <f t="shared" si="105"/>
        <v>Oct-19</v>
      </c>
      <c r="AR123" s="264" t="str">
        <f t="shared" si="105"/>
        <v>Nov-19</v>
      </c>
      <c r="AS123" s="264" t="str">
        <f t="shared" si="105"/>
        <v>Dec-19</v>
      </c>
    </row>
    <row r="124" spans="2:45" x14ac:dyDescent="0.25">
      <c r="B124" s="117" t="s">
        <v>131</v>
      </c>
      <c r="C124" s="266" t="s">
        <v>47</v>
      </c>
      <c r="D124" s="266" t="s">
        <v>47</v>
      </c>
      <c r="E124" s="266" t="s">
        <v>47</v>
      </c>
      <c r="F124" s="266" t="s">
        <v>47</v>
      </c>
      <c r="G124" s="266" t="s">
        <v>47</v>
      </c>
      <c r="H124" s="266" t="s">
        <v>47</v>
      </c>
      <c r="I124" s="266" t="s">
        <v>47</v>
      </c>
      <c r="J124" s="338" t="s">
        <v>47</v>
      </c>
      <c r="K124" s="338" t="s">
        <v>47</v>
      </c>
      <c r="L124" s="338" t="s">
        <v>47</v>
      </c>
      <c r="M124" s="338" t="s">
        <v>47</v>
      </c>
      <c r="N124" s="338" t="s">
        <v>47</v>
      </c>
      <c r="O124" s="338" t="s">
        <v>47</v>
      </c>
      <c r="P124" s="338" t="s">
        <v>47</v>
      </c>
      <c r="Q124" s="338">
        <v>1294</v>
      </c>
      <c r="R124" s="348">
        <v>1294</v>
      </c>
      <c r="S124" s="348">
        <v>1294</v>
      </c>
      <c r="T124" s="348">
        <v>1294</v>
      </c>
      <c r="U124" s="343">
        <v>1412</v>
      </c>
      <c r="V124" s="592">
        <v>1412</v>
      </c>
      <c r="W124" s="592">
        <v>1412</v>
      </c>
      <c r="X124" s="592">
        <v>1412</v>
      </c>
      <c r="Y124" s="592">
        <v>1412</v>
      </c>
      <c r="Z124" s="592">
        <v>1412</v>
      </c>
      <c r="AA124" s="592">
        <v>1412</v>
      </c>
      <c r="AB124" s="592">
        <v>1412</v>
      </c>
      <c r="AC124" s="592">
        <v>1412</v>
      </c>
      <c r="AD124" s="592">
        <v>1412</v>
      </c>
      <c r="AE124" s="592">
        <v>1412</v>
      </c>
      <c r="AF124" s="592">
        <v>1412</v>
      </c>
      <c r="AG124" s="697">
        <v>1426</v>
      </c>
      <c r="AH124" s="592">
        <v>1426</v>
      </c>
      <c r="AI124" s="592">
        <v>1426</v>
      </c>
      <c r="AJ124" s="592">
        <v>1426</v>
      </c>
      <c r="AK124" s="592">
        <v>1426</v>
      </c>
      <c r="AL124" s="592">
        <v>1426</v>
      </c>
      <c r="AM124" s="592">
        <v>1426</v>
      </c>
      <c r="AN124" s="592">
        <v>1426</v>
      </c>
      <c r="AO124" s="592">
        <v>1426</v>
      </c>
      <c r="AP124" s="592">
        <v>1426</v>
      </c>
      <c r="AQ124" s="592">
        <v>1426</v>
      </c>
      <c r="AR124" s="592">
        <v>1426</v>
      </c>
      <c r="AS124" s="342">
        <v>1329</v>
      </c>
    </row>
    <row r="125" spans="2:45" x14ac:dyDescent="0.25">
      <c r="B125" s="117" t="s">
        <v>134</v>
      </c>
      <c r="C125" s="266" t="s">
        <v>47</v>
      </c>
      <c r="D125" s="266" t="s">
        <v>47</v>
      </c>
      <c r="E125" s="266" t="s">
        <v>47</v>
      </c>
      <c r="F125" s="266" t="s">
        <v>47</v>
      </c>
      <c r="G125" s="266" t="s">
        <v>47</v>
      </c>
      <c r="H125" s="266" t="s">
        <v>47</v>
      </c>
      <c r="I125" s="266" t="s">
        <v>47</v>
      </c>
      <c r="J125" s="338" t="s">
        <v>47</v>
      </c>
      <c r="K125" s="338" t="s">
        <v>47</v>
      </c>
      <c r="L125" s="338">
        <v>1192</v>
      </c>
      <c r="M125" s="338">
        <v>1192</v>
      </c>
      <c r="N125" s="338">
        <v>1192</v>
      </c>
      <c r="O125" s="338">
        <v>1192</v>
      </c>
      <c r="P125" s="338">
        <v>1192</v>
      </c>
      <c r="Q125" s="343">
        <v>1219</v>
      </c>
      <c r="R125" s="348">
        <v>1219</v>
      </c>
      <c r="S125" s="348">
        <v>1219</v>
      </c>
      <c r="T125" s="348">
        <v>1219</v>
      </c>
      <c r="U125" s="348">
        <v>1219</v>
      </c>
      <c r="V125" s="348">
        <f>+U125</f>
        <v>1219</v>
      </c>
      <c r="W125" s="343">
        <v>1291</v>
      </c>
      <c r="X125" s="348">
        <v>1291</v>
      </c>
      <c r="Y125" s="348">
        <v>1291</v>
      </c>
      <c r="Z125" s="343">
        <v>1331</v>
      </c>
      <c r="AA125" s="348">
        <v>1331</v>
      </c>
      <c r="AB125" s="348">
        <v>1331</v>
      </c>
      <c r="AC125" s="348">
        <v>1331</v>
      </c>
      <c r="AD125" s="348">
        <v>1331</v>
      </c>
      <c r="AE125" s="348">
        <v>1331</v>
      </c>
      <c r="AF125" s="697">
        <v>1375</v>
      </c>
      <c r="AG125" s="592">
        <v>1375</v>
      </c>
      <c r="AH125" s="592">
        <v>1375</v>
      </c>
      <c r="AI125" s="592">
        <v>1375</v>
      </c>
      <c r="AJ125" s="697">
        <v>1410</v>
      </c>
      <c r="AK125" s="592">
        <v>1410</v>
      </c>
      <c r="AL125" s="697">
        <v>1446</v>
      </c>
      <c r="AM125" s="592">
        <v>1446</v>
      </c>
      <c r="AN125" s="592">
        <v>1446</v>
      </c>
      <c r="AO125" s="592">
        <v>1446</v>
      </c>
      <c r="AP125" s="592">
        <v>1446</v>
      </c>
      <c r="AQ125" s="592">
        <v>1446</v>
      </c>
      <c r="AR125" s="592">
        <v>1446</v>
      </c>
      <c r="AS125" s="342">
        <v>1376</v>
      </c>
    </row>
    <row r="126" spans="2:45" x14ac:dyDescent="0.25">
      <c r="B126" s="117" t="s">
        <v>135</v>
      </c>
      <c r="C126" s="266" t="s">
        <v>47</v>
      </c>
      <c r="D126" s="266" t="s">
        <v>47</v>
      </c>
      <c r="E126" s="266" t="s">
        <v>47</v>
      </c>
      <c r="F126" s="266" t="s">
        <v>47</v>
      </c>
      <c r="G126" s="266" t="s">
        <v>47</v>
      </c>
      <c r="H126" s="266" t="s">
        <v>47</v>
      </c>
      <c r="I126" s="266" t="s">
        <v>47</v>
      </c>
      <c r="J126" s="338" t="s">
        <v>47</v>
      </c>
      <c r="K126" s="338" t="s">
        <v>47</v>
      </c>
      <c r="L126" s="338" t="s">
        <v>47</v>
      </c>
      <c r="M126" s="338" t="s">
        <v>47</v>
      </c>
      <c r="N126" s="338" t="s">
        <v>47</v>
      </c>
      <c r="O126" s="338" t="s">
        <v>47</v>
      </c>
      <c r="P126" s="338" t="s">
        <v>47</v>
      </c>
      <c r="Q126" s="338" t="s">
        <v>47</v>
      </c>
      <c r="R126" s="348" t="s">
        <v>47</v>
      </c>
      <c r="S126" s="348" t="s">
        <v>47</v>
      </c>
      <c r="T126" s="348">
        <v>1415</v>
      </c>
      <c r="U126" s="348">
        <v>1415</v>
      </c>
      <c r="V126" s="348">
        <v>1415</v>
      </c>
      <c r="W126" s="348">
        <v>1415</v>
      </c>
      <c r="X126" s="348">
        <v>1415</v>
      </c>
      <c r="Y126" s="348">
        <v>1415</v>
      </c>
      <c r="Z126" s="348">
        <v>1415</v>
      </c>
      <c r="AA126" s="348">
        <v>1415</v>
      </c>
      <c r="AB126" s="348">
        <v>1415</v>
      </c>
      <c r="AC126" s="348">
        <v>1415</v>
      </c>
      <c r="AD126" s="348">
        <v>1415</v>
      </c>
      <c r="AE126" s="348">
        <v>1415</v>
      </c>
      <c r="AF126" s="697">
        <v>1445</v>
      </c>
      <c r="AG126" s="592">
        <v>1445</v>
      </c>
      <c r="AH126" s="592">
        <v>1445</v>
      </c>
      <c r="AI126" s="592">
        <v>1445</v>
      </c>
      <c r="AJ126" s="342">
        <v>1438</v>
      </c>
      <c r="AK126" s="592">
        <v>1438</v>
      </c>
      <c r="AL126" s="592">
        <v>1438</v>
      </c>
      <c r="AM126" s="592">
        <v>1438</v>
      </c>
      <c r="AN126" s="592">
        <v>1438</v>
      </c>
      <c r="AO126" s="592">
        <v>1438</v>
      </c>
      <c r="AP126" s="592">
        <v>1438</v>
      </c>
      <c r="AQ126" s="592">
        <v>1438</v>
      </c>
      <c r="AR126" s="592">
        <v>1438</v>
      </c>
      <c r="AS126" s="592">
        <v>1438</v>
      </c>
    </row>
    <row r="127" spans="2:45" x14ac:dyDescent="0.25">
      <c r="B127" s="117" t="s">
        <v>142</v>
      </c>
      <c r="C127" s="265" t="s">
        <v>47</v>
      </c>
      <c r="D127" s="265" t="s">
        <v>47</v>
      </c>
      <c r="E127" s="265" t="s">
        <v>47</v>
      </c>
      <c r="F127" s="265" t="s">
        <v>47</v>
      </c>
      <c r="G127" s="265" t="s">
        <v>47</v>
      </c>
      <c r="H127" s="265" t="s">
        <v>47</v>
      </c>
      <c r="I127" s="265" t="s">
        <v>47</v>
      </c>
      <c r="J127" s="338" t="s">
        <v>47</v>
      </c>
      <c r="K127" s="338" t="s">
        <v>47</v>
      </c>
      <c r="L127" s="338" t="s">
        <v>47</v>
      </c>
      <c r="M127" s="338" t="s">
        <v>47</v>
      </c>
      <c r="N127" s="338" t="s">
        <v>47</v>
      </c>
      <c r="O127" s="338" t="s">
        <v>47</v>
      </c>
      <c r="P127" s="338" t="s">
        <v>47</v>
      </c>
      <c r="Q127" s="338" t="s">
        <v>47</v>
      </c>
      <c r="R127" s="348" t="s">
        <v>47</v>
      </c>
      <c r="S127" s="348" t="s">
        <v>47</v>
      </c>
      <c r="T127" s="348" t="s">
        <v>47</v>
      </c>
      <c r="U127" s="348" t="s">
        <v>47</v>
      </c>
      <c r="V127" s="348" t="s">
        <v>47</v>
      </c>
      <c r="W127" s="343">
        <f t="shared" ref="W127:AD127" si="106">1286.9+197.5</f>
        <v>1484.4</v>
      </c>
      <c r="X127" s="592">
        <f t="shared" si="106"/>
        <v>1484.4</v>
      </c>
      <c r="Y127" s="592">
        <f t="shared" si="106"/>
        <v>1484.4</v>
      </c>
      <c r="Z127" s="592">
        <f t="shared" si="106"/>
        <v>1484.4</v>
      </c>
      <c r="AA127" s="592">
        <f t="shared" si="106"/>
        <v>1484.4</v>
      </c>
      <c r="AB127" s="592">
        <f t="shared" si="106"/>
        <v>1484.4</v>
      </c>
      <c r="AC127" s="592">
        <f t="shared" si="106"/>
        <v>1484.4</v>
      </c>
      <c r="AD127" s="592">
        <f t="shared" si="106"/>
        <v>1484.4</v>
      </c>
      <c r="AE127" s="592">
        <v>1484.4</v>
      </c>
      <c r="AF127" s="592">
        <v>1484.4</v>
      </c>
      <c r="AG127" s="592">
        <v>1484.4</v>
      </c>
      <c r="AH127" s="592">
        <v>1484.4</v>
      </c>
      <c r="AI127" s="592">
        <v>1484.4</v>
      </c>
      <c r="AJ127" s="592">
        <v>1484.4</v>
      </c>
      <c r="AK127" s="342">
        <v>1355</v>
      </c>
      <c r="AL127" s="592">
        <v>1355</v>
      </c>
      <c r="AM127" s="592">
        <v>1355</v>
      </c>
      <c r="AN127" s="592" t="s">
        <v>47</v>
      </c>
      <c r="AO127" s="592" t="s">
        <v>47</v>
      </c>
      <c r="AP127" s="592" t="s">
        <v>47</v>
      </c>
      <c r="AQ127" s="592">
        <v>1402</v>
      </c>
      <c r="AR127" s="592">
        <v>1402</v>
      </c>
      <c r="AS127" s="592">
        <v>1402</v>
      </c>
    </row>
    <row r="128" spans="2:45" x14ac:dyDescent="0.25">
      <c r="B128" s="117" t="s">
        <v>136</v>
      </c>
      <c r="C128" s="266" t="s">
        <v>47</v>
      </c>
      <c r="D128" s="266" t="s">
        <v>47</v>
      </c>
      <c r="E128" s="266" t="s">
        <v>47</v>
      </c>
      <c r="F128" s="266" t="s">
        <v>47</v>
      </c>
      <c r="G128" s="266" t="s">
        <v>47</v>
      </c>
      <c r="H128" s="266" t="s">
        <v>47</v>
      </c>
      <c r="I128" s="266" t="s">
        <v>47</v>
      </c>
      <c r="J128" s="338" t="s">
        <v>47</v>
      </c>
      <c r="K128" s="338" t="s">
        <v>47</v>
      </c>
      <c r="L128" s="338">
        <v>1257</v>
      </c>
      <c r="M128" s="338">
        <v>1257</v>
      </c>
      <c r="N128" s="338">
        <v>1257</v>
      </c>
      <c r="O128" s="338">
        <v>1257</v>
      </c>
      <c r="P128" s="338">
        <v>1257</v>
      </c>
      <c r="Q128" s="342">
        <v>1234</v>
      </c>
      <c r="R128" s="348">
        <v>1234</v>
      </c>
      <c r="S128" s="348">
        <v>1234</v>
      </c>
      <c r="T128" s="348">
        <v>1234</v>
      </c>
      <c r="U128" s="348">
        <v>1234</v>
      </c>
      <c r="V128" s="343">
        <v>1380</v>
      </c>
      <c r="W128" s="348">
        <v>1380</v>
      </c>
      <c r="X128" s="348">
        <v>1380</v>
      </c>
      <c r="Y128" s="348">
        <v>1380</v>
      </c>
      <c r="Z128" s="348">
        <v>1380</v>
      </c>
      <c r="AA128" s="348">
        <v>1380</v>
      </c>
      <c r="AB128" s="348">
        <v>1380</v>
      </c>
      <c r="AC128" s="348">
        <v>1380</v>
      </c>
      <c r="AD128" s="342">
        <v>1343</v>
      </c>
      <c r="AE128" s="348">
        <v>1343</v>
      </c>
      <c r="AF128" s="348">
        <v>1343</v>
      </c>
      <c r="AG128" s="348">
        <v>1343</v>
      </c>
      <c r="AH128" s="348">
        <v>1343</v>
      </c>
      <c r="AI128" s="348" t="s">
        <v>47</v>
      </c>
      <c r="AJ128" s="348" t="s">
        <v>47</v>
      </c>
      <c r="AK128" s="348" t="s">
        <v>47</v>
      </c>
      <c r="AL128" s="348" t="s">
        <v>47</v>
      </c>
      <c r="AM128" s="348" t="s">
        <v>47</v>
      </c>
      <c r="AN128" s="348" t="s">
        <v>47</v>
      </c>
      <c r="AO128" s="348" t="s">
        <v>47</v>
      </c>
      <c r="AP128" s="348">
        <v>1371</v>
      </c>
      <c r="AQ128" s="348">
        <v>1371</v>
      </c>
      <c r="AR128" s="348">
        <v>1371</v>
      </c>
      <c r="AS128" s="348">
        <v>1371</v>
      </c>
    </row>
    <row r="129" spans="2:46" customFormat="1" ht="12.75" x14ac:dyDescent="0.2">
      <c r="B129" s="279" t="s">
        <v>381</v>
      </c>
      <c r="C129" s="328" t="str">
        <f t="shared" ref="C129:Q129" si="107">IFERROR(AVERAGE(C124:C128),"-")</f>
        <v>-</v>
      </c>
      <c r="D129" s="328" t="str">
        <f t="shared" si="107"/>
        <v>-</v>
      </c>
      <c r="E129" s="328" t="str">
        <f t="shared" si="107"/>
        <v>-</v>
      </c>
      <c r="F129" s="328" t="str">
        <f t="shared" si="107"/>
        <v>-</v>
      </c>
      <c r="G129" s="328" t="str">
        <f t="shared" si="107"/>
        <v>-</v>
      </c>
      <c r="H129" s="328" t="str">
        <f t="shared" si="107"/>
        <v>-</v>
      </c>
      <c r="I129" s="328" t="str">
        <f t="shared" si="107"/>
        <v>-</v>
      </c>
      <c r="J129" s="339" t="str">
        <f t="shared" si="107"/>
        <v>-</v>
      </c>
      <c r="K129" s="339" t="str">
        <f t="shared" si="107"/>
        <v>-</v>
      </c>
      <c r="L129" s="339">
        <f t="shared" si="107"/>
        <v>1224.5</v>
      </c>
      <c r="M129" s="339">
        <f t="shared" si="107"/>
        <v>1224.5</v>
      </c>
      <c r="N129" s="339">
        <f t="shared" si="107"/>
        <v>1224.5</v>
      </c>
      <c r="O129" s="339">
        <f t="shared" si="107"/>
        <v>1224.5</v>
      </c>
      <c r="P129" s="339">
        <f t="shared" si="107"/>
        <v>1224.5</v>
      </c>
      <c r="Q129" s="339">
        <f t="shared" si="107"/>
        <v>1249</v>
      </c>
      <c r="R129" s="349">
        <f t="shared" ref="R129:AF129" si="108">IFERROR(AVERAGE(R124:R128),"-")</f>
        <v>1249</v>
      </c>
      <c r="S129" s="349">
        <f t="shared" si="108"/>
        <v>1249</v>
      </c>
      <c r="T129" s="349">
        <f t="shared" si="108"/>
        <v>1290.5</v>
      </c>
      <c r="U129" s="349">
        <f t="shared" si="108"/>
        <v>1320</v>
      </c>
      <c r="V129" s="349">
        <f t="shared" si="108"/>
        <v>1356.5</v>
      </c>
      <c r="W129" s="349">
        <f t="shared" si="108"/>
        <v>1396.48</v>
      </c>
      <c r="X129" s="349">
        <f t="shared" si="108"/>
        <v>1396.48</v>
      </c>
      <c r="Y129" s="349">
        <f t="shared" si="108"/>
        <v>1396.48</v>
      </c>
      <c r="Z129" s="349">
        <f t="shared" si="108"/>
        <v>1404.48</v>
      </c>
      <c r="AA129" s="349">
        <f t="shared" si="108"/>
        <v>1404.48</v>
      </c>
      <c r="AB129" s="349">
        <f t="shared" si="108"/>
        <v>1404.48</v>
      </c>
      <c r="AC129" s="349">
        <f t="shared" si="108"/>
        <v>1404.48</v>
      </c>
      <c r="AD129" s="349">
        <f t="shared" si="108"/>
        <v>1397.08</v>
      </c>
      <c r="AE129" s="349">
        <f t="shared" si="108"/>
        <v>1397.08</v>
      </c>
      <c r="AF129" s="349">
        <f t="shared" si="108"/>
        <v>1411.8799999999999</v>
      </c>
      <c r="AG129" s="349">
        <f t="shared" ref="AG129:AL129" si="109">IFERROR(AVERAGE(AG124:AG128),"-")</f>
        <v>1414.6799999999998</v>
      </c>
      <c r="AH129" s="349">
        <f t="shared" si="109"/>
        <v>1414.6799999999998</v>
      </c>
      <c r="AI129" s="349">
        <f t="shared" si="109"/>
        <v>1432.6</v>
      </c>
      <c r="AJ129" s="349">
        <f t="shared" si="109"/>
        <v>1439.6</v>
      </c>
      <c r="AK129" s="349">
        <f t="shared" si="109"/>
        <v>1407.25</v>
      </c>
      <c r="AL129" s="349">
        <f t="shared" si="109"/>
        <v>1416.25</v>
      </c>
      <c r="AM129" s="349">
        <f t="shared" ref="AM129:AR129" si="110">IFERROR(AVERAGE(AM124:AM128),"-")</f>
        <v>1416.25</v>
      </c>
      <c r="AN129" s="349">
        <f t="shared" si="110"/>
        <v>1436.6666666666667</v>
      </c>
      <c r="AO129" s="349">
        <f t="shared" si="110"/>
        <v>1436.6666666666667</v>
      </c>
      <c r="AP129" s="349">
        <f t="shared" si="110"/>
        <v>1420.25</v>
      </c>
      <c r="AQ129" s="349">
        <f t="shared" si="110"/>
        <v>1416.6</v>
      </c>
      <c r="AR129" s="349">
        <f t="shared" si="110"/>
        <v>1416.6</v>
      </c>
      <c r="AS129" s="349">
        <f>IFERROR(AVERAGE(AS124:AS128),"-")</f>
        <v>1383.2</v>
      </c>
    </row>
    <row r="130" spans="2:46" x14ac:dyDescent="0.25">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787"/>
    </row>
    <row r="131" spans="2:46" x14ac:dyDescent="0.25">
      <c r="B131" s="113" t="s">
        <v>386</v>
      </c>
      <c r="C131" s="264" t="str">
        <f t="shared" ref="C131:AS131" si="111">+C$147</f>
        <v>Jun-16</v>
      </c>
      <c r="D131" s="264" t="str">
        <f t="shared" si="111"/>
        <v>Jul-16</v>
      </c>
      <c r="E131" s="264" t="str">
        <f t="shared" si="111"/>
        <v>Aug-16</v>
      </c>
      <c r="F131" s="264" t="str">
        <f t="shared" si="111"/>
        <v>Sep-16</v>
      </c>
      <c r="G131" s="264" t="str">
        <f t="shared" si="111"/>
        <v>Oct-16</v>
      </c>
      <c r="H131" s="264" t="str">
        <f t="shared" si="111"/>
        <v>Nov-16</v>
      </c>
      <c r="I131" s="264" t="str">
        <f t="shared" si="111"/>
        <v>Dec-16</v>
      </c>
      <c r="J131" s="264" t="str">
        <f t="shared" si="111"/>
        <v>Jan-17</v>
      </c>
      <c r="K131" s="264" t="str">
        <f t="shared" si="111"/>
        <v>Feb-17</v>
      </c>
      <c r="L131" s="264" t="str">
        <f t="shared" si="111"/>
        <v>Mar-17</v>
      </c>
      <c r="M131" s="264" t="str">
        <f t="shared" si="111"/>
        <v>Apr-17</v>
      </c>
      <c r="N131" s="264" t="str">
        <f t="shared" si="111"/>
        <v>May-17</v>
      </c>
      <c r="O131" s="264" t="str">
        <f t="shared" si="111"/>
        <v>Jun-17</v>
      </c>
      <c r="P131" s="264" t="str">
        <f t="shared" si="111"/>
        <v>Jul-17</v>
      </c>
      <c r="Q131" s="264" t="str">
        <f t="shared" si="111"/>
        <v>Aug-17</v>
      </c>
      <c r="R131" s="264" t="str">
        <f t="shared" si="111"/>
        <v>Sep-17</v>
      </c>
      <c r="S131" s="264" t="str">
        <f t="shared" si="111"/>
        <v>Oct-17</v>
      </c>
      <c r="T131" s="264" t="str">
        <f t="shared" si="111"/>
        <v>Nov-17</v>
      </c>
      <c r="U131" s="264" t="str">
        <f t="shared" si="111"/>
        <v>Dec-17</v>
      </c>
      <c r="V131" s="264" t="str">
        <f t="shared" si="111"/>
        <v>Jan-18</v>
      </c>
      <c r="W131" s="264" t="str">
        <f t="shared" si="111"/>
        <v>Feb-18</v>
      </c>
      <c r="X131" s="264" t="str">
        <f t="shared" si="111"/>
        <v>Mar-18</v>
      </c>
      <c r="Y131" s="264" t="str">
        <f t="shared" si="111"/>
        <v>Apr-18</v>
      </c>
      <c r="Z131" s="264" t="str">
        <f t="shared" si="111"/>
        <v>May-18</v>
      </c>
      <c r="AA131" s="264" t="str">
        <f t="shared" si="111"/>
        <v>Jun-18</v>
      </c>
      <c r="AB131" s="264" t="str">
        <f t="shared" si="111"/>
        <v>Jul-18</v>
      </c>
      <c r="AC131" s="264" t="str">
        <f t="shared" si="111"/>
        <v>Aug-18</v>
      </c>
      <c r="AD131" s="264" t="str">
        <f t="shared" si="111"/>
        <v>Sep-18</v>
      </c>
      <c r="AE131" s="264" t="str">
        <f t="shared" si="111"/>
        <v>Oct-18</v>
      </c>
      <c r="AF131" s="264" t="str">
        <f t="shared" si="111"/>
        <v>Nov-18</v>
      </c>
      <c r="AG131" s="264" t="str">
        <f t="shared" si="111"/>
        <v>Dec-18</v>
      </c>
      <c r="AH131" s="264" t="str">
        <f t="shared" si="111"/>
        <v>Jan-19</v>
      </c>
      <c r="AI131" s="264" t="str">
        <f t="shared" si="111"/>
        <v>Feb-19</v>
      </c>
      <c r="AJ131" s="264" t="str">
        <f t="shared" si="111"/>
        <v>Mar-19</v>
      </c>
      <c r="AK131" s="264" t="str">
        <f t="shared" si="111"/>
        <v>Apr-19</v>
      </c>
      <c r="AL131" s="264" t="str">
        <f t="shared" si="111"/>
        <v>May-19</v>
      </c>
      <c r="AM131" s="264" t="str">
        <f t="shared" si="111"/>
        <v>Jun-19</v>
      </c>
      <c r="AN131" s="264" t="str">
        <f t="shared" si="111"/>
        <v>Jul-19</v>
      </c>
      <c r="AO131" s="264" t="str">
        <f t="shared" si="111"/>
        <v>Aug-19</v>
      </c>
      <c r="AP131" s="264" t="str">
        <f t="shared" si="111"/>
        <v>Sep-19</v>
      </c>
      <c r="AQ131" s="264" t="str">
        <f t="shared" si="111"/>
        <v>Oct-19</v>
      </c>
      <c r="AR131" s="264" t="str">
        <f t="shared" si="111"/>
        <v>Nov-19</v>
      </c>
      <c r="AS131" s="264" t="str">
        <f t="shared" si="111"/>
        <v>Dec-19</v>
      </c>
    </row>
    <row r="132" spans="2:46" x14ac:dyDescent="0.25">
      <c r="B132" s="117" t="s">
        <v>131</v>
      </c>
      <c r="C132" s="265" t="s">
        <v>47</v>
      </c>
      <c r="D132" s="265" t="s">
        <v>47</v>
      </c>
      <c r="E132" s="265" t="s">
        <v>47</v>
      </c>
      <c r="F132" s="266" t="s">
        <v>47</v>
      </c>
      <c r="G132" s="266" t="s">
        <v>47</v>
      </c>
      <c r="H132" s="266" t="s">
        <v>47</v>
      </c>
      <c r="I132" s="266" t="s">
        <v>47</v>
      </c>
      <c r="J132" s="266" t="s">
        <v>47</v>
      </c>
      <c r="K132" s="266" t="s">
        <v>47</v>
      </c>
      <c r="L132" s="266" t="s">
        <v>47</v>
      </c>
      <c r="M132" s="266" t="s">
        <v>47</v>
      </c>
      <c r="N132" s="266" t="s">
        <v>47</v>
      </c>
      <c r="O132" s="266" t="s">
        <v>47</v>
      </c>
      <c r="P132" s="266" t="s">
        <v>47</v>
      </c>
      <c r="Q132" s="266">
        <v>157</v>
      </c>
      <c r="R132" s="350">
        <v>157</v>
      </c>
      <c r="S132" s="350">
        <v>157</v>
      </c>
      <c r="T132" s="350">
        <v>157</v>
      </c>
      <c r="U132" s="343">
        <v>204</v>
      </c>
      <c r="V132" s="592">
        <v>204</v>
      </c>
      <c r="W132" s="592">
        <v>204</v>
      </c>
      <c r="X132" s="592">
        <v>204</v>
      </c>
      <c r="Y132" s="592">
        <v>204</v>
      </c>
      <c r="Z132" s="592">
        <v>204</v>
      </c>
      <c r="AA132" s="592">
        <v>204</v>
      </c>
      <c r="AB132" s="592">
        <v>204</v>
      </c>
      <c r="AC132" s="592">
        <v>204</v>
      </c>
      <c r="AD132" s="592">
        <v>204</v>
      </c>
      <c r="AE132" s="592">
        <v>204</v>
      </c>
      <c r="AF132" s="592">
        <v>204</v>
      </c>
      <c r="AG132" s="343">
        <v>238</v>
      </c>
      <c r="AH132" s="592">
        <v>238</v>
      </c>
      <c r="AI132" s="592">
        <v>238</v>
      </c>
      <c r="AJ132" s="592">
        <v>238</v>
      </c>
      <c r="AK132" s="592">
        <v>238</v>
      </c>
      <c r="AL132" s="592">
        <v>238</v>
      </c>
      <c r="AM132" s="592">
        <v>238</v>
      </c>
      <c r="AN132" s="592">
        <v>238</v>
      </c>
      <c r="AO132" s="592">
        <v>238</v>
      </c>
      <c r="AP132" s="592">
        <v>238</v>
      </c>
      <c r="AQ132" s="592">
        <v>238</v>
      </c>
      <c r="AR132" s="592">
        <v>238</v>
      </c>
      <c r="AS132" s="342">
        <f>253-36</f>
        <v>217</v>
      </c>
    </row>
    <row r="133" spans="2:46" x14ac:dyDescent="0.25">
      <c r="B133" s="117" t="s">
        <v>134</v>
      </c>
      <c r="C133" s="265" t="s">
        <v>47</v>
      </c>
      <c r="D133" s="265" t="s">
        <v>47</v>
      </c>
      <c r="E133" s="265" t="s">
        <v>47</v>
      </c>
      <c r="F133" s="265" t="s">
        <v>47</v>
      </c>
      <c r="G133" s="265" t="s">
        <v>47</v>
      </c>
      <c r="H133" s="266" t="s">
        <v>47</v>
      </c>
      <c r="I133" s="266" t="s">
        <v>47</v>
      </c>
      <c r="J133" s="266" t="s">
        <v>47</v>
      </c>
      <c r="K133" s="266" t="s">
        <v>47</v>
      </c>
      <c r="L133" s="266" t="s">
        <v>47</v>
      </c>
      <c r="M133" s="266" t="s">
        <v>47</v>
      </c>
      <c r="N133" s="266">
        <v>156</v>
      </c>
      <c r="O133" s="266">
        <v>156</v>
      </c>
      <c r="P133" s="266">
        <v>156</v>
      </c>
      <c r="Q133" s="343">
        <v>165</v>
      </c>
      <c r="R133" s="348">
        <v>165</v>
      </c>
      <c r="S133" s="348">
        <v>165</v>
      </c>
      <c r="T133" s="348">
        <v>165</v>
      </c>
      <c r="U133" s="348">
        <v>165</v>
      </c>
      <c r="V133" s="348">
        <f>+U133</f>
        <v>165</v>
      </c>
      <c r="W133" s="343">
        <v>193</v>
      </c>
      <c r="X133" s="348">
        <v>193</v>
      </c>
      <c r="Y133" s="348">
        <v>193</v>
      </c>
      <c r="Z133" s="348">
        <v>190</v>
      </c>
      <c r="AA133" s="348">
        <v>190</v>
      </c>
      <c r="AB133" s="348">
        <v>190</v>
      </c>
      <c r="AC133" s="348">
        <v>190</v>
      </c>
      <c r="AD133" s="348">
        <v>190</v>
      </c>
      <c r="AE133" s="348">
        <v>190</v>
      </c>
      <c r="AF133" s="343">
        <v>205</v>
      </c>
      <c r="AG133" s="592">
        <v>205</v>
      </c>
      <c r="AH133" s="592">
        <v>205</v>
      </c>
      <c r="AI133" s="592">
        <v>205</v>
      </c>
      <c r="AJ133" s="343">
        <v>225</v>
      </c>
      <c r="AK133" s="592">
        <v>225</v>
      </c>
      <c r="AL133" s="343">
        <v>235</v>
      </c>
      <c r="AM133" s="592">
        <v>235</v>
      </c>
      <c r="AN133" s="592">
        <v>235</v>
      </c>
      <c r="AO133" s="592">
        <v>235</v>
      </c>
      <c r="AP133" s="592">
        <v>235</v>
      </c>
      <c r="AQ133" s="592">
        <v>235</v>
      </c>
      <c r="AR133" s="592">
        <v>235</v>
      </c>
      <c r="AS133" s="342">
        <v>224</v>
      </c>
    </row>
    <row r="134" spans="2:46" x14ac:dyDescent="0.25">
      <c r="B134" s="117" t="s">
        <v>135</v>
      </c>
      <c r="C134" s="265" t="s">
        <v>47</v>
      </c>
      <c r="D134" s="265" t="s">
        <v>47</v>
      </c>
      <c r="E134" s="265" t="s">
        <v>47</v>
      </c>
      <c r="F134" s="265" t="s">
        <v>47</v>
      </c>
      <c r="G134" s="265" t="s">
        <v>47</v>
      </c>
      <c r="H134" s="266" t="s">
        <v>47</v>
      </c>
      <c r="I134" s="266" t="s">
        <v>47</v>
      </c>
      <c r="J134" s="266" t="s">
        <v>47</v>
      </c>
      <c r="K134" s="266" t="s">
        <v>47</v>
      </c>
      <c r="L134" s="266" t="s">
        <v>47</v>
      </c>
      <c r="M134" s="266" t="s">
        <v>47</v>
      </c>
      <c r="N134" s="266" t="s">
        <v>47</v>
      </c>
      <c r="O134" s="266" t="s">
        <v>47</v>
      </c>
      <c r="P134" s="266" t="s">
        <v>47</v>
      </c>
      <c r="Q134" s="266" t="s">
        <v>47</v>
      </c>
      <c r="R134" s="350" t="s">
        <v>47</v>
      </c>
      <c r="S134" s="350" t="s">
        <v>47</v>
      </c>
      <c r="T134" s="350">
        <v>201</v>
      </c>
      <c r="U134" s="350">
        <v>201</v>
      </c>
      <c r="V134" s="350">
        <v>201</v>
      </c>
      <c r="W134" s="350">
        <v>201</v>
      </c>
      <c r="X134" s="350">
        <v>201</v>
      </c>
      <c r="Y134" s="350">
        <v>201</v>
      </c>
      <c r="Z134" s="350">
        <v>201</v>
      </c>
      <c r="AA134" s="350">
        <v>201</v>
      </c>
      <c r="AB134" s="350">
        <v>201</v>
      </c>
      <c r="AC134" s="350">
        <v>201</v>
      </c>
      <c r="AD134" s="350">
        <v>201</v>
      </c>
      <c r="AE134" s="350">
        <v>201</v>
      </c>
      <c r="AF134" s="343">
        <v>223</v>
      </c>
      <c r="AG134" s="592">
        <v>223</v>
      </c>
      <c r="AH134" s="592">
        <v>223</v>
      </c>
      <c r="AI134" s="592">
        <v>223</v>
      </c>
      <c r="AJ134" s="343">
        <v>234</v>
      </c>
      <c r="AK134" s="592">
        <v>234</v>
      </c>
      <c r="AL134" s="592">
        <v>234</v>
      </c>
      <c r="AM134" s="592">
        <v>234</v>
      </c>
      <c r="AN134" s="592">
        <v>234</v>
      </c>
      <c r="AO134" s="592">
        <v>234</v>
      </c>
      <c r="AP134" s="592">
        <v>234</v>
      </c>
      <c r="AQ134" s="592">
        <v>234</v>
      </c>
      <c r="AR134" s="592">
        <v>234</v>
      </c>
      <c r="AS134" s="592">
        <v>234</v>
      </c>
    </row>
    <row r="135" spans="2:46" x14ac:dyDescent="0.25">
      <c r="B135" s="117" t="s">
        <v>142</v>
      </c>
      <c r="C135" s="265" t="s">
        <v>47</v>
      </c>
      <c r="D135" s="265" t="s">
        <v>47</v>
      </c>
      <c r="E135" s="265" t="s">
        <v>47</v>
      </c>
      <c r="F135" s="265" t="s">
        <v>47</v>
      </c>
      <c r="G135" s="265" t="s">
        <v>47</v>
      </c>
      <c r="H135" s="265" t="s">
        <v>47</v>
      </c>
      <c r="I135" s="265" t="s">
        <v>47</v>
      </c>
      <c r="J135" s="265" t="s">
        <v>47</v>
      </c>
      <c r="K135" s="265" t="s">
        <v>47</v>
      </c>
      <c r="L135" s="265" t="s">
        <v>47</v>
      </c>
      <c r="M135" s="265" t="s">
        <v>47</v>
      </c>
      <c r="N135" s="265" t="s">
        <v>47</v>
      </c>
      <c r="O135" s="266" t="s">
        <v>47</v>
      </c>
      <c r="P135" s="266" t="s">
        <v>47</v>
      </c>
      <c r="Q135" s="266" t="s">
        <v>47</v>
      </c>
      <c r="R135" s="350" t="s">
        <v>47</v>
      </c>
      <c r="S135" s="350" t="s">
        <v>47</v>
      </c>
      <c r="T135" s="350" t="s">
        <v>47</v>
      </c>
      <c r="U135" s="350" t="s">
        <v>47</v>
      </c>
      <c r="V135" s="350" t="s">
        <v>47</v>
      </c>
      <c r="W135" s="343">
        <f t="shared" ref="W135:AD135" si="112">185+17.3</f>
        <v>202.3</v>
      </c>
      <c r="X135" s="592">
        <f t="shared" si="112"/>
        <v>202.3</v>
      </c>
      <c r="Y135" s="592">
        <f t="shared" si="112"/>
        <v>202.3</v>
      </c>
      <c r="Z135" s="592">
        <f t="shared" si="112"/>
        <v>202.3</v>
      </c>
      <c r="AA135" s="592">
        <f t="shared" si="112"/>
        <v>202.3</v>
      </c>
      <c r="AB135" s="592">
        <f t="shared" si="112"/>
        <v>202.3</v>
      </c>
      <c r="AC135" s="592">
        <f t="shared" si="112"/>
        <v>202.3</v>
      </c>
      <c r="AD135" s="592">
        <f t="shared" si="112"/>
        <v>202.3</v>
      </c>
      <c r="AE135" s="592">
        <v>202.3</v>
      </c>
      <c r="AF135" s="592">
        <v>202.3</v>
      </c>
      <c r="AG135" s="592">
        <v>202.3</v>
      </c>
      <c r="AH135" s="592">
        <v>202.3</v>
      </c>
      <c r="AI135" s="592">
        <v>202.3</v>
      </c>
      <c r="AJ135" s="592">
        <v>202.3</v>
      </c>
      <c r="AK135" s="343">
        <v>226.1</v>
      </c>
      <c r="AL135" s="592">
        <v>226.1</v>
      </c>
      <c r="AM135" s="592">
        <v>226.1</v>
      </c>
      <c r="AN135" s="592" t="s">
        <v>47</v>
      </c>
      <c r="AO135" s="592" t="s">
        <v>47</v>
      </c>
      <c r="AP135" s="592" t="s">
        <v>47</v>
      </c>
      <c r="AQ135" s="592">
        <v>235</v>
      </c>
      <c r="AR135" s="592">
        <v>235</v>
      </c>
      <c r="AS135" s="592">
        <v>235</v>
      </c>
    </row>
    <row r="136" spans="2:46" x14ac:dyDescent="0.25">
      <c r="B136" s="117" t="s">
        <v>136</v>
      </c>
      <c r="C136" s="265" t="s">
        <v>47</v>
      </c>
      <c r="D136" s="265" t="s">
        <v>47</v>
      </c>
      <c r="E136" s="265" t="s">
        <v>47</v>
      </c>
      <c r="F136" s="265" t="s">
        <v>47</v>
      </c>
      <c r="G136" s="266" t="s">
        <v>47</v>
      </c>
      <c r="H136" s="266" t="s">
        <v>47</v>
      </c>
      <c r="I136" s="266" t="s">
        <v>47</v>
      </c>
      <c r="J136" s="266" t="s">
        <v>47</v>
      </c>
      <c r="K136" s="266" t="s">
        <v>47</v>
      </c>
      <c r="L136" s="266">
        <v>160</v>
      </c>
      <c r="M136" s="266">
        <v>160</v>
      </c>
      <c r="N136" s="266">
        <v>160</v>
      </c>
      <c r="O136" s="266">
        <v>160</v>
      </c>
      <c r="P136" s="266">
        <v>160</v>
      </c>
      <c r="Q136" s="344">
        <v>159</v>
      </c>
      <c r="R136" s="350">
        <v>159</v>
      </c>
      <c r="S136" s="350">
        <v>159</v>
      </c>
      <c r="T136" s="350">
        <v>159</v>
      </c>
      <c r="U136" s="350">
        <v>159</v>
      </c>
      <c r="V136" s="343">
        <v>188</v>
      </c>
      <c r="W136" s="350">
        <v>188</v>
      </c>
      <c r="X136" s="350">
        <v>188</v>
      </c>
      <c r="Y136" s="350">
        <v>188</v>
      </c>
      <c r="Z136" s="350">
        <v>188</v>
      </c>
      <c r="AA136" s="350">
        <v>188</v>
      </c>
      <c r="AB136" s="350">
        <v>188</v>
      </c>
      <c r="AC136" s="350">
        <v>188</v>
      </c>
      <c r="AD136" s="343">
        <v>196</v>
      </c>
      <c r="AE136" s="350">
        <v>196</v>
      </c>
      <c r="AF136" s="350">
        <v>196</v>
      </c>
      <c r="AG136" s="350">
        <v>196</v>
      </c>
      <c r="AH136" s="350">
        <v>196</v>
      </c>
      <c r="AI136" s="350" t="s">
        <v>47</v>
      </c>
      <c r="AJ136" s="350" t="s">
        <v>47</v>
      </c>
      <c r="AK136" s="350" t="s">
        <v>47</v>
      </c>
      <c r="AL136" s="350" t="s">
        <v>47</v>
      </c>
      <c r="AM136" s="350" t="s">
        <v>47</v>
      </c>
      <c r="AN136" s="350" t="s">
        <v>47</v>
      </c>
      <c r="AO136" s="350" t="s">
        <v>47</v>
      </c>
      <c r="AP136" s="350">
        <v>227</v>
      </c>
      <c r="AQ136" s="350">
        <v>227</v>
      </c>
      <c r="AR136" s="350">
        <v>227</v>
      </c>
      <c r="AS136" s="350">
        <v>227</v>
      </c>
    </row>
    <row r="137" spans="2:46" customFormat="1" ht="12.75" x14ac:dyDescent="0.2">
      <c r="B137" s="279" t="s">
        <v>381</v>
      </c>
      <c r="C137" s="328" t="str">
        <f t="shared" ref="C137:Q137" si="113">IFERROR(AVERAGE(C132:C136),"-")</f>
        <v>-</v>
      </c>
      <c r="D137" s="328" t="str">
        <f t="shared" si="113"/>
        <v>-</v>
      </c>
      <c r="E137" s="328" t="str">
        <f t="shared" si="113"/>
        <v>-</v>
      </c>
      <c r="F137" s="328" t="str">
        <f t="shared" si="113"/>
        <v>-</v>
      </c>
      <c r="G137" s="328" t="str">
        <f t="shared" si="113"/>
        <v>-</v>
      </c>
      <c r="H137" s="328" t="str">
        <f t="shared" si="113"/>
        <v>-</v>
      </c>
      <c r="I137" s="328" t="str">
        <f t="shared" si="113"/>
        <v>-</v>
      </c>
      <c r="J137" s="328" t="str">
        <f t="shared" si="113"/>
        <v>-</v>
      </c>
      <c r="K137" s="328" t="str">
        <f t="shared" si="113"/>
        <v>-</v>
      </c>
      <c r="L137" s="328">
        <f t="shared" si="113"/>
        <v>160</v>
      </c>
      <c r="M137" s="328">
        <f t="shared" si="113"/>
        <v>160</v>
      </c>
      <c r="N137" s="328">
        <f t="shared" si="113"/>
        <v>158</v>
      </c>
      <c r="O137" s="328">
        <f t="shared" si="113"/>
        <v>158</v>
      </c>
      <c r="P137" s="328">
        <f t="shared" si="113"/>
        <v>158</v>
      </c>
      <c r="Q137" s="328">
        <f t="shared" si="113"/>
        <v>160.33333333333334</v>
      </c>
      <c r="R137" s="351">
        <f t="shared" ref="R137:AF137" si="114">IFERROR(AVERAGE(R132:R136),"-")</f>
        <v>160.33333333333334</v>
      </c>
      <c r="S137" s="351">
        <f t="shared" si="114"/>
        <v>160.33333333333334</v>
      </c>
      <c r="T137" s="351">
        <f t="shared" si="114"/>
        <v>170.5</v>
      </c>
      <c r="U137" s="351">
        <f t="shared" si="114"/>
        <v>182.25</v>
      </c>
      <c r="V137" s="351">
        <f t="shared" si="114"/>
        <v>189.5</v>
      </c>
      <c r="W137" s="351">
        <f t="shared" si="114"/>
        <v>197.66</v>
      </c>
      <c r="X137" s="351">
        <f t="shared" si="114"/>
        <v>197.66</v>
      </c>
      <c r="Y137" s="351">
        <f t="shared" si="114"/>
        <v>197.66</v>
      </c>
      <c r="Z137" s="351">
        <f t="shared" si="114"/>
        <v>197.06</v>
      </c>
      <c r="AA137" s="351">
        <f t="shared" si="114"/>
        <v>197.06</v>
      </c>
      <c r="AB137" s="351">
        <f t="shared" si="114"/>
        <v>197.06</v>
      </c>
      <c r="AC137" s="351">
        <f t="shared" si="114"/>
        <v>197.06</v>
      </c>
      <c r="AD137" s="351">
        <f t="shared" si="114"/>
        <v>198.66</v>
      </c>
      <c r="AE137" s="351">
        <f t="shared" si="114"/>
        <v>198.66</v>
      </c>
      <c r="AF137" s="351">
        <f t="shared" si="114"/>
        <v>206.06</v>
      </c>
      <c r="AG137" s="351">
        <f t="shared" ref="AG137:AL137" si="115">IFERROR(AVERAGE(AG132:AG136),"-")</f>
        <v>212.85999999999999</v>
      </c>
      <c r="AH137" s="351">
        <f t="shared" si="115"/>
        <v>212.85999999999999</v>
      </c>
      <c r="AI137" s="351">
        <f t="shared" si="115"/>
        <v>217.07499999999999</v>
      </c>
      <c r="AJ137" s="351">
        <f t="shared" si="115"/>
        <v>224.82499999999999</v>
      </c>
      <c r="AK137" s="351">
        <f t="shared" si="115"/>
        <v>230.77500000000001</v>
      </c>
      <c r="AL137" s="351">
        <f t="shared" si="115"/>
        <v>233.27500000000001</v>
      </c>
      <c r="AM137" s="351">
        <f t="shared" ref="AM137:AR137" si="116">IFERROR(AVERAGE(AM132:AM136),"-")</f>
        <v>233.27500000000001</v>
      </c>
      <c r="AN137" s="351">
        <f t="shared" si="116"/>
        <v>235.66666666666666</v>
      </c>
      <c r="AO137" s="351">
        <f t="shared" si="116"/>
        <v>235.66666666666666</v>
      </c>
      <c r="AP137" s="351">
        <f t="shared" si="116"/>
        <v>233.5</v>
      </c>
      <c r="AQ137" s="351">
        <f t="shared" si="116"/>
        <v>233.8</v>
      </c>
      <c r="AR137" s="351">
        <f t="shared" si="116"/>
        <v>233.8</v>
      </c>
      <c r="AS137" s="351">
        <f>IFERROR(AVERAGE(AS132:AS136),"-")</f>
        <v>227.4</v>
      </c>
    </row>
    <row r="138" spans="2:46" x14ac:dyDescent="0.25">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row>
    <row r="139" spans="2:46" x14ac:dyDescent="0.25">
      <c r="B139" s="113" t="s">
        <v>387</v>
      </c>
      <c r="C139" s="264" t="str">
        <f t="shared" ref="C139:AS139" si="117">+C$147</f>
        <v>Jun-16</v>
      </c>
      <c r="D139" s="264" t="str">
        <f t="shared" si="117"/>
        <v>Jul-16</v>
      </c>
      <c r="E139" s="264" t="str">
        <f t="shared" si="117"/>
        <v>Aug-16</v>
      </c>
      <c r="F139" s="264" t="str">
        <f t="shared" si="117"/>
        <v>Sep-16</v>
      </c>
      <c r="G139" s="264" t="str">
        <f t="shared" si="117"/>
        <v>Oct-16</v>
      </c>
      <c r="H139" s="264" t="str">
        <f t="shared" si="117"/>
        <v>Nov-16</v>
      </c>
      <c r="I139" s="264" t="str">
        <f t="shared" si="117"/>
        <v>Dec-16</v>
      </c>
      <c r="J139" s="264" t="str">
        <f t="shared" si="117"/>
        <v>Jan-17</v>
      </c>
      <c r="K139" s="264" t="str">
        <f t="shared" si="117"/>
        <v>Feb-17</v>
      </c>
      <c r="L139" s="264" t="str">
        <f t="shared" si="117"/>
        <v>Mar-17</v>
      </c>
      <c r="M139" s="264" t="str">
        <f t="shared" si="117"/>
        <v>Apr-17</v>
      </c>
      <c r="N139" s="264" t="str">
        <f t="shared" si="117"/>
        <v>May-17</v>
      </c>
      <c r="O139" s="264" t="str">
        <f t="shared" si="117"/>
        <v>Jun-17</v>
      </c>
      <c r="P139" s="264" t="str">
        <f t="shared" si="117"/>
        <v>Jul-17</v>
      </c>
      <c r="Q139" s="264" t="str">
        <f t="shared" si="117"/>
        <v>Aug-17</v>
      </c>
      <c r="R139" s="264" t="str">
        <f t="shared" si="117"/>
        <v>Sep-17</v>
      </c>
      <c r="S139" s="264" t="str">
        <f t="shared" si="117"/>
        <v>Oct-17</v>
      </c>
      <c r="T139" s="264" t="str">
        <f t="shared" si="117"/>
        <v>Nov-17</v>
      </c>
      <c r="U139" s="264" t="str">
        <f t="shared" si="117"/>
        <v>Dec-17</v>
      </c>
      <c r="V139" s="264" t="str">
        <f t="shared" si="117"/>
        <v>Jan-18</v>
      </c>
      <c r="W139" s="264" t="str">
        <f t="shared" si="117"/>
        <v>Feb-18</v>
      </c>
      <c r="X139" s="264" t="str">
        <f t="shared" si="117"/>
        <v>Mar-18</v>
      </c>
      <c r="Y139" s="264" t="str">
        <f t="shared" si="117"/>
        <v>Apr-18</v>
      </c>
      <c r="Z139" s="264" t="str">
        <f t="shared" si="117"/>
        <v>May-18</v>
      </c>
      <c r="AA139" s="264" t="str">
        <f t="shared" si="117"/>
        <v>Jun-18</v>
      </c>
      <c r="AB139" s="264" t="str">
        <f t="shared" si="117"/>
        <v>Jul-18</v>
      </c>
      <c r="AC139" s="264" t="str">
        <f t="shared" si="117"/>
        <v>Aug-18</v>
      </c>
      <c r="AD139" s="264" t="str">
        <f t="shared" si="117"/>
        <v>Sep-18</v>
      </c>
      <c r="AE139" s="264" t="str">
        <f t="shared" si="117"/>
        <v>Oct-18</v>
      </c>
      <c r="AF139" s="264" t="str">
        <f t="shared" si="117"/>
        <v>Nov-18</v>
      </c>
      <c r="AG139" s="264" t="str">
        <f t="shared" si="117"/>
        <v>Dec-18</v>
      </c>
      <c r="AH139" s="264" t="str">
        <f t="shared" si="117"/>
        <v>Jan-19</v>
      </c>
      <c r="AI139" s="264" t="str">
        <f t="shared" si="117"/>
        <v>Feb-19</v>
      </c>
      <c r="AJ139" s="264" t="str">
        <f t="shared" si="117"/>
        <v>Mar-19</v>
      </c>
      <c r="AK139" s="264" t="str">
        <f t="shared" si="117"/>
        <v>Apr-19</v>
      </c>
      <c r="AL139" s="264" t="str">
        <f t="shared" si="117"/>
        <v>May-19</v>
      </c>
      <c r="AM139" s="264" t="str">
        <f t="shared" si="117"/>
        <v>Jun-19</v>
      </c>
      <c r="AN139" s="264" t="str">
        <f t="shared" si="117"/>
        <v>Jul-19</v>
      </c>
      <c r="AO139" s="264" t="str">
        <f t="shared" si="117"/>
        <v>Aug-19</v>
      </c>
      <c r="AP139" s="264" t="str">
        <f t="shared" si="117"/>
        <v>Sep-19</v>
      </c>
      <c r="AQ139" s="264" t="str">
        <f t="shared" si="117"/>
        <v>Oct-19</v>
      </c>
      <c r="AR139" s="264" t="str">
        <f t="shared" si="117"/>
        <v>Nov-19</v>
      </c>
      <c r="AS139" s="264" t="str">
        <f t="shared" si="117"/>
        <v>Dec-19</v>
      </c>
    </row>
    <row r="140" spans="2:46" x14ac:dyDescent="0.25">
      <c r="B140" s="117" t="s">
        <v>131</v>
      </c>
      <c r="C140" s="265" t="s">
        <v>47</v>
      </c>
      <c r="D140" s="265" t="s">
        <v>47</v>
      </c>
      <c r="E140" s="265" t="s">
        <v>47</v>
      </c>
      <c r="F140" s="266" t="s">
        <v>47</v>
      </c>
      <c r="G140" s="266" t="s">
        <v>47</v>
      </c>
      <c r="H140" s="266" t="s">
        <v>47</v>
      </c>
      <c r="I140" s="266" t="s">
        <v>47</v>
      </c>
      <c r="J140" s="266" t="s">
        <v>47</v>
      </c>
      <c r="K140" s="266" t="s">
        <v>47</v>
      </c>
      <c r="L140" s="266" t="s">
        <v>47</v>
      </c>
      <c r="M140" s="266" t="s">
        <v>47</v>
      </c>
      <c r="N140" s="266" t="s">
        <v>47</v>
      </c>
      <c r="O140" s="266" t="s">
        <v>47</v>
      </c>
      <c r="P140" s="266" t="s">
        <v>47</v>
      </c>
      <c r="Q140" s="266">
        <v>76</v>
      </c>
      <c r="R140" s="350">
        <v>76</v>
      </c>
      <c r="S140" s="350">
        <v>76</v>
      </c>
      <c r="T140" s="350">
        <v>76</v>
      </c>
      <c r="U140" s="343">
        <v>105</v>
      </c>
      <c r="V140" s="592">
        <v>105</v>
      </c>
      <c r="W140" s="592">
        <v>105</v>
      </c>
      <c r="X140" s="592">
        <v>105</v>
      </c>
      <c r="Y140" s="592">
        <v>105</v>
      </c>
      <c r="Z140" s="592">
        <v>105</v>
      </c>
      <c r="AA140" s="592">
        <v>105</v>
      </c>
      <c r="AB140" s="592">
        <v>105</v>
      </c>
      <c r="AC140" s="592">
        <v>105</v>
      </c>
      <c r="AD140" s="592">
        <v>105</v>
      </c>
      <c r="AE140" s="592">
        <v>105</v>
      </c>
      <c r="AF140" s="592">
        <v>105</v>
      </c>
      <c r="AG140" s="697">
        <v>138</v>
      </c>
      <c r="AH140" s="592">
        <v>138</v>
      </c>
      <c r="AI140" s="592">
        <v>138</v>
      </c>
      <c r="AJ140" s="592">
        <v>138</v>
      </c>
      <c r="AK140" s="592">
        <v>138</v>
      </c>
      <c r="AL140" s="592">
        <v>138</v>
      </c>
      <c r="AM140" s="592">
        <v>138</v>
      </c>
      <c r="AN140" s="592">
        <v>138</v>
      </c>
      <c r="AO140" s="592">
        <v>138</v>
      </c>
      <c r="AP140" s="592">
        <v>138</v>
      </c>
      <c r="AQ140" s="592">
        <v>138</v>
      </c>
      <c r="AR140" s="592">
        <v>138</v>
      </c>
      <c r="AS140" s="342">
        <v>136</v>
      </c>
    </row>
    <row r="141" spans="2:46" x14ac:dyDescent="0.25">
      <c r="B141" s="117" t="s">
        <v>134</v>
      </c>
      <c r="C141" s="265" t="s">
        <v>47</v>
      </c>
      <c r="D141" s="265" t="s">
        <v>47</v>
      </c>
      <c r="E141" s="265" t="s">
        <v>47</v>
      </c>
      <c r="F141" s="265" t="s">
        <v>47</v>
      </c>
      <c r="G141" s="265" t="s">
        <v>47</v>
      </c>
      <c r="H141" s="266" t="s">
        <v>47</v>
      </c>
      <c r="I141" s="266" t="s">
        <v>47</v>
      </c>
      <c r="J141" s="266" t="s">
        <v>47</v>
      </c>
      <c r="K141" s="266" t="s">
        <v>47</v>
      </c>
      <c r="L141" s="266" t="s">
        <v>47</v>
      </c>
      <c r="M141" s="266" t="s">
        <v>47</v>
      </c>
      <c r="N141" s="266">
        <v>70</v>
      </c>
      <c r="O141" s="266">
        <v>70</v>
      </c>
      <c r="P141" s="266">
        <v>70</v>
      </c>
      <c r="Q141" s="343">
        <v>76</v>
      </c>
      <c r="R141" s="348">
        <v>76</v>
      </c>
      <c r="S141" s="348">
        <v>76</v>
      </c>
      <c r="T141" s="348">
        <v>76</v>
      </c>
      <c r="U141" s="348">
        <v>76</v>
      </c>
      <c r="V141" s="348">
        <f>+U141</f>
        <v>76</v>
      </c>
      <c r="W141" s="348">
        <v>101</v>
      </c>
      <c r="X141" s="348">
        <v>101</v>
      </c>
      <c r="Y141" s="348">
        <v>101</v>
      </c>
      <c r="Z141" s="348">
        <v>102</v>
      </c>
      <c r="AA141" s="348">
        <v>102</v>
      </c>
      <c r="AB141" s="348">
        <v>102</v>
      </c>
      <c r="AC141" s="348">
        <v>102</v>
      </c>
      <c r="AD141" s="348">
        <v>102</v>
      </c>
      <c r="AE141" s="348">
        <v>102</v>
      </c>
      <c r="AF141" s="697">
        <v>109</v>
      </c>
      <c r="AG141" s="593">
        <v>109</v>
      </c>
      <c r="AH141" s="593">
        <v>109</v>
      </c>
      <c r="AI141" s="593">
        <v>109</v>
      </c>
      <c r="AJ141" s="343">
        <v>122</v>
      </c>
      <c r="AK141" s="593">
        <v>122</v>
      </c>
      <c r="AL141" s="343">
        <v>135</v>
      </c>
      <c r="AM141" s="593">
        <v>135</v>
      </c>
      <c r="AN141" s="593">
        <v>135</v>
      </c>
      <c r="AO141" s="593">
        <v>135</v>
      </c>
      <c r="AP141" s="593">
        <v>135</v>
      </c>
      <c r="AQ141" s="593">
        <v>135</v>
      </c>
      <c r="AR141" s="593">
        <v>135</v>
      </c>
      <c r="AS141" s="722">
        <v>142</v>
      </c>
    </row>
    <row r="142" spans="2:46" x14ac:dyDescent="0.25">
      <c r="B142" s="117" t="s">
        <v>135</v>
      </c>
      <c r="C142" s="265" t="s">
        <v>47</v>
      </c>
      <c r="D142" s="265" t="s">
        <v>47</v>
      </c>
      <c r="E142" s="265" t="s">
        <v>47</v>
      </c>
      <c r="F142" s="265" t="s">
        <v>47</v>
      </c>
      <c r="G142" s="265" t="s">
        <v>47</v>
      </c>
      <c r="H142" s="266" t="s">
        <v>47</v>
      </c>
      <c r="I142" s="266" t="s">
        <v>47</v>
      </c>
      <c r="J142" s="266" t="s">
        <v>47</v>
      </c>
      <c r="K142" s="266" t="s">
        <v>47</v>
      </c>
      <c r="L142" s="266" t="s">
        <v>47</v>
      </c>
      <c r="M142" s="266" t="s">
        <v>47</v>
      </c>
      <c r="N142" s="266" t="s">
        <v>47</v>
      </c>
      <c r="O142" s="266" t="s">
        <v>47</v>
      </c>
      <c r="P142" s="266" t="s">
        <v>47</v>
      </c>
      <c r="Q142" s="266" t="s">
        <v>47</v>
      </c>
      <c r="R142" s="350" t="s">
        <v>47</v>
      </c>
      <c r="S142" s="350" t="s">
        <v>47</v>
      </c>
      <c r="T142" s="350">
        <v>106</v>
      </c>
      <c r="U142" s="350">
        <v>106</v>
      </c>
      <c r="V142" s="350">
        <v>106</v>
      </c>
      <c r="W142" s="350">
        <v>106</v>
      </c>
      <c r="X142" s="350">
        <v>106</v>
      </c>
      <c r="Y142" s="350">
        <v>106</v>
      </c>
      <c r="Z142" s="350">
        <v>106</v>
      </c>
      <c r="AA142" s="350">
        <v>106</v>
      </c>
      <c r="AB142" s="350">
        <v>106</v>
      </c>
      <c r="AC142" s="350">
        <v>106</v>
      </c>
      <c r="AD142" s="350">
        <v>106</v>
      </c>
      <c r="AE142" s="350">
        <v>106</v>
      </c>
      <c r="AF142" s="697">
        <v>128</v>
      </c>
      <c r="AG142" s="593">
        <v>128</v>
      </c>
      <c r="AH142" s="593">
        <v>128</v>
      </c>
      <c r="AI142" s="593">
        <v>128</v>
      </c>
      <c r="AJ142" s="343">
        <v>135</v>
      </c>
      <c r="AK142" s="593">
        <v>135</v>
      </c>
      <c r="AL142" s="593">
        <v>135</v>
      </c>
      <c r="AM142" s="593">
        <v>135</v>
      </c>
      <c r="AN142" s="593">
        <v>135</v>
      </c>
      <c r="AO142" s="593">
        <v>135</v>
      </c>
      <c r="AP142" s="593">
        <v>135</v>
      </c>
      <c r="AQ142" s="593">
        <v>135</v>
      </c>
      <c r="AR142" s="593">
        <v>135</v>
      </c>
      <c r="AS142" s="593">
        <v>135</v>
      </c>
    </row>
    <row r="143" spans="2:46" x14ac:dyDescent="0.25">
      <c r="B143" s="117" t="s">
        <v>142</v>
      </c>
      <c r="C143" s="265" t="s">
        <v>47</v>
      </c>
      <c r="D143" s="265" t="s">
        <v>47</v>
      </c>
      <c r="E143" s="265" t="s">
        <v>47</v>
      </c>
      <c r="F143" s="265" t="s">
        <v>47</v>
      </c>
      <c r="G143" s="265" t="s">
        <v>47</v>
      </c>
      <c r="H143" s="265" t="s">
        <v>47</v>
      </c>
      <c r="I143" s="265" t="s">
        <v>47</v>
      </c>
      <c r="J143" s="265" t="s">
        <v>47</v>
      </c>
      <c r="K143" s="265" t="s">
        <v>47</v>
      </c>
      <c r="L143" s="265" t="s">
        <v>47</v>
      </c>
      <c r="M143" s="265" t="s">
        <v>47</v>
      </c>
      <c r="N143" s="265" t="s">
        <v>47</v>
      </c>
      <c r="O143" s="266" t="s">
        <v>47</v>
      </c>
      <c r="P143" s="266" t="s">
        <v>47</v>
      </c>
      <c r="Q143" s="266" t="s">
        <v>47</v>
      </c>
      <c r="R143" s="350" t="s">
        <v>47</v>
      </c>
      <c r="S143" s="350" t="s">
        <v>47</v>
      </c>
      <c r="T143" s="350" t="s">
        <v>47</v>
      </c>
      <c r="U143" s="350" t="s">
        <v>47</v>
      </c>
      <c r="V143" s="350" t="s">
        <v>47</v>
      </c>
      <c r="W143" s="343">
        <v>95</v>
      </c>
      <c r="X143" s="593">
        <v>95</v>
      </c>
      <c r="Y143" s="593">
        <v>95</v>
      </c>
      <c r="Z143" s="593">
        <v>95</v>
      </c>
      <c r="AA143" s="593">
        <v>95</v>
      </c>
      <c r="AB143" s="593">
        <v>95</v>
      </c>
      <c r="AC143" s="593">
        <v>95</v>
      </c>
      <c r="AD143" s="593">
        <v>95</v>
      </c>
      <c r="AE143" s="593">
        <v>95</v>
      </c>
      <c r="AF143" s="593">
        <v>95</v>
      </c>
      <c r="AG143" s="593">
        <v>95</v>
      </c>
      <c r="AH143" s="593">
        <v>95</v>
      </c>
      <c r="AI143" s="593">
        <v>95</v>
      </c>
      <c r="AJ143" s="593">
        <v>95</v>
      </c>
      <c r="AK143" s="343">
        <v>138</v>
      </c>
      <c r="AL143" s="593">
        <v>138</v>
      </c>
      <c r="AM143" s="593">
        <v>138</v>
      </c>
      <c r="AN143" s="593" t="s">
        <v>47</v>
      </c>
      <c r="AO143" s="593" t="s">
        <v>47</v>
      </c>
      <c r="AP143" s="593" t="s">
        <v>47</v>
      </c>
      <c r="AQ143" s="593">
        <v>149</v>
      </c>
      <c r="AR143" s="593">
        <v>149</v>
      </c>
      <c r="AS143" s="593">
        <v>149</v>
      </c>
    </row>
    <row r="144" spans="2:46" x14ac:dyDescent="0.25">
      <c r="B144" s="117" t="s">
        <v>136</v>
      </c>
      <c r="C144" s="265" t="s">
        <v>47</v>
      </c>
      <c r="D144" s="265" t="s">
        <v>47</v>
      </c>
      <c r="E144" s="265" t="s">
        <v>47</v>
      </c>
      <c r="F144" s="265" t="s">
        <v>47</v>
      </c>
      <c r="G144" s="266" t="s">
        <v>47</v>
      </c>
      <c r="H144" s="266" t="s">
        <v>47</v>
      </c>
      <c r="I144" s="266" t="s">
        <v>47</v>
      </c>
      <c r="J144" s="266" t="s">
        <v>47</v>
      </c>
      <c r="K144" s="266" t="s">
        <v>47</v>
      </c>
      <c r="L144" s="266">
        <v>67</v>
      </c>
      <c r="M144" s="266">
        <v>67</v>
      </c>
      <c r="N144" s="266">
        <v>67</v>
      </c>
      <c r="O144" s="266">
        <v>67</v>
      </c>
      <c r="P144" s="266">
        <v>67</v>
      </c>
      <c r="Q144" s="343">
        <v>77</v>
      </c>
      <c r="R144" s="348">
        <v>77</v>
      </c>
      <c r="S144" s="348">
        <v>77</v>
      </c>
      <c r="T144" s="348">
        <v>77</v>
      </c>
      <c r="U144" s="348">
        <v>77</v>
      </c>
      <c r="V144" s="343">
        <v>99</v>
      </c>
      <c r="W144" s="348">
        <v>99</v>
      </c>
      <c r="X144" s="348">
        <v>99</v>
      </c>
      <c r="Y144" s="348">
        <v>99</v>
      </c>
      <c r="Z144" s="348">
        <v>99</v>
      </c>
      <c r="AA144" s="348">
        <v>99</v>
      </c>
      <c r="AB144" s="348">
        <v>99</v>
      </c>
      <c r="AC144" s="348">
        <v>99</v>
      </c>
      <c r="AD144" s="343">
        <v>120</v>
      </c>
      <c r="AE144" s="348">
        <v>120</v>
      </c>
      <c r="AF144" s="348">
        <v>120</v>
      </c>
      <c r="AG144" s="348">
        <v>120</v>
      </c>
      <c r="AH144" s="348">
        <v>120</v>
      </c>
      <c r="AI144" s="348" t="s">
        <v>47</v>
      </c>
      <c r="AJ144" s="348" t="s">
        <v>47</v>
      </c>
      <c r="AK144" s="348" t="s">
        <v>47</v>
      </c>
      <c r="AL144" s="348" t="s">
        <v>47</v>
      </c>
      <c r="AM144" s="348" t="s">
        <v>47</v>
      </c>
      <c r="AN144" s="348" t="s">
        <v>47</v>
      </c>
      <c r="AO144" s="348" t="s">
        <v>47</v>
      </c>
      <c r="AP144" s="348">
        <v>142</v>
      </c>
      <c r="AQ144" s="348">
        <v>142</v>
      </c>
      <c r="AR144" s="348">
        <v>142</v>
      </c>
      <c r="AS144" s="348">
        <v>142</v>
      </c>
    </row>
    <row r="145" spans="2:73" customFormat="1" ht="12.75" x14ac:dyDescent="0.2">
      <c r="B145" s="279" t="s">
        <v>381</v>
      </c>
      <c r="C145" s="328" t="str">
        <f t="shared" ref="C145:Q145" si="118">IFERROR(AVERAGE(C140:C144),"-")</f>
        <v>-</v>
      </c>
      <c r="D145" s="328" t="str">
        <f t="shared" si="118"/>
        <v>-</v>
      </c>
      <c r="E145" s="328" t="str">
        <f t="shared" si="118"/>
        <v>-</v>
      </c>
      <c r="F145" s="328" t="str">
        <f t="shared" si="118"/>
        <v>-</v>
      </c>
      <c r="G145" s="328" t="str">
        <f t="shared" si="118"/>
        <v>-</v>
      </c>
      <c r="H145" s="328" t="str">
        <f t="shared" si="118"/>
        <v>-</v>
      </c>
      <c r="I145" s="328" t="str">
        <f t="shared" si="118"/>
        <v>-</v>
      </c>
      <c r="J145" s="328" t="str">
        <f t="shared" si="118"/>
        <v>-</v>
      </c>
      <c r="K145" s="328" t="str">
        <f t="shared" si="118"/>
        <v>-</v>
      </c>
      <c r="L145" s="328">
        <f t="shared" si="118"/>
        <v>67</v>
      </c>
      <c r="M145" s="328">
        <f t="shared" si="118"/>
        <v>67</v>
      </c>
      <c r="N145" s="328">
        <f t="shared" si="118"/>
        <v>68.5</v>
      </c>
      <c r="O145" s="328">
        <f t="shared" si="118"/>
        <v>68.5</v>
      </c>
      <c r="P145" s="328">
        <f t="shared" si="118"/>
        <v>68.5</v>
      </c>
      <c r="Q145" s="328">
        <f t="shared" si="118"/>
        <v>76.333333333333329</v>
      </c>
      <c r="R145" s="351">
        <f t="shared" ref="R145:AF145" si="119">IFERROR(AVERAGE(R140:R144),"-")</f>
        <v>76.333333333333329</v>
      </c>
      <c r="S145" s="351">
        <f t="shared" si="119"/>
        <v>76.333333333333329</v>
      </c>
      <c r="T145" s="351">
        <f t="shared" si="119"/>
        <v>83.75</v>
      </c>
      <c r="U145" s="351">
        <f t="shared" si="119"/>
        <v>91</v>
      </c>
      <c r="V145" s="351">
        <f t="shared" si="119"/>
        <v>96.5</v>
      </c>
      <c r="W145" s="351">
        <f t="shared" si="119"/>
        <v>101.2</v>
      </c>
      <c r="X145" s="351">
        <f t="shared" si="119"/>
        <v>101.2</v>
      </c>
      <c r="Y145" s="351">
        <f t="shared" si="119"/>
        <v>101.2</v>
      </c>
      <c r="Z145" s="351">
        <f t="shared" si="119"/>
        <v>101.4</v>
      </c>
      <c r="AA145" s="351">
        <f t="shared" si="119"/>
        <v>101.4</v>
      </c>
      <c r="AB145" s="351">
        <f t="shared" si="119"/>
        <v>101.4</v>
      </c>
      <c r="AC145" s="351">
        <f t="shared" si="119"/>
        <v>101.4</v>
      </c>
      <c r="AD145" s="351">
        <f t="shared" si="119"/>
        <v>105.6</v>
      </c>
      <c r="AE145" s="351">
        <f t="shared" si="119"/>
        <v>105.6</v>
      </c>
      <c r="AF145" s="351">
        <f t="shared" si="119"/>
        <v>111.4</v>
      </c>
      <c r="AG145" s="351">
        <f t="shared" ref="AG145:AL145" si="120">IFERROR(AVERAGE(AG140:AG144),"-")</f>
        <v>118</v>
      </c>
      <c r="AH145" s="351">
        <f t="shared" si="120"/>
        <v>118</v>
      </c>
      <c r="AI145" s="351">
        <f t="shared" si="120"/>
        <v>117.5</v>
      </c>
      <c r="AJ145" s="351">
        <f t="shared" si="120"/>
        <v>122.5</v>
      </c>
      <c r="AK145" s="351">
        <f t="shared" si="120"/>
        <v>133.25</v>
      </c>
      <c r="AL145" s="351">
        <f t="shared" si="120"/>
        <v>136.5</v>
      </c>
      <c r="AM145" s="351">
        <f t="shared" ref="AM145:AR145" si="121">IFERROR(AVERAGE(AM140:AM144),"-")</f>
        <v>136.5</v>
      </c>
      <c r="AN145" s="351">
        <f t="shared" si="121"/>
        <v>136</v>
      </c>
      <c r="AO145" s="351">
        <f t="shared" si="121"/>
        <v>136</v>
      </c>
      <c r="AP145" s="351">
        <f t="shared" si="121"/>
        <v>137.5</v>
      </c>
      <c r="AQ145" s="351">
        <f t="shared" si="121"/>
        <v>139.80000000000001</v>
      </c>
      <c r="AR145" s="351">
        <f t="shared" si="121"/>
        <v>139.80000000000001</v>
      </c>
      <c r="AS145" s="351">
        <f>IFERROR(AVERAGE(AS140:AS144),"-")</f>
        <v>140.80000000000001</v>
      </c>
    </row>
    <row r="146" spans="2:73" x14ac:dyDescent="0.25">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V146" s="945"/>
    </row>
    <row r="147" spans="2:73" x14ac:dyDescent="0.25">
      <c r="B147" s="113" t="s">
        <v>941</v>
      </c>
      <c r="C147" s="264" t="s">
        <v>1493</v>
      </c>
      <c r="D147" s="264" t="s">
        <v>1494</v>
      </c>
      <c r="E147" s="264" t="s">
        <v>1495</v>
      </c>
      <c r="F147" s="264" t="s">
        <v>1496</v>
      </c>
      <c r="G147" s="264" t="s">
        <v>1497</v>
      </c>
      <c r="H147" s="264" t="s">
        <v>1498</v>
      </c>
      <c r="I147" s="264" t="s">
        <v>1440</v>
      </c>
      <c r="J147" s="264" t="s">
        <v>1499</v>
      </c>
      <c r="K147" s="264" t="s">
        <v>1441</v>
      </c>
      <c r="L147" s="264" t="s">
        <v>1500</v>
      </c>
      <c r="M147" s="264" t="s">
        <v>1501</v>
      </c>
      <c r="N147" s="264" t="s">
        <v>1502</v>
      </c>
      <c r="O147" s="264" t="s">
        <v>1503</v>
      </c>
      <c r="P147" s="264" t="s">
        <v>1504</v>
      </c>
      <c r="Q147" s="264" t="s">
        <v>1505</v>
      </c>
      <c r="R147" s="264" t="s">
        <v>1506</v>
      </c>
      <c r="S147" s="264" t="s">
        <v>1507</v>
      </c>
      <c r="T147" s="264" t="s">
        <v>1508</v>
      </c>
      <c r="U147" s="264" t="s">
        <v>1442</v>
      </c>
      <c r="V147" s="264" t="s">
        <v>1509</v>
      </c>
      <c r="W147" s="264" t="s">
        <v>1443</v>
      </c>
      <c r="X147" s="264" t="s">
        <v>1510</v>
      </c>
      <c r="Y147" s="264" t="s">
        <v>1511</v>
      </c>
      <c r="Z147" s="264" t="s">
        <v>1512</v>
      </c>
      <c r="AA147" s="264" t="s">
        <v>1513</v>
      </c>
      <c r="AB147" s="264" t="s">
        <v>1514</v>
      </c>
      <c r="AC147" s="264" t="s">
        <v>1515</v>
      </c>
      <c r="AD147" s="264" t="s">
        <v>1516</v>
      </c>
      <c r="AE147" s="264" t="s">
        <v>1517</v>
      </c>
      <c r="AF147" s="264" t="s">
        <v>1518</v>
      </c>
      <c r="AG147" s="264" t="s">
        <v>1444</v>
      </c>
      <c r="AH147" s="264" t="s">
        <v>1519</v>
      </c>
      <c r="AI147" s="264" t="s">
        <v>1445</v>
      </c>
      <c r="AJ147" s="264" t="s">
        <v>1520</v>
      </c>
      <c r="AK147" s="264" t="s">
        <v>1521</v>
      </c>
      <c r="AL147" s="264" t="s">
        <v>1522</v>
      </c>
      <c r="AM147" s="264" t="s">
        <v>1446</v>
      </c>
      <c r="AN147" s="264" t="s">
        <v>1523</v>
      </c>
      <c r="AO147" s="264" t="s">
        <v>1524</v>
      </c>
      <c r="AP147" s="264" t="s">
        <v>1525</v>
      </c>
      <c r="AQ147" s="264" t="s">
        <v>1526</v>
      </c>
      <c r="AR147" s="264" t="s">
        <v>1527</v>
      </c>
      <c r="AS147" s="264" t="s">
        <v>1447</v>
      </c>
      <c r="AT147" s="264" t="s">
        <v>1528</v>
      </c>
      <c r="AU147" s="264" t="s">
        <v>1529</v>
      </c>
      <c r="AV147" s="946" t="s">
        <v>1530</v>
      </c>
      <c r="AW147" s="264" t="s">
        <v>1531</v>
      </c>
      <c r="AX147" s="264" t="s">
        <v>1532</v>
      </c>
      <c r="AY147" s="264" t="s">
        <v>1448</v>
      </c>
      <c r="AZ147" s="264" t="s">
        <v>1449</v>
      </c>
      <c r="BA147" s="264" t="s">
        <v>1450</v>
      </c>
      <c r="BB147" s="264" t="s">
        <v>1533</v>
      </c>
      <c r="BC147" s="264" t="s">
        <v>1534</v>
      </c>
      <c r="BD147" s="264" t="s">
        <v>1535</v>
      </c>
      <c r="BE147"/>
      <c r="BF147"/>
      <c r="BG147"/>
      <c r="BH147"/>
      <c r="BI147"/>
      <c r="BJ147"/>
      <c r="BK147"/>
      <c r="BL147"/>
      <c r="BM147"/>
      <c r="BN147"/>
      <c r="BO147"/>
      <c r="BP147"/>
      <c r="BQ147"/>
      <c r="BR147"/>
      <c r="BS147"/>
      <c r="BT147"/>
      <c r="BU147"/>
    </row>
    <row r="148" spans="2:73" x14ac:dyDescent="0.25">
      <c r="B148" s="117" t="s">
        <v>131</v>
      </c>
      <c r="C148" s="265" t="s">
        <v>47</v>
      </c>
      <c r="D148" s="265" t="s">
        <v>47</v>
      </c>
      <c r="E148" s="265" t="s">
        <v>47</v>
      </c>
      <c r="F148" s="265" t="s">
        <v>47</v>
      </c>
      <c r="G148" s="265" t="s">
        <v>47</v>
      </c>
      <c r="H148" s="265" t="s">
        <v>47</v>
      </c>
      <c r="I148" s="265" t="s">
        <v>47</v>
      </c>
      <c r="J148" s="265" t="s">
        <v>47</v>
      </c>
      <c r="K148" s="265" t="s">
        <v>47</v>
      </c>
      <c r="L148" s="265" t="s">
        <v>47</v>
      </c>
      <c r="M148" s="265" t="s">
        <v>47</v>
      </c>
      <c r="N148" s="265" t="s">
        <v>47</v>
      </c>
      <c r="O148" s="265" t="s">
        <v>47</v>
      </c>
      <c r="P148" s="265" t="s">
        <v>47</v>
      </c>
      <c r="Q148" s="265" t="s">
        <v>47</v>
      </c>
      <c r="R148" s="265" t="s">
        <v>47</v>
      </c>
      <c r="S148" s="265" t="s">
        <v>47</v>
      </c>
      <c r="T148" s="265" t="s">
        <v>47</v>
      </c>
      <c r="U148" s="692" t="s">
        <v>47</v>
      </c>
      <c r="V148" s="692" t="s">
        <v>47</v>
      </c>
      <c r="W148" s="692" t="s">
        <v>47</v>
      </c>
      <c r="X148" s="692" t="s">
        <v>47</v>
      </c>
      <c r="Y148" s="692" t="s">
        <v>47</v>
      </c>
      <c r="Z148" s="692" t="s">
        <v>47</v>
      </c>
      <c r="AA148" s="692" t="s">
        <v>47</v>
      </c>
      <c r="AB148" s="692" t="s">
        <v>47</v>
      </c>
      <c r="AC148" s="692" t="s">
        <v>47</v>
      </c>
      <c r="AD148" s="692" t="s">
        <v>47</v>
      </c>
      <c r="AE148" s="692" t="s">
        <v>47</v>
      </c>
      <c r="AF148" s="692" t="s">
        <v>47</v>
      </c>
      <c r="AG148" s="692" t="s">
        <v>47</v>
      </c>
      <c r="AH148" s="692" t="s">
        <v>47</v>
      </c>
      <c r="AI148" s="692" t="s">
        <v>47</v>
      </c>
      <c r="AJ148" s="692" t="s">
        <v>47</v>
      </c>
      <c r="AK148" s="692" t="s">
        <v>47</v>
      </c>
      <c r="AL148" s="692" t="s">
        <v>47</v>
      </c>
      <c r="AM148" s="692" t="s">
        <v>47</v>
      </c>
      <c r="AN148" s="692" t="s">
        <v>47</v>
      </c>
      <c r="AO148" s="692" t="s">
        <v>47</v>
      </c>
      <c r="AP148" s="692" t="s">
        <v>47</v>
      </c>
      <c r="AQ148" s="692" t="s">
        <v>47</v>
      </c>
      <c r="AR148" s="692" t="s">
        <v>47</v>
      </c>
      <c r="AS148" s="692">
        <v>42</v>
      </c>
      <c r="AT148" s="597">
        <v>42</v>
      </c>
      <c r="AU148" s="597">
        <v>42</v>
      </c>
      <c r="AV148" s="597">
        <v>42</v>
      </c>
      <c r="AW148" s="860" t="s">
        <v>47</v>
      </c>
      <c r="AX148" s="861" t="s">
        <v>47</v>
      </c>
      <c r="AY148" s="862">
        <v>27.5</v>
      </c>
      <c r="AZ148" s="597">
        <v>27.5</v>
      </c>
      <c r="BA148" s="597">
        <v>27.5</v>
      </c>
      <c r="BB148" s="597">
        <v>27.5</v>
      </c>
      <c r="BC148" s="597">
        <v>27.5</v>
      </c>
      <c r="BD148" s="597">
        <v>27.5</v>
      </c>
      <c r="BE148"/>
      <c r="BF148"/>
      <c r="BG148"/>
      <c r="BH148"/>
      <c r="BI148"/>
      <c r="BJ148"/>
      <c r="BK148"/>
      <c r="BL148"/>
      <c r="BM148"/>
      <c r="BN148"/>
      <c r="BO148"/>
      <c r="BP148"/>
      <c r="BQ148"/>
      <c r="BR148"/>
      <c r="BS148"/>
      <c r="BT148"/>
      <c r="BU148"/>
    </row>
    <row r="149" spans="2:73" x14ac:dyDescent="0.25">
      <c r="B149" s="117" t="s">
        <v>134</v>
      </c>
      <c r="C149" s="265" t="s">
        <v>47</v>
      </c>
      <c r="D149" s="265" t="s">
        <v>47</v>
      </c>
      <c r="E149" s="265" t="s">
        <v>47</v>
      </c>
      <c r="F149" s="265" t="s">
        <v>47</v>
      </c>
      <c r="G149" s="265" t="s">
        <v>47</v>
      </c>
      <c r="H149" s="265" t="s">
        <v>47</v>
      </c>
      <c r="I149" s="265" t="s">
        <v>47</v>
      </c>
      <c r="J149" s="265" t="s">
        <v>47</v>
      </c>
      <c r="K149" s="265" t="s">
        <v>47</v>
      </c>
      <c r="L149" s="265" t="s">
        <v>47</v>
      </c>
      <c r="M149" s="265" t="s">
        <v>47</v>
      </c>
      <c r="N149" s="265" t="s">
        <v>47</v>
      </c>
      <c r="O149" s="265" t="s">
        <v>47</v>
      </c>
      <c r="P149" s="265" t="s">
        <v>47</v>
      </c>
      <c r="Q149" s="265" t="s">
        <v>47</v>
      </c>
      <c r="R149" s="265" t="s">
        <v>47</v>
      </c>
      <c r="S149" s="265" t="s">
        <v>47</v>
      </c>
      <c r="T149" s="265" t="s">
        <v>47</v>
      </c>
      <c r="U149" s="265" t="s">
        <v>47</v>
      </c>
      <c r="V149" s="265" t="s">
        <v>47</v>
      </c>
      <c r="W149" s="265" t="s">
        <v>47</v>
      </c>
      <c r="X149" s="265" t="s">
        <v>47</v>
      </c>
      <c r="Y149" s="265" t="s">
        <v>47</v>
      </c>
      <c r="Z149" s="265" t="s">
        <v>47</v>
      </c>
      <c r="AA149" s="265" t="s">
        <v>47</v>
      </c>
      <c r="AB149" s="265" t="s">
        <v>47</v>
      </c>
      <c r="AC149" s="265" t="s">
        <v>47</v>
      </c>
      <c r="AD149" s="265" t="s">
        <v>47</v>
      </c>
      <c r="AE149" s="265" t="s">
        <v>47</v>
      </c>
      <c r="AF149" s="265" t="s">
        <v>47</v>
      </c>
      <c r="AG149" s="265" t="s">
        <v>47</v>
      </c>
      <c r="AH149" s="265" t="s">
        <v>47</v>
      </c>
      <c r="AI149" s="265" t="s">
        <v>47</v>
      </c>
      <c r="AJ149" s="265" t="s">
        <v>47</v>
      </c>
      <c r="AK149" s="265" t="s">
        <v>47</v>
      </c>
      <c r="AL149" s="692" t="s">
        <v>47</v>
      </c>
      <c r="AM149" s="265" t="s">
        <v>47</v>
      </c>
      <c r="AN149" s="265" t="s">
        <v>47</v>
      </c>
      <c r="AO149" s="265" t="s">
        <v>47</v>
      </c>
      <c r="AP149" s="265" t="s">
        <v>47</v>
      </c>
      <c r="AQ149" s="265" t="s">
        <v>47</v>
      </c>
      <c r="AR149" s="265" t="s">
        <v>47</v>
      </c>
      <c r="AS149" s="265">
        <v>30</v>
      </c>
      <c r="AT149" s="353">
        <v>30</v>
      </c>
      <c r="AU149" s="353">
        <v>30</v>
      </c>
      <c r="AV149" s="353">
        <v>30</v>
      </c>
      <c r="AW149" s="860" t="s">
        <v>47</v>
      </c>
      <c r="AX149" s="861" t="s">
        <v>47</v>
      </c>
      <c r="AY149" s="861" t="s">
        <v>47</v>
      </c>
      <c r="AZ149" s="861" t="s">
        <v>47</v>
      </c>
      <c r="BA149" s="861" t="s">
        <v>47</v>
      </c>
      <c r="BB149" s="861" t="s">
        <v>47</v>
      </c>
      <c r="BC149" s="861" t="s">
        <v>47</v>
      </c>
      <c r="BD149" s="861" t="s">
        <v>47</v>
      </c>
      <c r="BE149"/>
      <c r="BF149"/>
      <c r="BG149"/>
      <c r="BH149"/>
      <c r="BI149"/>
      <c r="BJ149"/>
      <c r="BK149"/>
      <c r="BL149"/>
      <c r="BM149"/>
      <c r="BN149"/>
      <c r="BO149"/>
      <c r="BP149"/>
      <c r="BQ149"/>
      <c r="BR149"/>
      <c r="BS149"/>
      <c r="BT149"/>
      <c r="BU149"/>
    </row>
    <row r="150" spans="2:73" x14ac:dyDescent="0.25">
      <c r="B150" s="117" t="s">
        <v>135</v>
      </c>
      <c r="C150" s="265" t="s">
        <v>47</v>
      </c>
      <c r="D150" s="265" t="s">
        <v>47</v>
      </c>
      <c r="E150" s="265" t="s">
        <v>47</v>
      </c>
      <c r="F150" s="265" t="s">
        <v>47</v>
      </c>
      <c r="G150" s="265" t="s">
        <v>47</v>
      </c>
      <c r="H150" s="265" t="s">
        <v>47</v>
      </c>
      <c r="I150" s="265" t="s">
        <v>47</v>
      </c>
      <c r="J150" s="265" t="s">
        <v>47</v>
      </c>
      <c r="K150" s="265" t="s">
        <v>47</v>
      </c>
      <c r="L150" s="265" t="s">
        <v>47</v>
      </c>
      <c r="M150" s="265" t="s">
        <v>47</v>
      </c>
      <c r="N150" s="265" t="s">
        <v>47</v>
      </c>
      <c r="O150" s="265" t="s">
        <v>47</v>
      </c>
      <c r="P150" s="265" t="s">
        <v>47</v>
      </c>
      <c r="Q150" s="265" t="s">
        <v>47</v>
      </c>
      <c r="R150" s="265" t="s">
        <v>47</v>
      </c>
      <c r="S150" s="265" t="s">
        <v>47</v>
      </c>
      <c r="T150" s="265" t="s">
        <v>47</v>
      </c>
      <c r="U150" s="265" t="s">
        <v>47</v>
      </c>
      <c r="V150" s="265" t="s">
        <v>47</v>
      </c>
      <c r="W150" s="265" t="s">
        <v>47</v>
      </c>
      <c r="X150" s="265" t="s">
        <v>47</v>
      </c>
      <c r="Y150" s="265" t="s">
        <v>47</v>
      </c>
      <c r="Z150" s="692" t="s">
        <v>47</v>
      </c>
      <c r="AA150" s="265" t="s">
        <v>47</v>
      </c>
      <c r="AB150" s="265" t="s">
        <v>47</v>
      </c>
      <c r="AC150" s="265" t="s">
        <v>47</v>
      </c>
      <c r="AD150" s="265" t="s">
        <v>47</v>
      </c>
      <c r="AE150" s="265" t="s">
        <v>47</v>
      </c>
      <c r="AF150" s="265" t="s">
        <v>47</v>
      </c>
      <c r="AG150" s="265" t="s">
        <v>47</v>
      </c>
      <c r="AH150" s="265" t="s">
        <v>47</v>
      </c>
      <c r="AI150" s="265" t="s">
        <v>47</v>
      </c>
      <c r="AJ150" s="265" t="s">
        <v>47</v>
      </c>
      <c r="AK150" s="265" t="s">
        <v>47</v>
      </c>
      <c r="AL150" s="265" t="s">
        <v>47</v>
      </c>
      <c r="AM150" s="265" t="s">
        <v>47</v>
      </c>
      <c r="AN150" s="265" t="s">
        <v>47</v>
      </c>
      <c r="AO150" s="265" t="s">
        <v>47</v>
      </c>
      <c r="AP150" s="265" t="s">
        <v>47</v>
      </c>
      <c r="AQ150" s="265" t="s">
        <v>47</v>
      </c>
      <c r="AR150" s="265">
        <v>34</v>
      </c>
      <c r="AS150" s="265">
        <v>34</v>
      </c>
      <c r="AT150" s="353">
        <v>34</v>
      </c>
      <c r="AU150" s="353">
        <v>34</v>
      </c>
      <c r="AV150" s="353">
        <v>34</v>
      </c>
      <c r="AW150" s="955">
        <v>23</v>
      </c>
      <c r="AX150" s="597">
        <v>23</v>
      </c>
      <c r="AY150" s="597">
        <v>23</v>
      </c>
      <c r="AZ150" s="597">
        <v>23</v>
      </c>
      <c r="BA150" s="597">
        <v>23</v>
      </c>
      <c r="BB150" s="597">
        <v>23</v>
      </c>
      <c r="BC150" s="597">
        <v>23</v>
      </c>
      <c r="BD150" s="591" t="s">
        <v>47</v>
      </c>
      <c r="BE150"/>
      <c r="BF150"/>
      <c r="BG150"/>
      <c r="BH150"/>
      <c r="BI150"/>
      <c r="BJ150"/>
      <c r="BK150"/>
      <c r="BL150"/>
      <c r="BM150"/>
      <c r="BN150"/>
      <c r="BO150"/>
      <c r="BP150"/>
      <c r="BQ150"/>
      <c r="BR150"/>
      <c r="BS150"/>
      <c r="BT150"/>
      <c r="BU150"/>
    </row>
    <row r="151" spans="2:73" x14ac:dyDescent="0.25">
      <c r="B151" s="117" t="s">
        <v>142</v>
      </c>
      <c r="C151" s="265" t="s">
        <v>47</v>
      </c>
      <c r="D151" s="265" t="s">
        <v>47</v>
      </c>
      <c r="E151" s="265" t="s">
        <v>47</v>
      </c>
      <c r="F151" s="265" t="s">
        <v>47</v>
      </c>
      <c r="G151" s="265" t="s">
        <v>47</v>
      </c>
      <c r="H151" s="265" t="s">
        <v>47</v>
      </c>
      <c r="I151" s="265" t="s">
        <v>47</v>
      </c>
      <c r="J151" s="265" t="s">
        <v>47</v>
      </c>
      <c r="K151" s="265" t="s">
        <v>47</v>
      </c>
      <c r="L151" s="265" t="s">
        <v>47</v>
      </c>
      <c r="M151" s="265" t="s">
        <v>47</v>
      </c>
      <c r="N151" s="265" t="s">
        <v>47</v>
      </c>
      <c r="O151" s="265" t="s">
        <v>47</v>
      </c>
      <c r="P151" s="265" t="s">
        <v>47</v>
      </c>
      <c r="Q151" s="265" t="s">
        <v>47</v>
      </c>
      <c r="R151" s="265" t="s">
        <v>47</v>
      </c>
      <c r="S151" s="265" t="s">
        <v>47</v>
      </c>
      <c r="T151" s="265" t="s">
        <v>47</v>
      </c>
      <c r="U151" s="265" t="s">
        <v>47</v>
      </c>
      <c r="V151" s="265" t="s">
        <v>47</v>
      </c>
      <c r="W151" s="692" t="s">
        <v>47</v>
      </c>
      <c r="X151" s="692" t="s">
        <v>47</v>
      </c>
      <c r="Y151" s="692" t="s">
        <v>47</v>
      </c>
      <c r="Z151" s="692" t="s">
        <v>47</v>
      </c>
      <c r="AA151" s="692" t="s">
        <v>47</v>
      </c>
      <c r="AB151" s="692" t="s">
        <v>47</v>
      </c>
      <c r="AC151" s="692" t="s">
        <v>47</v>
      </c>
      <c r="AD151" s="692" t="s">
        <v>47</v>
      </c>
      <c r="AE151" s="692" t="s">
        <v>47</v>
      </c>
      <c r="AF151" s="692" t="s">
        <v>47</v>
      </c>
      <c r="AG151" s="692" t="s">
        <v>47</v>
      </c>
      <c r="AH151" s="692" t="s">
        <v>47</v>
      </c>
      <c r="AI151" s="692" t="s">
        <v>47</v>
      </c>
      <c r="AJ151" s="692" t="s">
        <v>47</v>
      </c>
      <c r="AK151" s="692" t="s">
        <v>47</v>
      </c>
      <c r="AL151" s="692" t="s">
        <v>47</v>
      </c>
      <c r="AM151" s="692" t="s">
        <v>47</v>
      </c>
      <c r="AN151" s="692" t="s">
        <v>47</v>
      </c>
      <c r="AO151" s="692" t="s">
        <v>47</v>
      </c>
      <c r="AP151" s="692" t="s">
        <v>47</v>
      </c>
      <c r="AQ151" s="692">
        <v>37.200000000000003</v>
      </c>
      <c r="AR151" s="692">
        <v>37.200000000000003</v>
      </c>
      <c r="AS151" s="692">
        <v>37.200000000000003</v>
      </c>
      <c r="AT151" s="597">
        <v>37.200000000000003</v>
      </c>
      <c r="AU151" s="597">
        <v>37.200000000000003</v>
      </c>
      <c r="AV151" s="597">
        <v>37.200000000000003</v>
      </c>
      <c r="AW151" s="860" t="s">
        <v>47</v>
      </c>
      <c r="AX151" s="861" t="s">
        <v>47</v>
      </c>
      <c r="AY151" s="861" t="s">
        <v>47</v>
      </c>
      <c r="AZ151" s="861" t="s">
        <v>47</v>
      </c>
      <c r="BA151" s="861" t="s">
        <v>47</v>
      </c>
      <c r="BB151" s="861" t="s">
        <v>47</v>
      </c>
      <c r="BC151" s="861" t="s">
        <v>47</v>
      </c>
      <c r="BD151" s="861" t="s">
        <v>47</v>
      </c>
      <c r="BE151"/>
      <c r="BF151"/>
      <c r="BG151"/>
      <c r="BH151"/>
      <c r="BI151"/>
      <c r="BJ151"/>
      <c r="BK151"/>
      <c r="BL151"/>
      <c r="BM151"/>
      <c r="BN151"/>
      <c r="BO151"/>
      <c r="BP151"/>
      <c r="BQ151"/>
      <c r="BR151"/>
      <c r="BS151"/>
      <c r="BT151"/>
      <c r="BU151"/>
    </row>
    <row r="152" spans="2:73" x14ac:dyDescent="0.25">
      <c r="B152" s="117" t="s">
        <v>136</v>
      </c>
      <c r="C152" s="265" t="s">
        <v>47</v>
      </c>
      <c r="D152" s="265" t="s">
        <v>47</v>
      </c>
      <c r="E152" s="265" t="s">
        <v>47</v>
      </c>
      <c r="F152" s="265" t="s">
        <v>47</v>
      </c>
      <c r="G152" s="265" t="s">
        <v>47</v>
      </c>
      <c r="H152" s="265" t="s">
        <v>47</v>
      </c>
      <c r="I152" s="265" t="s">
        <v>47</v>
      </c>
      <c r="J152" s="265" t="s">
        <v>47</v>
      </c>
      <c r="K152" s="265" t="s">
        <v>47</v>
      </c>
      <c r="L152" s="265" t="s">
        <v>47</v>
      </c>
      <c r="M152" s="265" t="s">
        <v>47</v>
      </c>
      <c r="N152" s="265" t="s">
        <v>47</v>
      </c>
      <c r="O152" s="265" t="s">
        <v>47</v>
      </c>
      <c r="P152" s="265" t="s">
        <v>47</v>
      </c>
      <c r="Q152" s="265" t="s">
        <v>47</v>
      </c>
      <c r="R152" s="265" t="s">
        <v>47</v>
      </c>
      <c r="S152" s="265" t="s">
        <v>47</v>
      </c>
      <c r="T152" s="265" t="s">
        <v>47</v>
      </c>
      <c r="U152" s="265" t="s">
        <v>47</v>
      </c>
      <c r="V152" s="692" t="s">
        <v>47</v>
      </c>
      <c r="W152" s="692" t="s">
        <v>47</v>
      </c>
      <c r="X152" s="692" t="s">
        <v>47</v>
      </c>
      <c r="Y152" s="692" t="s">
        <v>47</v>
      </c>
      <c r="Z152" s="692" t="s">
        <v>47</v>
      </c>
      <c r="AA152" s="692" t="s">
        <v>47</v>
      </c>
      <c r="AB152" s="692" t="s">
        <v>47</v>
      </c>
      <c r="AC152" s="692" t="s">
        <v>47</v>
      </c>
      <c r="AD152" s="692" t="s">
        <v>47</v>
      </c>
      <c r="AE152" s="692" t="s">
        <v>47</v>
      </c>
      <c r="AF152" s="692" t="s">
        <v>47</v>
      </c>
      <c r="AG152" s="692" t="s">
        <v>47</v>
      </c>
      <c r="AH152" s="692" t="s">
        <v>47</v>
      </c>
      <c r="AI152" s="692" t="s">
        <v>47</v>
      </c>
      <c r="AJ152" s="692" t="s">
        <v>47</v>
      </c>
      <c r="AK152" s="692" t="s">
        <v>47</v>
      </c>
      <c r="AL152" s="692" t="s">
        <v>47</v>
      </c>
      <c r="AM152" s="692" t="s">
        <v>47</v>
      </c>
      <c r="AN152" s="692" t="s">
        <v>47</v>
      </c>
      <c r="AO152" s="692" t="s">
        <v>47</v>
      </c>
      <c r="AP152" s="692">
        <v>43</v>
      </c>
      <c r="AQ152" s="692">
        <v>43</v>
      </c>
      <c r="AR152" s="692">
        <v>43</v>
      </c>
      <c r="AS152" s="692">
        <v>43</v>
      </c>
      <c r="AT152" s="597">
        <v>43</v>
      </c>
      <c r="AU152" s="597">
        <v>43</v>
      </c>
      <c r="AV152" s="597">
        <v>43</v>
      </c>
      <c r="AW152" s="860" t="s">
        <v>47</v>
      </c>
      <c r="AX152" s="861" t="s">
        <v>47</v>
      </c>
      <c r="AY152" s="862">
        <v>30</v>
      </c>
      <c r="AZ152" s="597">
        <v>30</v>
      </c>
      <c r="BA152" s="597">
        <v>30</v>
      </c>
      <c r="BB152" s="597">
        <v>30</v>
      </c>
      <c r="BC152" s="597">
        <v>30</v>
      </c>
      <c r="BD152" s="597">
        <v>30</v>
      </c>
      <c r="BE152"/>
      <c r="BF152"/>
      <c r="BG152"/>
      <c r="BH152"/>
      <c r="BI152"/>
      <c r="BJ152"/>
      <c r="BK152"/>
      <c r="BL152"/>
      <c r="BM152"/>
      <c r="BN152"/>
      <c r="BO152"/>
      <c r="BP152"/>
      <c r="BQ152"/>
      <c r="BR152"/>
      <c r="BS152"/>
      <c r="BT152"/>
      <c r="BU152"/>
    </row>
    <row r="153" spans="2:73" customFormat="1" ht="12.75" x14ac:dyDescent="0.2">
      <c r="B153" s="279" t="s">
        <v>381</v>
      </c>
      <c r="C153" s="280" t="str">
        <f t="shared" ref="C153:BD153" si="122">IFERROR(AVERAGE(C148:C152),"-")</f>
        <v>-</v>
      </c>
      <c r="D153" s="280" t="str">
        <f t="shared" si="122"/>
        <v>-</v>
      </c>
      <c r="E153" s="280" t="str">
        <f t="shared" si="122"/>
        <v>-</v>
      </c>
      <c r="F153" s="280" t="str">
        <f t="shared" si="122"/>
        <v>-</v>
      </c>
      <c r="G153" s="280" t="str">
        <f t="shared" si="122"/>
        <v>-</v>
      </c>
      <c r="H153" s="280" t="str">
        <f t="shared" si="122"/>
        <v>-</v>
      </c>
      <c r="I153" s="280" t="str">
        <f t="shared" si="122"/>
        <v>-</v>
      </c>
      <c r="J153" s="280" t="str">
        <f t="shared" si="122"/>
        <v>-</v>
      </c>
      <c r="K153" s="280" t="str">
        <f t="shared" si="122"/>
        <v>-</v>
      </c>
      <c r="L153" s="280" t="str">
        <f t="shared" si="122"/>
        <v>-</v>
      </c>
      <c r="M153" s="280" t="str">
        <f t="shared" si="122"/>
        <v>-</v>
      </c>
      <c r="N153" s="280" t="str">
        <f t="shared" si="122"/>
        <v>-</v>
      </c>
      <c r="O153" s="280" t="str">
        <f t="shared" si="122"/>
        <v>-</v>
      </c>
      <c r="P153" s="280" t="str">
        <f t="shared" si="122"/>
        <v>-</v>
      </c>
      <c r="Q153" s="280" t="str">
        <f t="shared" si="122"/>
        <v>-</v>
      </c>
      <c r="R153" s="347" t="str">
        <f t="shared" si="122"/>
        <v>-</v>
      </c>
      <c r="S153" s="347" t="str">
        <f t="shared" si="122"/>
        <v>-</v>
      </c>
      <c r="T153" s="347" t="str">
        <f t="shared" si="122"/>
        <v>-</v>
      </c>
      <c r="U153" s="347" t="str">
        <f t="shared" si="122"/>
        <v>-</v>
      </c>
      <c r="V153" s="347" t="str">
        <f t="shared" si="122"/>
        <v>-</v>
      </c>
      <c r="W153" s="347" t="str">
        <f t="shared" si="122"/>
        <v>-</v>
      </c>
      <c r="X153" s="347" t="str">
        <f t="shared" si="122"/>
        <v>-</v>
      </c>
      <c r="Y153" s="347" t="str">
        <f t="shared" si="122"/>
        <v>-</v>
      </c>
      <c r="Z153" s="347" t="str">
        <f t="shared" si="122"/>
        <v>-</v>
      </c>
      <c r="AA153" s="347" t="str">
        <f t="shared" si="122"/>
        <v>-</v>
      </c>
      <c r="AB153" s="347" t="str">
        <f t="shared" si="122"/>
        <v>-</v>
      </c>
      <c r="AC153" s="347" t="str">
        <f t="shared" si="122"/>
        <v>-</v>
      </c>
      <c r="AD153" s="347" t="str">
        <f t="shared" si="122"/>
        <v>-</v>
      </c>
      <c r="AE153" s="347" t="str">
        <f t="shared" si="122"/>
        <v>-</v>
      </c>
      <c r="AF153" s="347" t="str">
        <f t="shared" si="122"/>
        <v>-</v>
      </c>
      <c r="AG153" s="347" t="str">
        <f t="shared" si="122"/>
        <v>-</v>
      </c>
      <c r="AH153" s="347" t="str">
        <f t="shared" si="122"/>
        <v>-</v>
      </c>
      <c r="AI153" s="347" t="str">
        <f t="shared" si="122"/>
        <v>-</v>
      </c>
      <c r="AJ153" s="347" t="str">
        <f t="shared" si="122"/>
        <v>-</v>
      </c>
      <c r="AK153" s="347" t="str">
        <f t="shared" si="122"/>
        <v>-</v>
      </c>
      <c r="AL153" s="347" t="str">
        <f t="shared" si="122"/>
        <v>-</v>
      </c>
      <c r="AM153" s="347" t="str">
        <f t="shared" si="122"/>
        <v>-</v>
      </c>
      <c r="AN153" s="347" t="str">
        <f t="shared" si="122"/>
        <v>-</v>
      </c>
      <c r="AO153" s="347" t="str">
        <f t="shared" si="122"/>
        <v>-</v>
      </c>
      <c r="AP153" s="347">
        <f t="shared" si="122"/>
        <v>43</v>
      </c>
      <c r="AQ153" s="347">
        <f t="shared" si="122"/>
        <v>40.1</v>
      </c>
      <c r="AR153" s="347">
        <f t="shared" si="122"/>
        <v>38.06666666666667</v>
      </c>
      <c r="AS153" s="347">
        <f t="shared" si="122"/>
        <v>37.239999999999995</v>
      </c>
      <c r="AT153" s="830">
        <f t="shared" si="122"/>
        <v>37.239999999999995</v>
      </c>
      <c r="AU153" s="830">
        <f t="shared" si="122"/>
        <v>37.239999999999995</v>
      </c>
      <c r="AV153" s="830">
        <f t="shared" si="122"/>
        <v>37.239999999999995</v>
      </c>
      <c r="AW153" s="863">
        <f t="shared" si="122"/>
        <v>23</v>
      </c>
      <c r="AX153" s="864">
        <f t="shared" si="122"/>
        <v>23</v>
      </c>
      <c r="AY153" s="864">
        <f t="shared" si="122"/>
        <v>26.833333333333332</v>
      </c>
      <c r="AZ153" s="864">
        <f t="shared" si="122"/>
        <v>26.833333333333332</v>
      </c>
      <c r="BA153" s="864">
        <f t="shared" si="122"/>
        <v>26.833333333333332</v>
      </c>
      <c r="BB153" s="864">
        <f t="shared" si="122"/>
        <v>26.833333333333332</v>
      </c>
      <c r="BC153" s="864">
        <f t="shared" si="122"/>
        <v>26.833333333333332</v>
      </c>
      <c r="BD153" s="864">
        <f t="shared" si="122"/>
        <v>28.75</v>
      </c>
    </row>
    <row r="154" spans="2:73" x14ac:dyDescent="0.25">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787"/>
      <c r="AV154" s="945"/>
    </row>
    <row r="155" spans="2:73" x14ac:dyDescent="0.25">
      <c r="B155" s="113" t="s">
        <v>754</v>
      </c>
      <c r="C155" s="264" t="str">
        <f t="shared" ref="C155:AH155" si="123">+C$238</f>
        <v>Jun-16</v>
      </c>
      <c r="D155" s="264" t="str">
        <f t="shared" si="123"/>
        <v>Jul-16</v>
      </c>
      <c r="E155" s="264" t="str">
        <f t="shared" si="123"/>
        <v>Aug-16</v>
      </c>
      <c r="F155" s="264" t="str">
        <f t="shared" si="123"/>
        <v>Sep-16</v>
      </c>
      <c r="G155" s="264" t="str">
        <f t="shared" si="123"/>
        <v>Oct-16</v>
      </c>
      <c r="H155" s="264" t="str">
        <f t="shared" si="123"/>
        <v>Nov-16</v>
      </c>
      <c r="I155" s="264" t="str">
        <f t="shared" si="123"/>
        <v>Dec-16</v>
      </c>
      <c r="J155" s="264" t="str">
        <f t="shared" si="123"/>
        <v>Jan-17</v>
      </c>
      <c r="K155" s="264" t="str">
        <f t="shared" si="123"/>
        <v>Feb-17</v>
      </c>
      <c r="L155" s="264" t="str">
        <f t="shared" si="123"/>
        <v>Mar-17</v>
      </c>
      <c r="M155" s="264" t="str">
        <f t="shared" si="123"/>
        <v>Apr-17</v>
      </c>
      <c r="N155" s="264" t="str">
        <f t="shared" si="123"/>
        <v>May-17</v>
      </c>
      <c r="O155" s="264" t="str">
        <f t="shared" si="123"/>
        <v>Jun-17</v>
      </c>
      <c r="P155" s="264" t="str">
        <f t="shared" si="123"/>
        <v>Jul-17</v>
      </c>
      <c r="Q155" s="264" t="str">
        <f t="shared" si="123"/>
        <v>Aug-17</v>
      </c>
      <c r="R155" s="264" t="str">
        <f t="shared" si="123"/>
        <v>Sep-17</v>
      </c>
      <c r="S155" s="264" t="str">
        <f t="shared" si="123"/>
        <v>Oct-17</v>
      </c>
      <c r="T155" s="264" t="str">
        <f t="shared" si="123"/>
        <v>Nov-17</v>
      </c>
      <c r="U155" s="264" t="str">
        <f t="shared" si="123"/>
        <v>Dec-17</v>
      </c>
      <c r="V155" s="264" t="str">
        <f t="shared" si="123"/>
        <v>Jan-18</v>
      </c>
      <c r="W155" s="264" t="str">
        <f t="shared" si="123"/>
        <v>Feb-18</v>
      </c>
      <c r="X155" s="264" t="str">
        <f t="shared" si="123"/>
        <v>Mar-18</v>
      </c>
      <c r="Y155" s="264" t="str">
        <f t="shared" si="123"/>
        <v>Apr-18</v>
      </c>
      <c r="Z155" s="264" t="str">
        <f t="shared" si="123"/>
        <v>May-18</v>
      </c>
      <c r="AA155" s="264" t="str">
        <f t="shared" si="123"/>
        <v>Jun-18</v>
      </c>
      <c r="AB155" s="264" t="str">
        <f t="shared" si="123"/>
        <v>Jul-18</v>
      </c>
      <c r="AC155" s="264" t="str">
        <f t="shared" si="123"/>
        <v>Aug-18</v>
      </c>
      <c r="AD155" s="264" t="str">
        <f t="shared" si="123"/>
        <v>Sep-18</v>
      </c>
      <c r="AE155" s="264" t="str">
        <f t="shared" si="123"/>
        <v>Oct-18</v>
      </c>
      <c r="AF155" s="264" t="str">
        <f t="shared" si="123"/>
        <v>Nov-18</v>
      </c>
      <c r="AG155" s="264" t="str">
        <f t="shared" si="123"/>
        <v>Dec-18</v>
      </c>
      <c r="AH155" s="264" t="str">
        <f t="shared" si="123"/>
        <v>Jan-19</v>
      </c>
      <c r="AI155" s="264" t="str">
        <f t="shared" ref="AI155:BJ155" si="124">+AI$238</f>
        <v>Feb-19</v>
      </c>
      <c r="AJ155" s="264" t="str">
        <f t="shared" si="124"/>
        <v>Mar-19</v>
      </c>
      <c r="AK155" s="264" t="str">
        <f t="shared" si="124"/>
        <v>Apr-19</v>
      </c>
      <c r="AL155" s="264" t="str">
        <f t="shared" si="124"/>
        <v>May-19</v>
      </c>
      <c r="AM155" s="264" t="str">
        <f t="shared" si="124"/>
        <v>Jun-19</v>
      </c>
      <c r="AN155" s="264" t="str">
        <f t="shared" si="124"/>
        <v>Jul-19</v>
      </c>
      <c r="AO155" s="264" t="str">
        <f t="shared" si="124"/>
        <v>Aug-19</v>
      </c>
      <c r="AP155" s="264" t="str">
        <f t="shared" si="124"/>
        <v>Sep-19</v>
      </c>
      <c r="AQ155" s="264" t="str">
        <f t="shared" si="124"/>
        <v>Oct-19</v>
      </c>
      <c r="AR155" s="264" t="str">
        <f t="shared" si="124"/>
        <v>Nov-19</v>
      </c>
      <c r="AS155" s="264" t="str">
        <f t="shared" si="124"/>
        <v>Dec-19</v>
      </c>
      <c r="AT155" s="264" t="str">
        <f t="shared" si="124"/>
        <v>Jan-20</v>
      </c>
      <c r="AU155" s="264" t="str">
        <f t="shared" si="124"/>
        <v>Feb-20</v>
      </c>
      <c r="AV155" s="946" t="str">
        <f t="shared" si="124"/>
        <v>Mar-20</v>
      </c>
      <c r="AW155" s="264" t="str">
        <f t="shared" si="124"/>
        <v>Apr-20</v>
      </c>
      <c r="AX155" s="264" t="str">
        <f t="shared" si="124"/>
        <v>May-20</v>
      </c>
      <c r="AY155" s="264" t="str">
        <f t="shared" si="124"/>
        <v>Jun-20</v>
      </c>
      <c r="AZ155" s="264" t="str">
        <f t="shared" si="124"/>
        <v>Jul-20</v>
      </c>
      <c r="BA155" s="264" t="str">
        <f t="shared" si="124"/>
        <v>Aug-20</v>
      </c>
      <c r="BB155" s="264" t="str">
        <f t="shared" si="124"/>
        <v>Sep-20</v>
      </c>
      <c r="BC155" s="264" t="str">
        <f t="shared" si="124"/>
        <v>Oct-20</v>
      </c>
      <c r="BD155" s="264" t="str">
        <f t="shared" si="124"/>
        <v>Nov-20</v>
      </c>
      <c r="BE155" s="264" t="str">
        <f t="shared" si="124"/>
        <v>Dec-20</v>
      </c>
      <c r="BF155" s="264" t="str">
        <f t="shared" si="124"/>
        <v>Jan-21</v>
      </c>
      <c r="BG155" s="264" t="str">
        <f t="shared" si="124"/>
        <v>Feb-21</v>
      </c>
      <c r="BH155" s="264" t="str">
        <f t="shared" si="124"/>
        <v>Mar-21</v>
      </c>
      <c r="BI155" s="264" t="str">
        <f t="shared" si="124"/>
        <v>Apr-21</v>
      </c>
      <c r="BJ155" s="264" t="str">
        <f t="shared" si="124"/>
        <v>May-21</v>
      </c>
    </row>
    <row r="156" spans="2:73" x14ac:dyDescent="0.25">
      <c r="B156" s="117" t="s">
        <v>131</v>
      </c>
      <c r="C156" s="266" t="s">
        <v>47</v>
      </c>
      <c r="D156" s="266" t="s">
        <v>47</v>
      </c>
      <c r="E156" s="266" t="s">
        <v>47</v>
      </c>
      <c r="F156" s="266" t="s">
        <v>47</v>
      </c>
      <c r="G156" s="266" t="s">
        <v>47</v>
      </c>
      <c r="H156" s="266" t="s">
        <v>47</v>
      </c>
      <c r="I156" s="266" t="s">
        <v>47</v>
      </c>
      <c r="J156" s="338" t="s">
        <v>47</v>
      </c>
      <c r="K156" s="338" t="s">
        <v>47</v>
      </c>
      <c r="L156" s="592" t="s">
        <v>47</v>
      </c>
      <c r="M156" s="592" t="s">
        <v>47</v>
      </c>
      <c r="N156" s="592" t="s">
        <v>47</v>
      </c>
      <c r="O156" s="592" t="s">
        <v>47</v>
      </c>
      <c r="P156" s="592" t="s">
        <v>47</v>
      </c>
      <c r="Q156" s="592" t="s">
        <v>47</v>
      </c>
      <c r="R156" s="592" t="s">
        <v>47</v>
      </c>
      <c r="S156" s="592" t="s">
        <v>47</v>
      </c>
      <c r="T156" s="592" t="s">
        <v>47</v>
      </c>
      <c r="U156" s="592" t="s">
        <v>47</v>
      </c>
      <c r="V156" s="592" t="s">
        <v>47</v>
      </c>
      <c r="W156" s="592" t="s">
        <v>47</v>
      </c>
      <c r="X156" s="592" t="s">
        <v>47</v>
      </c>
      <c r="Y156" s="592" t="s">
        <v>47</v>
      </c>
      <c r="Z156" s="592" t="s">
        <v>47</v>
      </c>
      <c r="AA156" s="592" t="s">
        <v>47</v>
      </c>
      <c r="AB156" s="592" t="s">
        <v>47</v>
      </c>
      <c r="AC156" s="592" t="s">
        <v>47</v>
      </c>
      <c r="AD156" s="592" t="s">
        <v>47</v>
      </c>
      <c r="AE156" s="592" t="s">
        <v>47</v>
      </c>
      <c r="AF156" s="592" t="s">
        <v>47</v>
      </c>
      <c r="AG156" s="592">
        <v>1586</v>
      </c>
      <c r="AH156" s="592">
        <v>1586</v>
      </c>
      <c r="AI156" s="592">
        <v>1586</v>
      </c>
      <c r="AJ156" s="592">
        <v>1586</v>
      </c>
      <c r="AK156" s="592">
        <v>1586</v>
      </c>
      <c r="AL156" s="592">
        <v>1586</v>
      </c>
      <c r="AM156" s="592">
        <v>1586</v>
      </c>
      <c r="AN156" s="592">
        <v>1586</v>
      </c>
      <c r="AO156" s="592">
        <v>1586</v>
      </c>
      <c r="AP156" s="592">
        <v>1586</v>
      </c>
      <c r="AQ156" s="592">
        <v>1586</v>
      </c>
      <c r="AR156" s="592">
        <v>1586</v>
      </c>
      <c r="AS156" s="342">
        <v>1453</v>
      </c>
      <c r="AT156" s="592">
        <v>1453</v>
      </c>
      <c r="AU156" s="592">
        <v>1453</v>
      </c>
      <c r="AV156" s="948">
        <v>1453</v>
      </c>
      <c r="AW156" s="858" t="s">
        <v>47</v>
      </c>
      <c r="AX156" s="858" t="s">
        <v>47</v>
      </c>
      <c r="AY156" s="342">
        <v>917</v>
      </c>
      <c r="AZ156" s="592">
        <v>917</v>
      </c>
      <c r="BA156" s="592">
        <v>917</v>
      </c>
      <c r="BB156" s="592">
        <v>917</v>
      </c>
      <c r="BC156" s="592">
        <v>917</v>
      </c>
      <c r="BD156" s="592">
        <v>917</v>
      </c>
      <c r="BE156" s="343">
        <v>1020</v>
      </c>
      <c r="BF156" s="592">
        <v>1020</v>
      </c>
      <c r="BG156" s="592">
        <v>1020</v>
      </c>
      <c r="BH156" s="592">
        <v>1020</v>
      </c>
      <c r="BI156" s="592">
        <v>1020</v>
      </c>
      <c r="BJ156" s="592">
        <v>1020</v>
      </c>
    </row>
    <row r="157" spans="2:73" x14ac:dyDescent="0.25">
      <c r="B157" s="117" t="s">
        <v>134</v>
      </c>
      <c r="C157" s="266" t="s">
        <v>47</v>
      </c>
      <c r="D157" s="266" t="s">
        <v>47</v>
      </c>
      <c r="E157" s="266" t="s">
        <v>47</v>
      </c>
      <c r="F157" s="266" t="s">
        <v>47</v>
      </c>
      <c r="G157" s="266" t="s">
        <v>47</v>
      </c>
      <c r="H157" s="266" t="s">
        <v>47</v>
      </c>
      <c r="I157" s="266" t="s">
        <v>47</v>
      </c>
      <c r="J157" s="338" t="s">
        <v>47</v>
      </c>
      <c r="K157" s="338" t="s">
        <v>47</v>
      </c>
      <c r="L157" s="592" t="s">
        <v>47</v>
      </c>
      <c r="M157" s="592" t="s">
        <v>47</v>
      </c>
      <c r="N157" s="592" t="s">
        <v>47</v>
      </c>
      <c r="O157" s="592" t="s">
        <v>47</v>
      </c>
      <c r="P157" s="592" t="s">
        <v>47</v>
      </c>
      <c r="Q157" s="592" t="s">
        <v>47</v>
      </c>
      <c r="R157" s="592" t="s">
        <v>47</v>
      </c>
      <c r="S157" s="592" t="s">
        <v>47</v>
      </c>
      <c r="T157" s="592" t="s">
        <v>47</v>
      </c>
      <c r="U157" s="592" t="s">
        <v>47</v>
      </c>
      <c r="V157" s="592" t="s">
        <v>47</v>
      </c>
      <c r="W157" s="592">
        <v>1431</v>
      </c>
      <c r="X157" s="592">
        <v>1431</v>
      </c>
      <c r="Y157" s="592">
        <v>1431</v>
      </c>
      <c r="Z157" s="592">
        <v>1476</v>
      </c>
      <c r="AA157" s="592">
        <v>1476</v>
      </c>
      <c r="AB157" s="592">
        <v>1476</v>
      </c>
      <c r="AC157" s="592">
        <v>1476</v>
      </c>
      <c r="AD157" s="592">
        <v>1476</v>
      </c>
      <c r="AE157" s="592">
        <v>1476</v>
      </c>
      <c r="AF157" s="697">
        <v>1526</v>
      </c>
      <c r="AG157" s="592">
        <v>1526</v>
      </c>
      <c r="AH157" s="592">
        <v>1526</v>
      </c>
      <c r="AI157" s="592">
        <v>1526</v>
      </c>
      <c r="AJ157" s="697">
        <v>1578</v>
      </c>
      <c r="AK157" s="592">
        <v>1578</v>
      </c>
      <c r="AL157" s="697">
        <v>1616</v>
      </c>
      <c r="AM157" s="592">
        <v>1616</v>
      </c>
      <c r="AN157" s="592">
        <v>1616</v>
      </c>
      <c r="AO157" s="592">
        <v>1616</v>
      </c>
      <c r="AP157" s="592">
        <v>1616</v>
      </c>
      <c r="AQ157" s="592">
        <v>1616</v>
      </c>
      <c r="AR157" s="592">
        <v>1616</v>
      </c>
      <c r="AS157" s="342">
        <v>1535</v>
      </c>
      <c r="AT157" s="592">
        <v>1535</v>
      </c>
      <c r="AU157" s="592">
        <v>1535</v>
      </c>
      <c r="AV157" s="948">
        <v>1535</v>
      </c>
      <c r="AW157" s="858" t="s">
        <v>47</v>
      </c>
      <c r="AX157" s="858" t="s">
        <v>47</v>
      </c>
      <c r="AY157" s="858" t="s">
        <v>47</v>
      </c>
      <c r="AZ157" s="858" t="s">
        <v>47</v>
      </c>
      <c r="BA157" s="858" t="s">
        <v>47</v>
      </c>
      <c r="BB157" s="858" t="s">
        <v>47</v>
      </c>
      <c r="BC157" s="858" t="s">
        <v>47</v>
      </c>
      <c r="BD157" s="858" t="s">
        <v>47</v>
      </c>
      <c r="BE157" s="858" t="s">
        <v>47</v>
      </c>
      <c r="BF157" s="592" t="s">
        <v>47</v>
      </c>
      <c r="BG157" s="592" t="s">
        <v>47</v>
      </c>
      <c r="BH157" s="592" t="s">
        <v>47</v>
      </c>
      <c r="BI157" s="592" t="s">
        <v>47</v>
      </c>
      <c r="BJ157" s="592" t="s">
        <v>47</v>
      </c>
    </row>
    <row r="158" spans="2:73" x14ac:dyDescent="0.25">
      <c r="B158" s="117" t="s">
        <v>135</v>
      </c>
      <c r="C158" s="266" t="s">
        <v>47</v>
      </c>
      <c r="D158" s="266" t="s">
        <v>47</v>
      </c>
      <c r="E158" s="266" t="s">
        <v>47</v>
      </c>
      <c r="F158" s="266" t="s">
        <v>47</v>
      </c>
      <c r="G158" s="266" t="s">
        <v>47</v>
      </c>
      <c r="H158" s="266" t="s">
        <v>47</v>
      </c>
      <c r="I158" s="266" t="s">
        <v>47</v>
      </c>
      <c r="J158" s="338" t="s">
        <v>47</v>
      </c>
      <c r="K158" s="338" t="s">
        <v>47</v>
      </c>
      <c r="L158" s="592" t="s">
        <v>47</v>
      </c>
      <c r="M158" s="592" t="s">
        <v>47</v>
      </c>
      <c r="N158" s="592" t="s">
        <v>47</v>
      </c>
      <c r="O158" s="592" t="s">
        <v>47</v>
      </c>
      <c r="P158" s="592" t="s">
        <v>47</v>
      </c>
      <c r="Q158" s="592" t="s">
        <v>47</v>
      </c>
      <c r="R158" s="592" t="s">
        <v>47</v>
      </c>
      <c r="S158" s="592" t="s">
        <v>47</v>
      </c>
      <c r="T158" s="592" t="s">
        <v>47</v>
      </c>
      <c r="U158" s="592" t="s">
        <v>47</v>
      </c>
      <c r="V158" s="592" t="s">
        <v>47</v>
      </c>
      <c r="W158" s="592" t="s">
        <v>47</v>
      </c>
      <c r="X158" s="592" t="s">
        <v>47</v>
      </c>
      <c r="Y158" s="592" t="s">
        <v>47</v>
      </c>
      <c r="Z158" s="592" t="s">
        <v>47</v>
      </c>
      <c r="AA158" s="592" t="s">
        <v>47</v>
      </c>
      <c r="AB158" s="592" t="s">
        <v>47</v>
      </c>
      <c r="AC158" s="592">
        <v>1642</v>
      </c>
      <c r="AD158" s="592">
        <v>1642</v>
      </c>
      <c r="AE158" s="592">
        <v>1642</v>
      </c>
      <c r="AF158" s="342">
        <v>1634</v>
      </c>
      <c r="AG158" s="592">
        <v>1634</v>
      </c>
      <c r="AH158" s="592">
        <v>1634</v>
      </c>
      <c r="AI158" s="592">
        <v>1634</v>
      </c>
      <c r="AJ158" s="342">
        <v>1625</v>
      </c>
      <c r="AK158" s="592">
        <v>1625</v>
      </c>
      <c r="AL158" s="592">
        <v>1625</v>
      </c>
      <c r="AM158" s="592">
        <v>1625</v>
      </c>
      <c r="AN158" s="592">
        <v>1625</v>
      </c>
      <c r="AO158" s="592">
        <v>1625</v>
      </c>
      <c r="AP158" s="592">
        <v>1625</v>
      </c>
      <c r="AQ158" s="592">
        <v>1625</v>
      </c>
      <c r="AR158" s="592">
        <v>1625</v>
      </c>
      <c r="AS158" s="592">
        <v>1625</v>
      </c>
      <c r="AT158" s="592">
        <v>1625</v>
      </c>
      <c r="AU158" s="592">
        <v>1625</v>
      </c>
      <c r="AV158" s="948">
        <v>1625</v>
      </c>
      <c r="AW158" s="342">
        <v>1083.705995360719</v>
      </c>
      <c r="AX158" s="592">
        <v>1083.705995360719</v>
      </c>
      <c r="AY158" s="592">
        <v>1083.705995360719</v>
      </c>
      <c r="AZ158" s="592">
        <v>1083.705995360719</v>
      </c>
      <c r="BA158" s="592">
        <v>1083.705995360719</v>
      </c>
      <c r="BB158" s="592">
        <v>1083.705995360719</v>
      </c>
      <c r="BC158" s="592">
        <v>1083.705995360719</v>
      </c>
      <c r="BD158" s="343">
        <v>1087</v>
      </c>
      <c r="BE158" s="592">
        <v>1087</v>
      </c>
      <c r="BF158" s="592">
        <v>1087</v>
      </c>
      <c r="BG158" s="592">
        <v>1087</v>
      </c>
      <c r="BH158" s="592">
        <v>1087</v>
      </c>
      <c r="BI158" s="592">
        <v>1087</v>
      </c>
      <c r="BJ158" s="592">
        <v>1087</v>
      </c>
    </row>
    <row r="159" spans="2:73" x14ac:dyDescent="0.25">
      <c r="B159" s="117" t="s">
        <v>142</v>
      </c>
      <c r="C159" s="265" t="s">
        <v>47</v>
      </c>
      <c r="D159" s="265" t="s">
        <v>47</v>
      </c>
      <c r="E159" s="265" t="s">
        <v>47</v>
      </c>
      <c r="F159" s="265" t="s">
        <v>47</v>
      </c>
      <c r="G159" s="265" t="s">
        <v>47</v>
      </c>
      <c r="H159" s="265" t="s">
        <v>47</v>
      </c>
      <c r="I159" s="265" t="s">
        <v>47</v>
      </c>
      <c r="J159" s="338" t="s">
        <v>47</v>
      </c>
      <c r="K159" s="338" t="s">
        <v>47</v>
      </c>
      <c r="L159" s="592" t="s">
        <v>47</v>
      </c>
      <c r="M159" s="592" t="s">
        <v>47</v>
      </c>
      <c r="N159" s="592" t="s">
        <v>47</v>
      </c>
      <c r="O159" s="592" t="s">
        <v>47</v>
      </c>
      <c r="P159" s="592" t="s">
        <v>47</v>
      </c>
      <c r="Q159" s="592" t="s">
        <v>47</v>
      </c>
      <c r="R159" s="592" t="s">
        <v>47</v>
      </c>
      <c r="S159" s="592" t="s">
        <v>47</v>
      </c>
      <c r="T159" s="592" t="s">
        <v>47</v>
      </c>
      <c r="U159" s="592" t="s">
        <v>47</v>
      </c>
      <c r="V159" s="592" t="s">
        <v>47</v>
      </c>
      <c r="W159" s="592" t="s">
        <v>47</v>
      </c>
      <c r="X159" s="592" t="s">
        <v>47</v>
      </c>
      <c r="Y159" s="592" t="s">
        <v>47</v>
      </c>
      <c r="Z159" s="592" t="s">
        <v>47</v>
      </c>
      <c r="AA159" s="592" t="s">
        <v>47</v>
      </c>
      <c r="AB159" s="592" t="s">
        <v>47</v>
      </c>
      <c r="AC159" s="592" t="s">
        <v>47</v>
      </c>
      <c r="AD159" s="592" t="s">
        <v>47</v>
      </c>
      <c r="AE159" s="592" t="s">
        <v>47</v>
      </c>
      <c r="AF159" s="592" t="s">
        <v>47</v>
      </c>
      <c r="AG159" s="592" t="s">
        <v>47</v>
      </c>
      <c r="AH159" s="592" t="s">
        <v>47</v>
      </c>
      <c r="AI159" s="592" t="s">
        <v>47</v>
      </c>
      <c r="AJ159" s="592" t="s">
        <v>47</v>
      </c>
      <c r="AK159" s="592">
        <v>1565.2</v>
      </c>
      <c r="AL159" s="592">
        <v>1565.2</v>
      </c>
      <c r="AM159" s="592">
        <v>1565.2</v>
      </c>
      <c r="AN159" s="592" t="s">
        <v>47</v>
      </c>
      <c r="AO159" s="592" t="s">
        <v>47</v>
      </c>
      <c r="AP159" s="592" t="s">
        <v>47</v>
      </c>
      <c r="AQ159" s="592">
        <v>1574</v>
      </c>
      <c r="AR159" s="592">
        <v>1574</v>
      </c>
      <c r="AS159" s="592">
        <v>1574</v>
      </c>
      <c r="AT159" s="592">
        <v>1574</v>
      </c>
      <c r="AU159" s="592">
        <v>1574</v>
      </c>
      <c r="AV159" s="948">
        <v>1574</v>
      </c>
      <c r="AW159" s="858" t="s">
        <v>47</v>
      </c>
      <c r="AX159" s="858" t="s">
        <v>47</v>
      </c>
      <c r="AY159" s="858" t="s">
        <v>47</v>
      </c>
      <c r="AZ159" s="858" t="s">
        <v>47</v>
      </c>
      <c r="BA159" s="858" t="s">
        <v>47</v>
      </c>
      <c r="BB159" s="858" t="s">
        <v>47</v>
      </c>
      <c r="BC159" s="592">
        <v>1020</v>
      </c>
      <c r="BD159" s="592">
        <v>1020</v>
      </c>
      <c r="BE159" s="592">
        <v>1020</v>
      </c>
      <c r="BF159" s="592">
        <v>1020</v>
      </c>
      <c r="BG159" s="592">
        <v>1020</v>
      </c>
      <c r="BH159" s="592">
        <v>1020</v>
      </c>
      <c r="BI159" s="592">
        <v>1020</v>
      </c>
      <c r="BJ159" s="592">
        <v>1020</v>
      </c>
    </row>
    <row r="160" spans="2:73" x14ac:dyDescent="0.25">
      <c r="B160" s="117" t="s">
        <v>136</v>
      </c>
      <c r="C160" s="266" t="s">
        <v>47</v>
      </c>
      <c r="D160" s="266" t="s">
        <v>47</v>
      </c>
      <c r="E160" s="266" t="s">
        <v>47</v>
      </c>
      <c r="F160" s="266" t="s">
        <v>47</v>
      </c>
      <c r="G160" s="266" t="s">
        <v>47</v>
      </c>
      <c r="H160" s="266" t="s">
        <v>47</v>
      </c>
      <c r="I160" s="266" t="s">
        <v>47</v>
      </c>
      <c r="J160" s="338" t="s">
        <v>47</v>
      </c>
      <c r="K160" s="338" t="s">
        <v>47</v>
      </c>
      <c r="L160" s="592" t="s">
        <v>47</v>
      </c>
      <c r="M160" s="592" t="s">
        <v>47</v>
      </c>
      <c r="N160" s="592" t="s">
        <v>47</v>
      </c>
      <c r="O160" s="592" t="s">
        <v>47</v>
      </c>
      <c r="P160" s="592" t="s">
        <v>47</v>
      </c>
      <c r="Q160" s="592" t="s">
        <v>47</v>
      </c>
      <c r="R160" s="592" t="s">
        <v>47</v>
      </c>
      <c r="S160" s="592" t="s">
        <v>47</v>
      </c>
      <c r="T160" s="592" t="s">
        <v>47</v>
      </c>
      <c r="U160" s="592" t="s">
        <v>47</v>
      </c>
      <c r="V160" s="592">
        <v>1456</v>
      </c>
      <c r="W160" s="592">
        <v>1456</v>
      </c>
      <c r="X160" s="592">
        <v>1456</v>
      </c>
      <c r="Y160" s="592">
        <v>1456</v>
      </c>
      <c r="Z160" s="592">
        <v>1456</v>
      </c>
      <c r="AA160" s="592">
        <v>1456</v>
      </c>
      <c r="AB160" s="592">
        <v>1456</v>
      </c>
      <c r="AC160" s="592">
        <v>1456</v>
      </c>
      <c r="AD160" s="343">
        <v>1491</v>
      </c>
      <c r="AE160" s="592">
        <v>1456</v>
      </c>
      <c r="AF160" s="592">
        <v>1456</v>
      </c>
      <c r="AG160" s="592">
        <v>1456</v>
      </c>
      <c r="AH160" s="592">
        <v>1456</v>
      </c>
      <c r="AI160" s="592" t="s">
        <v>47</v>
      </c>
      <c r="AJ160" s="592" t="s">
        <v>47</v>
      </c>
      <c r="AK160" s="592" t="s">
        <v>47</v>
      </c>
      <c r="AL160" s="592" t="s">
        <v>47</v>
      </c>
      <c r="AM160" s="592" t="s">
        <v>47</v>
      </c>
      <c r="AN160" s="592" t="s">
        <v>47</v>
      </c>
      <c r="AO160" s="592" t="s">
        <v>47</v>
      </c>
      <c r="AP160" s="592">
        <v>1524</v>
      </c>
      <c r="AQ160" s="592">
        <v>1524</v>
      </c>
      <c r="AR160" s="592">
        <v>1524</v>
      </c>
      <c r="AS160" s="592">
        <v>1524</v>
      </c>
      <c r="AT160" s="592">
        <v>1524</v>
      </c>
      <c r="AU160" s="592">
        <v>1524</v>
      </c>
      <c r="AV160" s="948">
        <v>1524</v>
      </c>
      <c r="AW160" s="858" t="s">
        <v>47</v>
      </c>
      <c r="AX160" s="858" t="s">
        <v>47</v>
      </c>
      <c r="AY160" s="342">
        <v>909</v>
      </c>
      <c r="AZ160" s="592">
        <v>909</v>
      </c>
      <c r="BA160" s="592">
        <v>909</v>
      </c>
      <c r="BB160" s="592">
        <v>909</v>
      </c>
      <c r="BC160" s="592">
        <v>909</v>
      </c>
      <c r="BD160" s="592">
        <v>909</v>
      </c>
      <c r="BE160" s="343">
        <v>1049</v>
      </c>
      <c r="BF160" s="592">
        <v>1049</v>
      </c>
      <c r="BG160" s="592">
        <v>1049</v>
      </c>
      <c r="BH160" s="592">
        <v>1049</v>
      </c>
      <c r="BI160" s="592">
        <v>1049</v>
      </c>
      <c r="BJ160" s="592">
        <v>1049</v>
      </c>
    </row>
    <row r="161" spans="1:62" x14ac:dyDescent="0.25">
      <c r="A161"/>
      <c r="B161" s="279" t="s">
        <v>381</v>
      </c>
      <c r="C161" s="328" t="str">
        <f t="shared" ref="C161:X161" si="125">IFERROR(AVERAGE(C156:C160),"-")</f>
        <v>-</v>
      </c>
      <c r="D161" s="328" t="str">
        <f t="shared" si="125"/>
        <v>-</v>
      </c>
      <c r="E161" s="328" t="str">
        <f t="shared" si="125"/>
        <v>-</v>
      </c>
      <c r="F161" s="328" t="str">
        <f t="shared" si="125"/>
        <v>-</v>
      </c>
      <c r="G161" s="328" t="str">
        <f t="shared" si="125"/>
        <v>-</v>
      </c>
      <c r="H161" s="328" t="str">
        <f t="shared" si="125"/>
        <v>-</v>
      </c>
      <c r="I161" s="328" t="str">
        <f t="shared" si="125"/>
        <v>-</v>
      </c>
      <c r="J161" s="339" t="str">
        <f t="shared" si="125"/>
        <v>-</v>
      </c>
      <c r="K161" s="339" t="str">
        <f t="shared" si="125"/>
        <v>-</v>
      </c>
      <c r="L161" s="339" t="str">
        <f t="shared" si="125"/>
        <v>-</v>
      </c>
      <c r="M161" s="339" t="str">
        <f t="shared" si="125"/>
        <v>-</v>
      </c>
      <c r="N161" s="339" t="str">
        <f t="shared" si="125"/>
        <v>-</v>
      </c>
      <c r="O161" s="339" t="str">
        <f t="shared" si="125"/>
        <v>-</v>
      </c>
      <c r="P161" s="339" t="str">
        <f t="shared" si="125"/>
        <v>-</v>
      </c>
      <c r="Q161" s="339" t="str">
        <f t="shared" si="125"/>
        <v>-</v>
      </c>
      <c r="R161" s="349" t="str">
        <f t="shared" si="125"/>
        <v>-</v>
      </c>
      <c r="S161" s="349" t="str">
        <f t="shared" si="125"/>
        <v>-</v>
      </c>
      <c r="T161" s="349" t="str">
        <f t="shared" si="125"/>
        <v>-</v>
      </c>
      <c r="U161" s="349" t="str">
        <f t="shared" si="125"/>
        <v>-</v>
      </c>
      <c r="V161" s="349">
        <f t="shared" si="125"/>
        <v>1456</v>
      </c>
      <c r="W161" s="349">
        <f t="shared" si="125"/>
        <v>1443.5</v>
      </c>
      <c r="X161" s="349">
        <f t="shared" si="125"/>
        <v>1443.5</v>
      </c>
      <c r="Y161" s="349">
        <f t="shared" ref="Y161:AF161" si="126">IFERROR(AVERAGE(Y156:Y160),"-")</f>
        <v>1443.5</v>
      </c>
      <c r="Z161" s="349">
        <f t="shared" si="126"/>
        <v>1466</v>
      </c>
      <c r="AA161" s="349">
        <f t="shared" si="126"/>
        <v>1466</v>
      </c>
      <c r="AB161" s="349">
        <f t="shared" si="126"/>
        <v>1466</v>
      </c>
      <c r="AC161" s="349">
        <f t="shared" si="126"/>
        <v>1524.6666666666667</v>
      </c>
      <c r="AD161" s="349">
        <f t="shared" si="126"/>
        <v>1536.3333333333333</v>
      </c>
      <c r="AE161" s="349">
        <f t="shared" si="126"/>
        <v>1524.6666666666667</v>
      </c>
      <c r="AF161" s="349">
        <f t="shared" si="126"/>
        <v>1538.6666666666667</v>
      </c>
      <c r="AG161" s="349">
        <f t="shared" ref="AG161:AL161" si="127">IFERROR(AVERAGE(AG156:AG160),"-")</f>
        <v>1550.5</v>
      </c>
      <c r="AH161" s="349">
        <f t="shared" si="127"/>
        <v>1550.5</v>
      </c>
      <c r="AI161" s="349">
        <f t="shared" si="127"/>
        <v>1582</v>
      </c>
      <c r="AJ161" s="349">
        <f t="shared" si="127"/>
        <v>1596.3333333333333</v>
      </c>
      <c r="AK161" s="349">
        <f t="shared" si="127"/>
        <v>1588.55</v>
      </c>
      <c r="AL161" s="349">
        <f t="shared" si="127"/>
        <v>1598.05</v>
      </c>
      <c r="AM161" s="349">
        <f t="shared" ref="AM161:AR161" si="128">IFERROR(AVERAGE(AM156:AM160),"-")</f>
        <v>1598.05</v>
      </c>
      <c r="AN161" s="349">
        <f t="shared" si="128"/>
        <v>1609</v>
      </c>
      <c r="AO161" s="349">
        <f t="shared" si="128"/>
        <v>1609</v>
      </c>
      <c r="AP161" s="349">
        <f t="shared" si="128"/>
        <v>1587.75</v>
      </c>
      <c r="AQ161" s="349">
        <f t="shared" si="128"/>
        <v>1585</v>
      </c>
      <c r="AR161" s="349">
        <f t="shared" si="128"/>
        <v>1585</v>
      </c>
      <c r="AS161" s="349">
        <f t="shared" ref="AS161:AZ161" si="129">IFERROR(AVERAGE(AS156:AS160),"-")</f>
        <v>1542.2</v>
      </c>
      <c r="AT161" s="832">
        <f t="shared" si="129"/>
        <v>1542.2</v>
      </c>
      <c r="AU161" s="832">
        <f t="shared" si="129"/>
        <v>1542.2</v>
      </c>
      <c r="AV161" s="949">
        <f>IFERROR(AVERAGE(AV156:AV160),"-")</f>
        <v>1542.2</v>
      </c>
      <c r="AW161" s="963">
        <f t="shared" si="129"/>
        <v>1083.705995360719</v>
      </c>
      <c r="AX161" s="832">
        <f t="shared" si="129"/>
        <v>1083.705995360719</v>
      </c>
      <c r="AY161" s="643">
        <f t="shared" si="129"/>
        <v>969.90199845357301</v>
      </c>
      <c r="AZ161" s="643">
        <f t="shared" si="129"/>
        <v>969.90199845357301</v>
      </c>
      <c r="BA161" s="643">
        <f t="shared" ref="BA161:BF161" si="130">IFERROR(AVERAGE(BA156:BA160),"-")</f>
        <v>969.90199845357301</v>
      </c>
      <c r="BB161" s="643">
        <f t="shared" si="130"/>
        <v>969.90199845357301</v>
      </c>
      <c r="BC161" s="643">
        <f t="shared" si="130"/>
        <v>982.42649884017976</v>
      </c>
      <c r="BD161" s="643">
        <f t="shared" si="130"/>
        <v>983.25</v>
      </c>
      <c r="BE161" s="832">
        <f t="shared" si="130"/>
        <v>1044</v>
      </c>
      <c r="BF161" s="832">
        <f t="shared" si="130"/>
        <v>1044</v>
      </c>
      <c r="BG161" s="832">
        <f>IFERROR(AVERAGE(BG156:BG160),"-")</f>
        <v>1044</v>
      </c>
      <c r="BH161" s="832">
        <f>IFERROR(AVERAGE(BH156:BH160),"-")</f>
        <v>1044</v>
      </c>
      <c r="BI161" s="832">
        <f>IFERROR(AVERAGE(BI156:BI160),"-")</f>
        <v>1044</v>
      </c>
      <c r="BJ161" s="832">
        <f>IFERROR(AVERAGE(BJ156:BJ160),"-")</f>
        <v>1044</v>
      </c>
    </row>
    <row r="162" spans="1:62" customFormat="1" x14ac:dyDescent="0.25">
      <c r="A162" s="263"/>
      <c r="B162" s="263"/>
      <c r="C162" s="263"/>
      <c r="D162" s="263"/>
      <c r="E162" s="263"/>
      <c r="F162" s="263"/>
      <c r="G162" s="263"/>
      <c r="H162" s="263"/>
      <c r="I162" s="263"/>
      <c r="J162" s="263"/>
      <c r="K162" s="263"/>
      <c r="L162" s="263"/>
      <c r="M162" s="263"/>
      <c r="N162" s="263"/>
      <c r="O162" s="263"/>
      <c r="P162" s="263"/>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V162" s="950"/>
    </row>
    <row r="163" spans="1:62" customFormat="1" x14ac:dyDescent="0.25">
      <c r="A163" s="263"/>
      <c r="B163" s="113" t="s">
        <v>755</v>
      </c>
      <c r="C163" s="264" t="str">
        <f t="shared" ref="C163:AH163" si="131">+C$238</f>
        <v>Jun-16</v>
      </c>
      <c r="D163" s="264" t="str">
        <f t="shared" si="131"/>
        <v>Jul-16</v>
      </c>
      <c r="E163" s="264" t="str">
        <f t="shared" si="131"/>
        <v>Aug-16</v>
      </c>
      <c r="F163" s="264" t="str">
        <f t="shared" si="131"/>
        <v>Sep-16</v>
      </c>
      <c r="G163" s="264" t="str">
        <f t="shared" si="131"/>
        <v>Oct-16</v>
      </c>
      <c r="H163" s="264" t="str">
        <f t="shared" si="131"/>
        <v>Nov-16</v>
      </c>
      <c r="I163" s="264" t="str">
        <f t="shared" si="131"/>
        <v>Dec-16</v>
      </c>
      <c r="J163" s="264" t="str">
        <f t="shared" si="131"/>
        <v>Jan-17</v>
      </c>
      <c r="K163" s="264" t="str">
        <f t="shared" si="131"/>
        <v>Feb-17</v>
      </c>
      <c r="L163" s="264" t="str">
        <f t="shared" si="131"/>
        <v>Mar-17</v>
      </c>
      <c r="M163" s="264" t="str">
        <f t="shared" si="131"/>
        <v>Apr-17</v>
      </c>
      <c r="N163" s="264" t="str">
        <f t="shared" si="131"/>
        <v>May-17</v>
      </c>
      <c r="O163" s="264" t="str">
        <f t="shared" si="131"/>
        <v>Jun-17</v>
      </c>
      <c r="P163" s="264" t="str">
        <f t="shared" si="131"/>
        <v>Jul-17</v>
      </c>
      <c r="Q163" s="264" t="str">
        <f t="shared" si="131"/>
        <v>Aug-17</v>
      </c>
      <c r="R163" s="264" t="str">
        <f t="shared" si="131"/>
        <v>Sep-17</v>
      </c>
      <c r="S163" s="264" t="str">
        <f t="shared" si="131"/>
        <v>Oct-17</v>
      </c>
      <c r="T163" s="264" t="str">
        <f t="shared" si="131"/>
        <v>Nov-17</v>
      </c>
      <c r="U163" s="264" t="str">
        <f t="shared" si="131"/>
        <v>Dec-17</v>
      </c>
      <c r="V163" s="264" t="str">
        <f t="shared" si="131"/>
        <v>Jan-18</v>
      </c>
      <c r="W163" s="264" t="str">
        <f t="shared" si="131"/>
        <v>Feb-18</v>
      </c>
      <c r="X163" s="264" t="str">
        <f t="shared" si="131"/>
        <v>Mar-18</v>
      </c>
      <c r="Y163" s="264" t="str">
        <f t="shared" si="131"/>
        <v>Apr-18</v>
      </c>
      <c r="Z163" s="264" t="str">
        <f t="shared" si="131"/>
        <v>May-18</v>
      </c>
      <c r="AA163" s="264" t="str">
        <f t="shared" si="131"/>
        <v>Jun-18</v>
      </c>
      <c r="AB163" s="264" t="str">
        <f t="shared" si="131"/>
        <v>Jul-18</v>
      </c>
      <c r="AC163" s="264" t="str">
        <f t="shared" si="131"/>
        <v>Aug-18</v>
      </c>
      <c r="AD163" s="264" t="str">
        <f t="shared" si="131"/>
        <v>Sep-18</v>
      </c>
      <c r="AE163" s="264" t="str">
        <f t="shared" si="131"/>
        <v>Oct-18</v>
      </c>
      <c r="AF163" s="264" t="str">
        <f t="shared" si="131"/>
        <v>Nov-18</v>
      </c>
      <c r="AG163" s="264" t="str">
        <f t="shared" si="131"/>
        <v>Dec-18</v>
      </c>
      <c r="AH163" s="264" t="str">
        <f t="shared" si="131"/>
        <v>Jan-19</v>
      </c>
      <c r="AI163" s="264" t="str">
        <f t="shared" ref="AI163:BJ163" si="132">+AI$238</f>
        <v>Feb-19</v>
      </c>
      <c r="AJ163" s="264" t="str">
        <f t="shared" si="132"/>
        <v>Mar-19</v>
      </c>
      <c r="AK163" s="264" t="str">
        <f t="shared" si="132"/>
        <v>Apr-19</v>
      </c>
      <c r="AL163" s="264" t="str">
        <f t="shared" si="132"/>
        <v>May-19</v>
      </c>
      <c r="AM163" s="264" t="str">
        <f t="shared" si="132"/>
        <v>Jun-19</v>
      </c>
      <c r="AN163" s="264" t="str">
        <f t="shared" si="132"/>
        <v>Jul-19</v>
      </c>
      <c r="AO163" s="264" t="str">
        <f t="shared" si="132"/>
        <v>Aug-19</v>
      </c>
      <c r="AP163" s="264" t="str">
        <f t="shared" si="132"/>
        <v>Sep-19</v>
      </c>
      <c r="AQ163" s="264" t="str">
        <f t="shared" si="132"/>
        <v>Oct-19</v>
      </c>
      <c r="AR163" s="264" t="str">
        <f t="shared" si="132"/>
        <v>Nov-19</v>
      </c>
      <c r="AS163" s="264" t="str">
        <f t="shared" si="132"/>
        <v>Dec-19</v>
      </c>
      <c r="AT163" s="264" t="str">
        <f t="shared" si="132"/>
        <v>Jan-20</v>
      </c>
      <c r="AU163" s="264" t="str">
        <f t="shared" si="132"/>
        <v>Feb-20</v>
      </c>
      <c r="AV163" s="946" t="str">
        <f t="shared" si="132"/>
        <v>Mar-20</v>
      </c>
      <c r="AW163" s="264" t="str">
        <f t="shared" si="132"/>
        <v>Apr-20</v>
      </c>
      <c r="AX163" s="264" t="str">
        <f t="shared" si="132"/>
        <v>May-20</v>
      </c>
      <c r="AY163" s="264" t="str">
        <f t="shared" si="132"/>
        <v>Jun-20</v>
      </c>
      <c r="AZ163" s="264" t="str">
        <f t="shared" si="132"/>
        <v>Jul-20</v>
      </c>
      <c r="BA163" s="264" t="str">
        <f t="shared" si="132"/>
        <v>Aug-20</v>
      </c>
      <c r="BB163" s="264" t="str">
        <f t="shared" si="132"/>
        <v>Sep-20</v>
      </c>
      <c r="BC163" s="264" t="str">
        <f t="shared" si="132"/>
        <v>Oct-20</v>
      </c>
      <c r="BD163" s="264" t="str">
        <f t="shared" si="132"/>
        <v>Nov-20</v>
      </c>
      <c r="BE163" s="264" t="str">
        <f t="shared" si="132"/>
        <v>Dec-20</v>
      </c>
      <c r="BF163" s="264" t="str">
        <f t="shared" si="132"/>
        <v>Jan-21</v>
      </c>
      <c r="BG163" s="264" t="str">
        <f t="shared" si="132"/>
        <v>Feb-21</v>
      </c>
      <c r="BH163" s="264" t="str">
        <f t="shared" si="132"/>
        <v>Mar-21</v>
      </c>
      <c r="BI163" s="264" t="str">
        <f t="shared" si="132"/>
        <v>Apr-21</v>
      </c>
      <c r="BJ163" s="264" t="str">
        <f t="shared" si="132"/>
        <v>May-21</v>
      </c>
    </row>
    <row r="164" spans="1:62" customFormat="1" x14ac:dyDescent="0.25">
      <c r="A164" s="263"/>
      <c r="B164" s="117" t="s">
        <v>131</v>
      </c>
      <c r="C164" s="265" t="s">
        <v>47</v>
      </c>
      <c r="D164" s="265" t="s">
        <v>47</v>
      </c>
      <c r="E164" s="265" t="s">
        <v>47</v>
      </c>
      <c r="F164" s="266" t="s">
        <v>47</v>
      </c>
      <c r="G164" s="266" t="s">
        <v>47</v>
      </c>
      <c r="H164" s="266" t="s">
        <v>47</v>
      </c>
      <c r="I164" s="266" t="s">
        <v>47</v>
      </c>
      <c r="J164" s="266" t="s">
        <v>47</v>
      </c>
      <c r="K164" s="266" t="s">
        <v>47</v>
      </c>
      <c r="L164" s="593" t="s">
        <v>47</v>
      </c>
      <c r="M164" s="593" t="s">
        <v>47</v>
      </c>
      <c r="N164" s="593" t="s">
        <v>47</v>
      </c>
      <c r="O164" s="593" t="s">
        <v>47</v>
      </c>
      <c r="P164" s="593" t="s">
        <v>47</v>
      </c>
      <c r="Q164" s="593" t="s">
        <v>47</v>
      </c>
      <c r="R164" s="593" t="s">
        <v>47</v>
      </c>
      <c r="S164" s="593" t="s">
        <v>47</v>
      </c>
      <c r="T164" s="593" t="s">
        <v>47</v>
      </c>
      <c r="U164" s="592" t="s">
        <v>47</v>
      </c>
      <c r="V164" s="592" t="s">
        <v>47</v>
      </c>
      <c r="W164" s="592" t="s">
        <v>47</v>
      </c>
      <c r="X164" s="592" t="s">
        <v>47</v>
      </c>
      <c r="Y164" s="592" t="s">
        <v>47</v>
      </c>
      <c r="Z164" s="592" t="s">
        <v>47</v>
      </c>
      <c r="AA164" s="592" t="s">
        <v>47</v>
      </c>
      <c r="AB164" s="592" t="s">
        <v>47</v>
      </c>
      <c r="AC164" s="592" t="s">
        <v>47</v>
      </c>
      <c r="AD164" s="592" t="s">
        <v>47</v>
      </c>
      <c r="AE164" s="592" t="s">
        <v>47</v>
      </c>
      <c r="AF164" s="592" t="s">
        <v>47</v>
      </c>
      <c r="AG164" s="592">
        <v>280</v>
      </c>
      <c r="AH164" s="592">
        <v>280</v>
      </c>
      <c r="AI164" s="592">
        <v>280</v>
      </c>
      <c r="AJ164" s="592">
        <v>280</v>
      </c>
      <c r="AK164" s="592">
        <v>280</v>
      </c>
      <c r="AL164" s="592">
        <v>280</v>
      </c>
      <c r="AM164" s="592">
        <v>280</v>
      </c>
      <c r="AN164" s="592">
        <v>280</v>
      </c>
      <c r="AO164" s="592">
        <v>280</v>
      </c>
      <c r="AP164" s="592">
        <v>280</v>
      </c>
      <c r="AQ164" s="592">
        <v>280</v>
      </c>
      <c r="AR164" s="592">
        <v>280</v>
      </c>
      <c r="AS164" s="592">
        <f>308-36</f>
        <v>272</v>
      </c>
      <c r="AT164" s="592">
        <f>308-36</f>
        <v>272</v>
      </c>
      <c r="AU164" s="592">
        <f>308-36</f>
        <v>272</v>
      </c>
      <c r="AV164" s="948">
        <f>308-36</f>
        <v>272</v>
      </c>
      <c r="AW164" s="858" t="s">
        <v>47</v>
      </c>
      <c r="AX164" s="858" t="s">
        <v>47</v>
      </c>
      <c r="AY164" s="342">
        <v>120</v>
      </c>
      <c r="AZ164" s="592">
        <v>120</v>
      </c>
      <c r="BA164" s="592">
        <v>120</v>
      </c>
      <c r="BB164" s="592">
        <v>120</v>
      </c>
      <c r="BC164" s="592">
        <v>120</v>
      </c>
      <c r="BD164" s="592">
        <v>120</v>
      </c>
      <c r="BE164" s="343">
        <v>167</v>
      </c>
      <c r="BF164" s="592">
        <v>167</v>
      </c>
      <c r="BG164" s="592">
        <v>167</v>
      </c>
      <c r="BH164" s="592">
        <v>167</v>
      </c>
      <c r="BI164" s="592">
        <v>167</v>
      </c>
      <c r="BJ164" s="592">
        <v>167</v>
      </c>
    </row>
    <row r="165" spans="1:62" x14ac:dyDescent="0.25">
      <c r="B165" s="117" t="s">
        <v>134</v>
      </c>
      <c r="C165" s="265" t="s">
        <v>47</v>
      </c>
      <c r="D165" s="265" t="s">
        <v>47</v>
      </c>
      <c r="E165" s="265" t="s">
        <v>47</v>
      </c>
      <c r="F165" s="265" t="s">
        <v>47</v>
      </c>
      <c r="G165" s="265" t="s">
        <v>47</v>
      </c>
      <c r="H165" s="266" t="s">
        <v>47</v>
      </c>
      <c r="I165" s="266" t="s">
        <v>47</v>
      </c>
      <c r="J165" s="266" t="s">
        <v>47</v>
      </c>
      <c r="K165" s="266" t="s">
        <v>47</v>
      </c>
      <c r="L165" s="593" t="s">
        <v>47</v>
      </c>
      <c r="M165" s="593" t="s">
        <v>47</v>
      </c>
      <c r="N165" s="593" t="s">
        <v>47</v>
      </c>
      <c r="O165" s="593" t="s">
        <v>47</v>
      </c>
      <c r="P165" s="593" t="s">
        <v>47</v>
      </c>
      <c r="Q165" s="592" t="s">
        <v>47</v>
      </c>
      <c r="R165" s="592" t="s">
        <v>47</v>
      </c>
      <c r="S165" s="592" t="s">
        <v>47</v>
      </c>
      <c r="T165" s="592" t="s">
        <v>47</v>
      </c>
      <c r="U165" s="592" t="s">
        <v>47</v>
      </c>
      <c r="V165" s="592" t="s">
        <v>47</v>
      </c>
      <c r="W165" s="592">
        <v>215</v>
      </c>
      <c r="X165" s="592">
        <v>215</v>
      </c>
      <c r="Y165" s="592">
        <v>215</v>
      </c>
      <c r="Z165" s="592">
        <v>211</v>
      </c>
      <c r="AA165" s="592">
        <v>211</v>
      </c>
      <c r="AB165" s="592">
        <v>211</v>
      </c>
      <c r="AC165" s="592">
        <v>211</v>
      </c>
      <c r="AD165" s="592">
        <v>211</v>
      </c>
      <c r="AE165" s="592">
        <v>211</v>
      </c>
      <c r="AF165" s="697">
        <v>229</v>
      </c>
      <c r="AG165" s="593">
        <v>229</v>
      </c>
      <c r="AH165" s="593">
        <v>229</v>
      </c>
      <c r="AI165" s="593">
        <v>229</v>
      </c>
      <c r="AJ165" s="697">
        <v>253</v>
      </c>
      <c r="AK165" s="593">
        <v>253</v>
      </c>
      <c r="AL165" s="697">
        <v>260</v>
      </c>
      <c r="AM165" s="593">
        <v>260</v>
      </c>
      <c r="AN165" s="593">
        <v>260</v>
      </c>
      <c r="AO165" s="593">
        <v>260</v>
      </c>
      <c r="AP165" s="593">
        <v>260</v>
      </c>
      <c r="AQ165" s="593">
        <v>260</v>
      </c>
      <c r="AR165" s="593">
        <v>260</v>
      </c>
      <c r="AS165" s="344">
        <v>258</v>
      </c>
      <c r="AT165" s="593">
        <v>258</v>
      </c>
      <c r="AU165" s="593">
        <v>258</v>
      </c>
      <c r="AV165" s="951">
        <v>258</v>
      </c>
      <c r="AW165" s="278" t="s">
        <v>47</v>
      </c>
      <c r="AX165" s="278" t="s">
        <v>47</v>
      </c>
      <c r="AY165" s="278" t="s">
        <v>47</v>
      </c>
      <c r="AZ165" s="278" t="s">
        <v>47</v>
      </c>
      <c r="BA165" s="278" t="s">
        <v>47</v>
      </c>
      <c r="BB165" s="278" t="s">
        <v>47</v>
      </c>
      <c r="BC165" s="278" t="s">
        <v>47</v>
      </c>
      <c r="BD165" s="278" t="s">
        <v>47</v>
      </c>
      <c r="BE165" s="278" t="s">
        <v>47</v>
      </c>
      <c r="BF165" s="593" t="s">
        <v>47</v>
      </c>
      <c r="BG165" s="593" t="s">
        <v>47</v>
      </c>
      <c r="BH165" s="593" t="s">
        <v>47</v>
      </c>
      <c r="BI165" s="593" t="s">
        <v>47</v>
      </c>
      <c r="BJ165" s="593" t="s">
        <v>47</v>
      </c>
    </row>
    <row r="166" spans="1:62" x14ac:dyDescent="0.25">
      <c r="B166" s="117" t="s">
        <v>135</v>
      </c>
      <c r="C166" s="265" t="s">
        <v>47</v>
      </c>
      <c r="D166" s="265" t="s">
        <v>47</v>
      </c>
      <c r="E166" s="265" t="s">
        <v>47</v>
      </c>
      <c r="F166" s="265" t="s">
        <v>47</v>
      </c>
      <c r="G166" s="265" t="s">
        <v>47</v>
      </c>
      <c r="H166" s="266" t="s">
        <v>47</v>
      </c>
      <c r="I166" s="266" t="s">
        <v>47</v>
      </c>
      <c r="J166" s="266" t="s">
        <v>47</v>
      </c>
      <c r="K166" s="266" t="s">
        <v>47</v>
      </c>
      <c r="L166" s="593" t="s">
        <v>47</v>
      </c>
      <c r="M166" s="593" t="s">
        <v>47</v>
      </c>
      <c r="N166" s="593" t="s">
        <v>47</v>
      </c>
      <c r="O166" s="593" t="s">
        <v>47</v>
      </c>
      <c r="P166" s="593" t="s">
        <v>47</v>
      </c>
      <c r="Q166" s="593" t="s">
        <v>47</v>
      </c>
      <c r="R166" s="593" t="s">
        <v>47</v>
      </c>
      <c r="S166" s="593" t="s">
        <v>47</v>
      </c>
      <c r="T166" s="593" t="s">
        <v>47</v>
      </c>
      <c r="U166" s="593" t="s">
        <v>47</v>
      </c>
      <c r="V166" s="593" t="s">
        <v>47</v>
      </c>
      <c r="W166" s="593" t="s">
        <v>47</v>
      </c>
      <c r="X166" s="593" t="s">
        <v>47</v>
      </c>
      <c r="Y166" s="593" t="s">
        <v>47</v>
      </c>
      <c r="Z166" s="593" t="s">
        <v>47</v>
      </c>
      <c r="AA166" s="593" t="s">
        <v>47</v>
      </c>
      <c r="AB166" s="593" t="s">
        <v>47</v>
      </c>
      <c r="AC166" s="593">
        <v>235</v>
      </c>
      <c r="AD166" s="593">
        <v>235</v>
      </c>
      <c r="AE166" s="593">
        <v>235</v>
      </c>
      <c r="AF166" s="697">
        <v>253</v>
      </c>
      <c r="AG166" s="593">
        <v>253</v>
      </c>
      <c r="AH166" s="593">
        <v>253</v>
      </c>
      <c r="AI166" s="593">
        <v>253</v>
      </c>
      <c r="AJ166" s="697">
        <v>265</v>
      </c>
      <c r="AK166" s="593">
        <v>265</v>
      </c>
      <c r="AL166" s="593">
        <v>265</v>
      </c>
      <c r="AM166" s="593">
        <v>265</v>
      </c>
      <c r="AN166" s="593">
        <v>265</v>
      </c>
      <c r="AO166" s="593">
        <v>265</v>
      </c>
      <c r="AP166" s="593">
        <v>265</v>
      </c>
      <c r="AQ166" s="593">
        <v>265</v>
      </c>
      <c r="AR166" s="593">
        <v>265</v>
      </c>
      <c r="AS166" s="593">
        <v>265</v>
      </c>
      <c r="AT166" s="593">
        <v>265</v>
      </c>
      <c r="AU166" s="593">
        <v>265</v>
      </c>
      <c r="AV166" s="951">
        <v>265</v>
      </c>
      <c r="AW166" s="342">
        <v>129.5755240420927</v>
      </c>
      <c r="AX166" s="592">
        <v>129.5755240420927</v>
      </c>
      <c r="AY166" s="592">
        <v>129.5755240420927</v>
      </c>
      <c r="AZ166" s="592">
        <v>129.5755240420927</v>
      </c>
      <c r="BA166" s="592">
        <v>129.5755240420927</v>
      </c>
      <c r="BB166" s="592">
        <v>129.5755240420927</v>
      </c>
      <c r="BC166" s="592">
        <v>129.5755240420927</v>
      </c>
      <c r="BD166" s="343">
        <v>177</v>
      </c>
      <c r="BE166" s="592">
        <v>177</v>
      </c>
      <c r="BF166" s="592">
        <v>177</v>
      </c>
      <c r="BG166" s="592">
        <v>177</v>
      </c>
      <c r="BH166" s="592">
        <v>177</v>
      </c>
      <c r="BI166" s="592">
        <v>177</v>
      </c>
      <c r="BJ166" s="592">
        <v>177</v>
      </c>
    </row>
    <row r="167" spans="1:62" x14ac:dyDescent="0.25">
      <c r="B167" s="117" t="s">
        <v>142</v>
      </c>
      <c r="C167" s="265" t="s">
        <v>47</v>
      </c>
      <c r="D167" s="265" t="s">
        <v>47</v>
      </c>
      <c r="E167" s="265" t="s">
        <v>47</v>
      </c>
      <c r="F167" s="265" t="s">
        <v>47</v>
      </c>
      <c r="G167" s="265" t="s">
        <v>47</v>
      </c>
      <c r="H167" s="265" t="s">
        <v>47</v>
      </c>
      <c r="I167" s="265" t="s">
        <v>47</v>
      </c>
      <c r="J167" s="265" t="s">
        <v>47</v>
      </c>
      <c r="K167" s="265" t="s">
        <v>47</v>
      </c>
      <c r="L167" s="353" t="s">
        <v>47</v>
      </c>
      <c r="M167" s="353" t="s">
        <v>47</v>
      </c>
      <c r="N167" s="353" t="s">
        <v>47</v>
      </c>
      <c r="O167" s="593" t="s">
        <v>47</v>
      </c>
      <c r="P167" s="593" t="s">
        <v>47</v>
      </c>
      <c r="Q167" s="593" t="s">
        <v>47</v>
      </c>
      <c r="R167" s="593" t="s">
        <v>47</v>
      </c>
      <c r="S167" s="593" t="s">
        <v>47</v>
      </c>
      <c r="T167" s="593" t="s">
        <v>47</v>
      </c>
      <c r="U167" s="593" t="s">
        <v>47</v>
      </c>
      <c r="V167" s="593" t="s">
        <v>47</v>
      </c>
      <c r="W167" s="592" t="s">
        <v>47</v>
      </c>
      <c r="X167" s="592" t="s">
        <v>47</v>
      </c>
      <c r="Y167" s="592" t="s">
        <v>47</v>
      </c>
      <c r="Z167" s="592" t="s">
        <v>47</v>
      </c>
      <c r="AA167" s="592" t="s">
        <v>47</v>
      </c>
      <c r="AB167" s="592" t="s">
        <v>47</v>
      </c>
      <c r="AC167" s="592" t="s">
        <v>47</v>
      </c>
      <c r="AD167" s="592" t="s">
        <v>47</v>
      </c>
      <c r="AE167" s="592" t="s">
        <v>47</v>
      </c>
      <c r="AF167" s="592" t="s">
        <v>47</v>
      </c>
      <c r="AG167" s="593" t="s">
        <v>47</v>
      </c>
      <c r="AH167" s="593" t="s">
        <v>47</v>
      </c>
      <c r="AI167" s="593" t="s">
        <v>47</v>
      </c>
      <c r="AJ167" s="593" t="s">
        <v>47</v>
      </c>
      <c r="AK167" s="593">
        <v>254.1</v>
      </c>
      <c r="AL167" s="593">
        <v>254.1</v>
      </c>
      <c r="AM167" s="593">
        <v>254.1</v>
      </c>
      <c r="AN167" s="593" t="s">
        <v>47</v>
      </c>
      <c r="AO167" s="593" t="s">
        <v>47</v>
      </c>
      <c r="AP167" s="593" t="s">
        <v>47</v>
      </c>
      <c r="AQ167" s="593">
        <v>257</v>
      </c>
      <c r="AR167" s="593">
        <v>257</v>
      </c>
      <c r="AS167" s="593">
        <v>257</v>
      </c>
      <c r="AT167" s="593">
        <v>257</v>
      </c>
      <c r="AU167" s="593">
        <v>257</v>
      </c>
      <c r="AV167" s="951">
        <v>257</v>
      </c>
      <c r="AW167" s="278" t="s">
        <v>47</v>
      </c>
      <c r="AX167" s="278" t="s">
        <v>47</v>
      </c>
      <c r="AY167" s="278" t="s">
        <v>47</v>
      </c>
      <c r="AZ167" s="278" t="s">
        <v>47</v>
      </c>
      <c r="BA167" s="278" t="s">
        <v>47</v>
      </c>
      <c r="BB167" s="278" t="s">
        <v>47</v>
      </c>
      <c r="BC167" s="592">
        <v>147</v>
      </c>
      <c r="BD167" s="592">
        <v>147</v>
      </c>
      <c r="BE167" s="592">
        <v>147</v>
      </c>
      <c r="BF167" s="592">
        <v>147</v>
      </c>
      <c r="BG167" s="592">
        <v>147</v>
      </c>
      <c r="BH167" s="592">
        <v>147</v>
      </c>
      <c r="BI167" s="592">
        <v>147</v>
      </c>
      <c r="BJ167" s="592">
        <v>147</v>
      </c>
    </row>
    <row r="168" spans="1:62" x14ac:dyDescent="0.25">
      <c r="B168" s="117" t="s">
        <v>136</v>
      </c>
      <c r="C168" s="265" t="s">
        <v>47</v>
      </c>
      <c r="D168" s="265" t="s">
        <v>47</v>
      </c>
      <c r="E168" s="265" t="s">
        <v>47</v>
      </c>
      <c r="F168" s="265" t="s">
        <v>47</v>
      </c>
      <c r="G168" s="266" t="s">
        <v>47</v>
      </c>
      <c r="H168" s="266" t="s">
        <v>47</v>
      </c>
      <c r="I168" s="266" t="s">
        <v>47</v>
      </c>
      <c r="J168" s="266" t="s">
        <v>47</v>
      </c>
      <c r="K168" s="266" t="s">
        <v>47</v>
      </c>
      <c r="L168" s="593" t="s">
        <v>47</v>
      </c>
      <c r="M168" s="593" t="s">
        <v>47</v>
      </c>
      <c r="N168" s="593" t="s">
        <v>47</v>
      </c>
      <c r="O168" s="593" t="s">
        <v>47</v>
      </c>
      <c r="P168" s="593" t="s">
        <v>47</v>
      </c>
      <c r="Q168" s="593" t="s">
        <v>47</v>
      </c>
      <c r="R168" s="593" t="s">
        <v>47</v>
      </c>
      <c r="S168" s="593" t="s">
        <v>47</v>
      </c>
      <c r="T168" s="593" t="s">
        <v>47</v>
      </c>
      <c r="U168" s="593" t="s">
        <v>47</v>
      </c>
      <c r="V168" s="592">
        <v>200</v>
      </c>
      <c r="W168" s="593">
        <v>200</v>
      </c>
      <c r="X168" s="593">
        <v>200</v>
      </c>
      <c r="Y168" s="593">
        <v>200</v>
      </c>
      <c r="Z168" s="593">
        <v>200</v>
      </c>
      <c r="AA168" s="593">
        <v>200</v>
      </c>
      <c r="AB168" s="593">
        <v>200</v>
      </c>
      <c r="AC168" s="593">
        <v>200</v>
      </c>
      <c r="AD168" s="343">
        <v>222</v>
      </c>
      <c r="AE168" s="593">
        <v>222</v>
      </c>
      <c r="AF168" s="593">
        <v>222</v>
      </c>
      <c r="AG168" s="593">
        <v>222</v>
      </c>
      <c r="AH168" s="593">
        <v>222</v>
      </c>
      <c r="AI168" s="593" t="s">
        <v>47</v>
      </c>
      <c r="AJ168" s="593" t="s">
        <v>47</v>
      </c>
      <c r="AK168" s="593" t="s">
        <v>47</v>
      </c>
      <c r="AL168" s="593" t="s">
        <v>47</v>
      </c>
      <c r="AM168" s="593" t="s">
        <v>47</v>
      </c>
      <c r="AN168" s="593" t="s">
        <v>47</v>
      </c>
      <c r="AO168" s="593" t="s">
        <v>47</v>
      </c>
      <c r="AP168" s="593">
        <v>254</v>
      </c>
      <c r="AQ168" s="593">
        <v>254</v>
      </c>
      <c r="AR168" s="593">
        <v>254</v>
      </c>
      <c r="AS168" s="593">
        <v>254</v>
      </c>
      <c r="AT168" s="593">
        <v>254</v>
      </c>
      <c r="AU168" s="593">
        <v>254</v>
      </c>
      <c r="AV168" s="951">
        <v>254</v>
      </c>
      <c r="AW168" s="278" t="s">
        <v>47</v>
      </c>
      <c r="AX168" s="278" t="s">
        <v>47</v>
      </c>
      <c r="AY168" s="342">
        <v>134</v>
      </c>
      <c r="AZ168" s="592">
        <v>134</v>
      </c>
      <c r="BA168" s="592">
        <v>134</v>
      </c>
      <c r="BB168" s="592">
        <v>134</v>
      </c>
      <c r="BC168" s="592">
        <v>134</v>
      </c>
      <c r="BD168" s="592">
        <v>134</v>
      </c>
      <c r="BE168" s="343">
        <v>168</v>
      </c>
      <c r="BF168" s="592">
        <v>168</v>
      </c>
      <c r="BG168" s="592">
        <v>168</v>
      </c>
      <c r="BH168" s="592">
        <v>168</v>
      </c>
      <c r="BI168" s="592">
        <v>168</v>
      </c>
      <c r="BJ168" s="592">
        <v>168</v>
      </c>
    </row>
    <row r="169" spans="1:62" x14ac:dyDescent="0.25">
      <c r="A169"/>
      <c r="B169" s="279" t="s">
        <v>381</v>
      </c>
      <c r="C169" s="328" t="str">
        <f t="shared" ref="C169:K169" si="133">IFERROR(AVERAGE(C164:C168),"-")</f>
        <v>-</v>
      </c>
      <c r="D169" s="328" t="str">
        <f t="shared" si="133"/>
        <v>-</v>
      </c>
      <c r="E169" s="328" t="str">
        <f t="shared" si="133"/>
        <v>-</v>
      </c>
      <c r="F169" s="328" t="str">
        <f t="shared" si="133"/>
        <v>-</v>
      </c>
      <c r="G169" s="328" t="str">
        <f t="shared" si="133"/>
        <v>-</v>
      </c>
      <c r="H169" s="328" t="str">
        <f t="shared" si="133"/>
        <v>-</v>
      </c>
      <c r="I169" s="328" t="str">
        <f t="shared" si="133"/>
        <v>-</v>
      </c>
      <c r="J169" s="328" t="str">
        <f t="shared" si="133"/>
        <v>-</v>
      </c>
      <c r="K169" s="328" t="str">
        <f t="shared" si="133"/>
        <v>-</v>
      </c>
      <c r="L169" s="643" t="s">
        <v>47</v>
      </c>
      <c r="M169" s="643" t="s">
        <v>47</v>
      </c>
      <c r="N169" s="643" t="s">
        <v>47</v>
      </c>
      <c r="O169" s="643" t="s">
        <v>47</v>
      </c>
      <c r="P169" s="643" t="s">
        <v>47</v>
      </c>
      <c r="Q169" s="643" t="s">
        <v>47</v>
      </c>
      <c r="R169" s="643" t="s">
        <v>47</v>
      </c>
      <c r="S169" s="643" t="s">
        <v>47</v>
      </c>
      <c r="T169" s="643" t="s">
        <v>47</v>
      </c>
      <c r="U169" s="643" t="s">
        <v>47</v>
      </c>
      <c r="V169" s="351">
        <f t="shared" ref="V169:AF169" si="134">IFERROR(AVERAGE(V164:V168),"-")</f>
        <v>200</v>
      </c>
      <c r="W169" s="351">
        <f t="shared" si="134"/>
        <v>207.5</v>
      </c>
      <c r="X169" s="351">
        <f t="shared" si="134"/>
        <v>207.5</v>
      </c>
      <c r="Y169" s="351">
        <f t="shared" si="134"/>
        <v>207.5</v>
      </c>
      <c r="Z169" s="351">
        <f t="shared" si="134"/>
        <v>205.5</v>
      </c>
      <c r="AA169" s="351">
        <f t="shared" si="134"/>
        <v>205.5</v>
      </c>
      <c r="AB169" s="351">
        <f t="shared" si="134"/>
        <v>205.5</v>
      </c>
      <c r="AC169" s="351">
        <f t="shared" si="134"/>
        <v>215.33333333333334</v>
      </c>
      <c r="AD169" s="351">
        <f t="shared" si="134"/>
        <v>222.66666666666666</v>
      </c>
      <c r="AE169" s="351">
        <f t="shared" si="134"/>
        <v>222.66666666666666</v>
      </c>
      <c r="AF169" s="351">
        <f t="shared" si="134"/>
        <v>234.66666666666666</v>
      </c>
      <c r="AG169" s="351">
        <f t="shared" ref="AG169:AL169" si="135">IFERROR(AVERAGE(AG164:AG168),"-")</f>
        <v>246</v>
      </c>
      <c r="AH169" s="351">
        <f t="shared" si="135"/>
        <v>246</v>
      </c>
      <c r="AI169" s="351">
        <f t="shared" si="135"/>
        <v>254</v>
      </c>
      <c r="AJ169" s="351">
        <f t="shared" si="135"/>
        <v>266</v>
      </c>
      <c r="AK169" s="351">
        <f t="shared" si="135"/>
        <v>263.02499999999998</v>
      </c>
      <c r="AL169" s="351">
        <f t="shared" si="135"/>
        <v>264.77499999999998</v>
      </c>
      <c r="AM169" s="351">
        <f t="shared" ref="AM169:AR169" si="136">IFERROR(AVERAGE(AM164:AM168),"-")</f>
        <v>264.77499999999998</v>
      </c>
      <c r="AN169" s="351">
        <f t="shared" si="136"/>
        <v>268.33333333333331</v>
      </c>
      <c r="AO169" s="351">
        <f t="shared" si="136"/>
        <v>268.33333333333331</v>
      </c>
      <c r="AP169" s="351">
        <f t="shared" si="136"/>
        <v>264.75</v>
      </c>
      <c r="AQ169" s="351">
        <f t="shared" si="136"/>
        <v>263.2</v>
      </c>
      <c r="AR169" s="351">
        <f t="shared" si="136"/>
        <v>263.2</v>
      </c>
      <c r="AS169" s="351">
        <f t="shared" ref="AS169:AZ169" si="137">IFERROR(AVERAGE(AS164:AS168),"-")</f>
        <v>261.2</v>
      </c>
      <c r="AT169" s="643">
        <f t="shared" si="137"/>
        <v>261.2</v>
      </c>
      <c r="AU169" s="643">
        <f t="shared" si="137"/>
        <v>261.2</v>
      </c>
      <c r="AV169" s="952">
        <f>IFERROR(AVERAGE(AV164:AV168),"-")</f>
        <v>261.2</v>
      </c>
      <c r="AW169" s="643">
        <f t="shared" si="137"/>
        <v>129.5755240420927</v>
      </c>
      <c r="AX169" s="643">
        <f t="shared" si="137"/>
        <v>129.5755240420927</v>
      </c>
      <c r="AY169" s="643">
        <f t="shared" si="137"/>
        <v>127.8585080140309</v>
      </c>
      <c r="AZ169" s="643">
        <f t="shared" si="137"/>
        <v>127.8585080140309</v>
      </c>
      <c r="BA169" s="643">
        <f t="shared" ref="BA169:BF169" si="138">IFERROR(AVERAGE(BA164:BA168),"-")</f>
        <v>127.8585080140309</v>
      </c>
      <c r="BB169" s="643">
        <f t="shared" si="138"/>
        <v>127.8585080140309</v>
      </c>
      <c r="BC169" s="643">
        <f t="shared" si="138"/>
        <v>132.64388101052316</v>
      </c>
      <c r="BD169" s="643">
        <f t="shared" si="138"/>
        <v>144.5</v>
      </c>
      <c r="BE169" s="643">
        <f t="shared" si="138"/>
        <v>164.75</v>
      </c>
      <c r="BF169" s="643">
        <f t="shared" si="138"/>
        <v>164.75</v>
      </c>
      <c r="BG169" s="643">
        <f>IFERROR(AVERAGE(BG164:BG168),"-")</f>
        <v>164.75</v>
      </c>
      <c r="BH169" s="643">
        <f>IFERROR(AVERAGE(BH164:BH168),"-")</f>
        <v>164.75</v>
      </c>
      <c r="BI169" s="643">
        <f>IFERROR(AVERAGE(BI164:BI168),"-")</f>
        <v>164.75</v>
      </c>
      <c r="BJ169" s="643">
        <f>IFERROR(AVERAGE(BJ164:BJ168),"-")</f>
        <v>164.75</v>
      </c>
    </row>
    <row r="170" spans="1:62" x14ac:dyDescent="0.25">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787"/>
      <c r="AU170" s="787"/>
      <c r="AV170" s="953"/>
      <c r="AW170" s="787"/>
      <c r="AX170" s="787"/>
      <c r="AY170" s="787"/>
      <c r="AZ170" s="787"/>
      <c r="BA170" s="787"/>
      <c r="BB170" s="787"/>
      <c r="BC170" s="787"/>
      <c r="BD170" s="787"/>
      <c r="BE170" s="787"/>
      <c r="BF170" s="787"/>
      <c r="BG170" s="787"/>
      <c r="BH170" s="787"/>
      <c r="BI170" s="787"/>
      <c r="BJ170" s="787"/>
    </row>
    <row r="171" spans="1:62" x14ac:dyDescent="0.25">
      <c r="B171" s="113" t="s">
        <v>756</v>
      </c>
      <c r="C171" s="264" t="str">
        <f t="shared" ref="C171:AH171" si="139">+C$238</f>
        <v>Jun-16</v>
      </c>
      <c r="D171" s="264" t="str">
        <f t="shared" si="139"/>
        <v>Jul-16</v>
      </c>
      <c r="E171" s="264" t="str">
        <f t="shared" si="139"/>
        <v>Aug-16</v>
      </c>
      <c r="F171" s="264" t="str">
        <f t="shared" si="139"/>
        <v>Sep-16</v>
      </c>
      <c r="G171" s="264" t="str">
        <f t="shared" si="139"/>
        <v>Oct-16</v>
      </c>
      <c r="H171" s="264" t="str">
        <f t="shared" si="139"/>
        <v>Nov-16</v>
      </c>
      <c r="I171" s="264" t="str">
        <f t="shared" si="139"/>
        <v>Dec-16</v>
      </c>
      <c r="J171" s="264" t="str">
        <f t="shared" si="139"/>
        <v>Jan-17</v>
      </c>
      <c r="K171" s="264" t="str">
        <f t="shared" si="139"/>
        <v>Feb-17</v>
      </c>
      <c r="L171" s="264" t="str">
        <f t="shared" si="139"/>
        <v>Mar-17</v>
      </c>
      <c r="M171" s="264" t="str">
        <f t="shared" si="139"/>
        <v>Apr-17</v>
      </c>
      <c r="N171" s="264" t="str">
        <f t="shared" si="139"/>
        <v>May-17</v>
      </c>
      <c r="O171" s="264" t="str">
        <f t="shared" si="139"/>
        <v>Jun-17</v>
      </c>
      <c r="P171" s="264" t="str">
        <f t="shared" si="139"/>
        <v>Jul-17</v>
      </c>
      <c r="Q171" s="264" t="str">
        <f t="shared" si="139"/>
        <v>Aug-17</v>
      </c>
      <c r="R171" s="264" t="str">
        <f t="shared" si="139"/>
        <v>Sep-17</v>
      </c>
      <c r="S171" s="264" t="str">
        <f t="shared" si="139"/>
        <v>Oct-17</v>
      </c>
      <c r="T171" s="264" t="str">
        <f t="shared" si="139"/>
        <v>Nov-17</v>
      </c>
      <c r="U171" s="264" t="str">
        <f t="shared" si="139"/>
        <v>Dec-17</v>
      </c>
      <c r="V171" s="264" t="str">
        <f t="shared" si="139"/>
        <v>Jan-18</v>
      </c>
      <c r="W171" s="264" t="str">
        <f t="shared" si="139"/>
        <v>Feb-18</v>
      </c>
      <c r="X171" s="264" t="str">
        <f t="shared" si="139"/>
        <v>Mar-18</v>
      </c>
      <c r="Y171" s="264" t="str">
        <f t="shared" si="139"/>
        <v>Apr-18</v>
      </c>
      <c r="Z171" s="264" t="str">
        <f t="shared" si="139"/>
        <v>May-18</v>
      </c>
      <c r="AA171" s="264" t="str">
        <f t="shared" si="139"/>
        <v>Jun-18</v>
      </c>
      <c r="AB171" s="264" t="str">
        <f t="shared" si="139"/>
        <v>Jul-18</v>
      </c>
      <c r="AC171" s="264" t="str">
        <f t="shared" si="139"/>
        <v>Aug-18</v>
      </c>
      <c r="AD171" s="264" t="str">
        <f t="shared" si="139"/>
        <v>Sep-18</v>
      </c>
      <c r="AE171" s="264" t="str">
        <f t="shared" si="139"/>
        <v>Oct-18</v>
      </c>
      <c r="AF171" s="264" t="str">
        <f t="shared" si="139"/>
        <v>Nov-18</v>
      </c>
      <c r="AG171" s="264" t="str">
        <f t="shared" si="139"/>
        <v>Dec-18</v>
      </c>
      <c r="AH171" s="264" t="str">
        <f t="shared" si="139"/>
        <v>Jan-19</v>
      </c>
      <c r="AI171" s="264" t="str">
        <f t="shared" ref="AI171:BJ171" si="140">+AI$238</f>
        <v>Feb-19</v>
      </c>
      <c r="AJ171" s="264" t="str">
        <f t="shared" si="140"/>
        <v>Mar-19</v>
      </c>
      <c r="AK171" s="264" t="str">
        <f t="shared" si="140"/>
        <v>Apr-19</v>
      </c>
      <c r="AL171" s="264" t="str">
        <f t="shared" si="140"/>
        <v>May-19</v>
      </c>
      <c r="AM171" s="264" t="str">
        <f t="shared" si="140"/>
        <v>Jun-19</v>
      </c>
      <c r="AN171" s="264" t="str">
        <f t="shared" si="140"/>
        <v>Jul-19</v>
      </c>
      <c r="AO171" s="264" t="str">
        <f t="shared" si="140"/>
        <v>Aug-19</v>
      </c>
      <c r="AP171" s="264" t="str">
        <f t="shared" si="140"/>
        <v>Sep-19</v>
      </c>
      <c r="AQ171" s="264" t="str">
        <f t="shared" si="140"/>
        <v>Oct-19</v>
      </c>
      <c r="AR171" s="264" t="str">
        <f t="shared" si="140"/>
        <v>Nov-19</v>
      </c>
      <c r="AS171" s="264" t="str">
        <f t="shared" si="140"/>
        <v>Dec-19</v>
      </c>
      <c r="AT171" s="264" t="str">
        <f t="shared" si="140"/>
        <v>Jan-20</v>
      </c>
      <c r="AU171" s="264" t="str">
        <f t="shared" si="140"/>
        <v>Feb-20</v>
      </c>
      <c r="AV171" s="264" t="str">
        <f t="shared" si="140"/>
        <v>Mar-20</v>
      </c>
      <c r="AW171" s="264" t="str">
        <f t="shared" si="140"/>
        <v>Apr-20</v>
      </c>
      <c r="AX171" s="264" t="str">
        <f t="shared" si="140"/>
        <v>May-20</v>
      </c>
      <c r="AY171" s="264" t="str">
        <f t="shared" si="140"/>
        <v>Jun-20</v>
      </c>
      <c r="AZ171" s="264" t="str">
        <f t="shared" si="140"/>
        <v>Jul-20</v>
      </c>
      <c r="BA171" s="264" t="str">
        <f t="shared" si="140"/>
        <v>Aug-20</v>
      </c>
      <c r="BB171" s="264" t="str">
        <f t="shared" si="140"/>
        <v>Sep-20</v>
      </c>
      <c r="BC171" s="264" t="str">
        <f t="shared" si="140"/>
        <v>Oct-20</v>
      </c>
      <c r="BD171" s="264" t="str">
        <f t="shared" si="140"/>
        <v>Nov-20</v>
      </c>
      <c r="BE171" s="264" t="str">
        <f t="shared" si="140"/>
        <v>Dec-20</v>
      </c>
      <c r="BF171" s="264" t="str">
        <f t="shared" si="140"/>
        <v>Jan-21</v>
      </c>
      <c r="BG171" s="264" t="str">
        <f t="shared" si="140"/>
        <v>Feb-21</v>
      </c>
      <c r="BH171" s="264" t="str">
        <f t="shared" si="140"/>
        <v>Mar-21</v>
      </c>
      <c r="BI171" s="264" t="str">
        <f t="shared" si="140"/>
        <v>Apr-21</v>
      </c>
      <c r="BJ171" s="264" t="str">
        <f t="shared" si="140"/>
        <v>May-21</v>
      </c>
    </row>
    <row r="172" spans="1:62" customFormat="1" x14ac:dyDescent="0.25">
      <c r="A172" s="263"/>
      <c r="B172" s="117" t="s">
        <v>131</v>
      </c>
      <c r="C172" s="265" t="s">
        <v>47</v>
      </c>
      <c r="D172" s="265" t="s">
        <v>47</v>
      </c>
      <c r="E172" s="265" t="s">
        <v>47</v>
      </c>
      <c r="F172" s="266" t="s">
        <v>47</v>
      </c>
      <c r="G172" s="266" t="s">
        <v>47</v>
      </c>
      <c r="H172" s="266" t="s">
        <v>47</v>
      </c>
      <c r="I172" s="266" t="s">
        <v>47</v>
      </c>
      <c r="J172" s="266" t="s">
        <v>47</v>
      </c>
      <c r="K172" s="266" t="s">
        <v>47</v>
      </c>
      <c r="L172" s="593" t="s">
        <v>47</v>
      </c>
      <c r="M172" s="593" t="s">
        <v>47</v>
      </c>
      <c r="N172" s="593" t="s">
        <v>47</v>
      </c>
      <c r="O172" s="593" t="s">
        <v>47</v>
      </c>
      <c r="P172" s="593" t="s">
        <v>47</v>
      </c>
      <c r="Q172" s="593" t="s">
        <v>47</v>
      </c>
      <c r="R172" s="593" t="s">
        <v>47</v>
      </c>
      <c r="S172" s="593" t="s">
        <v>47</v>
      </c>
      <c r="T172" s="593" t="s">
        <v>47</v>
      </c>
      <c r="U172" s="592" t="s">
        <v>47</v>
      </c>
      <c r="V172" s="592" t="s">
        <v>47</v>
      </c>
      <c r="W172" s="592" t="s">
        <v>47</v>
      </c>
      <c r="X172" s="592" t="s">
        <v>47</v>
      </c>
      <c r="Y172" s="592" t="s">
        <v>47</v>
      </c>
      <c r="Z172" s="592" t="s">
        <v>47</v>
      </c>
      <c r="AA172" s="592" t="s">
        <v>47</v>
      </c>
      <c r="AB172" s="592" t="s">
        <v>47</v>
      </c>
      <c r="AC172" s="592" t="s">
        <v>47</v>
      </c>
      <c r="AD172" s="592" t="s">
        <v>47</v>
      </c>
      <c r="AE172" s="592" t="s">
        <v>47</v>
      </c>
      <c r="AF172" s="592" t="s">
        <v>47</v>
      </c>
      <c r="AG172" s="592">
        <v>158</v>
      </c>
      <c r="AH172" s="592">
        <v>158</v>
      </c>
      <c r="AI172" s="592">
        <v>158</v>
      </c>
      <c r="AJ172" s="592">
        <v>158</v>
      </c>
      <c r="AK172" s="592">
        <v>158</v>
      </c>
      <c r="AL172" s="592">
        <v>158</v>
      </c>
      <c r="AM172" s="592">
        <v>158</v>
      </c>
      <c r="AN172" s="592">
        <v>158</v>
      </c>
      <c r="AO172" s="592">
        <v>158</v>
      </c>
      <c r="AP172" s="592">
        <v>158</v>
      </c>
      <c r="AQ172" s="592">
        <v>158</v>
      </c>
      <c r="AR172" s="592">
        <v>158</v>
      </c>
      <c r="AS172" s="697">
        <v>171</v>
      </c>
      <c r="AT172" s="592">
        <v>171</v>
      </c>
      <c r="AU172" s="592">
        <v>171</v>
      </c>
      <c r="AV172" s="948">
        <v>171</v>
      </c>
      <c r="AW172" s="858" t="s">
        <v>47</v>
      </c>
      <c r="AX172" s="858" t="s">
        <v>47</v>
      </c>
      <c r="AY172" s="342">
        <v>44</v>
      </c>
      <c r="AZ172" s="592">
        <v>44</v>
      </c>
      <c r="BA172" s="592">
        <v>44</v>
      </c>
      <c r="BB172" s="592">
        <v>44</v>
      </c>
      <c r="BC172" s="592">
        <v>44</v>
      </c>
      <c r="BD172" s="592">
        <v>44</v>
      </c>
      <c r="BE172" s="343">
        <v>83</v>
      </c>
      <c r="BF172" s="592">
        <v>83</v>
      </c>
      <c r="BG172" s="592">
        <v>83</v>
      </c>
      <c r="BH172" s="592">
        <v>83</v>
      </c>
      <c r="BI172" s="592">
        <v>83</v>
      </c>
      <c r="BJ172" s="592">
        <v>83</v>
      </c>
    </row>
    <row r="173" spans="1:62" customFormat="1" x14ac:dyDescent="0.25">
      <c r="A173" s="263"/>
      <c r="B173" s="117" t="s">
        <v>134</v>
      </c>
      <c r="C173" s="265" t="s">
        <v>47</v>
      </c>
      <c r="D173" s="265" t="s">
        <v>47</v>
      </c>
      <c r="E173" s="265" t="s">
        <v>47</v>
      </c>
      <c r="F173" s="265" t="s">
        <v>47</v>
      </c>
      <c r="G173" s="265" t="s">
        <v>47</v>
      </c>
      <c r="H173" s="266" t="s">
        <v>47</v>
      </c>
      <c r="I173" s="266" t="s">
        <v>47</v>
      </c>
      <c r="J173" s="266" t="s">
        <v>47</v>
      </c>
      <c r="K173" s="266" t="s">
        <v>47</v>
      </c>
      <c r="L173" s="593" t="s">
        <v>47</v>
      </c>
      <c r="M173" s="593" t="s">
        <v>47</v>
      </c>
      <c r="N173" s="593" t="s">
        <v>47</v>
      </c>
      <c r="O173" s="593" t="s">
        <v>47</v>
      </c>
      <c r="P173" s="593" t="s">
        <v>47</v>
      </c>
      <c r="Q173" s="592" t="s">
        <v>47</v>
      </c>
      <c r="R173" s="592" t="s">
        <v>47</v>
      </c>
      <c r="S173" s="592" t="s">
        <v>47</v>
      </c>
      <c r="T173" s="592" t="s">
        <v>47</v>
      </c>
      <c r="U173" s="592" t="s">
        <v>47</v>
      </c>
      <c r="V173" s="592" t="s">
        <v>47</v>
      </c>
      <c r="W173" s="592">
        <v>112</v>
      </c>
      <c r="X173" s="592">
        <v>112</v>
      </c>
      <c r="Y173" s="592">
        <v>112</v>
      </c>
      <c r="Z173" s="592">
        <v>113</v>
      </c>
      <c r="AA173" s="592">
        <v>113</v>
      </c>
      <c r="AB173" s="592">
        <v>113</v>
      </c>
      <c r="AC173" s="592">
        <v>113</v>
      </c>
      <c r="AD173" s="592">
        <v>113</v>
      </c>
      <c r="AE173" s="592">
        <v>113</v>
      </c>
      <c r="AF173" s="697">
        <v>120</v>
      </c>
      <c r="AG173" s="592">
        <v>120</v>
      </c>
      <c r="AH173" s="592">
        <v>120</v>
      </c>
      <c r="AI173" s="592">
        <v>120</v>
      </c>
      <c r="AJ173" s="697">
        <v>136</v>
      </c>
      <c r="AK173" s="592">
        <v>136</v>
      </c>
      <c r="AL173" s="697">
        <v>146</v>
      </c>
      <c r="AM173" s="592">
        <v>146</v>
      </c>
      <c r="AN173" s="592">
        <v>146</v>
      </c>
      <c r="AO173" s="592">
        <v>146</v>
      </c>
      <c r="AP173" s="592">
        <v>146</v>
      </c>
      <c r="AQ173" s="592">
        <v>146</v>
      </c>
      <c r="AR173" s="592">
        <v>146</v>
      </c>
      <c r="AS173" s="697">
        <v>162</v>
      </c>
      <c r="AT173" s="592">
        <v>162</v>
      </c>
      <c r="AU173" s="592">
        <v>162</v>
      </c>
      <c r="AV173" s="948">
        <v>162</v>
      </c>
      <c r="AW173" s="858" t="s">
        <v>47</v>
      </c>
      <c r="AX173" s="858" t="s">
        <v>47</v>
      </c>
      <c r="AY173" s="858" t="s">
        <v>47</v>
      </c>
      <c r="AZ173" s="858" t="s">
        <v>47</v>
      </c>
      <c r="BA173" s="858" t="s">
        <v>47</v>
      </c>
      <c r="BB173" s="858" t="s">
        <v>47</v>
      </c>
      <c r="BC173" s="858" t="s">
        <v>47</v>
      </c>
      <c r="BD173" s="858" t="s">
        <v>47</v>
      </c>
      <c r="BE173" s="858" t="s">
        <v>47</v>
      </c>
      <c r="BF173" s="592" t="s">
        <v>47</v>
      </c>
      <c r="BG173" s="592" t="s">
        <v>47</v>
      </c>
      <c r="BH173" s="592" t="s">
        <v>47</v>
      </c>
      <c r="BI173" s="592" t="s">
        <v>47</v>
      </c>
      <c r="BJ173" s="592" t="s">
        <v>47</v>
      </c>
    </row>
    <row r="174" spans="1:62" customFormat="1" x14ac:dyDescent="0.25">
      <c r="A174" s="263"/>
      <c r="B174" s="117" t="s">
        <v>135</v>
      </c>
      <c r="C174" s="265" t="s">
        <v>47</v>
      </c>
      <c r="D174" s="265" t="s">
        <v>47</v>
      </c>
      <c r="E174" s="265" t="s">
        <v>47</v>
      </c>
      <c r="F174" s="265" t="s">
        <v>47</v>
      </c>
      <c r="G174" s="265" t="s">
        <v>47</v>
      </c>
      <c r="H174" s="266" t="s">
        <v>47</v>
      </c>
      <c r="I174" s="266" t="s">
        <v>47</v>
      </c>
      <c r="J174" s="266" t="s">
        <v>47</v>
      </c>
      <c r="K174" s="266" t="s">
        <v>47</v>
      </c>
      <c r="L174" s="593" t="s">
        <v>47</v>
      </c>
      <c r="M174" s="593" t="s">
        <v>47</v>
      </c>
      <c r="N174" s="593" t="s">
        <v>47</v>
      </c>
      <c r="O174" s="593" t="s">
        <v>47</v>
      </c>
      <c r="P174" s="593" t="s">
        <v>47</v>
      </c>
      <c r="Q174" s="593" t="s">
        <v>47</v>
      </c>
      <c r="R174" s="593" t="s">
        <v>47</v>
      </c>
      <c r="S174" s="593" t="s">
        <v>47</v>
      </c>
      <c r="T174" s="593" t="s">
        <v>47</v>
      </c>
      <c r="U174" s="593" t="s">
        <v>47</v>
      </c>
      <c r="V174" s="593" t="s">
        <v>47</v>
      </c>
      <c r="W174" s="593" t="s">
        <v>47</v>
      </c>
      <c r="X174" s="593" t="s">
        <v>47</v>
      </c>
      <c r="Y174" s="593" t="s">
        <v>47</v>
      </c>
      <c r="Z174" s="593" t="s">
        <v>47</v>
      </c>
      <c r="AA174" s="593" t="s">
        <v>47</v>
      </c>
      <c r="AB174" s="593" t="s">
        <v>47</v>
      </c>
      <c r="AC174" s="593">
        <v>132</v>
      </c>
      <c r="AD174" s="593">
        <v>132</v>
      </c>
      <c r="AE174" s="593">
        <v>132</v>
      </c>
      <c r="AF174" s="697">
        <v>142</v>
      </c>
      <c r="AG174" s="592">
        <v>142</v>
      </c>
      <c r="AH174" s="592">
        <v>142</v>
      </c>
      <c r="AI174" s="592">
        <v>142</v>
      </c>
      <c r="AJ174" s="697">
        <v>149</v>
      </c>
      <c r="AK174" s="592">
        <v>149</v>
      </c>
      <c r="AL174" s="592">
        <v>149</v>
      </c>
      <c r="AM174" s="592">
        <v>149</v>
      </c>
      <c r="AN174" s="592">
        <v>149</v>
      </c>
      <c r="AO174" s="592">
        <v>149</v>
      </c>
      <c r="AP174" s="592">
        <v>149</v>
      </c>
      <c r="AQ174" s="592">
        <v>149</v>
      </c>
      <c r="AR174" s="592">
        <v>149</v>
      </c>
      <c r="AS174" s="592">
        <v>149</v>
      </c>
      <c r="AT174" s="592">
        <v>149</v>
      </c>
      <c r="AU174" s="592">
        <v>149</v>
      </c>
      <c r="AV174" s="948">
        <v>149</v>
      </c>
      <c r="AW174" s="342">
        <v>54.681846873498358</v>
      </c>
      <c r="AX174" s="592">
        <v>54.681846873498358</v>
      </c>
      <c r="AY174" s="592">
        <v>54.681846873498358</v>
      </c>
      <c r="AZ174" s="592">
        <v>54.681846873498358</v>
      </c>
      <c r="BA174" s="592">
        <v>54.681846873498358</v>
      </c>
      <c r="BB174" s="592">
        <v>54.681846873498358</v>
      </c>
      <c r="BC174" s="592">
        <v>54.681846873498358</v>
      </c>
      <c r="BD174" s="343">
        <v>89</v>
      </c>
      <c r="BE174" s="592">
        <v>89</v>
      </c>
      <c r="BF174" s="592">
        <v>89</v>
      </c>
      <c r="BG174" s="592">
        <v>89</v>
      </c>
      <c r="BH174" s="592">
        <v>89</v>
      </c>
      <c r="BI174" s="592">
        <v>89</v>
      </c>
      <c r="BJ174" s="592">
        <v>89</v>
      </c>
    </row>
    <row r="175" spans="1:62" x14ac:dyDescent="0.25">
      <c r="B175" s="117" t="s">
        <v>142</v>
      </c>
      <c r="C175" s="265" t="s">
        <v>47</v>
      </c>
      <c r="D175" s="265" t="s">
        <v>47</v>
      </c>
      <c r="E175" s="265" t="s">
        <v>47</v>
      </c>
      <c r="F175" s="265" t="s">
        <v>47</v>
      </c>
      <c r="G175" s="265" t="s">
        <v>47</v>
      </c>
      <c r="H175" s="265" t="s">
        <v>47</v>
      </c>
      <c r="I175" s="265" t="s">
        <v>47</v>
      </c>
      <c r="J175" s="265" t="s">
        <v>47</v>
      </c>
      <c r="K175" s="265" t="s">
        <v>47</v>
      </c>
      <c r="L175" s="353" t="s">
        <v>47</v>
      </c>
      <c r="M175" s="353" t="s">
        <v>47</v>
      </c>
      <c r="N175" s="353" t="s">
        <v>47</v>
      </c>
      <c r="O175" s="593" t="s">
        <v>47</v>
      </c>
      <c r="P175" s="593" t="s">
        <v>47</v>
      </c>
      <c r="Q175" s="593" t="s">
        <v>47</v>
      </c>
      <c r="R175" s="593" t="s">
        <v>47</v>
      </c>
      <c r="S175" s="593" t="s">
        <v>47</v>
      </c>
      <c r="T175" s="593" t="s">
        <v>47</v>
      </c>
      <c r="U175" s="593" t="s">
        <v>47</v>
      </c>
      <c r="V175" s="593" t="s">
        <v>47</v>
      </c>
      <c r="W175" s="592" t="s">
        <v>47</v>
      </c>
      <c r="X175" s="593" t="s">
        <v>47</v>
      </c>
      <c r="Y175" s="593" t="s">
        <v>47</v>
      </c>
      <c r="Z175" s="593" t="s">
        <v>47</v>
      </c>
      <c r="AA175" s="593" t="s">
        <v>47</v>
      </c>
      <c r="AB175" s="593" t="s">
        <v>47</v>
      </c>
      <c r="AC175" s="593" t="s">
        <v>47</v>
      </c>
      <c r="AD175" s="593" t="s">
        <v>47</v>
      </c>
      <c r="AE175" s="593" t="s">
        <v>47</v>
      </c>
      <c r="AF175" s="593" t="s">
        <v>47</v>
      </c>
      <c r="AG175" s="593" t="s">
        <v>47</v>
      </c>
      <c r="AH175" s="593" t="s">
        <v>47</v>
      </c>
      <c r="AI175" s="593" t="s">
        <v>47</v>
      </c>
      <c r="AJ175" s="593" t="s">
        <v>47</v>
      </c>
      <c r="AK175" s="593">
        <v>155.6</v>
      </c>
      <c r="AL175" s="593">
        <v>155.6</v>
      </c>
      <c r="AM175" s="593">
        <v>155.6</v>
      </c>
      <c r="AN175" s="593" t="s">
        <v>47</v>
      </c>
      <c r="AO175" s="593" t="s">
        <v>47</v>
      </c>
      <c r="AP175" s="593" t="s">
        <v>47</v>
      </c>
      <c r="AQ175" s="593">
        <v>174</v>
      </c>
      <c r="AR175" s="593">
        <v>174</v>
      </c>
      <c r="AS175" s="593">
        <v>174</v>
      </c>
      <c r="AT175" s="593">
        <v>174</v>
      </c>
      <c r="AU175" s="593">
        <v>174</v>
      </c>
      <c r="AV175" s="951">
        <v>174</v>
      </c>
      <c r="AW175" s="278" t="s">
        <v>47</v>
      </c>
      <c r="AX175" s="278" t="s">
        <v>47</v>
      </c>
      <c r="AY175" s="858" t="s">
        <v>47</v>
      </c>
      <c r="AZ175" s="858" t="s">
        <v>47</v>
      </c>
      <c r="BA175" s="858" t="s">
        <v>47</v>
      </c>
      <c r="BB175" s="858" t="s">
        <v>47</v>
      </c>
      <c r="BC175" s="592">
        <v>62</v>
      </c>
      <c r="BD175" s="592">
        <v>62</v>
      </c>
      <c r="BE175" s="592">
        <v>62</v>
      </c>
      <c r="BF175" s="592">
        <v>62</v>
      </c>
      <c r="BG175" s="592">
        <v>62</v>
      </c>
      <c r="BH175" s="592">
        <v>62</v>
      </c>
      <c r="BI175" s="592">
        <v>62</v>
      </c>
      <c r="BJ175" s="592">
        <v>62</v>
      </c>
    </row>
    <row r="176" spans="1:62" x14ac:dyDescent="0.25">
      <c r="B176" s="117" t="s">
        <v>136</v>
      </c>
      <c r="C176" s="265" t="s">
        <v>47</v>
      </c>
      <c r="D176" s="265" t="s">
        <v>47</v>
      </c>
      <c r="E176" s="265" t="s">
        <v>47</v>
      </c>
      <c r="F176" s="265" t="s">
        <v>47</v>
      </c>
      <c r="G176" s="266" t="s">
        <v>47</v>
      </c>
      <c r="H176" s="266" t="s">
        <v>47</v>
      </c>
      <c r="I176" s="266" t="s">
        <v>47</v>
      </c>
      <c r="J176" s="266" t="s">
        <v>47</v>
      </c>
      <c r="K176" s="266" t="s">
        <v>47</v>
      </c>
      <c r="L176" s="593" t="s">
        <v>47</v>
      </c>
      <c r="M176" s="593" t="s">
        <v>47</v>
      </c>
      <c r="N176" s="593" t="s">
        <v>47</v>
      </c>
      <c r="O176" s="593" t="s">
        <v>47</v>
      </c>
      <c r="P176" s="593" t="s">
        <v>47</v>
      </c>
      <c r="Q176" s="592" t="s">
        <v>47</v>
      </c>
      <c r="R176" s="592" t="s">
        <v>47</v>
      </c>
      <c r="S176" s="592" t="s">
        <v>47</v>
      </c>
      <c r="T176" s="592" t="s">
        <v>47</v>
      </c>
      <c r="U176" s="592" t="s">
        <v>47</v>
      </c>
      <c r="V176" s="592">
        <v>107</v>
      </c>
      <c r="W176" s="592">
        <v>107</v>
      </c>
      <c r="X176" s="592">
        <v>107</v>
      </c>
      <c r="Y176" s="592">
        <v>107</v>
      </c>
      <c r="Z176" s="592">
        <v>107</v>
      </c>
      <c r="AA176" s="592">
        <v>107</v>
      </c>
      <c r="AB176" s="592">
        <v>107</v>
      </c>
      <c r="AC176" s="592">
        <v>107</v>
      </c>
      <c r="AD176" s="343">
        <v>127</v>
      </c>
      <c r="AE176" s="592">
        <v>127</v>
      </c>
      <c r="AF176" s="592">
        <v>127</v>
      </c>
      <c r="AG176" s="592">
        <v>127</v>
      </c>
      <c r="AH176" s="592">
        <v>127</v>
      </c>
      <c r="AI176" s="592" t="s">
        <v>47</v>
      </c>
      <c r="AJ176" s="592" t="s">
        <v>47</v>
      </c>
      <c r="AK176" s="592" t="s">
        <v>47</v>
      </c>
      <c r="AL176" s="592" t="s">
        <v>47</v>
      </c>
      <c r="AM176" s="592" t="s">
        <v>47</v>
      </c>
      <c r="AN176" s="592" t="s">
        <v>47</v>
      </c>
      <c r="AO176" s="592" t="s">
        <v>47</v>
      </c>
      <c r="AP176" s="592">
        <v>159</v>
      </c>
      <c r="AQ176" s="592">
        <v>159</v>
      </c>
      <c r="AR176" s="592">
        <v>159</v>
      </c>
      <c r="AS176" s="592">
        <v>159</v>
      </c>
      <c r="AT176" s="592">
        <v>159</v>
      </c>
      <c r="AU176" s="592">
        <v>159</v>
      </c>
      <c r="AV176" s="948">
        <v>159</v>
      </c>
      <c r="AW176" s="858" t="s">
        <v>47</v>
      </c>
      <c r="AX176" s="858" t="s">
        <v>47</v>
      </c>
      <c r="AY176" s="342">
        <v>56</v>
      </c>
      <c r="AZ176" s="592">
        <v>56</v>
      </c>
      <c r="BA176" s="592">
        <v>56</v>
      </c>
      <c r="BB176" s="592">
        <v>56</v>
      </c>
      <c r="BC176" s="592">
        <v>56</v>
      </c>
      <c r="BD176" s="592">
        <v>56</v>
      </c>
      <c r="BE176" s="343">
        <v>83</v>
      </c>
      <c r="BF176" s="592">
        <v>83</v>
      </c>
      <c r="BG176" s="592">
        <v>83</v>
      </c>
      <c r="BH176" s="592">
        <v>83</v>
      </c>
      <c r="BI176" s="592">
        <v>83</v>
      </c>
      <c r="BJ176" s="592">
        <v>83</v>
      </c>
    </row>
    <row r="177" spans="1:73" x14ac:dyDescent="0.25">
      <c r="A177"/>
      <c r="B177" s="279" t="s">
        <v>381</v>
      </c>
      <c r="C177" s="328" t="str">
        <f t="shared" ref="C177:X177" si="141">IFERROR(AVERAGE(C172:C176),"-")</f>
        <v>-</v>
      </c>
      <c r="D177" s="328" t="str">
        <f t="shared" si="141"/>
        <v>-</v>
      </c>
      <c r="E177" s="328" t="str">
        <f t="shared" si="141"/>
        <v>-</v>
      </c>
      <c r="F177" s="328" t="str">
        <f t="shared" si="141"/>
        <v>-</v>
      </c>
      <c r="G177" s="328" t="str">
        <f t="shared" si="141"/>
        <v>-</v>
      </c>
      <c r="H177" s="328" t="str">
        <f t="shared" si="141"/>
        <v>-</v>
      </c>
      <c r="I177" s="328" t="str">
        <f t="shared" si="141"/>
        <v>-</v>
      </c>
      <c r="J177" s="328" t="str">
        <f t="shared" si="141"/>
        <v>-</v>
      </c>
      <c r="K177" s="328" t="str">
        <f t="shared" si="141"/>
        <v>-</v>
      </c>
      <c r="L177" s="328" t="str">
        <f t="shared" si="141"/>
        <v>-</v>
      </c>
      <c r="M177" s="328" t="str">
        <f t="shared" si="141"/>
        <v>-</v>
      </c>
      <c r="N177" s="328" t="str">
        <f t="shared" si="141"/>
        <v>-</v>
      </c>
      <c r="O177" s="328" t="str">
        <f t="shared" si="141"/>
        <v>-</v>
      </c>
      <c r="P177" s="328" t="str">
        <f t="shared" si="141"/>
        <v>-</v>
      </c>
      <c r="Q177" s="328" t="str">
        <f t="shared" si="141"/>
        <v>-</v>
      </c>
      <c r="R177" s="351" t="str">
        <f t="shared" si="141"/>
        <v>-</v>
      </c>
      <c r="S177" s="351" t="str">
        <f t="shared" si="141"/>
        <v>-</v>
      </c>
      <c r="T177" s="351" t="str">
        <f t="shared" si="141"/>
        <v>-</v>
      </c>
      <c r="U177" s="351" t="str">
        <f t="shared" si="141"/>
        <v>-</v>
      </c>
      <c r="V177" s="351">
        <f t="shared" si="141"/>
        <v>107</v>
      </c>
      <c r="W177" s="351">
        <f t="shared" si="141"/>
        <v>109.5</v>
      </c>
      <c r="X177" s="351">
        <f t="shared" si="141"/>
        <v>109.5</v>
      </c>
      <c r="Y177" s="351">
        <f t="shared" ref="Y177:AF177" si="142">IFERROR(AVERAGE(Y172:Y176),"-")</f>
        <v>109.5</v>
      </c>
      <c r="Z177" s="351">
        <f t="shared" si="142"/>
        <v>110</v>
      </c>
      <c r="AA177" s="351">
        <f t="shared" si="142"/>
        <v>110</v>
      </c>
      <c r="AB177" s="351">
        <f t="shared" si="142"/>
        <v>110</v>
      </c>
      <c r="AC177" s="351">
        <f t="shared" si="142"/>
        <v>117.33333333333333</v>
      </c>
      <c r="AD177" s="351">
        <f t="shared" si="142"/>
        <v>124</v>
      </c>
      <c r="AE177" s="351">
        <f t="shared" si="142"/>
        <v>124</v>
      </c>
      <c r="AF177" s="351">
        <f t="shared" si="142"/>
        <v>129.66666666666666</v>
      </c>
      <c r="AG177" s="351">
        <f t="shared" ref="AG177:AL177" si="143">IFERROR(AVERAGE(AG172:AG176),"-")</f>
        <v>136.75</v>
      </c>
      <c r="AH177" s="351">
        <f t="shared" si="143"/>
        <v>136.75</v>
      </c>
      <c r="AI177" s="351">
        <f t="shared" si="143"/>
        <v>140</v>
      </c>
      <c r="AJ177" s="351">
        <f t="shared" si="143"/>
        <v>147.66666666666666</v>
      </c>
      <c r="AK177" s="351">
        <f t="shared" si="143"/>
        <v>149.65</v>
      </c>
      <c r="AL177" s="351">
        <f t="shared" si="143"/>
        <v>152.15</v>
      </c>
      <c r="AM177" s="351">
        <f t="shared" ref="AM177:AR177" si="144">IFERROR(AVERAGE(AM172:AM176),"-")</f>
        <v>152.15</v>
      </c>
      <c r="AN177" s="351">
        <f t="shared" si="144"/>
        <v>151</v>
      </c>
      <c r="AO177" s="351">
        <f t="shared" si="144"/>
        <v>151</v>
      </c>
      <c r="AP177" s="351">
        <f t="shared" si="144"/>
        <v>153</v>
      </c>
      <c r="AQ177" s="351">
        <f t="shared" si="144"/>
        <v>157.19999999999999</v>
      </c>
      <c r="AR177" s="351">
        <f t="shared" si="144"/>
        <v>157.19999999999999</v>
      </c>
      <c r="AS177" s="351">
        <f t="shared" ref="AS177:AZ177" si="145">IFERROR(AVERAGE(AS172:AS176),"-")</f>
        <v>163</v>
      </c>
      <c r="AT177" s="643">
        <f t="shared" si="145"/>
        <v>163</v>
      </c>
      <c r="AU177" s="643">
        <f t="shared" si="145"/>
        <v>163</v>
      </c>
      <c r="AV177" s="952">
        <f>IFERROR(AVERAGE(AV172:AV176),"-")</f>
        <v>163</v>
      </c>
      <c r="AW177" s="643">
        <f t="shared" si="145"/>
        <v>54.681846873498358</v>
      </c>
      <c r="AX177" s="643">
        <f t="shared" si="145"/>
        <v>54.681846873498358</v>
      </c>
      <c r="AY177" s="643">
        <f t="shared" si="145"/>
        <v>51.560615624499455</v>
      </c>
      <c r="AZ177" s="643">
        <f t="shared" si="145"/>
        <v>51.560615624499455</v>
      </c>
      <c r="BA177" s="643">
        <f t="shared" ref="BA177:BF177" si="146">IFERROR(AVERAGE(BA172:BA176),"-")</f>
        <v>51.560615624499455</v>
      </c>
      <c r="BB177" s="643">
        <f t="shared" si="146"/>
        <v>51.560615624499455</v>
      </c>
      <c r="BC177" s="643">
        <f t="shared" si="146"/>
        <v>54.17046171837459</v>
      </c>
      <c r="BD177" s="643">
        <f t="shared" si="146"/>
        <v>62.75</v>
      </c>
      <c r="BE177" s="643">
        <f t="shared" si="146"/>
        <v>79.25</v>
      </c>
      <c r="BF177" s="643">
        <f t="shared" si="146"/>
        <v>79.25</v>
      </c>
      <c r="BG177" s="643">
        <f>IFERROR(AVERAGE(BG172:BG176),"-")</f>
        <v>79.25</v>
      </c>
      <c r="BH177" s="643">
        <f>IFERROR(AVERAGE(BH172:BH176),"-")</f>
        <v>79.25</v>
      </c>
      <c r="BI177" s="643">
        <f>IFERROR(AVERAGE(BI172:BI176),"-")</f>
        <v>79.25</v>
      </c>
      <c r="BJ177" s="643">
        <f>IFERROR(AVERAGE(BJ172:BJ176),"-")</f>
        <v>79.25</v>
      </c>
    </row>
    <row r="178" spans="1:73" x14ac:dyDescent="0.25">
      <c r="Q178" s="340"/>
      <c r="R178" s="340"/>
      <c r="S178" s="340"/>
      <c r="T178" s="340"/>
      <c r="U178" s="340"/>
      <c r="V178" s="340"/>
      <c r="W178" s="340"/>
      <c r="AT178" s="787"/>
      <c r="AU178" s="787"/>
      <c r="AV178" s="953"/>
      <c r="AW178" s="787"/>
      <c r="AX178" s="787"/>
      <c r="AY178" s="787"/>
      <c r="AZ178" s="787"/>
      <c r="BA178" s="787"/>
      <c r="BB178" s="787"/>
      <c r="BC178" s="787"/>
      <c r="BD178" s="787"/>
      <c r="BE178" s="787"/>
      <c r="BF178" s="787"/>
      <c r="BG178" s="787"/>
      <c r="BH178" s="787"/>
      <c r="BI178" s="787"/>
      <c r="BJ178" s="787"/>
      <c r="BK178" s="787"/>
      <c r="BL178" s="787"/>
      <c r="BM178" s="787"/>
      <c r="BN178" s="787"/>
      <c r="BO178" s="787"/>
      <c r="BP178" s="787"/>
      <c r="BQ178" s="787"/>
      <c r="BR178" s="787"/>
      <c r="BS178" s="787"/>
      <c r="BT178" s="787"/>
      <c r="BU178" s="787"/>
    </row>
    <row r="179" spans="1:73" x14ac:dyDescent="0.25">
      <c r="B179" s="113" t="s">
        <v>859</v>
      </c>
      <c r="C179" s="264" t="str">
        <f t="shared" ref="C179:AH179" si="147">+C$203</f>
        <v>Jun-16</v>
      </c>
      <c r="D179" s="264" t="str">
        <f t="shared" si="147"/>
        <v>Jul-16</v>
      </c>
      <c r="E179" s="264" t="str">
        <f t="shared" si="147"/>
        <v>Aug-16</v>
      </c>
      <c r="F179" s="264" t="str">
        <f t="shared" si="147"/>
        <v>Sep-16</v>
      </c>
      <c r="G179" s="264" t="str">
        <f t="shared" si="147"/>
        <v>Oct-16</v>
      </c>
      <c r="H179" s="264" t="str">
        <f t="shared" si="147"/>
        <v>Nov-16</v>
      </c>
      <c r="I179" s="264" t="str">
        <f t="shared" si="147"/>
        <v>Dec-16</v>
      </c>
      <c r="J179" s="264" t="str">
        <f t="shared" si="147"/>
        <v>Jan-17</v>
      </c>
      <c r="K179" s="264" t="str">
        <f t="shared" si="147"/>
        <v>Feb-17</v>
      </c>
      <c r="L179" s="264" t="str">
        <f t="shared" si="147"/>
        <v>Mar-17</v>
      </c>
      <c r="M179" s="264" t="str">
        <f t="shared" si="147"/>
        <v>Apr-17</v>
      </c>
      <c r="N179" s="264" t="str">
        <f t="shared" si="147"/>
        <v>May-17</v>
      </c>
      <c r="O179" s="264" t="str">
        <f t="shared" si="147"/>
        <v>Jun-17</v>
      </c>
      <c r="P179" s="264" t="str">
        <f t="shared" si="147"/>
        <v>Jul-17</v>
      </c>
      <c r="Q179" s="264" t="str">
        <f t="shared" si="147"/>
        <v>Aug-17</v>
      </c>
      <c r="R179" s="264" t="str">
        <f t="shared" si="147"/>
        <v>Sep-17</v>
      </c>
      <c r="S179" s="264" t="str">
        <f t="shared" si="147"/>
        <v>Oct-17</v>
      </c>
      <c r="T179" s="264" t="str">
        <f t="shared" si="147"/>
        <v>Nov-17</v>
      </c>
      <c r="U179" s="264" t="str">
        <f t="shared" si="147"/>
        <v>Dec-17</v>
      </c>
      <c r="V179" s="264" t="str">
        <f t="shared" si="147"/>
        <v>Jan-18</v>
      </c>
      <c r="W179" s="264" t="str">
        <f t="shared" si="147"/>
        <v>Feb-18</v>
      </c>
      <c r="X179" s="264" t="str">
        <f t="shared" si="147"/>
        <v>Mar-18</v>
      </c>
      <c r="Y179" s="264" t="str">
        <f t="shared" si="147"/>
        <v>Apr-18</v>
      </c>
      <c r="Z179" s="264" t="str">
        <f t="shared" si="147"/>
        <v>May-18</v>
      </c>
      <c r="AA179" s="264" t="str">
        <f t="shared" si="147"/>
        <v>Jun-18</v>
      </c>
      <c r="AB179" s="264" t="str">
        <f t="shared" si="147"/>
        <v>Jul-18</v>
      </c>
      <c r="AC179" s="264" t="str">
        <f t="shared" si="147"/>
        <v>Aug-18</v>
      </c>
      <c r="AD179" s="264" t="str">
        <f t="shared" si="147"/>
        <v>Sep-18</v>
      </c>
      <c r="AE179" s="264" t="str">
        <f t="shared" si="147"/>
        <v>Oct-18</v>
      </c>
      <c r="AF179" s="264" t="str">
        <f t="shared" si="147"/>
        <v>Nov-18</v>
      </c>
      <c r="AG179" s="264" t="str">
        <f t="shared" si="147"/>
        <v>Dec-18</v>
      </c>
      <c r="AH179" s="264" t="str">
        <f t="shared" si="147"/>
        <v>Jan-19</v>
      </c>
      <c r="AI179" s="264" t="str">
        <f t="shared" ref="AI179:BQ179" si="148">+AI$203</f>
        <v>Feb-19</v>
      </c>
      <c r="AJ179" s="264" t="str">
        <f t="shared" si="148"/>
        <v>Mar-19</v>
      </c>
      <c r="AK179" s="264" t="str">
        <f t="shared" si="148"/>
        <v>Apr-19</v>
      </c>
      <c r="AL179" s="264" t="str">
        <f t="shared" si="148"/>
        <v>May-19</v>
      </c>
      <c r="AM179" s="264" t="str">
        <f t="shared" si="148"/>
        <v>Jun-19</v>
      </c>
      <c r="AN179" s="264" t="str">
        <f t="shared" si="148"/>
        <v>Jul-19</v>
      </c>
      <c r="AO179" s="264" t="str">
        <f t="shared" si="148"/>
        <v>Aug-19</v>
      </c>
      <c r="AP179" s="264" t="str">
        <f t="shared" si="148"/>
        <v>Sep-19</v>
      </c>
      <c r="AQ179" s="264" t="str">
        <f t="shared" si="148"/>
        <v>Oct-19</v>
      </c>
      <c r="AR179" s="264" t="str">
        <f t="shared" si="148"/>
        <v>Nov-19</v>
      </c>
      <c r="AS179" s="264" t="str">
        <f t="shared" si="148"/>
        <v>Dec-19</v>
      </c>
      <c r="AT179" s="264" t="str">
        <f t="shared" si="148"/>
        <v>Jan-20</v>
      </c>
      <c r="AU179" s="264" t="str">
        <f t="shared" si="148"/>
        <v>Feb-20</v>
      </c>
      <c r="AV179" s="946" t="str">
        <f t="shared" si="148"/>
        <v>Mar-20</v>
      </c>
      <c r="AW179" s="264" t="str">
        <f t="shared" si="148"/>
        <v>Apr-20</v>
      </c>
      <c r="AX179" s="264" t="str">
        <f t="shared" si="148"/>
        <v>May-20</v>
      </c>
      <c r="AY179" s="264" t="str">
        <f t="shared" si="148"/>
        <v>Jun-20</v>
      </c>
      <c r="AZ179" s="264" t="str">
        <f t="shared" si="148"/>
        <v>Jul-20</v>
      </c>
      <c r="BA179" s="264" t="str">
        <f t="shared" si="148"/>
        <v>Aug-20</v>
      </c>
      <c r="BB179" s="264" t="str">
        <f t="shared" si="148"/>
        <v>Sep-20</v>
      </c>
      <c r="BC179" s="264" t="str">
        <f t="shared" si="148"/>
        <v>Oct-20</v>
      </c>
      <c r="BD179" s="264" t="str">
        <f t="shared" si="148"/>
        <v>Nov-20</v>
      </c>
      <c r="BE179" s="264" t="str">
        <f t="shared" si="148"/>
        <v>Dec-20</v>
      </c>
      <c r="BF179" s="264" t="str">
        <f t="shared" si="148"/>
        <v>Jan-21</v>
      </c>
      <c r="BG179" s="264" t="str">
        <f t="shared" si="148"/>
        <v>Feb-21</v>
      </c>
      <c r="BH179" s="264" t="str">
        <f t="shared" si="148"/>
        <v>Mar-21</v>
      </c>
      <c r="BI179" s="264" t="str">
        <f t="shared" si="148"/>
        <v>Apr-21</v>
      </c>
      <c r="BJ179" s="264" t="str">
        <f t="shared" si="148"/>
        <v>May-21</v>
      </c>
      <c r="BK179" s="264" t="str">
        <f t="shared" si="148"/>
        <v>Jun-21</v>
      </c>
      <c r="BL179" s="264" t="str">
        <f t="shared" si="148"/>
        <v>Jul-21</v>
      </c>
      <c r="BM179" s="264" t="str">
        <f t="shared" si="148"/>
        <v>Aug-21</v>
      </c>
      <c r="BN179" s="264" t="str">
        <f t="shared" si="148"/>
        <v>Sep-21</v>
      </c>
      <c r="BO179" s="264" t="str">
        <f t="shared" si="148"/>
        <v>Oct-21</v>
      </c>
      <c r="BP179" s="264" t="str">
        <f t="shared" si="148"/>
        <v>Nov-21</v>
      </c>
      <c r="BQ179" s="264" t="str">
        <f t="shared" si="148"/>
        <v>Dec-21</v>
      </c>
      <c r="BR179"/>
      <c r="BS179"/>
      <c r="BT179"/>
      <c r="BU179"/>
    </row>
    <row r="180" spans="1:73" x14ac:dyDescent="0.25">
      <c r="B180" s="117" t="s">
        <v>131</v>
      </c>
      <c r="C180" s="266" t="s">
        <v>47</v>
      </c>
      <c r="D180" s="266" t="s">
        <v>47</v>
      </c>
      <c r="E180" s="266" t="s">
        <v>47</v>
      </c>
      <c r="F180" s="266" t="s">
        <v>47</v>
      </c>
      <c r="G180" s="266" t="s">
        <v>47</v>
      </c>
      <c r="H180" s="266" t="s">
        <v>47</v>
      </c>
      <c r="I180" s="266" t="s">
        <v>47</v>
      </c>
      <c r="J180" s="338" t="s">
        <v>47</v>
      </c>
      <c r="K180" s="338" t="s">
        <v>47</v>
      </c>
      <c r="L180" s="592" t="s">
        <v>47</v>
      </c>
      <c r="M180" s="592" t="s">
        <v>47</v>
      </c>
      <c r="N180" s="592" t="s">
        <v>47</v>
      </c>
      <c r="O180" s="592" t="s">
        <v>47</v>
      </c>
      <c r="P180" s="592" t="s">
        <v>47</v>
      </c>
      <c r="Q180" s="592" t="s">
        <v>47</v>
      </c>
      <c r="R180" s="592" t="s">
        <v>47</v>
      </c>
      <c r="S180" s="592" t="s">
        <v>47</v>
      </c>
      <c r="T180" s="592" t="s">
        <v>47</v>
      </c>
      <c r="U180" s="592" t="s">
        <v>47</v>
      </c>
      <c r="V180" s="592" t="s">
        <v>47</v>
      </c>
      <c r="W180" s="592" t="s">
        <v>47</v>
      </c>
      <c r="X180" s="592" t="s">
        <v>47</v>
      </c>
      <c r="Y180" s="592" t="s">
        <v>47</v>
      </c>
      <c r="Z180" s="592" t="s">
        <v>47</v>
      </c>
      <c r="AA180" s="592" t="s">
        <v>47</v>
      </c>
      <c r="AB180" s="592" t="s">
        <v>47</v>
      </c>
      <c r="AC180" s="592" t="s">
        <v>47</v>
      </c>
      <c r="AD180" s="592" t="s">
        <v>47</v>
      </c>
      <c r="AE180" s="592" t="s">
        <v>47</v>
      </c>
      <c r="AF180" s="592" t="s">
        <v>47</v>
      </c>
      <c r="AG180" s="592" t="s">
        <v>47</v>
      </c>
      <c r="AH180" s="592" t="s">
        <v>47</v>
      </c>
      <c r="AI180" s="592" t="s">
        <v>47</v>
      </c>
      <c r="AJ180" s="592" t="s">
        <v>47</v>
      </c>
      <c r="AK180" s="592" t="s">
        <v>47</v>
      </c>
      <c r="AL180" s="592" t="s">
        <v>47</v>
      </c>
      <c r="AM180" s="592" t="s">
        <v>47</v>
      </c>
      <c r="AN180" s="592" t="s">
        <v>47</v>
      </c>
      <c r="AO180" s="592" t="s">
        <v>47</v>
      </c>
      <c r="AP180" s="592" t="s">
        <v>47</v>
      </c>
      <c r="AQ180" s="592" t="s">
        <v>47</v>
      </c>
      <c r="AR180" s="592" t="s">
        <v>47</v>
      </c>
      <c r="AS180" s="592">
        <v>1590</v>
      </c>
      <c r="AT180" s="592">
        <v>1590</v>
      </c>
      <c r="AU180" s="592">
        <v>1590</v>
      </c>
      <c r="AV180" s="948">
        <v>1590</v>
      </c>
      <c r="AW180" s="858" t="s">
        <v>47</v>
      </c>
      <c r="AX180" s="858" t="s">
        <v>47</v>
      </c>
      <c r="AY180" s="342">
        <v>1232</v>
      </c>
      <c r="AZ180" s="592">
        <v>1232</v>
      </c>
      <c r="BA180" s="592">
        <v>1232</v>
      </c>
      <c r="BB180" s="592">
        <v>1232</v>
      </c>
      <c r="BC180" s="592">
        <v>1232</v>
      </c>
      <c r="BD180" s="592">
        <v>1232</v>
      </c>
      <c r="BE180" s="343">
        <v>1379</v>
      </c>
      <c r="BF180" s="592">
        <v>1379</v>
      </c>
      <c r="BG180" s="592">
        <v>1379</v>
      </c>
      <c r="BH180" s="592">
        <v>1379</v>
      </c>
      <c r="BI180" s="592">
        <v>1379</v>
      </c>
      <c r="BJ180" s="592">
        <v>1379</v>
      </c>
      <c r="BK180" s="592">
        <v>1380</v>
      </c>
      <c r="BL180" s="592">
        <v>1380</v>
      </c>
      <c r="BM180" s="592">
        <v>1380</v>
      </c>
      <c r="BN180" s="592" t="s">
        <v>47</v>
      </c>
      <c r="BO180" s="592" t="s">
        <v>47</v>
      </c>
      <c r="BP180" s="592" t="s">
        <v>47</v>
      </c>
      <c r="BQ180" s="592">
        <v>973</v>
      </c>
      <c r="BR180"/>
      <c r="BS180"/>
      <c r="BT180"/>
      <c r="BU180"/>
    </row>
    <row r="181" spans="1:73" x14ac:dyDescent="0.25">
      <c r="B181" s="117" t="s">
        <v>134</v>
      </c>
      <c r="C181" s="266" t="s">
        <v>47</v>
      </c>
      <c r="D181" s="266" t="s">
        <v>47</v>
      </c>
      <c r="E181" s="266" t="s">
        <v>47</v>
      </c>
      <c r="F181" s="266" t="s">
        <v>47</v>
      </c>
      <c r="G181" s="266" t="s">
        <v>47</v>
      </c>
      <c r="H181" s="266" t="s">
        <v>47</v>
      </c>
      <c r="I181" s="266" t="s">
        <v>47</v>
      </c>
      <c r="J181" s="338" t="s">
        <v>47</v>
      </c>
      <c r="K181" s="338" t="s">
        <v>47</v>
      </c>
      <c r="L181" s="592" t="s">
        <v>47</v>
      </c>
      <c r="M181" s="592" t="s">
        <v>47</v>
      </c>
      <c r="N181" s="592" t="s">
        <v>47</v>
      </c>
      <c r="O181" s="592" t="s">
        <v>47</v>
      </c>
      <c r="P181" s="592" t="s">
        <v>47</v>
      </c>
      <c r="Q181" s="592" t="s">
        <v>47</v>
      </c>
      <c r="R181" s="592" t="s">
        <v>47</v>
      </c>
      <c r="S181" s="592" t="s">
        <v>47</v>
      </c>
      <c r="T181" s="592" t="s">
        <v>47</v>
      </c>
      <c r="U181" s="592" t="s">
        <v>47</v>
      </c>
      <c r="V181" s="592" t="s">
        <v>47</v>
      </c>
      <c r="W181" s="592" t="s">
        <v>47</v>
      </c>
      <c r="X181" s="592" t="s">
        <v>47</v>
      </c>
      <c r="Y181" s="592" t="s">
        <v>47</v>
      </c>
      <c r="Z181" s="592" t="s">
        <v>47</v>
      </c>
      <c r="AA181" s="592" t="s">
        <v>47</v>
      </c>
      <c r="AB181" s="592" t="s">
        <v>47</v>
      </c>
      <c r="AC181" s="592" t="s">
        <v>47</v>
      </c>
      <c r="AD181" s="592" t="s">
        <v>47</v>
      </c>
      <c r="AE181" s="592" t="s">
        <v>47</v>
      </c>
      <c r="AF181" s="592" t="s">
        <v>47</v>
      </c>
      <c r="AG181" s="592" t="s">
        <v>47</v>
      </c>
      <c r="AH181" s="592" t="s">
        <v>47</v>
      </c>
      <c r="AI181" s="592" t="s">
        <v>47</v>
      </c>
      <c r="AJ181" s="592">
        <v>1717</v>
      </c>
      <c r="AK181" s="592">
        <v>1717</v>
      </c>
      <c r="AL181" s="697">
        <v>1757</v>
      </c>
      <c r="AM181" s="592">
        <v>1757</v>
      </c>
      <c r="AN181" s="592">
        <v>1757</v>
      </c>
      <c r="AO181" s="592">
        <v>1757</v>
      </c>
      <c r="AP181" s="592">
        <v>1757</v>
      </c>
      <c r="AQ181" s="592">
        <v>1757</v>
      </c>
      <c r="AR181" s="592">
        <v>1757</v>
      </c>
      <c r="AS181" s="342">
        <v>1642</v>
      </c>
      <c r="AT181" s="592">
        <v>1642</v>
      </c>
      <c r="AU181" s="592">
        <v>1642</v>
      </c>
      <c r="AV181" s="948">
        <v>1642</v>
      </c>
      <c r="AW181" s="858" t="s">
        <v>47</v>
      </c>
      <c r="AX181" s="858" t="s">
        <v>47</v>
      </c>
      <c r="AY181" s="858" t="s">
        <v>47</v>
      </c>
      <c r="AZ181" s="858" t="s">
        <v>47</v>
      </c>
      <c r="BA181" s="858" t="s">
        <v>47</v>
      </c>
      <c r="BB181" s="858" t="s">
        <v>47</v>
      </c>
      <c r="BC181" s="858" t="s">
        <v>47</v>
      </c>
      <c r="BD181" s="858" t="s">
        <v>47</v>
      </c>
      <c r="BE181" s="858" t="s">
        <v>47</v>
      </c>
      <c r="BF181" s="592" t="s">
        <v>47</v>
      </c>
      <c r="BG181" s="592" t="s">
        <v>47</v>
      </c>
      <c r="BH181" s="592" t="s">
        <v>47</v>
      </c>
      <c r="BI181" s="592" t="s">
        <v>47</v>
      </c>
      <c r="BJ181" s="592" t="s">
        <v>47</v>
      </c>
      <c r="BK181" s="592" t="s">
        <v>47</v>
      </c>
      <c r="BL181" s="592" t="s">
        <v>47</v>
      </c>
      <c r="BM181" s="592" t="s">
        <v>47</v>
      </c>
      <c r="BN181" s="592">
        <v>972</v>
      </c>
      <c r="BO181" s="592">
        <v>972</v>
      </c>
      <c r="BP181" s="592">
        <v>972</v>
      </c>
      <c r="BQ181" s="592">
        <v>972</v>
      </c>
      <c r="BR181"/>
      <c r="BS181"/>
      <c r="BT181"/>
      <c r="BU181"/>
    </row>
    <row r="182" spans="1:73" x14ac:dyDescent="0.25">
      <c r="B182" s="117" t="s">
        <v>135</v>
      </c>
      <c r="C182" s="266" t="s">
        <v>47</v>
      </c>
      <c r="D182" s="266" t="s">
        <v>47</v>
      </c>
      <c r="E182" s="266" t="s">
        <v>47</v>
      </c>
      <c r="F182" s="266" t="s">
        <v>47</v>
      </c>
      <c r="G182" s="266" t="s">
        <v>47</v>
      </c>
      <c r="H182" s="266" t="s">
        <v>47</v>
      </c>
      <c r="I182" s="266" t="s">
        <v>47</v>
      </c>
      <c r="J182" s="338" t="s">
        <v>47</v>
      </c>
      <c r="K182" s="338" t="s">
        <v>47</v>
      </c>
      <c r="L182" s="592" t="s">
        <v>47</v>
      </c>
      <c r="M182" s="592" t="s">
        <v>47</v>
      </c>
      <c r="N182" s="592" t="s">
        <v>47</v>
      </c>
      <c r="O182" s="592" t="s">
        <v>47</v>
      </c>
      <c r="P182" s="592" t="s">
        <v>47</v>
      </c>
      <c r="Q182" s="592" t="s">
        <v>47</v>
      </c>
      <c r="R182" s="592" t="s">
        <v>47</v>
      </c>
      <c r="S182" s="592" t="s">
        <v>47</v>
      </c>
      <c r="T182" s="592" t="s">
        <v>47</v>
      </c>
      <c r="U182" s="592" t="s">
        <v>47</v>
      </c>
      <c r="V182" s="592" t="s">
        <v>47</v>
      </c>
      <c r="W182" s="592" t="s">
        <v>47</v>
      </c>
      <c r="X182" s="592" t="s">
        <v>47</v>
      </c>
      <c r="Y182" s="592" t="s">
        <v>47</v>
      </c>
      <c r="Z182" s="592" t="s">
        <v>47</v>
      </c>
      <c r="AA182" s="592" t="s">
        <v>47</v>
      </c>
      <c r="AB182" s="592" t="s">
        <v>47</v>
      </c>
      <c r="AC182" s="592" t="s">
        <v>47</v>
      </c>
      <c r="AD182" s="592" t="s">
        <v>47</v>
      </c>
      <c r="AE182" s="592" t="s">
        <v>47</v>
      </c>
      <c r="AF182" s="592" t="s">
        <v>47</v>
      </c>
      <c r="AG182" s="592" t="s">
        <v>47</v>
      </c>
      <c r="AH182" s="592" t="s">
        <v>47</v>
      </c>
      <c r="AI182" s="592" t="s">
        <v>47</v>
      </c>
      <c r="AJ182" s="592" t="s">
        <v>47</v>
      </c>
      <c r="AK182" s="592" t="s">
        <v>47</v>
      </c>
      <c r="AL182" s="592">
        <v>1800</v>
      </c>
      <c r="AM182" s="592">
        <v>1800</v>
      </c>
      <c r="AN182" s="592">
        <v>1800</v>
      </c>
      <c r="AO182" s="592">
        <v>1800</v>
      </c>
      <c r="AP182" s="592">
        <v>1800</v>
      </c>
      <c r="AQ182" s="592">
        <v>1800</v>
      </c>
      <c r="AR182" s="592">
        <v>1800</v>
      </c>
      <c r="AS182" s="592">
        <v>1800</v>
      </c>
      <c r="AT182" s="592">
        <v>1800</v>
      </c>
      <c r="AU182" s="592">
        <v>1800</v>
      </c>
      <c r="AV182" s="948">
        <v>1800</v>
      </c>
      <c r="AW182" s="342">
        <v>1316.0829709610105</v>
      </c>
      <c r="AX182" s="592">
        <v>1316.0829709610105</v>
      </c>
      <c r="AY182" s="592">
        <v>1316.0829709610105</v>
      </c>
      <c r="AZ182" s="592">
        <v>1316.0829709610105</v>
      </c>
      <c r="BA182" s="592">
        <v>1316.0829709610105</v>
      </c>
      <c r="BB182" s="592">
        <v>1316.0829709610105</v>
      </c>
      <c r="BC182" s="592">
        <v>1316.0829709610105</v>
      </c>
      <c r="BD182" s="343">
        <v>1404</v>
      </c>
      <c r="BE182" s="592">
        <v>1404</v>
      </c>
      <c r="BF182" s="592">
        <v>1404</v>
      </c>
      <c r="BG182" s="592">
        <v>1404</v>
      </c>
      <c r="BH182" s="592">
        <v>1404</v>
      </c>
      <c r="BI182" s="592">
        <v>1404</v>
      </c>
      <c r="BJ182" s="592">
        <v>1404</v>
      </c>
      <c r="BK182" s="592">
        <v>1404</v>
      </c>
      <c r="BL182" s="592">
        <v>1404</v>
      </c>
      <c r="BM182" s="592">
        <v>1404</v>
      </c>
      <c r="BN182" s="592" t="s">
        <v>47</v>
      </c>
      <c r="BO182" s="592" t="s">
        <v>47</v>
      </c>
      <c r="BP182" s="592" t="s">
        <v>47</v>
      </c>
      <c r="BQ182" s="592">
        <v>976</v>
      </c>
      <c r="BR182"/>
      <c r="BS182"/>
      <c r="BT182"/>
      <c r="BU182"/>
    </row>
    <row r="183" spans="1:73" x14ac:dyDescent="0.25">
      <c r="B183" s="117" t="s">
        <v>142</v>
      </c>
      <c r="C183" s="265" t="s">
        <v>47</v>
      </c>
      <c r="D183" s="265" t="s">
        <v>47</v>
      </c>
      <c r="E183" s="265" t="s">
        <v>47</v>
      </c>
      <c r="F183" s="265" t="s">
        <v>47</v>
      </c>
      <c r="G183" s="265" t="s">
        <v>47</v>
      </c>
      <c r="H183" s="265" t="s">
        <v>47</v>
      </c>
      <c r="I183" s="265" t="s">
        <v>47</v>
      </c>
      <c r="J183" s="338" t="s">
        <v>47</v>
      </c>
      <c r="K183" s="338" t="s">
        <v>47</v>
      </c>
      <c r="L183" s="592" t="s">
        <v>47</v>
      </c>
      <c r="M183" s="592" t="s">
        <v>47</v>
      </c>
      <c r="N183" s="592" t="s">
        <v>47</v>
      </c>
      <c r="O183" s="592" t="s">
        <v>47</v>
      </c>
      <c r="P183" s="592" t="s">
        <v>47</v>
      </c>
      <c r="Q183" s="592" t="s">
        <v>47</v>
      </c>
      <c r="R183" s="592" t="s">
        <v>47</v>
      </c>
      <c r="S183" s="592" t="s">
        <v>47</v>
      </c>
      <c r="T183" s="592" t="s">
        <v>47</v>
      </c>
      <c r="U183" s="592" t="s">
        <v>47</v>
      </c>
      <c r="V183" s="592" t="s">
        <v>47</v>
      </c>
      <c r="W183" s="592" t="s">
        <v>47</v>
      </c>
      <c r="X183" s="592" t="s">
        <v>47</v>
      </c>
      <c r="Y183" s="592" t="s">
        <v>47</v>
      </c>
      <c r="Z183" s="592" t="s">
        <v>47</v>
      </c>
      <c r="AA183" s="592" t="s">
        <v>47</v>
      </c>
      <c r="AB183" s="592" t="s">
        <v>47</v>
      </c>
      <c r="AC183" s="592" t="s">
        <v>47</v>
      </c>
      <c r="AD183" s="592" t="s">
        <v>47</v>
      </c>
      <c r="AE183" s="592" t="s">
        <v>47</v>
      </c>
      <c r="AF183" s="592" t="s">
        <v>47</v>
      </c>
      <c r="AG183" s="592" t="s">
        <v>47</v>
      </c>
      <c r="AH183" s="592" t="s">
        <v>47</v>
      </c>
      <c r="AI183" s="592" t="s">
        <v>47</v>
      </c>
      <c r="AJ183" s="592" t="s">
        <v>47</v>
      </c>
      <c r="AK183" s="592" t="s">
        <v>47</v>
      </c>
      <c r="AL183" s="592" t="s">
        <v>47</v>
      </c>
      <c r="AM183" s="592" t="s">
        <v>47</v>
      </c>
      <c r="AN183" s="592" t="s">
        <v>47</v>
      </c>
      <c r="AO183" s="592" t="s">
        <v>47</v>
      </c>
      <c r="AP183" s="592"/>
      <c r="AQ183" s="592">
        <v>1674</v>
      </c>
      <c r="AR183" s="592">
        <v>1674</v>
      </c>
      <c r="AS183" s="592">
        <v>1674</v>
      </c>
      <c r="AT183" s="592">
        <v>1674</v>
      </c>
      <c r="AU183" s="592">
        <v>1674</v>
      </c>
      <c r="AV183" s="948">
        <v>1674</v>
      </c>
      <c r="AW183" s="278" t="s">
        <v>47</v>
      </c>
      <c r="AX183" s="278" t="s">
        <v>47</v>
      </c>
      <c r="AY183" s="858" t="s">
        <v>47</v>
      </c>
      <c r="AZ183" s="858" t="s">
        <v>47</v>
      </c>
      <c r="BA183" s="858" t="s">
        <v>47</v>
      </c>
      <c r="BB183" s="858" t="s">
        <v>47</v>
      </c>
      <c r="BC183" s="592">
        <v>1314</v>
      </c>
      <c r="BD183" s="592">
        <v>1314</v>
      </c>
      <c r="BE183" s="592">
        <v>1314</v>
      </c>
      <c r="BF183" s="592">
        <v>1314</v>
      </c>
      <c r="BG183" s="592">
        <v>1314</v>
      </c>
      <c r="BH183" s="592">
        <v>1314</v>
      </c>
      <c r="BI183" s="592">
        <v>1314</v>
      </c>
      <c r="BJ183" s="592">
        <v>1314</v>
      </c>
      <c r="BK183" s="592">
        <v>1314</v>
      </c>
      <c r="BL183" s="592">
        <v>1314</v>
      </c>
      <c r="BM183" s="592">
        <v>1314</v>
      </c>
      <c r="BN183" s="592" t="s">
        <v>47</v>
      </c>
      <c r="BO183" s="592" t="s">
        <v>47</v>
      </c>
      <c r="BP183" s="592" t="s">
        <v>47</v>
      </c>
      <c r="BQ183" s="592" t="s">
        <v>47</v>
      </c>
      <c r="BR183"/>
      <c r="BS183"/>
      <c r="BT183"/>
      <c r="BU183"/>
    </row>
    <row r="184" spans="1:73" x14ac:dyDescent="0.25">
      <c r="B184" s="117" t="s">
        <v>136</v>
      </c>
      <c r="C184" s="266" t="s">
        <v>47</v>
      </c>
      <c r="D184" s="266" t="s">
        <v>47</v>
      </c>
      <c r="E184" s="266" t="s">
        <v>47</v>
      </c>
      <c r="F184" s="266" t="s">
        <v>47</v>
      </c>
      <c r="G184" s="266" t="s">
        <v>47</v>
      </c>
      <c r="H184" s="266" t="s">
        <v>47</v>
      </c>
      <c r="I184" s="266" t="s">
        <v>47</v>
      </c>
      <c r="J184" s="338" t="s">
        <v>47</v>
      </c>
      <c r="K184" s="338" t="s">
        <v>47</v>
      </c>
      <c r="L184" s="592" t="s">
        <v>47</v>
      </c>
      <c r="M184" s="592" t="s">
        <v>47</v>
      </c>
      <c r="N184" s="592" t="s">
        <v>47</v>
      </c>
      <c r="O184" s="592" t="s">
        <v>47</v>
      </c>
      <c r="P184" s="592" t="s">
        <v>47</v>
      </c>
      <c r="Q184" s="592" t="s">
        <v>47</v>
      </c>
      <c r="R184" s="592" t="s">
        <v>47</v>
      </c>
      <c r="S184" s="592" t="s">
        <v>47</v>
      </c>
      <c r="T184" s="592" t="s">
        <v>47</v>
      </c>
      <c r="U184" s="592" t="s">
        <v>47</v>
      </c>
      <c r="V184" s="592" t="s">
        <v>47</v>
      </c>
      <c r="W184" s="592" t="s">
        <v>47</v>
      </c>
      <c r="X184" s="592" t="s">
        <v>47</v>
      </c>
      <c r="Y184" s="592" t="s">
        <v>47</v>
      </c>
      <c r="Z184" s="592" t="s">
        <v>47</v>
      </c>
      <c r="AA184" s="592" t="s">
        <v>47</v>
      </c>
      <c r="AB184" s="592" t="s">
        <v>47</v>
      </c>
      <c r="AC184" s="592" t="s">
        <v>47</v>
      </c>
      <c r="AD184" s="592" t="s">
        <v>47</v>
      </c>
      <c r="AE184" s="592" t="s">
        <v>47</v>
      </c>
      <c r="AF184" s="592" t="s">
        <v>47</v>
      </c>
      <c r="AG184" s="592" t="s">
        <v>47</v>
      </c>
      <c r="AH184" s="592" t="s">
        <v>47</v>
      </c>
      <c r="AI184" s="592" t="s">
        <v>47</v>
      </c>
      <c r="AJ184" s="592" t="s">
        <v>47</v>
      </c>
      <c r="AK184" s="592" t="s">
        <v>47</v>
      </c>
      <c r="AL184" s="592" t="s">
        <v>47</v>
      </c>
      <c r="AM184" s="592" t="s">
        <v>47</v>
      </c>
      <c r="AN184" s="592" t="s">
        <v>47</v>
      </c>
      <c r="AO184" s="592" t="s">
        <v>47</v>
      </c>
      <c r="AP184" s="592">
        <v>1684</v>
      </c>
      <c r="AQ184" s="592">
        <v>1684</v>
      </c>
      <c r="AR184" s="592">
        <v>1684</v>
      </c>
      <c r="AS184" s="592">
        <v>1684</v>
      </c>
      <c r="AT184" s="592">
        <v>1684</v>
      </c>
      <c r="AU184" s="592">
        <v>1684</v>
      </c>
      <c r="AV184" s="948">
        <v>1684</v>
      </c>
      <c r="AW184" s="858" t="s">
        <v>47</v>
      </c>
      <c r="AX184" s="858" t="s">
        <v>47</v>
      </c>
      <c r="AY184" s="342">
        <v>1149</v>
      </c>
      <c r="AZ184" s="592">
        <v>1149</v>
      </c>
      <c r="BA184" s="592">
        <v>1149</v>
      </c>
      <c r="BB184" s="592">
        <v>1149</v>
      </c>
      <c r="BC184" s="592">
        <v>1149</v>
      </c>
      <c r="BD184" s="592">
        <v>1149</v>
      </c>
      <c r="BE184" s="343">
        <v>1245</v>
      </c>
      <c r="BF184" s="592">
        <v>1245</v>
      </c>
      <c r="BG184" s="592">
        <v>1245</v>
      </c>
      <c r="BH184" s="592">
        <v>1245</v>
      </c>
      <c r="BI184" s="592">
        <v>1245</v>
      </c>
      <c r="BJ184" s="592">
        <v>1245</v>
      </c>
      <c r="BK184" s="592">
        <v>1245</v>
      </c>
      <c r="BL184" s="592">
        <v>1245</v>
      </c>
      <c r="BM184" s="592">
        <v>1245</v>
      </c>
      <c r="BN184" s="592" t="s">
        <v>47</v>
      </c>
      <c r="BO184" s="592" t="s">
        <v>47</v>
      </c>
      <c r="BP184" s="592" t="s">
        <v>47</v>
      </c>
      <c r="BQ184" s="592">
        <v>953</v>
      </c>
      <c r="BR184"/>
      <c r="BS184"/>
      <c r="BT184"/>
      <c r="BU184"/>
    </row>
    <row r="185" spans="1:73" x14ac:dyDescent="0.25">
      <c r="A185"/>
      <c r="B185" s="279" t="s">
        <v>381</v>
      </c>
      <c r="C185" s="328" t="str">
        <f t="shared" ref="C185:AH185" si="149">IFERROR(AVERAGE(C180:C184),"-")</f>
        <v>-</v>
      </c>
      <c r="D185" s="328" t="str">
        <f t="shared" si="149"/>
        <v>-</v>
      </c>
      <c r="E185" s="328" t="str">
        <f t="shared" si="149"/>
        <v>-</v>
      </c>
      <c r="F185" s="328" t="str">
        <f t="shared" si="149"/>
        <v>-</v>
      </c>
      <c r="G185" s="328" t="str">
        <f t="shared" si="149"/>
        <v>-</v>
      </c>
      <c r="H185" s="328" t="str">
        <f t="shared" si="149"/>
        <v>-</v>
      </c>
      <c r="I185" s="328" t="str">
        <f t="shared" si="149"/>
        <v>-</v>
      </c>
      <c r="J185" s="339" t="str">
        <f t="shared" si="149"/>
        <v>-</v>
      </c>
      <c r="K185" s="339" t="str">
        <f t="shared" si="149"/>
        <v>-</v>
      </c>
      <c r="L185" s="339" t="str">
        <f t="shared" si="149"/>
        <v>-</v>
      </c>
      <c r="M185" s="339" t="str">
        <f t="shared" si="149"/>
        <v>-</v>
      </c>
      <c r="N185" s="339" t="str">
        <f t="shared" si="149"/>
        <v>-</v>
      </c>
      <c r="O185" s="339" t="str">
        <f t="shared" si="149"/>
        <v>-</v>
      </c>
      <c r="P185" s="339" t="str">
        <f t="shared" si="149"/>
        <v>-</v>
      </c>
      <c r="Q185" s="339" t="str">
        <f t="shared" si="149"/>
        <v>-</v>
      </c>
      <c r="R185" s="349" t="str">
        <f t="shared" si="149"/>
        <v>-</v>
      </c>
      <c r="S185" s="349" t="str">
        <f t="shared" si="149"/>
        <v>-</v>
      </c>
      <c r="T185" s="349" t="str">
        <f t="shared" si="149"/>
        <v>-</v>
      </c>
      <c r="U185" s="349" t="str">
        <f t="shared" si="149"/>
        <v>-</v>
      </c>
      <c r="V185" s="349" t="str">
        <f t="shared" si="149"/>
        <v>-</v>
      </c>
      <c r="W185" s="349" t="str">
        <f t="shared" si="149"/>
        <v>-</v>
      </c>
      <c r="X185" s="349" t="str">
        <f t="shared" si="149"/>
        <v>-</v>
      </c>
      <c r="Y185" s="349" t="str">
        <f t="shared" si="149"/>
        <v>-</v>
      </c>
      <c r="Z185" s="349" t="str">
        <f t="shared" si="149"/>
        <v>-</v>
      </c>
      <c r="AA185" s="349" t="str">
        <f t="shared" si="149"/>
        <v>-</v>
      </c>
      <c r="AB185" s="349" t="str">
        <f t="shared" si="149"/>
        <v>-</v>
      </c>
      <c r="AC185" s="349" t="str">
        <f t="shared" si="149"/>
        <v>-</v>
      </c>
      <c r="AD185" s="349" t="str">
        <f t="shared" si="149"/>
        <v>-</v>
      </c>
      <c r="AE185" s="349" t="str">
        <f t="shared" si="149"/>
        <v>-</v>
      </c>
      <c r="AF185" s="349" t="str">
        <f t="shared" si="149"/>
        <v>-</v>
      </c>
      <c r="AG185" s="349" t="str">
        <f t="shared" si="149"/>
        <v>-</v>
      </c>
      <c r="AH185" s="349" t="str">
        <f t="shared" si="149"/>
        <v>-</v>
      </c>
      <c r="AI185" s="349" t="str">
        <f t="shared" ref="AI185:BN185" si="150">IFERROR(AVERAGE(AI180:AI184),"-")</f>
        <v>-</v>
      </c>
      <c r="AJ185" s="349">
        <f t="shared" si="150"/>
        <v>1717</v>
      </c>
      <c r="AK185" s="349">
        <f t="shared" si="150"/>
        <v>1717</v>
      </c>
      <c r="AL185" s="349">
        <f t="shared" si="150"/>
        <v>1778.5</v>
      </c>
      <c r="AM185" s="349">
        <f t="shared" si="150"/>
        <v>1778.5</v>
      </c>
      <c r="AN185" s="349">
        <f t="shared" si="150"/>
        <v>1778.5</v>
      </c>
      <c r="AO185" s="349">
        <f t="shared" si="150"/>
        <v>1778.5</v>
      </c>
      <c r="AP185" s="349">
        <f t="shared" si="150"/>
        <v>1747</v>
      </c>
      <c r="AQ185" s="349">
        <f t="shared" si="150"/>
        <v>1728.75</v>
      </c>
      <c r="AR185" s="349">
        <f t="shared" si="150"/>
        <v>1728.75</v>
      </c>
      <c r="AS185" s="349">
        <f t="shared" si="150"/>
        <v>1678</v>
      </c>
      <c r="AT185" s="832">
        <f t="shared" si="150"/>
        <v>1678</v>
      </c>
      <c r="AU185" s="832">
        <f t="shared" si="150"/>
        <v>1678</v>
      </c>
      <c r="AV185" s="949">
        <f t="shared" si="150"/>
        <v>1678</v>
      </c>
      <c r="AW185" s="963">
        <f t="shared" si="150"/>
        <v>1316.0829709610105</v>
      </c>
      <c r="AX185" s="832">
        <f t="shared" si="150"/>
        <v>1316.0829709610105</v>
      </c>
      <c r="AY185" s="832">
        <f t="shared" si="150"/>
        <v>1232.3609903203369</v>
      </c>
      <c r="AZ185" s="832">
        <f t="shared" si="150"/>
        <v>1232.3609903203369</v>
      </c>
      <c r="BA185" s="832">
        <f t="shared" si="150"/>
        <v>1232.3609903203369</v>
      </c>
      <c r="BB185" s="832">
        <f t="shared" si="150"/>
        <v>1232.3609903203369</v>
      </c>
      <c r="BC185" s="832">
        <f t="shared" si="150"/>
        <v>1252.7707427402527</v>
      </c>
      <c r="BD185" s="832">
        <f t="shared" si="150"/>
        <v>1274.75</v>
      </c>
      <c r="BE185" s="832">
        <f t="shared" si="150"/>
        <v>1335.5</v>
      </c>
      <c r="BF185" s="832">
        <f t="shared" si="150"/>
        <v>1335.5</v>
      </c>
      <c r="BG185" s="832">
        <f t="shared" si="150"/>
        <v>1335.5</v>
      </c>
      <c r="BH185" s="832">
        <f t="shared" si="150"/>
        <v>1335.5</v>
      </c>
      <c r="BI185" s="832">
        <f t="shared" si="150"/>
        <v>1335.5</v>
      </c>
      <c r="BJ185" s="832">
        <f t="shared" si="150"/>
        <v>1335.5</v>
      </c>
      <c r="BK185" s="832">
        <f t="shared" si="150"/>
        <v>1335.75</v>
      </c>
      <c r="BL185" s="832">
        <f t="shared" si="150"/>
        <v>1335.75</v>
      </c>
      <c r="BM185" s="832">
        <f t="shared" si="150"/>
        <v>1335.75</v>
      </c>
      <c r="BN185" s="832">
        <f t="shared" si="150"/>
        <v>972</v>
      </c>
      <c r="BO185" s="832">
        <f>IFERROR(AVERAGE(BO180:BO184),"-")</f>
        <v>972</v>
      </c>
      <c r="BP185" s="832">
        <f>IFERROR(AVERAGE(BP180:BP184),"-")</f>
        <v>972</v>
      </c>
      <c r="BQ185" s="832">
        <f>IFERROR(AVERAGE(BQ180:BQ184),"-")</f>
        <v>968.5</v>
      </c>
      <c r="BR185"/>
      <c r="BS185"/>
      <c r="BT185"/>
      <c r="BU185"/>
    </row>
    <row r="186" spans="1:73" customFormat="1" x14ac:dyDescent="0.25">
      <c r="A186" s="263"/>
      <c r="B186" s="263"/>
      <c r="C186" s="263"/>
      <c r="D186" s="263"/>
      <c r="E186" s="263"/>
      <c r="F186" s="263"/>
      <c r="G186" s="263"/>
      <c r="H186" s="263"/>
      <c r="I186" s="263"/>
      <c r="J186" s="263"/>
      <c r="K186" s="263"/>
      <c r="L186" s="263"/>
      <c r="M186" s="263"/>
      <c r="N186" s="263"/>
      <c r="O186" s="263"/>
      <c r="P186" s="263"/>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341"/>
      <c r="AO186" s="341"/>
      <c r="AP186" s="341"/>
      <c r="AQ186" s="341"/>
      <c r="AR186" s="341"/>
      <c r="AS186" s="341"/>
      <c r="AV186" s="950"/>
    </row>
    <row r="187" spans="1:73" customFormat="1" x14ac:dyDescent="0.25">
      <c r="A187" s="263"/>
      <c r="B187" s="113" t="s">
        <v>860</v>
      </c>
      <c r="C187" s="264" t="str">
        <f t="shared" ref="C187:AH187" si="151">+C$203</f>
        <v>Jun-16</v>
      </c>
      <c r="D187" s="264" t="str">
        <f t="shared" si="151"/>
        <v>Jul-16</v>
      </c>
      <c r="E187" s="264" t="str">
        <f t="shared" si="151"/>
        <v>Aug-16</v>
      </c>
      <c r="F187" s="264" t="str">
        <f t="shared" si="151"/>
        <v>Sep-16</v>
      </c>
      <c r="G187" s="264" t="str">
        <f t="shared" si="151"/>
        <v>Oct-16</v>
      </c>
      <c r="H187" s="264" t="str">
        <f t="shared" si="151"/>
        <v>Nov-16</v>
      </c>
      <c r="I187" s="264" t="str">
        <f t="shared" si="151"/>
        <v>Dec-16</v>
      </c>
      <c r="J187" s="264" t="str">
        <f t="shared" si="151"/>
        <v>Jan-17</v>
      </c>
      <c r="K187" s="264" t="str">
        <f t="shared" si="151"/>
        <v>Feb-17</v>
      </c>
      <c r="L187" s="264" t="str">
        <f t="shared" si="151"/>
        <v>Mar-17</v>
      </c>
      <c r="M187" s="264" t="str">
        <f t="shared" si="151"/>
        <v>Apr-17</v>
      </c>
      <c r="N187" s="264" t="str">
        <f t="shared" si="151"/>
        <v>May-17</v>
      </c>
      <c r="O187" s="264" t="str">
        <f t="shared" si="151"/>
        <v>Jun-17</v>
      </c>
      <c r="P187" s="264" t="str">
        <f t="shared" si="151"/>
        <v>Jul-17</v>
      </c>
      <c r="Q187" s="264" t="str">
        <f t="shared" si="151"/>
        <v>Aug-17</v>
      </c>
      <c r="R187" s="264" t="str">
        <f t="shared" si="151"/>
        <v>Sep-17</v>
      </c>
      <c r="S187" s="264" t="str">
        <f t="shared" si="151"/>
        <v>Oct-17</v>
      </c>
      <c r="T187" s="264" t="str">
        <f t="shared" si="151"/>
        <v>Nov-17</v>
      </c>
      <c r="U187" s="264" t="str">
        <f t="shared" si="151"/>
        <v>Dec-17</v>
      </c>
      <c r="V187" s="264" t="str">
        <f t="shared" si="151"/>
        <v>Jan-18</v>
      </c>
      <c r="W187" s="264" t="str">
        <f t="shared" si="151"/>
        <v>Feb-18</v>
      </c>
      <c r="X187" s="264" t="str">
        <f t="shared" si="151"/>
        <v>Mar-18</v>
      </c>
      <c r="Y187" s="264" t="str">
        <f t="shared" si="151"/>
        <v>Apr-18</v>
      </c>
      <c r="Z187" s="264" t="str">
        <f t="shared" si="151"/>
        <v>May-18</v>
      </c>
      <c r="AA187" s="264" t="str">
        <f t="shared" si="151"/>
        <v>Jun-18</v>
      </c>
      <c r="AB187" s="264" t="str">
        <f t="shared" si="151"/>
        <v>Jul-18</v>
      </c>
      <c r="AC187" s="264" t="str">
        <f t="shared" si="151"/>
        <v>Aug-18</v>
      </c>
      <c r="AD187" s="264" t="str">
        <f t="shared" si="151"/>
        <v>Sep-18</v>
      </c>
      <c r="AE187" s="264" t="str">
        <f t="shared" si="151"/>
        <v>Oct-18</v>
      </c>
      <c r="AF187" s="264" t="str">
        <f t="shared" si="151"/>
        <v>Nov-18</v>
      </c>
      <c r="AG187" s="264" t="str">
        <f t="shared" si="151"/>
        <v>Dec-18</v>
      </c>
      <c r="AH187" s="264" t="str">
        <f t="shared" si="151"/>
        <v>Jan-19</v>
      </c>
      <c r="AI187" s="264" t="str">
        <f t="shared" ref="AI187:BQ187" si="152">+AI$203</f>
        <v>Feb-19</v>
      </c>
      <c r="AJ187" s="264" t="str">
        <f t="shared" si="152"/>
        <v>Mar-19</v>
      </c>
      <c r="AK187" s="264" t="str">
        <f t="shared" si="152"/>
        <v>Apr-19</v>
      </c>
      <c r="AL187" s="264" t="str">
        <f t="shared" si="152"/>
        <v>May-19</v>
      </c>
      <c r="AM187" s="264" t="str">
        <f t="shared" si="152"/>
        <v>Jun-19</v>
      </c>
      <c r="AN187" s="264" t="str">
        <f t="shared" si="152"/>
        <v>Jul-19</v>
      </c>
      <c r="AO187" s="264" t="str">
        <f t="shared" si="152"/>
        <v>Aug-19</v>
      </c>
      <c r="AP187" s="264" t="str">
        <f t="shared" si="152"/>
        <v>Sep-19</v>
      </c>
      <c r="AQ187" s="264" t="str">
        <f t="shared" si="152"/>
        <v>Oct-19</v>
      </c>
      <c r="AR187" s="264" t="str">
        <f t="shared" si="152"/>
        <v>Nov-19</v>
      </c>
      <c r="AS187" s="264" t="str">
        <f t="shared" si="152"/>
        <v>Dec-19</v>
      </c>
      <c r="AT187" s="264" t="str">
        <f t="shared" si="152"/>
        <v>Jan-20</v>
      </c>
      <c r="AU187" s="264" t="str">
        <f t="shared" si="152"/>
        <v>Feb-20</v>
      </c>
      <c r="AV187" s="946" t="str">
        <f t="shared" si="152"/>
        <v>Mar-20</v>
      </c>
      <c r="AW187" s="264" t="str">
        <f t="shared" si="152"/>
        <v>Apr-20</v>
      </c>
      <c r="AX187" s="264" t="str">
        <f t="shared" si="152"/>
        <v>May-20</v>
      </c>
      <c r="AY187" s="264" t="str">
        <f t="shared" si="152"/>
        <v>Jun-20</v>
      </c>
      <c r="AZ187" s="264" t="str">
        <f t="shared" si="152"/>
        <v>Jul-20</v>
      </c>
      <c r="BA187" s="264" t="str">
        <f t="shared" si="152"/>
        <v>Aug-20</v>
      </c>
      <c r="BB187" s="264" t="str">
        <f t="shared" si="152"/>
        <v>Sep-20</v>
      </c>
      <c r="BC187" s="264" t="str">
        <f t="shared" si="152"/>
        <v>Oct-20</v>
      </c>
      <c r="BD187" s="264" t="str">
        <f t="shared" si="152"/>
        <v>Nov-20</v>
      </c>
      <c r="BE187" s="264" t="str">
        <f t="shared" si="152"/>
        <v>Dec-20</v>
      </c>
      <c r="BF187" s="264" t="str">
        <f t="shared" si="152"/>
        <v>Jan-21</v>
      </c>
      <c r="BG187" s="264" t="str">
        <f t="shared" si="152"/>
        <v>Feb-21</v>
      </c>
      <c r="BH187" s="264" t="str">
        <f t="shared" si="152"/>
        <v>Mar-21</v>
      </c>
      <c r="BI187" s="264" t="str">
        <f t="shared" si="152"/>
        <v>Apr-21</v>
      </c>
      <c r="BJ187" s="264" t="str">
        <f t="shared" si="152"/>
        <v>May-21</v>
      </c>
      <c r="BK187" s="264" t="str">
        <f t="shared" si="152"/>
        <v>Jun-21</v>
      </c>
      <c r="BL187" s="264" t="str">
        <f t="shared" si="152"/>
        <v>Jul-21</v>
      </c>
      <c r="BM187" s="264" t="str">
        <f t="shared" si="152"/>
        <v>Aug-21</v>
      </c>
      <c r="BN187" s="264" t="str">
        <f t="shared" si="152"/>
        <v>Sep-21</v>
      </c>
      <c r="BO187" s="264" t="str">
        <f t="shared" si="152"/>
        <v>Oct-21</v>
      </c>
      <c r="BP187" s="264" t="str">
        <f t="shared" si="152"/>
        <v>Nov-21</v>
      </c>
      <c r="BQ187" s="264" t="str">
        <f t="shared" si="152"/>
        <v>Dec-21</v>
      </c>
    </row>
    <row r="188" spans="1:73" customFormat="1" x14ac:dyDescent="0.25">
      <c r="A188" s="263"/>
      <c r="B188" s="117" t="s">
        <v>131</v>
      </c>
      <c r="C188" s="265" t="s">
        <v>47</v>
      </c>
      <c r="D188" s="265" t="s">
        <v>47</v>
      </c>
      <c r="E188" s="265" t="s">
        <v>47</v>
      </c>
      <c r="F188" s="266" t="s">
        <v>47</v>
      </c>
      <c r="G188" s="266" t="s">
        <v>47</v>
      </c>
      <c r="H188" s="266" t="s">
        <v>47</v>
      </c>
      <c r="I188" s="266" t="s">
        <v>47</v>
      </c>
      <c r="J188" s="266" t="s">
        <v>47</v>
      </c>
      <c r="K188" s="266" t="s">
        <v>47</v>
      </c>
      <c r="L188" s="593" t="s">
        <v>47</v>
      </c>
      <c r="M188" s="593" t="s">
        <v>47</v>
      </c>
      <c r="N188" s="593" t="s">
        <v>47</v>
      </c>
      <c r="O188" s="593" t="s">
        <v>47</v>
      </c>
      <c r="P188" s="593" t="s">
        <v>47</v>
      </c>
      <c r="Q188" s="593" t="s">
        <v>47</v>
      </c>
      <c r="R188" s="593" t="s">
        <v>47</v>
      </c>
      <c r="S188" s="593" t="s">
        <v>47</v>
      </c>
      <c r="T188" s="593" t="s">
        <v>47</v>
      </c>
      <c r="U188" s="592" t="s">
        <v>47</v>
      </c>
      <c r="V188" s="592" t="s">
        <v>47</v>
      </c>
      <c r="W188" s="592" t="s">
        <v>47</v>
      </c>
      <c r="X188" s="592" t="s">
        <v>47</v>
      </c>
      <c r="Y188" s="592" t="s">
        <v>47</v>
      </c>
      <c r="Z188" s="592" t="s">
        <v>47</v>
      </c>
      <c r="AA188" s="592" t="s">
        <v>47</v>
      </c>
      <c r="AB188" s="592" t="s">
        <v>47</v>
      </c>
      <c r="AC188" s="592" t="s">
        <v>47</v>
      </c>
      <c r="AD188" s="592" t="s">
        <v>47</v>
      </c>
      <c r="AE188" s="592" t="s">
        <v>47</v>
      </c>
      <c r="AF188" s="592" t="s">
        <v>47</v>
      </c>
      <c r="AG188" s="592" t="s">
        <v>47</v>
      </c>
      <c r="AH188" s="592" t="s">
        <v>47</v>
      </c>
      <c r="AI188" s="592" t="s">
        <v>47</v>
      </c>
      <c r="AJ188" s="592" t="s">
        <v>47</v>
      </c>
      <c r="AK188" s="592" t="s">
        <v>47</v>
      </c>
      <c r="AL188" s="592" t="s">
        <v>47</v>
      </c>
      <c r="AM188" s="592" t="s">
        <v>47</v>
      </c>
      <c r="AN188" s="592" t="s">
        <v>47</v>
      </c>
      <c r="AO188" s="592" t="s">
        <v>47</v>
      </c>
      <c r="AP188" s="592" t="s">
        <v>47</v>
      </c>
      <c r="AQ188" s="592" t="s">
        <v>47</v>
      </c>
      <c r="AR188" s="592" t="s">
        <v>47</v>
      </c>
      <c r="AS188" s="592">
        <f>342-36</f>
        <v>306</v>
      </c>
      <c r="AT188" s="592">
        <f>342-36</f>
        <v>306</v>
      </c>
      <c r="AU188" s="592">
        <f>342-36</f>
        <v>306</v>
      </c>
      <c r="AV188" s="948">
        <f>342-36</f>
        <v>306</v>
      </c>
      <c r="AW188" s="858" t="s">
        <v>47</v>
      </c>
      <c r="AX188" s="858" t="s">
        <v>47</v>
      </c>
      <c r="AY188" s="342">
        <v>204</v>
      </c>
      <c r="AZ188" s="592">
        <v>204</v>
      </c>
      <c r="BA188" s="592">
        <v>204</v>
      </c>
      <c r="BB188" s="592">
        <v>204</v>
      </c>
      <c r="BC188" s="592">
        <v>204</v>
      </c>
      <c r="BD188" s="592">
        <v>204</v>
      </c>
      <c r="BE188" s="343">
        <v>265</v>
      </c>
      <c r="BF188" s="592">
        <v>265</v>
      </c>
      <c r="BG188" s="592">
        <v>265</v>
      </c>
      <c r="BH188" s="592">
        <v>265</v>
      </c>
      <c r="BI188" s="592">
        <v>265</v>
      </c>
      <c r="BJ188" s="592">
        <v>265</v>
      </c>
      <c r="BK188" s="592">
        <v>266</v>
      </c>
      <c r="BL188" s="592">
        <v>266</v>
      </c>
      <c r="BM188" s="592">
        <v>266</v>
      </c>
      <c r="BN188" s="592" t="s">
        <v>47</v>
      </c>
      <c r="BO188" s="592" t="s">
        <v>47</v>
      </c>
      <c r="BP188" s="592" t="s">
        <v>47</v>
      </c>
      <c r="BQ188" s="592">
        <v>164</v>
      </c>
    </row>
    <row r="189" spans="1:73" x14ac:dyDescent="0.25">
      <c r="B189" s="117" t="s">
        <v>134</v>
      </c>
      <c r="C189" s="265" t="s">
        <v>47</v>
      </c>
      <c r="D189" s="265" t="s">
        <v>47</v>
      </c>
      <c r="E189" s="265" t="s">
        <v>47</v>
      </c>
      <c r="F189" s="265" t="s">
        <v>47</v>
      </c>
      <c r="G189" s="265" t="s">
        <v>47</v>
      </c>
      <c r="H189" s="266" t="s">
        <v>47</v>
      </c>
      <c r="I189" s="266" t="s">
        <v>47</v>
      </c>
      <c r="J189" s="266" t="s">
        <v>47</v>
      </c>
      <c r="K189" s="266" t="s">
        <v>47</v>
      </c>
      <c r="L189" s="593" t="s">
        <v>47</v>
      </c>
      <c r="M189" s="593" t="s">
        <v>47</v>
      </c>
      <c r="N189" s="593" t="s">
        <v>47</v>
      </c>
      <c r="O189" s="593" t="s">
        <v>47</v>
      </c>
      <c r="P189" s="593" t="s">
        <v>47</v>
      </c>
      <c r="Q189" s="592" t="s">
        <v>47</v>
      </c>
      <c r="R189" s="592" t="s">
        <v>47</v>
      </c>
      <c r="S189" s="592" t="s">
        <v>47</v>
      </c>
      <c r="T189" s="592" t="s">
        <v>47</v>
      </c>
      <c r="U189" s="592" t="s">
        <v>47</v>
      </c>
      <c r="V189" s="592" t="s">
        <v>47</v>
      </c>
      <c r="W189" s="592" t="s">
        <v>47</v>
      </c>
      <c r="X189" s="592" t="s">
        <v>47</v>
      </c>
      <c r="Y189" s="592" t="s">
        <v>47</v>
      </c>
      <c r="Z189" s="592" t="s">
        <v>47</v>
      </c>
      <c r="AA189" s="592" t="s">
        <v>47</v>
      </c>
      <c r="AB189" s="592" t="s">
        <v>47</v>
      </c>
      <c r="AC189" s="592" t="s">
        <v>47</v>
      </c>
      <c r="AD189" s="592" t="s">
        <v>47</v>
      </c>
      <c r="AE189" s="592" t="s">
        <v>47</v>
      </c>
      <c r="AF189" s="592" t="s">
        <v>47</v>
      </c>
      <c r="AG189" s="593" t="s">
        <v>47</v>
      </c>
      <c r="AH189" s="593" t="s">
        <v>47</v>
      </c>
      <c r="AI189" s="593" t="s">
        <v>47</v>
      </c>
      <c r="AJ189" s="592">
        <v>267</v>
      </c>
      <c r="AK189" s="592">
        <v>267</v>
      </c>
      <c r="AL189" s="697">
        <v>275</v>
      </c>
      <c r="AM189" s="592">
        <v>275</v>
      </c>
      <c r="AN189" s="592">
        <v>275</v>
      </c>
      <c r="AO189" s="592">
        <v>275</v>
      </c>
      <c r="AP189" s="592">
        <v>275</v>
      </c>
      <c r="AQ189" s="592">
        <v>275</v>
      </c>
      <c r="AR189" s="592">
        <v>275</v>
      </c>
      <c r="AS189" s="342">
        <v>273</v>
      </c>
      <c r="AT189" s="592">
        <v>273</v>
      </c>
      <c r="AU189" s="592">
        <v>273</v>
      </c>
      <c r="AV189" s="948">
        <v>273</v>
      </c>
      <c r="AW189" s="858" t="s">
        <v>47</v>
      </c>
      <c r="AX189" s="858" t="s">
        <v>47</v>
      </c>
      <c r="AY189" s="278" t="s">
        <v>47</v>
      </c>
      <c r="AZ189" s="278" t="s">
        <v>47</v>
      </c>
      <c r="BA189" s="278" t="s">
        <v>47</v>
      </c>
      <c r="BB189" s="278" t="s">
        <v>47</v>
      </c>
      <c r="BC189" s="278" t="s">
        <v>47</v>
      </c>
      <c r="BD189" s="278" t="s">
        <v>47</v>
      </c>
      <c r="BE189" s="278" t="s">
        <v>47</v>
      </c>
      <c r="BF189" s="593" t="s">
        <v>47</v>
      </c>
      <c r="BG189" s="593" t="s">
        <v>47</v>
      </c>
      <c r="BH189" s="593" t="s">
        <v>47</v>
      </c>
      <c r="BI189" s="593" t="s">
        <v>47</v>
      </c>
      <c r="BJ189" s="593" t="s">
        <v>47</v>
      </c>
      <c r="BK189" s="593" t="s">
        <v>47</v>
      </c>
      <c r="BL189" s="593" t="s">
        <v>47</v>
      </c>
      <c r="BM189" s="593" t="s">
        <v>47</v>
      </c>
      <c r="BN189" s="593">
        <v>166</v>
      </c>
      <c r="BO189" s="593">
        <v>166</v>
      </c>
      <c r="BP189" s="593">
        <v>166</v>
      </c>
      <c r="BQ189" s="593">
        <v>166</v>
      </c>
      <c r="BR189"/>
      <c r="BS189"/>
      <c r="BT189"/>
      <c r="BU189"/>
    </row>
    <row r="190" spans="1:73" x14ac:dyDescent="0.25">
      <c r="B190" s="117" t="s">
        <v>135</v>
      </c>
      <c r="C190" s="265" t="s">
        <v>47</v>
      </c>
      <c r="D190" s="265" t="s">
        <v>47</v>
      </c>
      <c r="E190" s="265" t="s">
        <v>47</v>
      </c>
      <c r="F190" s="265" t="s">
        <v>47</v>
      </c>
      <c r="G190" s="265" t="s">
        <v>47</v>
      </c>
      <c r="H190" s="266" t="s">
        <v>47</v>
      </c>
      <c r="I190" s="266" t="s">
        <v>47</v>
      </c>
      <c r="J190" s="266" t="s">
        <v>47</v>
      </c>
      <c r="K190" s="266" t="s">
        <v>47</v>
      </c>
      <c r="L190" s="593" t="s">
        <v>47</v>
      </c>
      <c r="M190" s="593" t="s">
        <v>47</v>
      </c>
      <c r="N190" s="593" t="s">
        <v>47</v>
      </c>
      <c r="O190" s="593" t="s">
        <v>47</v>
      </c>
      <c r="P190" s="593" t="s">
        <v>47</v>
      </c>
      <c r="Q190" s="593" t="s">
        <v>47</v>
      </c>
      <c r="R190" s="593" t="s">
        <v>47</v>
      </c>
      <c r="S190" s="593" t="s">
        <v>47</v>
      </c>
      <c r="T190" s="593" t="s">
        <v>47</v>
      </c>
      <c r="U190" s="593" t="s">
        <v>47</v>
      </c>
      <c r="V190" s="593" t="s">
        <v>47</v>
      </c>
      <c r="W190" s="593" t="s">
        <v>47</v>
      </c>
      <c r="X190" s="593" t="s">
        <v>47</v>
      </c>
      <c r="Y190" s="593" t="s">
        <v>47</v>
      </c>
      <c r="Z190" s="593" t="s">
        <v>47</v>
      </c>
      <c r="AA190" s="593" t="s">
        <v>47</v>
      </c>
      <c r="AB190" s="593" t="s">
        <v>47</v>
      </c>
      <c r="AC190" s="593" t="s">
        <v>47</v>
      </c>
      <c r="AD190" s="593" t="s">
        <v>47</v>
      </c>
      <c r="AE190" s="593" t="s">
        <v>47</v>
      </c>
      <c r="AF190" s="592" t="s">
        <v>47</v>
      </c>
      <c r="AG190" s="593" t="s">
        <v>47</v>
      </c>
      <c r="AH190" s="593" t="s">
        <v>47</v>
      </c>
      <c r="AI190" s="593" t="s">
        <v>47</v>
      </c>
      <c r="AJ190" s="592" t="s">
        <v>47</v>
      </c>
      <c r="AK190" s="592" t="s">
        <v>47</v>
      </c>
      <c r="AL190" s="592">
        <v>291</v>
      </c>
      <c r="AM190" s="592">
        <v>291</v>
      </c>
      <c r="AN190" s="592">
        <v>291</v>
      </c>
      <c r="AO190" s="592">
        <v>291</v>
      </c>
      <c r="AP190" s="592">
        <v>291</v>
      </c>
      <c r="AQ190" s="592">
        <v>291</v>
      </c>
      <c r="AR190" s="592">
        <v>291</v>
      </c>
      <c r="AS190" s="592">
        <v>291</v>
      </c>
      <c r="AT190" s="592">
        <v>291</v>
      </c>
      <c r="AU190" s="592">
        <v>291</v>
      </c>
      <c r="AV190" s="948">
        <v>291</v>
      </c>
      <c r="AW190" s="342">
        <v>208.65946703377631</v>
      </c>
      <c r="AX190" s="592">
        <v>208.65946703377631</v>
      </c>
      <c r="AY190" s="592">
        <v>208.65946703377631</v>
      </c>
      <c r="AZ190" s="592">
        <v>208.65946703377631</v>
      </c>
      <c r="BA190" s="592">
        <v>208.65946703377631</v>
      </c>
      <c r="BB190" s="592">
        <v>208.65946703377631</v>
      </c>
      <c r="BC190" s="592">
        <v>208.65946703377631</v>
      </c>
      <c r="BD190" s="343">
        <v>268</v>
      </c>
      <c r="BE190" s="592">
        <v>268</v>
      </c>
      <c r="BF190" s="592">
        <v>268</v>
      </c>
      <c r="BG190" s="592">
        <v>268</v>
      </c>
      <c r="BH190" s="592">
        <v>268</v>
      </c>
      <c r="BI190" s="592">
        <v>268</v>
      </c>
      <c r="BJ190" s="592">
        <v>268</v>
      </c>
      <c r="BK190" s="592">
        <v>268</v>
      </c>
      <c r="BL190" s="592">
        <v>268</v>
      </c>
      <c r="BM190" s="592">
        <v>268</v>
      </c>
      <c r="BN190" s="592" t="s">
        <v>47</v>
      </c>
      <c r="BO190" s="592" t="s">
        <v>47</v>
      </c>
      <c r="BP190" s="592" t="s">
        <v>47</v>
      </c>
      <c r="BQ190" s="592">
        <v>157</v>
      </c>
      <c r="BR190"/>
      <c r="BS190"/>
      <c r="BT190"/>
      <c r="BU190"/>
    </row>
    <row r="191" spans="1:73" x14ac:dyDescent="0.25">
      <c r="B191" s="117" t="s">
        <v>142</v>
      </c>
      <c r="C191" s="265" t="s">
        <v>47</v>
      </c>
      <c r="D191" s="265" t="s">
        <v>47</v>
      </c>
      <c r="E191" s="265" t="s">
        <v>47</v>
      </c>
      <c r="F191" s="265" t="s">
        <v>47</v>
      </c>
      <c r="G191" s="265" t="s">
        <v>47</v>
      </c>
      <c r="H191" s="265" t="s">
        <v>47</v>
      </c>
      <c r="I191" s="265" t="s">
        <v>47</v>
      </c>
      <c r="J191" s="265" t="s">
        <v>47</v>
      </c>
      <c r="K191" s="265" t="s">
        <v>47</v>
      </c>
      <c r="L191" s="353" t="s">
        <v>47</v>
      </c>
      <c r="M191" s="353" t="s">
        <v>47</v>
      </c>
      <c r="N191" s="353" t="s">
        <v>47</v>
      </c>
      <c r="O191" s="593" t="s">
        <v>47</v>
      </c>
      <c r="P191" s="593" t="s">
        <v>47</v>
      </c>
      <c r="Q191" s="593" t="s">
        <v>47</v>
      </c>
      <c r="R191" s="593" t="s">
        <v>47</v>
      </c>
      <c r="S191" s="593" t="s">
        <v>47</v>
      </c>
      <c r="T191" s="593" t="s">
        <v>47</v>
      </c>
      <c r="U191" s="593" t="s">
        <v>47</v>
      </c>
      <c r="V191" s="593" t="s">
        <v>47</v>
      </c>
      <c r="W191" s="592" t="s">
        <v>47</v>
      </c>
      <c r="X191" s="592" t="s">
        <v>47</v>
      </c>
      <c r="Y191" s="592" t="s">
        <v>47</v>
      </c>
      <c r="Z191" s="592" t="s">
        <v>47</v>
      </c>
      <c r="AA191" s="592" t="s">
        <v>47</v>
      </c>
      <c r="AB191" s="592" t="s">
        <v>47</v>
      </c>
      <c r="AC191" s="592" t="s">
        <v>47</v>
      </c>
      <c r="AD191" s="592" t="s">
        <v>47</v>
      </c>
      <c r="AE191" s="592" t="s">
        <v>47</v>
      </c>
      <c r="AF191" s="592" t="s">
        <v>47</v>
      </c>
      <c r="AG191" s="593" t="s">
        <v>47</v>
      </c>
      <c r="AH191" s="593" t="s">
        <v>47</v>
      </c>
      <c r="AI191" s="593" t="s">
        <v>47</v>
      </c>
      <c r="AJ191" s="593" t="s">
        <v>47</v>
      </c>
      <c r="AK191" s="593" t="s">
        <v>47</v>
      </c>
      <c r="AL191" s="593" t="s">
        <v>47</v>
      </c>
      <c r="AM191" s="593" t="s">
        <v>47</v>
      </c>
      <c r="AN191" s="593" t="s">
        <v>47</v>
      </c>
      <c r="AO191" s="593" t="s">
        <v>47</v>
      </c>
      <c r="AP191" s="593" t="s">
        <v>47</v>
      </c>
      <c r="AQ191" s="593">
        <v>268</v>
      </c>
      <c r="AR191" s="593">
        <v>268</v>
      </c>
      <c r="AS191" s="593">
        <v>268</v>
      </c>
      <c r="AT191" s="593">
        <v>268</v>
      </c>
      <c r="AU191" s="593">
        <v>268</v>
      </c>
      <c r="AV191" s="951">
        <v>268</v>
      </c>
      <c r="AW191" s="278" t="s">
        <v>47</v>
      </c>
      <c r="AX191" s="278" t="s">
        <v>47</v>
      </c>
      <c r="AY191" s="278" t="s">
        <v>47</v>
      </c>
      <c r="AZ191" s="278" t="s">
        <v>47</v>
      </c>
      <c r="BA191" s="278" t="s">
        <v>47</v>
      </c>
      <c r="BB191" s="278" t="s">
        <v>47</v>
      </c>
      <c r="BC191" s="592">
        <v>235</v>
      </c>
      <c r="BD191" s="592">
        <v>235</v>
      </c>
      <c r="BE191" s="592">
        <v>235</v>
      </c>
      <c r="BF191" s="592">
        <v>235</v>
      </c>
      <c r="BG191" s="592">
        <v>235</v>
      </c>
      <c r="BH191" s="592">
        <v>235</v>
      </c>
      <c r="BI191" s="592">
        <v>235</v>
      </c>
      <c r="BJ191" s="592">
        <v>235</v>
      </c>
      <c r="BK191" s="592">
        <v>235</v>
      </c>
      <c r="BL191" s="592">
        <v>235</v>
      </c>
      <c r="BM191" s="592">
        <v>235</v>
      </c>
      <c r="BN191" s="592" t="s">
        <v>47</v>
      </c>
      <c r="BO191" s="592" t="s">
        <v>47</v>
      </c>
      <c r="BP191" s="592" t="s">
        <v>47</v>
      </c>
      <c r="BQ191" s="592" t="s">
        <v>47</v>
      </c>
      <c r="BR191"/>
      <c r="BS191"/>
      <c r="BT191"/>
      <c r="BU191"/>
    </row>
    <row r="192" spans="1:73" x14ac:dyDescent="0.25">
      <c r="B192" s="117" t="s">
        <v>136</v>
      </c>
      <c r="C192" s="265" t="s">
        <v>47</v>
      </c>
      <c r="D192" s="265" t="s">
        <v>47</v>
      </c>
      <c r="E192" s="265" t="s">
        <v>47</v>
      </c>
      <c r="F192" s="265" t="s">
        <v>47</v>
      </c>
      <c r="G192" s="266" t="s">
        <v>47</v>
      </c>
      <c r="H192" s="266" t="s">
        <v>47</v>
      </c>
      <c r="I192" s="266" t="s">
        <v>47</v>
      </c>
      <c r="J192" s="266" t="s">
        <v>47</v>
      </c>
      <c r="K192" s="266" t="s">
        <v>47</v>
      </c>
      <c r="L192" s="593" t="s">
        <v>47</v>
      </c>
      <c r="M192" s="593" t="s">
        <v>47</v>
      </c>
      <c r="N192" s="593" t="s">
        <v>47</v>
      </c>
      <c r="O192" s="593" t="s">
        <v>47</v>
      </c>
      <c r="P192" s="593" t="s">
        <v>47</v>
      </c>
      <c r="Q192" s="593" t="s">
        <v>47</v>
      </c>
      <c r="R192" s="593" t="s">
        <v>47</v>
      </c>
      <c r="S192" s="593" t="s">
        <v>47</v>
      </c>
      <c r="T192" s="593" t="s">
        <v>47</v>
      </c>
      <c r="U192" s="593" t="s">
        <v>47</v>
      </c>
      <c r="V192" s="592" t="s">
        <v>47</v>
      </c>
      <c r="W192" s="593" t="s">
        <v>47</v>
      </c>
      <c r="X192" s="593" t="s">
        <v>47</v>
      </c>
      <c r="Y192" s="593" t="s">
        <v>47</v>
      </c>
      <c r="Z192" s="593" t="s">
        <v>47</v>
      </c>
      <c r="AA192" s="593" t="s">
        <v>47</v>
      </c>
      <c r="AB192" s="593" t="s">
        <v>47</v>
      </c>
      <c r="AC192" s="593" t="s">
        <v>47</v>
      </c>
      <c r="AD192" s="592" t="s">
        <v>47</v>
      </c>
      <c r="AE192" s="593" t="s">
        <v>47</v>
      </c>
      <c r="AF192" s="593" t="s">
        <v>47</v>
      </c>
      <c r="AG192" s="593" t="s">
        <v>47</v>
      </c>
      <c r="AH192" s="593" t="s">
        <v>47</v>
      </c>
      <c r="AI192" s="593" t="s">
        <v>47</v>
      </c>
      <c r="AJ192" s="593" t="s">
        <v>47</v>
      </c>
      <c r="AK192" s="593" t="s">
        <v>47</v>
      </c>
      <c r="AL192" s="593" t="s">
        <v>47</v>
      </c>
      <c r="AM192" s="593" t="s">
        <v>47</v>
      </c>
      <c r="AN192" s="593" t="s">
        <v>47</v>
      </c>
      <c r="AO192" s="593" t="s">
        <v>47</v>
      </c>
      <c r="AP192" s="593">
        <v>285</v>
      </c>
      <c r="AQ192" s="593">
        <v>285</v>
      </c>
      <c r="AR192" s="593">
        <v>285</v>
      </c>
      <c r="AS192" s="593">
        <v>285</v>
      </c>
      <c r="AT192" s="593">
        <v>285</v>
      </c>
      <c r="AU192" s="593">
        <v>285</v>
      </c>
      <c r="AV192" s="951">
        <v>285</v>
      </c>
      <c r="AW192" s="858" t="s">
        <v>47</v>
      </c>
      <c r="AX192" s="858" t="s">
        <v>47</v>
      </c>
      <c r="AY192" s="342">
        <v>180</v>
      </c>
      <c r="AZ192" s="592">
        <v>180</v>
      </c>
      <c r="BA192" s="592">
        <v>180</v>
      </c>
      <c r="BB192" s="592">
        <v>180</v>
      </c>
      <c r="BC192" s="592">
        <v>180</v>
      </c>
      <c r="BD192" s="592">
        <v>180</v>
      </c>
      <c r="BE192" s="343">
        <v>234.8</v>
      </c>
      <c r="BF192" s="592">
        <v>234.8</v>
      </c>
      <c r="BG192" s="592">
        <v>234.8</v>
      </c>
      <c r="BH192" s="592">
        <v>234.8</v>
      </c>
      <c r="BI192" s="592">
        <v>234.8</v>
      </c>
      <c r="BJ192" s="592">
        <v>234.8</v>
      </c>
      <c r="BK192" s="592">
        <v>234.8</v>
      </c>
      <c r="BL192" s="592">
        <v>234.8</v>
      </c>
      <c r="BM192" s="592">
        <v>234.8</v>
      </c>
      <c r="BN192" s="592" t="s">
        <v>47</v>
      </c>
      <c r="BO192" s="592" t="s">
        <v>47</v>
      </c>
      <c r="BP192" s="592" t="s">
        <v>47</v>
      </c>
      <c r="BQ192" s="592">
        <v>163</v>
      </c>
      <c r="BR192"/>
      <c r="BS192"/>
      <c r="BT192"/>
      <c r="BU192"/>
    </row>
    <row r="193" spans="1:73" x14ac:dyDescent="0.25">
      <c r="A193"/>
      <c r="B193" s="279" t="s">
        <v>381</v>
      </c>
      <c r="C193" s="328" t="str">
        <f t="shared" ref="C193:K193" si="153">IFERROR(AVERAGE(C188:C192),"-")</f>
        <v>-</v>
      </c>
      <c r="D193" s="328" t="str">
        <f t="shared" si="153"/>
        <v>-</v>
      </c>
      <c r="E193" s="328" t="str">
        <f t="shared" si="153"/>
        <v>-</v>
      </c>
      <c r="F193" s="328" t="str">
        <f t="shared" si="153"/>
        <v>-</v>
      </c>
      <c r="G193" s="328" t="str">
        <f t="shared" si="153"/>
        <v>-</v>
      </c>
      <c r="H193" s="328" t="str">
        <f t="shared" si="153"/>
        <v>-</v>
      </c>
      <c r="I193" s="328" t="str">
        <f t="shared" si="153"/>
        <v>-</v>
      </c>
      <c r="J193" s="328" t="str">
        <f t="shared" si="153"/>
        <v>-</v>
      </c>
      <c r="K193" s="328" t="str">
        <f t="shared" si="153"/>
        <v>-</v>
      </c>
      <c r="L193" s="643" t="s">
        <v>47</v>
      </c>
      <c r="M193" s="643" t="s">
        <v>47</v>
      </c>
      <c r="N193" s="643" t="s">
        <v>47</v>
      </c>
      <c r="O193" s="643" t="s">
        <v>47</v>
      </c>
      <c r="P193" s="643" t="s">
        <v>47</v>
      </c>
      <c r="Q193" s="643" t="s">
        <v>47</v>
      </c>
      <c r="R193" s="643" t="s">
        <v>47</v>
      </c>
      <c r="S193" s="643" t="s">
        <v>47</v>
      </c>
      <c r="T193" s="643" t="s">
        <v>47</v>
      </c>
      <c r="U193" s="643" t="s">
        <v>47</v>
      </c>
      <c r="V193" s="351" t="str">
        <f t="shared" ref="V193:AF193" si="154">IFERROR(AVERAGE(V188:V192),"-")</f>
        <v>-</v>
      </c>
      <c r="W193" s="351" t="str">
        <f t="shared" si="154"/>
        <v>-</v>
      </c>
      <c r="X193" s="351" t="str">
        <f t="shared" si="154"/>
        <v>-</v>
      </c>
      <c r="Y193" s="351" t="str">
        <f t="shared" si="154"/>
        <v>-</v>
      </c>
      <c r="Z193" s="351" t="str">
        <f t="shared" si="154"/>
        <v>-</v>
      </c>
      <c r="AA193" s="351" t="str">
        <f t="shared" si="154"/>
        <v>-</v>
      </c>
      <c r="AB193" s="351" t="str">
        <f t="shared" si="154"/>
        <v>-</v>
      </c>
      <c r="AC193" s="351" t="str">
        <f t="shared" si="154"/>
        <v>-</v>
      </c>
      <c r="AD193" s="351" t="str">
        <f t="shared" si="154"/>
        <v>-</v>
      </c>
      <c r="AE193" s="351" t="str">
        <f t="shared" si="154"/>
        <v>-</v>
      </c>
      <c r="AF193" s="351" t="str">
        <f t="shared" si="154"/>
        <v>-</v>
      </c>
      <c r="AG193" s="351" t="str">
        <f t="shared" ref="AG193:AL193" si="155">IFERROR(AVERAGE(AG188:AG192),"-")</f>
        <v>-</v>
      </c>
      <c r="AH193" s="351" t="str">
        <f t="shared" si="155"/>
        <v>-</v>
      </c>
      <c r="AI193" s="351" t="str">
        <f t="shared" si="155"/>
        <v>-</v>
      </c>
      <c r="AJ193" s="351">
        <f t="shared" si="155"/>
        <v>267</v>
      </c>
      <c r="AK193" s="351">
        <f t="shared" si="155"/>
        <v>267</v>
      </c>
      <c r="AL193" s="351">
        <f t="shared" si="155"/>
        <v>283</v>
      </c>
      <c r="AM193" s="351">
        <f t="shared" ref="AM193:AR193" si="156">IFERROR(AVERAGE(AM188:AM192),"-")</f>
        <v>283</v>
      </c>
      <c r="AN193" s="351">
        <f t="shared" si="156"/>
        <v>283</v>
      </c>
      <c r="AO193" s="351">
        <f t="shared" si="156"/>
        <v>283</v>
      </c>
      <c r="AP193" s="351">
        <f t="shared" si="156"/>
        <v>283.66666666666669</v>
      </c>
      <c r="AQ193" s="351">
        <f t="shared" si="156"/>
        <v>279.75</v>
      </c>
      <c r="AR193" s="351">
        <f t="shared" si="156"/>
        <v>279.75</v>
      </c>
      <c r="AS193" s="351">
        <f t="shared" ref="AS193:AZ193" si="157">IFERROR(AVERAGE(AS188:AS192),"-")</f>
        <v>284.60000000000002</v>
      </c>
      <c r="AT193" s="643">
        <f t="shared" si="157"/>
        <v>284.60000000000002</v>
      </c>
      <c r="AU193" s="643">
        <f t="shared" si="157"/>
        <v>284.60000000000002</v>
      </c>
      <c r="AV193" s="952">
        <f>IFERROR(AVERAGE(AV188:AV192),"-")</f>
        <v>284.60000000000002</v>
      </c>
      <c r="AW193" s="859">
        <f t="shared" si="157"/>
        <v>208.65946703377631</v>
      </c>
      <c r="AX193" s="859">
        <f t="shared" si="157"/>
        <v>208.65946703377631</v>
      </c>
      <c r="AY193" s="859">
        <f t="shared" si="157"/>
        <v>197.55315567792545</v>
      </c>
      <c r="AZ193" s="643">
        <f t="shared" si="157"/>
        <v>197.55315567792545</v>
      </c>
      <c r="BA193" s="643">
        <f t="shared" ref="BA193:BF193" si="158">IFERROR(AVERAGE(BA188:BA192),"-")</f>
        <v>197.55315567792545</v>
      </c>
      <c r="BB193" s="643">
        <f t="shared" si="158"/>
        <v>197.55315567792545</v>
      </c>
      <c r="BC193" s="643">
        <f t="shared" si="158"/>
        <v>206.91486675844408</v>
      </c>
      <c r="BD193" s="643">
        <f t="shared" si="158"/>
        <v>221.75</v>
      </c>
      <c r="BE193" s="643">
        <f t="shared" si="158"/>
        <v>250.7</v>
      </c>
      <c r="BF193" s="643">
        <f t="shared" si="158"/>
        <v>250.7</v>
      </c>
      <c r="BG193" s="643">
        <f t="shared" ref="BG193:BL193" si="159">IFERROR(AVERAGE(BG188:BG192),"-")</f>
        <v>250.7</v>
      </c>
      <c r="BH193" s="643">
        <f t="shared" si="159"/>
        <v>250.7</v>
      </c>
      <c r="BI193" s="643">
        <f t="shared" si="159"/>
        <v>250.7</v>
      </c>
      <c r="BJ193" s="643">
        <f t="shared" si="159"/>
        <v>250.7</v>
      </c>
      <c r="BK193" s="643">
        <f t="shared" si="159"/>
        <v>250.95</v>
      </c>
      <c r="BL193" s="643">
        <f t="shared" si="159"/>
        <v>250.95</v>
      </c>
      <c r="BM193" s="643">
        <f>IFERROR(AVERAGE(BM188:BM192),"-")</f>
        <v>250.95</v>
      </c>
      <c r="BN193" s="643">
        <f>IFERROR(AVERAGE(BN188:BN192),"-")</f>
        <v>166</v>
      </c>
      <c r="BO193" s="643">
        <f>IFERROR(AVERAGE(BO188:BO192),"-")</f>
        <v>166</v>
      </c>
      <c r="BP193" s="643">
        <f>IFERROR(AVERAGE(BP188:BP192),"-")</f>
        <v>166</v>
      </c>
      <c r="BQ193" s="643">
        <f>IFERROR(AVERAGE(BQ188:BQ192),"-")</f>
        <v>162.5</v>
      </c>
      <c r="BR193"/>
      <c r="BS193"/>
      <c r="BT193"/>
      <c r="BU193"/>
    </row>
    <row r="194" spans="1:73" x14ac:dyDescent="0.25">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833"/>
      <c r="AU194" s="833"/>
      <c r="AV194" s="954"/>
      <c r="AW194" s="833"/>
      <c r="AX194" s="833"/>
      <c r="AY194" s="833"/>
      <c r="AZ194" s="833"/>
      <c r="BA194" s="833"/>
      <c r="BB194" s="833"/>
      <c r="BC194" s="833"/>
      <c r="BD194" s="833"/>
      <c r="BE194" s="833"/>
      <c r="BF194" s="833"/>
      <c r="BG194" s="833"/>
      <c r="BH194" s="833"/>
      <c r="BI194" s="833"/>
      <c r="BJ194" s="833"/>
      <c r="BK194" s="833"/>
      <c r="BL194" s="833"/>
      <c r="BM194" s="833"/>
      <c r="BN194" s="833"/>
      <c r="BO194" s="833"/>
      <c r="BP194" s="833"/>
      <c r="BQ194" s="833"/>
      <c r="BR194"/>
      <c r="BS194"/>
      <c r="BT194"/>
      <c r="BU194"/>
    </row>
    <row r="195" spans="1:73" x14ac:dyDescent="0.25">
      <c r="B195" s="113" t="s">
        <v>861</v>
      </c>
      <c r="C195" s="264" t="str">
        <f t="shared" ref="C195:AH195" si="160">+C$203</f>
        <v>Jun-16</v>
      </c>
      <c r="D195" s="264" t="str">
        <f t="shared" si="160"/>
        <v>Jul-16</v>
      </c>
      <c r="E195" s="264" t="str">
        <f t="shared" si="160"/>
        <v>Aug-16</v>
      </c>
      <c r="F195" s="264" t="str">
        <f t="shared" si="160"/>
        <v>Sep-16</v>
      </c>
      <c r="G195" s="264" t="str">
        <f t="shared" si="160"/>
        <v>Oct-16</v>
      </c>
      <c r="H195" s="264" t="str">
        <f t="shared" si="160"/>
        <v>Nov-16</v>
      </c>
      <c r="I195" s="264" t="str">
        <f t="shared" si="160"/>
        <v>Dec-16</v>
      </c>
      <c r="J195" s="264" t="str">
        <f t="shared" si="160"/>
        <v>Jan-17</v>
      </c>
      <c r="K195" s="264" t="str">
        <f t="shared" si="160"/>
        <v>Feb-17</v>
      </c>
      <c r="L195" s="264" t="str">
        <f t="shared" si="160"/>
        <v>Mar-17</v>
      </c>
      <c r="M195" s="264" t="str">
        <f t="shared" si="160"/>
        <v>Apr-17</v>
      </c>
      <c r="N195" s="264" t="str">
        <f t="shared" si="160"/>
        <v>May-17</v>
      </c>
      <c r="O195" s="264" t="str">
        <f t="shared" si="160"/>
        <v>Jun-17</v>
      </c>
      <c r="P195" s="264" t="str">
        <f t="shared" si="160"/>
        <v>Jul-17</v>
      </c>
      <c r="Q195" s="264" t="str">
        <f t="shared" si="160"/>
        <v>Aug-17</v>
      </c>
      <c r="R195" s="264" t="str">
        <f t="shared" si="160"/>
        <v>Sep-17</v>
      </c>
      <c r="S195" s="264" t="str">
        <f t="shared" si="160"/>
        <v>Oct-17</v>
      </c>
      <c r="T195" s="264" t="str">
        <f t="shared" si="160"/>
        <v>Nov-17</v>
      </c>
      <c r="U195" s="264" t="str">
        <f t="shared" si="160"/>
        <v>Dec-17</v>
      </c>
      <c r="V195" s="264" t="str">
        <f t="shared" si="160"/>
        <v>Jan-18</v>
      </c>
      <c r="W195" s="264" t="str">
        <f t="shared" si="160"/>
        <v>Feb-18</v>
      </c>
      <c r="X195" s="264" t="str">
        <f t="shared" si="160"/>
        <v>Mar-18</v>
      </c>
      <c r="Y195" s="264" t="str">
        <f t="shared" si="160"/>
        <v>Apr-18</v>
      </c>
      <c r="Z195" s="264" t="str">
        <f t="shared" si="160"/>
        <v>May-18</v>
      </c>
      <c r="AA195" s="264" t="str">
        <f t="shared" si="160"/>
        <v>Jun-18</v>
      </c>
      <c r="AB195" s="264" t="str">
        <f t="shared" si="160"/>
        <v>Jul-18</v>
      </c>
      <c r="AC195" s="264" t="str">
        <f t="shared" si="160"/>
        <v>Aug-18</v>
      </c>
      <c r="AD195" s="264" t="str">
        <f t="shared" si="160"/>
        <v>Sep-18</v>
      </c>
      <c r="AE195" s="264" t="str">
        <f t="shared" si="160"/>
        <v>Oct-18</v>
      </c>
      <c r="AF195" s="264" t="str">
        <f t="shared" si="160"/>
        <v>Nov-18</v>
      </c>
      <c r="AG195" s="264" t="str">
        <f t="shared" si="160"/>
        <v>Dec-18</v>
      </c>
      <c r="AH195" s="264" t="str">
        <f t="shared" si="160"/>
        <v>Jan-19</v>
      </c>
      <c r="AI195" s="264" t="str">
        <f t="shared" ref="AI195:BQ195" si="161">+AI$203</f>
        <v>Feb-19</v>
      </c>
      <c r="AJ195" s="264" t="str">
        <f t="shared" si="161"/>
        <v>Mar-19</v>
      </c>
      <c r="AK195" s="264" t="str">
        <f t="shared" si="161"/>
        <v>Apr-19</v>
      </c>
      <c r="AL195" s="264" t="str">
        <f t="shared" si="161"/>
        <v>May-19</v>
      </c>
      <c r="AM195" s="264" t="str">
        <f t="shared" si="161"/>
        <v>Jun-19</v>
      </c>
      <c r="AN195" s="264" t="str">
        <f t="shared" si="161"/>
        <v>Jul-19</v>
      </c>
      <c r="AO195" s="264" t="str">
        <f t="shared" si="161"/>
        <v>Aug-19</v>
      </c>
      <c r="AP195" s="264" t="str">
        <f t="shared" si="161"/>
        <v>Sep-19</v>
      </c>
      <c r="AQ195" s="264" t="str">
        <f t="shared" si="161"/>
        <v>Oct-19</v>
      </c>
      <c r="AR195" s="264" t="str">
        <f t="shared" si="161"/>
        <v>Nov-19</v>
      </c>
      <c r="AS195" s="264" t="str">
        <f t="shared" si="161"/>
        <v>Dec-19</v>
      </c>
      <c r="AT195" s="264" t="str">
        <f t="shared" si="161"/>
        <v>Jan-20</v>
      </c>
      <c r="AU195" s="264" t="str">
        <f t="shared" si="161"/>
        <v>Feb-20</v>
      </c>
      <c r="AV195" s="946" t="str">
        <f t="shared" si="161"/>
        <v>Mar-20</v>
      </c>
      <c r="AW195" s="264" t="str">
        <f t="shared" si="161"/>
        <v>Apr-20</v>
      </c>
      <c r="AX195" s="264" t="str">
        <f t="shared" si="161"/>
        <v>May-20</v>
      </c>
      <c r="AY195" s="264" t="str">
        <f t="shared" si="161"/>
        <v>Jun-20</v>
      </c>
      <c r="AZ195" s="264" t="str">
        <f t="shared" si="161"/>
        <v>Jul-20</v>
      </c>
      <c r="BA195" s="264" t="str">
        <f t="shared" si="161"/>
        <v>Aug-20</v>
      </c>
      <c r="BB195" s="264" t="str">
        <f t="shared" si="161"/>
        <v>Sep-20</v>
      </c>
      <c r="BC195" s="264" t="str">
        <f t="shared" si="161"/>
        <v>Oct-20</v>
      </c>
      <c r="BD195" s="264" t="str">
        <f t="shared" si="161"/>
        <v>Nov-20</v>
      </c>
      <c r="BE195" s="264" t="str">
        <f t="shared" si="161"/>
        <v>Dec-20</v>
      </c>
      <c r="BF195" s="264" t="str">
        <f t="shared" si="161"/>
        <v>Jan-21</v>
      </c>
      <c r="BG195" s="264" t="str">
        <f t="shared" si="161"/>
        <v>Feb-21</v>
      </c>
      <c r="BH195" s="264" t="str">
        <f t="shared" si="161"/>
        <v>Mar-21</v>
      </c>
      <c r="BI195" s="264" t="str">
        <f t="shared" si="161"/>
        <v>Apr-21</v>
      </c>
      <c r="BJ195" s="264" t="str">
        <f t="shared" si="161"/>
        <v>May-21</v>
      </c>
      <c r="BK195" s="264" t="str">
        <f t="shared" si="161"/>
        <v>Jun-21</v>
      </c>
      <c r="BL195" s="264" t="str">
        <f t="shared" si="161"/>
        <v>Jul-21</v>
      </c>
      <c r="BM195" s="264" t="str">
        <f t="shared" si="161"/>
        <v>Aug-21</v>
      </c>
      <c r="BN195" s="264" t="str">
        <f t="shared" si="161"/>
        <v>Sep-21</v>
      </c>
      <c r="BO195" s="264" t="str">
        <f t="shared" si="161"/>
        <v>Oct-21</v>
      </c>
      <c r="BP195" s="264" t="str">
        <f t="shared" si="161"/>
        <v>Nov-21</v>
      </c>
      <c r="BQ195" s="264" t="str">
        <f t="shared" si="161"/>
        <v>Dec-21</v>
      </c>
      <c r="BR195"/>
      <c r="BS195"/>
      <c r="BT195"/>
      <c r="BU195"/>
    </row>
    <row r="196" spans="1:73" customFormat="1" x14ac:dyDescent="0.25">
      <c r="A196" s="263"/>
      <c r="B196" s="117" t="s">
        <v>131</v>
      </c>
      <c r="C196" s="265" t="s">
        <v>47</v>
      </c>
      <c r="D196" s="265" t="s">
        <v>47</v>
      </c>
      <c r="E196" s="265" t="s">
        <v>47</v>
      </c>
      <c r="F196" s="266" t="s">
        <v>47</v>
      </c>
      <c r="G196" s="266" t="s">
        <v>47</v>
      </c>
      <c r="H196" s="266" t="s">
        <v>47</v>
      </c>
      <c r="I196" s="266" t="s">
        <v>47</v>
      </c>
      <c r="J196" s="266" t="s">
        <v>47</v>
      </c>
      <c r="K196" s="266" t="s">
        <v>47</v>
      </c>
      <c r="L196" s="593" t="s">
        <v>47</v>
      </c>
      <c r="M196" s="593" t="s">
        <v>47</v>
      </c>
      <c r="N196" s="593" t="s">
        <v>47</v>
      </c>
      <c r="O196" s="593" t="s">
        <v>47</v>
      </c>
      <c r="P196" s="593" t="s">
        <v>47</v>
      </c>
      <c r="Q196" s="593" t="s">
        <v>47</v>
      </c>
      <c r="R196" s="593" t="s">
        <v>47</v>
      </c>
      <c r="S196" s="593" t="s">
        <v>47</v>
      </c>
      <c r="T196" s="593" t="s">
        <v>47</v>
      </c>
      <c r="U196" s="592" t="s">
        <v>47</v>
      </c>
      <c r="V196" s="592" t="s">
        <v>47</v>
      </c>
      <c r="W196" s="592" t="s">
        <v>47</v>
      </c>
      <c r="X196" s="592" t="s">
        <v>47</v>
      </c>
      <c r="Y196" s="592" t="s">
        <v>47</v>
      </c>
      <c r="Z196" s="592" t="s">
        <v>47</v>
      </c>
      <c r="AA196" s="592" t="s">
        <v>47</v>
      </c>
      <c r="AB196" s="592" t="s">
        <v>47</v>
      </c>
      <c r="AC196" s="592" t="s">
        <v>47</v>
      </c>
      <c r="AD196" s="592" t="s">
        <v>47</v>
      </c>
      <c r="AE196" s="592" t="s">
        <v>47</v>
      </c>
      <c r="AF196" s="592" t="s">
        <v>47</v>
      </c>
      <c r="AG196" s="592" t="s">
        <v>47</v>
      </c>
      <c r="AH196" s="592" t="s">
        <v>47</v>
      </c>
      <c r="AI196" s="592" t="s">
        <v>47</v>
      </c>
      <c r="AJ196" s="592" t="s">
        <v>47</v>
      </c>
      <c r="AK196" s="592" t="s">
        <v>47</v>
      </c>
      <c r="AL196" s="592" t="s">
        <v>47</v>
      </c>
      <c r="AM196" s="592" t="s">
        <v>47</v>
      </c>
      <c r="AN196" s="592" t="s">
        <v>47</v>
      </c>
      <c r="AO196" s="592" t="s">
        <v>47</v>
      </c>
      <c r="AP196" s="592" t="s">
        <v>47</v>
      </c>
      <c r="AQ196" s="592" t="s">
        <v>47</v>
      </c>
      <c r="AR196" s="592" t="s">
        <v>47</v>
      </c>
      <c r="AS196" s="592">
        <v>196</v>
      </c>
      <c r="AT196" s="592">
        <v>196</v>
      </c>
      <c r="AU196" s="592">
        <v>196</v>
      </c>
      <c r="AV196" s="948">
        <v>196</v>
      </c>
      <c r="AW196" s="858" t="s">
        <v>47</v>
      </c>
      <c r="AX196" s="858" t="s">
        <v>47</v>
      </c>
      <c r="AY196" s="342">
        <v>112</v>
      </c>
      <c r="AZ196" s="592">
        <v>112</v>
      </c>
      <c r="BA196" s="592">
        <v>112</v>
      </c>
      <c r="BB196" s="592">
        <v>112</v>
      </c>
      <c r="BC196" s="592">
        <v>112</v>
      </c>
      <c r="BD196" s="592">
        <v>112</v>
      </c>
      <c r="BE196" s="343">
        <v>168</v>
      </c>
      <c r="BF196" s="592">
        <v>168</v>
      </c>
      <c r="BG196" s="592">
        <v>168</v>
      </c>
      <c r="BH196" s="592">
        <v>168</v>
      </c>
      <c r="BI196" s="592">
        <v>168</v>
      </c>
      <c r="BJ196" s="592">
        <v>168</v>
      </c>
      <c r="BK196" s="592">
        <v>169</v>
      </c>
      <c r="BL196" s="592">
        <v>169</v>
      </c>
      <c r="BM196" s="592">
        <v>169</v>
      </c>
      <c r="BN196" s="592" t="s">
        <v>47</v>
      </c>
      <c r="BO196" s="592" t="s">
        <v>47</v>
      </c>
      <c r="BP196" s="592" t="s">
        <v>47</v>
      </c>
      <c r="BQ196" s="592">
        <v>101</v>
      </c>
    </row>
    <row r="197" spans="1:73" customFormat="1" x14ac:dyDescent="0.25">
      <c r="A197" s="263"/>
      <c r="B197" s="117" t="s">
        <v>134</v>
      </c>
      <c r="C197" s="265" t="s">
        <v>47</v>
      </c>
      <c r="D197" s="265" t="s">
        <v>47</v>
      </c>
      <c r="E197" s="265" t="s">
        <v>47</v>
      </c>
      <c r="F197" s="265" t="s">
        <v>47</v>
      </c>
      <c r="G197" s="265" t="s">
        <v>47</v>
      </c>
      <c r="H197" s="266" t="s">
        <v>47</v>
      </c>
      <c r="I197" s="266" t="s">
        <v>47</v>
      </c>
      <c r="J197" s="266" t="s">
        <v>47</v>
      </c>
      <c r="K197" s="266" t="s">
        <v>47</v>
      </c>
      <c r="L197" s="593" t="s">
        <v>47</v>
      </c>
      <c r="M197" s="593" t="s">
        <v>47</v>
      </c>
      <c r="N197" s="593" t="s">
        <v>47</v>
      </c>
      <c r="O197" s="593" t="s">
        <v>47</v>
      </c>
      <c r="P197" s="593" t="s">
        <v>47</v>
      </c>
      <c r="Q197" s="592" t="s">
        <v>47</v>
      </c>
      <c r="R197" s="592" t="s">
        <v>47</v>
      </c>
      <c r="S197" s="592" t="s">
        <v>47</v>
      </c>
      <c r="T197" s="592" t="s">
        <v>47</v>
      </c>
      <c r="U197" s="592" t="s">
        <v>47</v>
      </c>
      <c r="V197" s="592" t="s">
        <v>47</v>
      </c>
      <c r="W197" s="592" t="s">
        <v>47</v>
      </c>
      <c r="X197" s="592" t="s">
        <v>47</v>
      </c>
      <c r="Y197" s="592" t="s">
        <v>47</v>
      </c>
      <c r="Z197" s="592" t="s">
        <v>47</v>
      </c>
      <c r="AA197" s="592" t="s">
        <v>47</v>
      </c>
      <c r="AB197" s="592" t="s">
        <v>47</v>
      </c>
      <c r="AC197" s="592" t="s">
        <v>47</v>
      </c>
      <c r="AD197" s="592" t="s">
        <v>47</v>
      </c>
      <c r="AE197" s="592" t="s">
        <v>47</v>
      </c>
      <c r="AF197" s="592" t="s">
        <v>47</v>
      </c>
      <c r="AG197" s="592" t="s">
        <v>47</v>
      </c>
      <c r="AH197" s="592" t="s">
        <v>47</v>
      </c>
      <c r="AI197" s="592" t="s">
        <v>47</v>
      </c>
      <c r="AJ197" s="592">
        <v>146</v>
      </c>
      <c r="AK197" s="592">
        <v>146</v>
      </c>
      <c r="AL197" s="697">
        <v>155</v>
      </c>
      <c r="AM197" s="592">
        <v>155</v>
      </c>
      <c r="AN197" s="592">
        <v>155</v>
      </c>
      <c r="AO197" s="592">
        <v>155</v>
      </c>
      <c r="AP197" s="592">
        <v>155</v>
      </c>
      <c r="AQ197" s="592">
        <v>155</v>
      </c>
      <c r="AR197" s="592">
        <v>155</v>
      </c>
      <c r="AS197" s="343">
        <v>168</v>
      </c>
      <c r="AT197" s="592">
        <v>168</v>
      </c>
      <c r="AU197" s="592">
        <v>168</v>
      </c>
      <c r="AV197" s="948">
        <v>168</v>
      </c>
      <c r="AW197" s="858" t="s">
        <v>47</v>
      </c>
      <c r="AX197" s="858" t="s">
        <v>47</v>
      </c>
      <c r="AY197" s="858" t="str">
        <f t="shared" ref="AY197:BL197" si="162">+AX197</f>
        <v>-</v>
      </c>
      <c r="AZ197" s="858" t="str">
        <f t="shared" si="162"/>
        <v>-</v>
      </c>
      <c r="BA197" s="858" t="str">
        <f t="shared" si="162"/>
        <v>-</v>
      </c>
      <c r="BB197" s="858" t="str">
        <f t="shared" si="162"/>
        <v>-</v>
      </c>
      <c r="BC197" s="858" t="str">
        <f t="shared" si="162"/>
        <v>-</v>
      </c>
      <c r="BD197" s="858" t="str">
        <f t="shared" si="162"/>
        <v>-</v>
      </c>
      <c r="BE197" s="858" t="str">
        <f t="shared" si="162"/>
        <v>-</v>
      </c>
      <c r="BF197" s="592" t="str">
        <f t="shared" si="162"/>
        <v>-</v>
      </c>
      <c r="BG197" s="592" t="str">
        <f t="shared" si="162"/>
        <v>-</v>
      </c>
      <c r="BH197" s="592" t="str">
        <f t="shared" si="162"/>
        <v>-</v>
      </c>
      <c r="BI197" s="592" t="str">
        <f t="shared" si="162"/>
        <v>-</v>
      </c>
      <c r="BJ197" s="592" t="str">
        <f t="shared" si="162"/>
        <v>-</v>
      </c>
      <c r="BK197" s="592" t="str">
        <f t="shared" si="162"/>
        <v>-</v>
      </c>
      <c r="BL197" s="592" t="str">
        <f t="shared" si="162"/>
        <v>-</v>
      </c>
      <c r="BM197" s="592" t="str">
        <f>+BL197</f>
        <v>-</v>
      </c>
      <c r="BN197" s="592">
        <v>83</v>
      </c>
      <c r="BO197" s="592">
        <v>83</v>
      </c>
      <c r="BP197" s="592">
        <v>83</v>
      </c>
      <c r="BQ197" s="592">
        <v>83</v>
      </c>
    </row>
    <row r="198" spans="1:73" customFormat="1" x14ac:dyDescent="0.25">
      <c r="A198" s="263"/>
      <c r="B198" s="117" t="s">
        <v>135</v>
      </c>
      <c r="C198" s="265" t="s">
        <v>47</v>
      </c>
      <c r="D198" s="265" t="s">
        <v>47</v>
      </c>
      <c r="E198" s="265" t="s">
        <v>47</v>
      </c>
      <c r="F198" s="265" t="s">
        <v>47</v>
      </c>
      <c r="G198" s="265" t="s">
        <v>47</v>
      </c>
      <c r="H198" s="266" t="s">
        <v>47</v>
      </c>
      <c r="I198" s="266" t="s">
        <v>47</v>
      </c>
      <c r="J198" s="266" t="s">
        <v>47</v>
      </c>
      <c r="K198" s="266" t="s">
        <v>47</v>
      </c>
      <c r="L198" s="593" t="s">
        <v>47</v>
      </c>
      <c r="M198" s="593" t="s">
        <v>47</v>
      </c>
      <c r="N198" s="593" t="s">
        <v>47</v>
      </c>
      <c r="O198" s="593" t="s">
        <v>47</v>
      </c>
      <c r="P198" s="593" t="s">
        <v>47</v>
      </c>
      <c r="Q198" s="593" t="s">
        <v>47</v>
      </c>
      <c r="R198" s="593" t="s">
        <v>47</v>
      </c>
      <c r="S198" s="593" t="s">
        <v>47</v>
      </c>
      <c r="T198" s="593" t="s">
        <v>47</v>
      </c>
      <c r="U198" s="593" t="s">
        <v>47</v>
      </c>
      <c r="V198" s="593" t="s">
        <v>47</v>
      </c>
      <c r="W198" s="593" t="s">
        <v>47</v>
      </c>
      <c r="X198" s="593" t="s">
        <v>47</v>
      </c>
      <c r="Y198" s="593" t="s">
        <v>47</v>
      </c>
      <c r="Z198" s="593" t="s">
        <v>47</v>
      </c>
      <c r="AA198" s="593" t="s">
        <v>47</v>
      </c>
      <c r="AB198" s="593" t="s">
        <v>47</v>
      </c>
      <c r="AC198" s="593" t="s">
        <v>47</v>
      </c>
      <c r="AD198" s="593" t="s">
        <v>47</v>
      </c>
      <c r="AE198" s="593" t="s">
        <v>47</v>
      </c>
      <c r="AF198" s="592" t="s">
        <v>47</v>
      </c>
      <c r="AG198" s="592" t="s">
        <v>47</v>
      </c>
      <c r="AH198" s="592" t="s">
        <v>47</v>
      </c>
      <c r="AI198" s="592" t="s">
        <v>47</v>
      </c>
      <c r="AJ198" s="592" t="s">
        <v>47</v>
      </c>
      <c r="AK198" s="592" t="s">
        <v>47</v>
      </c>
      <c r="AL198" s="592">
        <v>163</v>
      </c>
      <c r="AM198" s="592">
        <v>163</v>
      </c>
      <c r="AN198" s="592">
        <v>163</v>
      </c>
      <c r="AO198" s="592">
        <v>163</v>
      </c>
      <c r="AP198" s="592">
        <v>163</v>
      </c>
      <c r="AQ198" s="592">
        <v>163</v>
      </c>
      <c r="AR198" s="592">
        <v>163</v>
      </c>
      <c r="AS198" s="592">
        <v>163</v>
      </c>
      <c r="AT198" s="592">
        <v>163</v>
      </c>
      <c r="AU198" s="592">
        <v>163</v>
      </c>
      <c r="AV198" s="948">
        <v>163</v>
      </c>
      <c r="AW198" s="342">
        <v>98.526928375997514</v>
      </c>
      <c r="AX198" s="592">
        <v>98.526928375997514</v>
      </c>
      <c r="AY198" s="592">
        <v>98.526928375997514</v>
      </c>
      <c r="AZ198" s="592">
        <v>98.526928375997514</v>
      </c>
      <c r="BA198" s="592">
        <v>98.526928375997514</v>
      </c>
      <c r="BB198" s="592">
        <v>98.526928375997514</v>
      </c>
      <c r="BC198" s="592">
        <v>98.526928375997514</v>
      </c>
      <c r="BD198" s="343">
        <v>159</v>
      </c>
      <c r="BE198" s="592">
        <v>159</v>
      </c>
      <c r="BF198" s="592">
        <v>159</v>
      </c>
      <c r="BG198" s="592">
        <v>159</v>
      </c>
      <c r="BH198" s="592">
        <v>159</v>
      </c>
      <c r="BI198" s="592">
        <v>159</v>
      </c>
      <c r="BJ198" s="592">
        <v>159</v>
      </c>
      <c r="BK198" s="592">
        <v>159</v>
      </c>
      <c r="BL198" s="592">
        <v>159</v>
      </c>
      <c r="BM198" s="592">
        <v>159</v>
      </c>
      <c r="BN198" s="592" t="s">
        <v>47</v>
      </c>
      <c r="BO198" s="592" t="s">
        <v>47</v>
      </c>
      <c r="BP198" s="592" t="s">
        <v>47</v>
      </c>
      <c r="BQ198" s="592">
        <v>101</v>
      </c>
    </row>
    <row r="199" spans="1:73" x14ac:dyDescent="0.25">
      <c r="B199" s="117" t="s">
        <v>142</v>
      </c>
      <c r="C199" s="265" t="s">
        <v>47</v>
      </c>
      <c r="D199" s="265" t="s">
        <v>47</v>
      </c>
      <c r="E199" s="265" t="s">
        <v>47</v>
      </c>
      <c r="F199" s="265" t="s">
        <v>47</v>
      </c>
      <c r="G199" s="265" t="s">
        <v>47</v>
      </c>
      <c r="H199" s="265" t="s">
        <v>47</v>
      </c>
      <c r="I199" s="265" t="s">
        <v>47</v>
      </c>
      <c r="J199" s="265" t="s">
        <v>47</v>
      </c>
      <c r="K199" s="265" t="s">
        <v>47</v>
      </c>
      <c r="L199" s="353" t="s">
        <v>47</v>
      </c>
      <c r="M199" s="353" t="s">
        <v>47</v>
      </c>
      <c r="N199" s="353" t="s">
        <v>47</v>
      </c>
      <c r="O199" s="593" t="s">
        <v>47</v>
      </c>
      <c r="P199" s="593" t="s">
        <v>47</v>
      </c>
      <c r="Q199" s="593" t="s">
        <v>47</v>
      </c>
      <c r="R199" s="593" t="s">
        <v>47</v>
      </c>
      <c r="S199" s="593" t="s">
        <v>47</v>
      </c>
      <c r="T199" s="593" t="s">
        <v>47</v>
      </c>
      <c r="U199" s="593" t="s">
        <v>47</v>
      </c>
      <c r="V199" s="593" t="s">
        <v>47</v>
      </c>
      <c r="W199" s="592" t="s">
        <v>47</v>
      </c>
      <c r="X199" s="593" t="s">
        <v>47</v>
      </c>
      <c r="Y199" s="593" t="s">
        <v>47</v>
      </c>
      <c r="Z199" s="593" t="s">
        <v>47</v>
      </c>
      <c r="AA199" s="593" t="s">
        <v>47</v>
      </c>
      <c r="AB199" s="593" t="s">
        <v>47</v>
      </c>
      <c r="AC199" s="593" t="s">
        <v>47</v>
      </c>
      <c r="AD199" s="593" t="s">
        <v>47</v>
      </c>
      <c r="AE199" s="593" t="s">
        <v>47</v>
      </c>
      <c r="AF199" s="593" t="s">
        <v>47</v>
      </c>
      <c r="AG199" s="593" t="s">
        <v>47</v>
      </c>
      <c r="AH199" s="593" t="s">
        <v>47</v>
      </c>
      <c r="AI199" s="593" t="s">
        <v>47</v>
      </c>
      <c r="AJ199" s="593" t="s">
        <v>47</v>
      </c>
      <c r="AK199" s="593" t="s">
        <v>47</v>
      </c>
      <c r="AL199" s="593" t="s">
        <v>47</v>
      </c>
      <c r="AM199" s="593" t="s">
        <v>47</v>
      </c>
      <c r="AN199" s="593" t="s">
        <v>47</v>
      </c>
      <c r="AO199" s="593" t="s">
        <v>47</v>
      </c>
      <c r="AP199" s="593" t="s">
        <v>47</v>
      </c>
      <c r="AQ199" s="593">
        <v>182</v>
      </c>
      <c r="AR199" s="593">
        <v>182</v>
      </c>
      <c r="AS199" s="593">
        <v>182</v>
      </c>
      <c r="AT199" s="593">
        <v>182</v>
      </c>
      <c r="AU199" s="593">
        <v>182</v>
      </c>
      <c r="AV199" s="951">
        <v>182</v>
      </c>
      <c r="AW199" s="278" t="s">
        <v>47</v>
      </c>
      <c r="AX199" s="278" t="s">
        <v>47</v>
      </c>
      <c r="AY199" s="278" t="s">
        <v>47</v>
      </c>
      <c r="AZ199" s="278" t="s">
        <v>47</v>
      </c>
      <c r="BA199" s="278" t="s">
        <v>47</v>
      </c>
      <c r="BB199" s="278" t="s">
        <v>47</v>
      </c>
      <c r="BC199" s="592">
        <v>115</v>
      </c>
      <c r="BD199" s="592">
        <v>115</v>
      </c>
      <c r="BE199" s="592">
        <v>115</v>
      </c>
      <c r="BF199" s="592">
        <v>115</v>
      </c>
      <c r="BG199" s="592">
        <v>115</v>
      </c>
      <c r="BH199" s="592">
        <v>115</v>
      </c>
      <c r="BI199" s="592">
        <v>115</v>
      </c>
      <c r="BJ199" s="592">
        <v>115</v>
      </c>
      <c r="BK199" s="592">
        <v>115</v>
      </c>
      <c r="BL199" s="592">
        <v>115</v>
      </c>
      <c r="BM199" s="592">
        <v>115</v>
      </c>
      <c r="BN199" s="592" t="s">
        <v>47</v>
      </c>
      <c r="BO199" s="592" t="s">
        <v>47</v>
      </c>
      <c r="BP199" s="592" t="s">
        <v>47</v>
      </c>
      <c r="BQ199" s="592" t="s">
        <v>47</v>
      </c>
      <c r="BR199"/>
      <c r="BS199"/>
      <c r="BT199"/>
      <c r="BU199"/>
    </row>
    <row r="200" spans="1:73" x14ac:dyDescent="0.25">
      <c r="B200" s="117" t="s">
        <v>136</v>
      </c>
      <c r="C200" s="265" t="s">
        <v>47</v>
      </c>
      <c r="D200" s="265" t="s">
        <v>47</v>
      </c>
      <c r="E200" s="265" t="s">
        <v>47</v>
      </c>
      <c r="F200" s="265" t="s">
        <v>47</v>
      </c>
      <c r="G200" s="266" t="s">
        <v>47</v>
      </c>
      <c r="H200" s="266" t="s">
        <v>47</v>
      </c>
      <c r="I200" s="266" t="s">
        <v>47</v>
      </c>
      <c r="J200" s="266" t="s">
        <v>47</v>
      </c>
      <c r="K200" s="266" t="s">
        <v>47</v>
      </c>
      <c r="L200" s="593" t="s">
        <v>47</v>
      </c>
      <c r="M200" s="593" t="s">
        <v>47</v>
      </c>
      <c r="N200" s="593" t="s">
        <v>47</v>
      </c>
      <c r="O200" s="593" t="s">
        <v>47</v>
      </c>
      <c r="P200" s="593" t="s">
        <v>47</v>
      </c>
      <c r="Q200" s="592" t="s">
        <v>47</v>
      </c>
      <c r="R200" s="592" t="s">
        <v>47</v>
      </c>
      <c r="S200" s="592" t="s">
        <v>47</v>
      </c>
      <c r="T200" s="592" t="s">
        <v>47</v>
      </c>
      <c r="U200" s="592" t="s">
        <v>47</v>
      </c>
      <c r="V200" s="592" t="s">
        <v>47</v>
      </c>
      <c r="W200" s="592" t="s">
        <v>47</v>
      </c>
      <c r="X200" s="592" t="s">
        <v>47</v>
      </c>
      <c r="Y200" s="592" t="s">
        <v>47</v>
      </c>
      <c r="Z200" s="592" t="s">
        <v>47</v>
      </c>
      <c r="AA200" s="592" t="s">
        <v>47</v>
      </c>
      <c r="AB200" s="592" t="s">
        <v>47</v>
      </c>
      <c r="AC200" s="592" t="s">
        <v>47</v>
      </c>
      <c r="AD200" s="592" t="s">
        <v>47</v>
      </c>
      <c r="AE200" s="592" t="s">
        <v>47</v>
      </c>
      <c r="AF200" s="592" t="s">
        <v>47</v>
      </c>
      <c r="AG200" s="592" t="s">
        <v>47</v>
      </c>
      <c r="AH200" s="592" t="s">
        <v>47</v>
      </c>
      <c r="AI200" s="592" t="s">
        <v>47</v>
      </c>
      <c r="AJ200" s="592" t="s">
        <v>47</v>
      </c>
      <c r="AK200" s="592" t="s">
        <v>47</v>
      </c>
      <c r="AL200" s="592" t="s">
        <v>47</v>
      </c>
      <c r="AM200" s="592" t="s">
        <v>47</v>
      </c>
      <c r="AN200" s="592" t="s">
        <v>47</v>
      </c>
      <c r="AO200" s="592" t="s">
        <v>47</v>
      </c>
      <c r="AP200" s="592">
        <v>179</v>
      </c>
      <c r="AQ200" s="592">
        <v>179</v>
      </c>
      <c r="AR200" s="592">
        <v>179</v>
      </c>
      <c r="AS200" s="592">
        <v>179</v>
      </c>
      <c r="AT200" s="592">
        <v>179</v>
      </c>
      <c r="AU200" s="592">
        <v>179</v>
      </c>
      <c r="AV200" s="948">
        <v>179</v>
      </c>
      <c r="AW200" s="858" t="s">
        <v>47</v>
      </c>
      <c r="AX200" s="858" t="s">
        <v>47</v>
      </c>
      <c r="AY200" s="342">
        <v>94</v>
      </c>
      <c r="AZ200" s="592">
        <v>94</v>
      </c>
      <c r="BA200" s="592">
        <v>94</v>
      </c>
      <c r="BB200" s="592">
        <v>94</v>
      </c>
      <c r="BC200" s="592">
        <v>94</v>
      </c>
      <c r="BD200" s="592">
        <v>94</v>
      </c>
      <c r="BE200" s="343">
        <v>133.69999999999999</v>
      </c>
      <c r="BF200" s="592">
        <v>133.69999999999999</v>
      </c>
      <c r="BG200" s="592">
        <v>133.69999999999999</v>
      </c>
      <c r="BH200" s="592">
        <v>133.69999999999999</v>
      </c>
      <c r="BI200" s="592">
        <v>133.69999999999999</v>
      </c>
      <c r="BJ200" s="592">
        <v>133.69999999999999</v>
      </c>
      <c r="BK200" s="592">
        <v>133.69999999999999</v>
      </c>
      <c r="BL200" s="592">
        <v>133.69999999999999</v>
      </c>
      <c r="BM200" s="592">
        <v>133.69999999999999</v>
      </c>
      <c r="BN200" s="592" t="s">
        <v>47</v>
      </c>
      <c r="BO200" s="592" t="s">
        <v>47</v>
      </c>
      <c r="BP200" s="592" t="s">
        <v>47</v>
      </c>
      <c r="BQ200" s="592">
        <v>101</v>
      </c>
      <c r="BR200"/>
      <c r="BS200"/>
      <c r="BT200"/>
      <c r="BU200"/>
    </row>
    <row r="201" spans="1:73" x14ac:dyDescent="0.25">
      <c r="A201"/>
      <c r="B201" s="279" t="s">
        <v>381</v>
      </c>
      <c r="C201" s="328" t="str">
        <f t="shared" ref="C201:AF201" si="163">IFERROR(AVERAGE(C196:C200),"-")</f>
        <v>-</v>
      </c>
      <c r="D201" s="328" t="str">
        <f t="shared" si="163"/>
        <v>-</v>
      </c>
      <c r="E201" s="328" t="str">
        <f t="shared" si="163"/>
        <v>-</v>
      </c>
      <c r="F201" s="328" t="str">
        <f t="shared" si="163"/>
        <v>-</v>
      </c>
      <c r="G201" s="328" t="str">
        <f t="shared" si="163"/>
        <v>-</v>
      </c>
      <c r="H201" s="328" t="str">
        <f t="shared" si="163"/>
        <v>-</v>
      </c>
      <c r="I201" s="328" t="str">
        <f t="shared" si="163"/>
        <v>-</v>
      </c>
      <c r="J201" s="339" t="str">
        <f t="shared" si="163"/>
        <v>-</v>
      </c>
      <c r="K201" s="339" t="str">
        <f t="shared" si="163"/>
        <v>-</v>
      </c>
      <c r="L201" s="339" t="str">
        <f t="shared" si="163"/>
        <v>-</v>
      </c>
      <c r="M201" s="339" t="str">
        <f t="shared" si="163"/>
        <v>-</v>
      </c>
      <c r="N201" s="339" t="str">
        <f t="shared" si="163"/>
        <v>-</v>
      </c>
      <c r="O201" s="339" t="str">
        <f t="shared" si="163"/>
        <v>-</v>
      </c>
      <c r="P201" s="339" t="str">
        <f t="shared" si="163"/>
        <v>-</v>
      </c>
      <c r="Q201" s="339" t="str">
        <f t="shared" si="163"/>
        <v>-</v>
      </c>
      <c r="R201" s="349" t="str">
        <f t="shared" si="163"/>
        <v>-</v>
      </c>
      <c r="S201" s="349" t="str">
        <f t="shared" si="163"/>
        <v>-</v>
      </c>
      <c r="T201" s="349" t="str">
        <f t="shared" si="163"/>
        <v>-</v>
      </c>
      <c r="U201" s="349" t="str">
        <f t="shared" si="163"/>
        <v>-</v>
      </c>
      <c r="V201" s="349" t="str">
        <f t="shared" si="163"/>
        <v>-</v>
      </c>
      <c r="W201" s="349" t="str">
        <f t="shared" si="163"/>
        <v>-</v>
      </c>
      <c r="X201" s="349" t="str">
        <f t="shared" si="163"/>
        <v>-</v>
      </c>
      <c r="Y201" s="349" t="str">
        <f t="shared" si="163"/>
        <v>-</v>
      </c>
      <c r="Z201" s="349" t="str">
        <f t="shared" si="163"/>
        <v>-</v>
      </c>
      <c r="AA201" s="349" t="str">
        <f t="shared" si="163"/>
        <v>-</v>
      </c>
      <c r="AB201" s="349" t="str">
        <f t="shared" si="163"/>
        <v>-</v>
      </c>
      <c r="AC201" s="349" t="str">
        <f t="shared" si="163"/>
        <v>-</v>
      </c>
      <c r="AD201" s="349" t="str">
        <f t="shared" si="163"/>
        <v>-</v>
      </c>
      <c r="AE201" s="349" t="str">
        <f t="shared" si="163"/>
        <v>-</v>
      </c>
      <c r="AF201" s="349" t="str">
        <f t="shared" si="163"/>
        <v>-</v>
      </c>
      <c r="AG201" s="349" t="str">
        <f t="shared" ref="AG201:AL201" si="164">IFERROR(AVERAGE(AG196:AG200),"-")</f>
        <v>-</v>
      </c>
      <c r="AH201" s="349" t="str">
        <f t="shared" si="164"/>
        <v>-</v>
      </c>
      <c r="AI201" s="349" t="str">
        <f t="shared" si="164"/>
        <v>-</v>
      </c>
      <c r="AJ201" s="349">
        <f t="shared" si="164"/>
        <v>146</v>
      </c>
      <c r="AK201" s="349">
        <f t="shared" si="164"/>
        <v>146</v>
      </c>
      <c r="AL201" s="349">
        <f t="shared" si="164"/>
        <v>159</v>
      </c>
      <c r="AM201" s="349">
        <f t="shared" ref="AM201:AR201" si="165">IFERROR(AVERAGE(AM196:AM200),"-")</f>
        <v>159</v>
      </c>
      <c r="AN201" s="349">
        <f t="shared" si="165"/>
        <v>159</v>
      </c>
      <c r="AO201" s="349">
        <f t="shared" si="165"/>
        <v>159</v>
      </c>
      <c r="AP201" s="349">
        <f t="shared" si="165"/>
        <v>165.66666666666666</v>
      </c>
      <c r="AQ201" s="349">
        <f t="shared" si="165"/>
        <v>169.75</v>
      </c>
      <c r="AR201" s="349">
        <f t="shared" si="165"/>
        <v>169.75</v>
      </c>
      <c r="AS201" s="349">
        <f t="shared" ref="AS201:AZ201" si="166">IFERROR(AVERAGE(AS196:AS200),"-")</f>
        <v>177.6</v>
      </c>
      <c r="AT201" s="832">
        <f t="shared" si="166"/>
        <v>177.6</v>
      </c>
      <c r="AU201" s="832">
        <f t="shared" si="166"/>
        <v>177.6</v>
      </c>
      <c r="AV201" s="949">
        <f>IFERROR(AVERAGE(AV196:AV200),"-")</f>
        <v>177.6</v>
      </c>
      <c r="AW201" s="643">
        <f t="shared" si="166"/>
        <v>98.526928375997514</v>
      </c>
      <c r="AX201" s="643">
        <f t="shared" si="166"/>
        <v>98.526928375997514</v>
      </c>
      <c r="AY201" s="643">
        <f t="shared" si="166"/>
        <v>101.5089761253325</v>
      </c>
      <c r="AZ201" s="643">
        <f t="shared" si="166"/>
        <v>101.5089761253325</v>
      </c>
      <c r="BA201" s="643">
        <f t="shared" ref="BA201:BF201" si="167">IFERROR(AVERAGE(BA196:BA200),"-")</f>
        <v>101.5089761253325</v>
      </c>
      <c r="BB201" s="643">
        <f t="shared" si="167"/>
        <v>101.5089761253325</v>
      </c>
      <c r="BC201" s="643">
        <f t="shared" si="167"/>
        <v>104.88173209399937</v>
      </c>
      <c r="BD201" s="643">
        <f t="shared" si="167"/>
        <v>120</v>
      </c>
      <c r="BE201" s="643">
        <f t="shared" si="167"/>
        <v>143.92500000000001</v>
      </c>
      <c r="BF201" s="643">
        <f t="shared" si="167"/>
        <v>143.92500000000001</v>
      </c>
      <c r="BG201" s="643">
        <f t="shared" ref="BG201:BL201" si="168">IFERROR(AVERAGE(BG196:BG200),"-")</f>
        <v>143.92500000000001</v>
      </c>
      <c r="BH201" s="643">
        <f t="shared" si="168"/>
        <v>143.92500000000001</v>
      </c>
      <c r="BI201" s="643">
        <f t="shared" si="168"/>
        <v>143.92500000000001</v>
      </c>
      <c r="BJ201" s="643">
        <f t="shared" si="168"/>
        <v>143.92500000000001</v>
      </c>
      <c r="BK201" s="643">
        <f t="shared" si="168"/>
        <v>144.17500000000001</v>
      </c>
      <c r="BL201" s="643">
        <f t="shared" si="168"/>
        <v>144.17500000000001</v>
      </c>
      <c r="BM201" s="643">
        <f>IFERROR(AVERAGE(BM196:BM200),"-")</f>
        <v>144.17500000000001</v>
      </c>
      <c r="BN201" s="643">
        <f>IFERROR(AVERAGE(BN196:BN200),"-")</f>
        <v>83</v>
      </c>
      <c r="BO201" s="643">
        <f>IFERROR(AVERAGE(BO196:BO200),"-")</f>
        <v>83</v>
      </c>
      <c r="BP201" s="643">
        <f>IFERROR(AVERAGE(BP196:BP200),"-")</f>
        <v>83</v>
      </c>
      <c r="BQ201" s="643">
        <f>IFERROR(AVERAGE(BQ196:BQ200),"-")</f>
        <v>96.5</v>
      </c>
      <c r="BR201"/>
      <c r="BS201"/>
      <c r="BT201"/>
      <c r="BU201"/>
    </row>
    <row r="202" spans="1:73" x14ac:dyDescent="0.25">
      <c r="Q202" s="340"/>
      <c r="R202" s="340"/>
      <c r="S202" s="340"/>
      <c r="T202" s="340"/>
      <c r="U202" s="340"/>
      <c r="V202" s="340"/>
      <c r="W202" s="340"/>
      <c r="AT202" s="787"/>
      <c r="BR202"/>
      <c r="BS202"/>
      <c r="BT202"/>
      <c r="BU202"/>
    </row>
    <row r="203" spans="1:73" x14ac:dyDescent="0.25">
      <c r="B203" s="113" t="s">
        <v>1104</v>
      </c>
      <c r="C203" s="264" t="s">
        <v>1493</v>
      </c>
      <c r="D203" s="264" t="s">
        <v>1494</v>
      </c>
      <c r="E203" s="264" t="s">
        <v>1495</v>
      </c>
      <c r="F203" s="264" t="s">
        <v>1496</v>
      </c>
      <c r="G203" s="264" t="s">
        <v>1497</v>
      </c>
      <c r="H203" s="264" t="s">
        <v>1498</v>
      </c>
      <c r="I203" s="264" t="s">
        <v>1440</v>
      </c>
      <c r="J203" s="264" t="s">
        <v>1499</v>
      </c>
      <c r="K203" s="264" t="s">
        <v>1441</v>
      </c>
      <c r="L203" s="264" t="s">
        <v>1500</v>
      </c>
      <c r="M203" s="264" t="s">
        <v>1501</v>
      </c>
      <c r="N203" s="264" t="s">
        <v>1502</v>
      </c>
      <c r="O203" s="264" t="s">
        <v>1503</v>
      </c>
      <c r="P203" s="264" t="s">
        <v>1504</v>
      </c>
      <c r="Q203" s="264" t="s">
        <v>1505</v>
      </c>
      <c r="R203" s="264" t="s">
        <v>1506</v>
      </c>
      <c r="S203" s="264" t="s">
        <v>1507</v>
      </c>
      <c r="T203" s="264" t="s">
        <v>1508</v>
      </c>
      <c r="U203" s="264" t="s">
        <v>1442</v>
      </c>
      <c r="V203" s="264" t="s">
        <v>1509</v>
      </c>
      <c r="W203" s="264" t="s">
        <v>1443</v>
      </c>
      <c r="X203" s="264" t="s">
        <v>1510</v>
      </c>
      <c r="Y203" s="264" t="s">
        <v>1511</v>
      </c>
      <c r="Z203" s="264" t="s">
        <v>1512</v>
      </c>
      <c r="AA203" s="264" t="s">
        <v>1513</v>
      </c>
      <c r="AB203" s="264" t="s">
        <v>1514</v>
      </c>
      <c r="AC203" s="264" t="s">
        <v>1515</v>
      </c>
      <c r="AD203" s="264" t="s">
        <v>1516</v>
      </c>
      <c r="AE203" s="264" t="s">
        <v>1517</v>
      </c>
      <c r="AF203" s="264" t="s">
        <v>1518</v>
      </c>
      <c r="AG203" s="264" t="s">
        <v>1444</v>
      </c>
      <c r="AH203" s="264" t="s">
        <v>1519</v>
      </c>
      <c r="AI203" s="264" t="s">
        <v>1445</v>
      </c>
      <c r="AJ203" s="264" t="s">
        <v>1520</v>
      </c>
      <c r="AK203" s="264" t="s">
        <v>1521</v>
      </c>
      <c r="AL203" s="264" t="s">
        <v>1522</v>
      </c>
      <c r="AM203" s="264" t="s">
        <v>1446</v>
      </c>
      <c r="AN203" s="264" t="s">
        <v>1523</v>
      </c>
      <c r="AO203" s="264" t="s">
        <v>1524</v>
      </c>
      <c r="AP203" s="264" t="s">
        <v>1525</v>
      </c>
      <c r="AQ203" s="264" t="s">
        <v>1526</v>
      </c>
      <c r="AR203" s="264" t="s">
        <v>1527</v>
      </c>
      <c r="AS203" s="264" t="s">
        <v>1447</v>
      </c>
      <c r="AT203" s="264" t="s">
        <v>1528</v>
      </c>
      <c r="AU203" s="264" t="s">
        <v>1529</v>
      </c>
      <c r="AV203" s="946" t="s">
        <v>1530</v>
      </c>
      <c r="AW203" s="264" t="s">
        <v>1531</v>
      </c>
      <c r="AX203" s="264" t="s">
        <v>1532</v>
      </c>
      <c r="AY203" s="264" t="s">
        <v>1448</v>
      </c>
      <c r="AZ203" s="264" t="s">
        <v>1449</v>
      </c>
      <c r="BA203" s="264" t="s">
        <v>1450</v>
      </c>
      <c r="BB203" s="264" t="s">
        <v>1533</v>
      </c>
      <c r="BC203" s="264" t="s">
        <v>1534</v>
      </c>
      <c r="BD203" s="264" t="s">
        <v>1535</v>
      </c>
      <c r="BE203" s="264" t="s">
        <v>1536</v>
      </c>
      <c r="BF203" s="264" t="s">
        <v>1537</v>
      </c>
      <c r="BG203" s="264" t="s">
        <v>1538</v>
      </c>
      <c r="BH203" s="264" t="s">
        <v>1539</v>
      </c>
      <c r="BI203" s="264" t="s">
        <v>1452</v>
      </c>
      <c r="BJ203" s="264" t="s">
        <v>1540</v>
      </c>
      <c r="BK203" s="264" t="s">
        <v>1541</v>
      </c>
      <c r="BL203" s="264" t="s">
        <v>1451</v>
      </c>
      <c r="BM203" s="264" t="s">
        <v>1542</v>
      </c>
      <c r="BN203" s="264" t="s">
        <v>1543</v>
      </c>
      <c r="BO203" s="264" t="s">
        <v>1544</v>
      </c>
      <c r="BP203" s="264" t="s">
        <v>1545</v>
      </c>
      <c r="BQ203" s="264" t="s">
        <v>1546</v>
      </c>
      <c r="BR203"/>
      <c r="BS203"/>
      <c r="BT203"/>
      <c r="BU203"/>
    </row>
    <row r="204" spans="1:73" x14ac:dyDescent="0.25">
      <c r="B204" s="117" t="s">
        <v>131</v>
      </c>
      <c r="C204" s="265" t="s">
        <v>47</v>
      </c>
      <c r="D204" s="265" t="s">
        <v>47</v>
      </c>
      <c r="E204" s="265" t="s">
        <v>47</v>
      </c>
      <c r="F204" s="265" t="s">
        <v>47</v>
      </c>
      <c r="G204" s="265" t="s">
        <v>47</v>
      </c>
      <c r="H204" s="265" t="s">
        <v>47</v>
      </c>
      <c r="I204" s="265" t="s">
        <v>47</v>
      </c>
      <c r="J204" s="265" t="s">
        <v>47</v>
      </c>
      <c r="K204" s="265" t="s">
        <v>47</v>
      </c>
      <c r="L204" s="265" t="s">
        <v>47</v>
      </c>
      <c r="M204" s="265" t="s">
        <v>47</v>
      </c>
      <c r="N204" s="265" t="s">
        <v>47</v>
      </c>
      <c r="O204" s="265" t="s">
        <v>47</v>
      </c>
      <c r="P204" s="265" t="s">
        <v>47</v>
      </c>
      <c r="Q204" s="265" t="s">
        <v>47</v>
      </c>
      <c r="R204" s="265" t="s">
        <v>47</v>
      </c>
      <c r="S204" s="265" t="s">
        <v>47</v>
      </c>
      <c r="T204" s="265" t="s">
        <v>47</v>
      </c>
      <c r="U204" s="692" t="s">
        <v>47</v>
      </c>
      <c r="V204" s="692" t="s">
        <v>47</v>
      </c>
      <c r="W204" s="692" t="s">
        <v>47</v>
      </c>
      <c r="X204" s="692" t="s">
        <v>47</v>
      </c>
      <c r="Y204" s="692" t="s">
        <v>47</v>
      </c>
      <c r="Z204" s="692" t="s">
        <v>47</v>
      </c>
      <c r="AA204" s="692" t="s">
        <v>47</v>
      </c>
      <c r="AB204" s="692" t="s">
        <v>47</v>
      </c>
      <c r="AC204" s="692" t="s">
        <v>47</v>
      </c>
      <c r="AD204" s="692" t="s">
        <v>47</v>
      </c>
      <c r="AE204" s="692" t="s">
        <v>47</v>
      </c>
      <c r="AF204" s="692" t="s">
        <v>47</v>
      </c>
      <c r="AG204" s="692" t="s">
        <v>47</v>
      </c>
      <c r="AH204" s="692" t="s">
        <v>47</v>
      </c>
      <c r="AI204" s="692" t="s">
        <v>47</v>
      </c>
      <c r="AJ204" s="692" t="s">
        <v>47</v>
      </c>
      <c r="AK204" s="692" t="s">
        <v>47</v>
      </c>
      <c r="AL204" s="692" t="s">
        <v>47</v>
      </c>
      <c r="AM204" s="692" t="s">
        <v>47</v>
      </c>
      <c r="AN204" s="692" t="s">
        <v>47</v>
      </c>
      <c r="AO204" s="692" t="s">
        <v>47</v>
      </c>
      <c r="AP204" s="964" t="s">
        <v>47</v>
      </c>
      <c r="AQ204" s="964" t="s">
        <v>47</v>
      </c>
      <c r="AR204" s="964" t="s">
        <v>47</v>
      </c>
      <c r="AS204" s="964" t="s">
        <v>47</v>
      </c>
      <c r="AT204" s="964" t="s">
        <v>47</v>
      </c>
      <c r="AU204" s="964" t="s">
        <v>47</v>
      </c>
      <c r="AV204" s="964" t="s">
        <v>47</v>
      </c>
      <c r="AW204" s="965" t="s">
        <v>47</v>
      </c>
      <c r="AX204" s="964" t="s">
        <v>47</v>
      </c>
      <c r="AY204" s="964" t="s">
        <v>47</v>
      </c>
      <c r="AZ204" s="964" t="s">
        <v>47</v>
      </c>
      <c r="BA204" s="964" t="s">
        <v>47</v>
      </c>
      <c r="BB204" s="964" t="s">
        <v>47</v>
      </c>
      <c r="BC204" s="964" t="s">
        <v>47</v>
      </c>
      <c r="BD204" s="964" t="s">
        <v>47</v>
      </c>
      <c r="BE204" s="964">
        <v>34.299999999999997</v>
      </c>
      <c r="BF204" s="964">
        <v>34.299999999999997</v>
      </c>
      <c r="BG204" s="964">
        <v>34.299999999999997</v>
      </c>
      <c r="BH204" s="964">
        <v>34.299999999999997</v>
      </c>
      <c r="BI204" s="964">
        <v>34.299999999999997</v>
      </c>
      <c r="BJ204" s="964">
        <v>34.299999999999997</v>
      </c>
      <c r="BK204" s="964">
        <v>35.299999999999997</v>
      </c>
      <c r="BL204" s="964">
        <v>35.299999999999997</v>
      </c>
      <c r="BM204" s="964">
        <v>35.299999999999997</v>
      </c>
      <c r="BN204" s="964">
        <v>35.299999999999997</v>
      </c>
      <c r="BO204" s="964">
        <v>35.299999999999997</v>
      </c>
      <c r="BP204" s="964">
        <v>35.299999999999997</v>
      </c>
      <c r="BQ204" s="964" t="s">
        <v>47</v>
      </c>
      <c r="BR204"/>
      <c r="BS204"/>
      <c r="BT204"/>
      <c r="BU204"/>
    </row>
    <row r="205" spans="1:73" x14ac:dyDescent="0.25">
      <c r="B205" s="117" t="s">
        <v>134</v>
      </c>
      <c r="C205" s="265" t="s">
        <v>47</v>
      </c>
      <c r="D205" s="265" t="s">
        <v>47</v>
      </c>
      <c r="E205" s="265" t="s">
        <v>47</v>
      </c>
      <c r="F205" s="265" t="s">
        <v>47</v>
      </c>
      <c r="G205" s="265" t="s">
        <v>47</v>
      </c>
      <c r="H205" s="265" t="s">
        <v>47</v>
      </c>
      <c r="I205" s="265" t="s">
        <v>47</v>
      </c>
      <c r="J205" s="265" t="s">
        <v>47</v>
      </c>
      <c r="K205" s="265" t="s">
        <v>47</v>
      </c>
      <c r="L205" s="265" t="s">
        <v>47</v>
      </c>
      <c r="M205" s="265" t="s">
        <v>47</v>
      </c>
      <c r="N205" s="265" t="s">
        <v>47</v>
      </c>
      <c r="O205" s="265" t="s">
        <v>47</v>
      </c>
      <c r="P205" s="265" t="s">
        <v>47</v>
      </c>
      <c r="Q205" s="265" t="s">
        <v>47</v>
      </c>
      <c r="R205" s="265" t="s">
        <v>47</v>
      </c>
      <c r="S205" s="265" t="s">
        <v>47</v>
      </c>
      <c r="T205" s="265" t="s">
        <v>47</v>
      </c>
      <c r="U205" s="265" t="s">
        <v>47</v>
      </c>
      <c r="V205" s="265" t="s">
        <v>47</v>
      </c>
      <c r="W205" s="265" t="s">
        <v>47</v>
      </c>
      <c r="X205" s="265" t="s">
        <v>47</v>
      </c>
      <c r="Y205" s="265" t="s">
        <v>47</v>
      </c>
      <c r="Z205" s="265" t="s">
        <v>47</v>
      </c>
      <c r="AA205" s="265" t="s">
        <v>47</v>
      </c>
      <c r="AB205" s="265" t="s">
        <v>47</v>
      </c>
      <c r="AC205" s="265" t="s">
        <v>47</v>
      </c>
      <c r="AD205" s="265" t="s">
        <v>47</v>
      </c>
      <c r="AE205" s="265" t="s">
        <v>47</v>
      </c>
      <c r="AF205" s="265" t="s">
        <v>47</v>
      </c>
      <c r="AG205" s="265" t="s">
        <v>47</v>
      </c>
      <c r="AH205" s="265" t="s">
        <v>47</v>
      </c>
      <c r="AI205" s="265" t="s">
        <v>47</v>
      </c>
      <c r="AJ205" s="265" t="s">
        <v>47</v>
      </c>
      <c r="AK205" s="265" t="s">
        <v>47</v>
      </c>
      <c r="AL205" s="692" t="s">
        <v>47</v>
      </c>
      <c r="AM205" s="265" t="s">
        <v>47</v>
      </c>
      <c r="AN205" s="265" t="s">
        <v>47</v>
      </c>
      <c r="AO205" s="265" t="s">
        <v>47</v>
      </c>
      <c r="AP205" s="346" t="s">
        <v>47</v>
      </c>
      <c r="AQ205" s="346" t="s">
        <v>47</v>
      </c>
      <c r="AR205" s="346" t="s">
        <v>47</v>
      </c>
      <c r="AS205" s="346" t="s">
        <v>47</v>
      </c>
      <c r="AT205" s="346" t="s">
        <v>47</v>
      </c>
      <c r="AU205" s="346" t="s">
        <v>47</v>
      </c>
      <c r="AV205" s="346" t="s">
        <v>47</v>
      </c>
      <c r="AW205" s="965" t="s">
        <v>47</v>
      </c>
      <c r="AX205" s="964" t="s">
        <v>47</v>
      </c>
      <c r="AY205" s="964" t="s">
        <v>47</v>
      </c>
      <c r="AZ205" s="964" t="s">
        <v>47</v>
      </c>
      <c r="BA205" s="964" t="s">
        <v>47</v>
      </c>
      <c r="BB205" s="964" t="s">
        <v>47</v>
      </c>
      <c r="BC205" s="964" t="s">
        <v>47</v>
      </c>
      <c r="BD205" s="964" t="s">
        <v>47</v>
      </c>
      <c r="BE205" s="964" t="s">
        <v>47</v>
      </c>
      <c r="BF205" s="964" t="s">
        <v>47</v>
      </c>
      <c r="BG205" s="964" t="s">
        <v>47</v>
      </c>
      <c r="BH205" s="964" t="s">
        <v>47</v>
      </c>
      <c r="BI205" s="964" t="s">
        <v>47</v>
      </c>
      <c r="BJ205" s="964" t="s">
        <v>47</v>
      </c>
      <c r="BK205" s="964" t="s">
        <v>47</v>
      </c>
      <c r="BL205" s="964" t="s">
        <v>47</v>
      </c>
      <c r="BM205" s="964" t="s">
        <v>47</v>
      </c>
      <c r="BN205" s="964" t="s">
        <v>47</v>
      </c>
      <c r="BO205" s="964" t="s">
        <v>47</v>
      </c>
      <c r="BP205" s="964" t="s">
        <v>47</v>
      </c>
      <c r="BQ205" s="964" t="s">
        <v>47</v>
      </c>
      <c r="BR205"/>
      <c r="BS205"/>
      <c r="BT205"/>
      <c r="BU205"/>
    </row>
    <row r="206" spans="1:73" x14ac:dyDescent="0.25">
      <c r="B206" s="117" t="s">
        <v>135</v>
      </c>
      <c r="C206" s="265" t="s">
        <v>47</v>
      </c>
      <c r="D206" s="265" t="s">
        <v>47</v>
      </c>
      <c r="E206" s="265" t="s">
        <v>47</v>
      </c>
      <c r="F206" s="265" t="s">
        <v>47</v>
      </c>
      <c r="G206" s="265" t="s">
        <v>47</v>
      </c>
      <c r="H206" s="265" t="s">
        <v>47</v>
      </c>
      <c r="I206" s="265" t="s">
        <v>47</v>
      </c>
      <c r="J206" s="265" t="s">
        <v>47</v>
      </c>
      <c r="K206" s="265" t="s">
        <v>47</v>
      </c>
      <c r="L206" s="265" t="s">
        <v>47</v>
      </c>
      <c r="M206" s="265" t="s">
        <v>47</v>
      </c>
      <c r="N206" s="265" t="s">
        <v>47</v>
      </c>
      <c r="O206" s="265" t="s">
        <v>47</v>
      </c>
      <c r="P206" s="265" t="s">
        <v>47</v>
      </c>
      <c r="Q206" s="265" t="s">
        <v>47</v>
      </c>
      <c r="R206" s="265" t="s">
        <v>47</v>
      </c>
      <c r="S206" s="265" t="s">
        <v>47</v>
      </c>
      <c r="T206" s="265" t="s">
        <v>47</v>
      </c>
      <c r="U206" s="265" t="s">
        <v>47</v>
      </c>
      <c r="V206" s="265" t="s">
        <v>47</v>
      </c>
      <c r="W206" s="265" t="s">
        <v>47</v>
      </c>
      <c r="X206" s="265" t="s">
        <v>47</v>
      </c>
      <c r="Y206" s="265" t="s">
        <v>47</v>
      </c>
      <c r="Z206" s="692" t="s">
        <v>47</v>
      </c>
      <c r="AA206" s="265" t="s">
        <v>47</v>
      </c>
      <c r="AB206" s="265" t="s">
        <v>47</v>
      </c>
      <c r="AC206" s="265" t="s">
        <v>47</v>
      </c>
      <c r="AD206" s="265" t="s">
        <v>47</v>
      </c>
      <c r="AE206" s="265" t="s">
        <v>47</v>
      </c>
      <c r="AF206" s="265" t="s">
        <v>47</v>
      </c>
      <c r="AG206" s="265" t="s">
        <v>47</v>
      </c>
      <c r="AH206" s="265" t="s">
        <v>47</v>
      </c>
      <c r="AI206" s="265" t="s">
        <v>47</v>
      </c>
      <c r="AJ206" s="265" t="s">
        <v>47</v>
      </c>
      <c r="AK206" s="265" t="s">
        <v>47</v>
      </c>
      <c r="AL206" s="265" t="s">
        <v>47</v>
      </c>
      <c r="AM206" s="265" t="s">
        <v>47</v>
      </c>
      <c r="AN206" s="265" t="s">
        <v>47</v>
      </c>
      <c r="AO206" s="265" t="s">
        <v>47</v>
      </c>
      <c r="AP206" s="346" t="s">
        <v>47</v>
      </c>
      <c r="AQ206" s="346" t="s">
        <v>47</v>
      </c>
      <c r="AR206" s="346" t="s">
        <v>47</v>
      </c>
      <c r="AS206" s="346" t="s">
        <v>47</v>
      </c>
      <c r="AT206" s="346" t="s">
        <v>47</v>
      </c>
      <c r="AU206" s="346" t="s">
        <v>47</v>
      </c>
      <c r="AV206" s="346" t="s">
        <v>47</v>
      </c>
      <c r="AW206" s="965" t="s">
        <v>47</v>
      </c>
      <c r="AX206" s="964" t="s">
        <v>47</v>
      </c>
      <c r="AY206" s="964" t="s">
        <v>47</v>
      </c>
      <c r="AZ206" s="964" t="s">
        <v>47</v>
      </c>
      <c r="BA206" s="964" t="s">
        <v>47</v>
      </c>
      <c r="BB206" s="964" t="s">
        <v>47</v>
      </c>
      <c r="BC206" s="964" t="s">
        <v>47</v>
      </c>
      <c r="BD206" s="591">
        <v>33</v>
      </c>
      <c r="BE206" s="597">
        <v>33</v>
      </c>
      <c r="BF206" s="597">
        <v>33</v>
      </c>
      <c r="BG206" s="597">
        <v>33</v>
      </c>
      <c r="BH206" s="597">
        <v>33</v>
      </c>
      <c r="BI206" s="597">
        <v>33</v>
      </c>
      <c r="BJ206" s="597">
        <v>33</v>
      </c>
      <c r="BK206" s="597">
        <v>33</v>
      </c>
      <c r="BL206" s="597">
        <v>33</v>
      </c>
      <c r="BM206" s="597">
        <v>33</v>
      </c>
      <c r="BN206" s="597">
        <v>33</v>
      </c>
      <c r="BO206" s="597">
        <v>33</v>
      </c>
      <c r="BP206" s="597">
        <v>33</v>
      </c>
      <c r="BQ206" s="862" t="s">
        <v>47</v>
      </c>
      <c r="BR206"/>
      <c r="BS206"/>
      <c r="BT206"/>
      <c r="BU206"/>
    </row>
    <row r="207" spans="1:73" x14ac:dyDescent="0.25">
      <c r="B207" s="117" t="s">
        <v>142</v>
      </c>
      <c r="C207" s="265" t="s">
        <v>47</v>
      </c>
      <c r="D207" s="265" t="s">
        <v>47</v>
      </c>
      <c r="E207" s="265" t="s">
        <v>47</v>
      </c>
      <c r="F207" s="265" t="s">
        <v>47</v>
      </c>
      <c r="G207" s="265" t="s">
        <v>47</v>
      </c>
      <c r="H207" s="265" t="s">
        <v>47</v>
      </c>
      <c r="I207" s="265" t="s">
        <v>47</v>
      </c>
      <c r="J207" s="265" t="s">
        <v>47</v>
      </c>
      <c r="K207" s="265" t="s">
        <v>47</v>
      </c>
      <c r="L207" s="265" t="s">
        <v>47</v>
      </c>
      <c r="M207" s="265" t="s">
        <v>47</v>
      </c>
      <c r="N207" s="265" t="s">
        <v>47</v>
      </c>
      <c r="O207" s="265" t="s">
        <v>47</v>
      </c>
      <c r="P207" s="265" t="s">
        <v>47</v>
      </c>
      <c r="Q207" s="265" t="s">
        <v>47</v>
      </c>
      <c r="R207" s="265" t="s">
        <v>47</v>
      </c>
      <c r="S207" s="265" t="s">
        <v>47</v>
      </c>
      <c r="T207" s="265" t="s">
        <v>47</v>
      </c>
      <c r="U207" s="265" t="s">
        <v>47</v>
      </c>
      <c r="V207" s="265" t="s">
        <v>47</v>
      </c>
      <c r="W207" s="692" t="s">
        <v>47</v>
      </c>
      <c r="X207" s="692" t="s">
        <v>47</v>
      </c>
      <c r="Y207" s="692" t="s">
        <v>47</v>
      </c>
      <c r="Z207" s="692" t="s">
        <v>47</v>
      </c>
      <c r="AA207" s="692" t="s">
        <v>47</v>
      </c>
      <c r="AB207" s="692" t="s">
        <v>47</v>
      </c>
      <c r="AC207" s="692" t="s">
        <v>47</v>
      </c>
      <c r="AD207" s="692" t="s">
        <v>47</v>
      </c>
      <c r="AE207" s="692" t="s">
        <v>47</v>
      </c>
      <c r="AF207" s="692" t="s">
        <v>47</v>
      </c>
      <c r="AG207" s="692" t="s">
        <v>47</v>
      </c>
      <c r="AH207" s="692" t="s">
        <v>47</v>
      </c>
      <c r="AI207" s="692" t="s">
        <v>47</v>
      </c>
      <c r="AJ207" s="692" t="s">
        <v>47</v>
      </c>
      <c r="AK207" s="692" t="s">
        <v>47</v>
      </c>
      <c r="AL207" s="692" t="s">
        <v>47</v>
      </c>
      <c r="AM207" s="692" t="s">
        <v>47</v>
      </c>
      <c r="AN207" s="692" t="s">
        <v>47</v>
      </c>
      <c r="AO207" s="692" t="s">
        <v>47</v>
      </c>
      <c r="AP207" s="964" t="s">
        <v>47</v>
      </c>
      <c r="AQ207" s="964" t="s">
        <v>47</v>
      </c>
      <c r="AR207" s="964" t="s">
        <v>47</v>
      </c>
      <c r="AS207" s="964" t="s">
        <v>47</v>
      </c>
      <c r="AT207" s="964" t="s">
        <v>47</v>
      </c>
      <c r="AU207" s="964" t="s">
        <v>47</v>
      </c>
      <c r="AV207" s="964" t="s">
        <v>47</v>
      </c>
      <c r="AW207" s="965" t="s">
        <v>47</v>
      </c>
      <c r="AX207" s="964" t="s">
        <v>47</v>
      </c>
      <c r="AY207" s="964" t="s">
        <v>47</v>
      </c>
      <c r="AZ207" s="964" t="s">
        <v>47</v>
      </c>
      <c r="BA207" s="964" t="s">
        <v>47</v>
      </c>
      <c r="BB207" s="964" t="s">
        <v>47</v>
      </c>
      <c r="BC207" s="591">
        <v>33.200000000000003</v>
      </c>
      <c r="BD207" s="597">
        <v>33.200000000000003</v>
      </c>
      <c r="BE207" s="597">
        <v>33.200000000000003</v>
      </c>
      <c r="BF207" s="597">
        <v>33.200000000000003</v>
      </c>
      <c r="BG207" s="597">
        <v>33.200000000000003</v>
      </c>
      <c r="BH207" s="597">
        <v>33.200000000000003</v>
      </c>
      <c r="BI207" s="597">
        <v>33.200000000000003</v>
      </c>
      <c r="BJ207" s="597">
        <v>33.200000000000003</v>
      </c>
      <c r="BK207" s="597">
        <v>33.200000000000003</v>
      </c>
      <c r="BL207" s="597">
        <v>33.200000000000003</v>
      </c>
      <c r="BM207" s="597">
        <v>33.200000000000003</v>
      </c>
      <c r="BN207" s="597">
        <v>33.200000000000003</v>
      </c>
      <c r="BO207" s="597">
        <v>33.200000000000003</v>
      </c>
      <c r="BP207" s="597">
        <v>33.200000000000003</v>
      </c>
      <c r="BQ207" s="597" t="s">
        <v>47</v>
      </c>
      <c r="BR207"/>
      <c r="BS207"/>
      <c r="BT207"/>
      <c r="BU207"/>
    </row>
    <row r="208" spans="1:73" x14ac:dyDescent="0.25">
      <c r="B208" s="117" t="s">
        <v>136</v>
      </c>
      <c r="C208" s="265" t="s">
        <v>47</v>
      </c>
      <c r="D208" s="265" t="s">
        <v>47</v>
      </c>
      <c r="E208" s="265" t="s">
        <v>47</v>
      </c>
      <c r="F208" s="265" t="s">
        <v>47</v>
      </c>
      <c r="G208" s="265" t="s">
        <v>47</v>
      </c>
      <c r="H208" s="265" t="s">
        <v>47</v>
      </c>
      <c r="I208" s="265" t="s">
        <v>47</v>
      </c>
      <c r="J208" s="265" t="s">
        <v>47</v>
      </c>
      <c r="K208" s="265" t="s">
        <v>47</v>
      </c>
      <c r="L208" s="265" t="s">
        <v>47</v>
      </c>
      <c r="M208" s="265" t="s">
        <v>47</v>
      </c>
      <c r="N208" s="265" t="s">
        <v>47</v>
      </c>
      <c r="O208" s="265" t="s">
        <v>47</v>
      </c>
      <c r="P208" s="265" t="s">
        <v>47</v>
      </c>
      <c r="Q208" s="265" t="s">
        <v>47</v>
      </c>
      <c r="R208" s="265" t="s">
        <v>47</v>
      </c>
      <c r="S208" s="265" t="s">
        <v>47</v>
      </c>
      <c r="T208" s="265" t="s">
        <v>47</v>
      </c>
      <c r="U208" s="265" t="s">
        <v>47</v>
      </c>
      <c r="V208" s="692" t="s">
        <v>47</v>
      </c>
      <c r="W208" s="692" t="s">
        <v>47</v>
      </c>
      <c r="X208" s="692" t="s">
        <v>47</v>
      </c>
      <c r="Y208" s="692" t="s">
        <v>47</v>
      </c>
      <c r="Z208" s="692" t="s">
        <v>47</v>
      </c>
      <c r="AA208" s="692" t="s">
        <v>47</v>
      </c>
      <c r="AB208" s="692" t="s">
        <v>47</v>
      </c>
      <c r="AC208" s="692" t="s">
        <v>47</v>
      </c>
      <c r="AD208" s="692" t="s">
        <v>47</v>
      </c>
      <c r="AE208" s="692" t="s">
        <v>47</v>
      </c>
      <c r="AF208" s="692" t="s">
        <v>47</v>
      </c>
      <c r="AG208" s="692" t="s">
        <v>47</v>
      </c>
      <c r="AH208" s="692" t="s">
        <v>47</v>
      </c>
      <c r="AI208" s="692" t="s">
        <v>47</v>
      </c>
      <c r="AJ208" s="692" t="s">
        <v>47</v>
      </c>
      <c r="AK208" s="692" t="s">
        <v>47</v>
      </c>
      <c r="AL208" s="692" t="s">
        <v>47</v>
      </c>
      <c r="AM208" s="692" t="s">
        <v>47</v>
      </c>
      <c r="AN208" s="692" t="s">
        <v>47</v>
      </c>
      <c r="AO208" s="692" t="s">
        <v>47</v>
      </c>
      <c r="AP208" s="964" t="s">
        <v>47</v>
      </c>
      <c r="AQ208" s="964" t="s">
        <v>47</v>
      </c>
      <c r="AR208" s="964" t="s">
        <v>47</v>
      </c>
      <c r="AS208" s="964" t="s">
        <v>47</v>
      </c>
      <c r="AT208" s="964" t="s">
        <v>47</v>
      </c>
      <c r="AU208" s="964" t="s">
        <v>47</v>
      </c>
      <c r="AV208" s="964" t="s">
        <v>47</v>
      </c>
      <c r="AW208" s="965" t="s">
        <v>47</v>
      </c>
      <c r="AX208" s="964" t="s">
        <v>47</v>
      </c>
      <c r="AY208" s="964" t="s">
        <v>47</v>
      </c>
      <c r="AZ208" s="964" t="s">
        <v>47</v>
      </c>
      <c r="BA208" s="964" t="s">
        <v>47</v>
      </c>
      <c r="BB208" s="964" t="s">
        <v>47</v>
      </c>
      <c r="BC208" s="964" t="s">
        <v>47</v>
      </c>
      <c r="BD208" s="964" t="s">
        <v>47</v>
      </c>
      <c r="BE208" s="964">
        <v>33</v>
      </c>
      <c r="BF208" s="964">
        <v>33</v>
      </c>
      <c r="BG208" s="964">
        <v>33</v>
      </c>
      <c r="BH208" s="964">
        <v>33</v>
      </c>
      <c r="BI208" s="964">
        <v>33</v>
      </c>
      <c r="BJ208" s="964">
        <v>33</v>
      </c>
      <c r="BK208" s="964">
        <v>33</v>
      </c>
      <c r="BL208" s="964">
        <v>33</v>
      </c>
      <c r="BM208" s="964">
        <v>33</v>
      </c>
      <c r="BN208" s="964">
        <v>33</v>
      </c>
      <c r="BO208" s="964">
        <v>33</v>
      </c>
      <c r="BP208" s="964" t="s">
        <v>47</v>
      </c>
      <c r="BQ208" s="964" t="s">
        <v>47</v>
      </c>
      <c r="BR208"/>
      <c r="BS208"/>
      <c r="BT208"/>
      <c r="BU208"/>
    </row>
    <row r="209" spans="1:108" customFormat="1" ht="12.75" x14ac:dyDescent="0.2">
      <c r="B209" s="279" t="s">
        <v>381</v>
      </c>
      <c r="C209" s="280" t="str">
        <f t="shared" ref="C209:AO209" si="169">IFERROR(AVERAGE(C204:C208),"-")</f>
        <v>-</v>
      </c>
      <c r="D209" s="280" t="str">
        <f t="shared" si="169"/>
        <v>-</v>
      </c>
      <c r="E209" s="280" t="str">
        <f t="shared" si="169"/>
        <v>-</v>
      </c>
      <c r="F209" s="280" t="str">
        <f t="shared" si="169"/>
        <v>-</v>
      </c>
      <c r="G209" s="280" t="str">
        <f t="shared" si="169"/>
        <v>-</v>
      </c>
      <c r="H209" s="280" t="str">
        <f t="shared" si="169"/>
        <v>-</v>
      </c>
      <c r="I209" s="280" t="str">
        <f t="shared" si="169"/>
        <v>-</v>
      </c>
      <c r="J209" s="280" t="str">
        <f t="shared" si="169"/>
        <v>-</v>
      </c>
      <c r="K209" s="280" t="str">
        <f t="shared" si="169"/>
        <v>-</v>
      </c>
      <c r="L209" s="280" t="str">
        <f t="shared" si="169"/>
        <v>-</v>
      </c>
      <c r="M209" s="280" t="str">
        <f t="shared" si="169"/>
        <v>-</v>
      </c>
      <c r="N209" s="280" t="str">
        <f t="shared" si="169"/>
        <v>-</v>
      </c>
      <c r="O209" s="280" t="str">
        <f t="shared" si="169"/>
        <v>-</v>
      </c>
      <c r="P209" s="280" t="str">
        <f t="shared" si="169"/>
        <v>-</v>
      </c>
      <c r="Q209" s="280" t="str">
        <f t="shared" si="169"/>
        <v>-</v>
      </c>
      <c r="R209" s="347" t="str">
        <f t="shared" si="169"/>
        <v>-</v>
      </c>
      <c r="S209" s="347" t="str">
        <f t="shared" si="169"/>
        <v>-</v>
      </c>
      <c r="T209" s="347" t="str">
        <f t="shared" si="169"/>
        <v>-</v>
      </c>
      <c r="U209" s="347" t="str">
        <f t="shared" si="169"/>
        <v>-</v>
      </c>
      <c r="V209" s="347" t="str">
        <f t="shared" si="169"/>
        <v>-</v>
      </c>
      <c r="W209" s="347" t="str">
        <f t="shared" si="169"/>
        <v>-</v>
      </c>
      <c r="X209" s="347" t="str">
        <f t="shared" si="169"/>
        <v>-</v>
      </c>
      <c r="Y209" s="347" t="str">
        <f t="shared" si="169"/>
        <v>-</v>
      </c>
      <c r="Z209" s="347" t="str">
        <f t="shared" si="169"/>
        <v>-</v>
      </c>
      <c r="AA209" s="347" t="str">
        <f t="shared" si="169"/>
        <v>-</v>
      </c>
      <c r="AB209" s="347" t="str">
        <f t="shared" si="169"/>
        <v>-</v>
      </c>
      <c r="AC209" s="347" t="str">
        <f t="shared" si="169"/>
        <v>-</v>
      </c>
      <c r="AD209" s="347" t="str">
        <f t="shared" si="169"/>
        <v>-</v>
      </c>
      <c r="AE209" s="347" t="str">
        <f t="shared" si="169"/>
        <v>-</v>
      </c>
      <c r="AF209" s="347" t="str">
        <f t="shared" si="169"/>
        <v>-</v>
      </c>
      <c r="AG209" s="347" t="str">
        <f t="shared" si="169"/>
        <v>-</v>
      </c>
      <c r="AH209" s="347" t="str">
        <f t="shared" si="169"/>
        <v>-</v>
      </c>
      <c r="AI209" s="347" t="str">
        <f t="shared" si="169"/>
        <v>-</v>
      </c>
      <c r="AJ209" s="347" t="str">
        <f t="shared" si="169"/>
        <v>-</v>
      </c>
      <c r="AK209" s="347" t="str">
        <f t="shared" si="169"/>
        <v>-</v>
      </c>
      <c r="AL209" s="347" t="str">
        <f t="shared" si="169"/>
        <v>-</v>
      </c>
      <c r="AM209" s="347" t="str">
        <f t="shared" si="169"/>
        <v>-</v>
      </c>
      <c r="AN209" s="347" t="str">
        <f t="shared" si="169"/>
        <v>-</v>
      </c>
      <c r="AO209" s="347" t="str">
        <f t="shared" si="169"/>
        <v>-</v>
      </c>
      <c r="AP209" s="347" t="str">
        <f t="shared" ref="AP209:AU209" si="170">IFERROR(AVERAGE(AP204:AP208),"-")</f>
        <v>-</v>
      </c>
      <c r="AQ209" s="347" t="str">
        <f t="shared" si="170"/>
        <v>-</v>
      </c>
      <c r="AR209" s="347" t="str">
        <f t="shared" si="170"/>
        <v>-</v>
      </c>
      <c r="AS209" s="347" t="str">
        <f t="shared" si="170"/>
        <v>-</v>
      </c>
      <c r="AT209" s="830" t="str">
        <f t="shared" si="170"/>
        <v>-</v>
      </c>
      <c r="AU209" s="830" t="str">
        <f t="shared" si="170"/>
        <v>-</v>
      </c>
      <c r="AV209" s="830" t="str">
        <f t="shared" ref="AV209:BA209" si="171">IFERROR(AVERAGE(AV204:AV208),"-")</f>
        <v>-</v>
      </c>
      <c r="AW209" s="863" t="str">
        <f t="shared" si="171"/>
        <v>-</v>
      </c>
      <c r="AX209" s="864" t="str">
        <f t="shared" si="171"/>
        <v>-</v>
      </c>
      <c r="AY209" s="864" t="str">
        <f t="shared" si="171"/>
        <v>-</v>
      </c>
      <c r="AZ209" s="864" t="str">
        <f t="shared" si="171"/>
        <v>-</v>
      </c>
      <c r="BA209" s="864" t="str">
        <f t="shared" si="171"/>
        <v>-</v>
      </c>
      <c r="BB209" s="864" t="str">
        <f t="shared" ref="BB209:BG209" si="172">IFERROR(AVERAGE(BB204:BB208),"-")</f>
        <v>-</v>
      </c>
      <c r="BC209" s="864">
        <f t="shared" si="172"/>
        <v>33.200000000000003</v>
      </c>
      <c r="BD209" s="864">
        <f t="shared" si="172"/>
        <v>33.1</v>
      </c>
      <c r="BE209" s="864">
        <f t="shared" si="172"/>
        <v>33.375</v>
      </c>
      <c r="BF209" s="864">
        <f t="shared" si="172"/>
        <v>33.375</v>
      </c>
      <c r="BG209" s="864">
        <f t="shared" si="172"/>
        <v>33.375</v>
      </c>
      <c r="BH209" s="864">
        <f t="shared" ref="BH209:BQ209" si="173">IFERROR(AVERAGE(BH204:BH208),"-")</f>
        <v>33.375</v>
      </c>
      <c r="BI209" s="864">
        <f t="shared" si="173"/>
        <v>33.375</v>
      </c>
      <c r="BJ209" s="864">
        <f t="shared" si="173"/>
        <v>33.375</v>
      </c>
      <c r="BK209" s="864">
        <f t="shared" si="173"/>
        <v>33.625</v>
      </c>
      <c r="BL209" s="864">
        <f t="shared" si="173"/>
        <v>33.625</v>
      </c>
      <c r="BM209" s="864">
        <f t="shared" si="173"/>
        <v>33.625</v>
      </c>
      <c r="BN209" s="864">
        <f t="shared" si="173"/>
        <v>33.625</v>
      </c>
      <c r="BO209" s="864">
        <f t="shared" si="173"/>
        <v>33.625</v>
      </c>
      <c r="BP209" s="864">
        <f t="shared" si="173"/>
        <v>33.833333333333336</v>
      </c>
      <c r="BQ209" s="864" t="str">
        <f t="shared" si="173"/>
        <v>-</v>
      </c>
    </row>
    <row r="210" spans="1:108" x14ac:dyDescent="0.25">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787"/>
      <c r="AV210" s="945"/>
    </row>
    <row r="211" spans="1:108" x14ac:dyDescent="0.25">
      <c r="B211" s="113" t="s">
        <v>1100</v>
      </c>
      <c r="C211" s="264">
        <f t="shared" ref="C211:BN211" si="174">C$12</f>
        <v>42522</v>
      </c>
      <c r="D211" s="264">
        <f t="shared" si="174"/>
        <v>42552</v>
      </c>
      <c r="E211" s="264">
        <f t="shared" si="174"/>
        <v>42583</v>
      </c>
      <c r="F211" s="264">
        <f t="shared" si="174"/>
        <v>42614</v>
      </c>
      <c r="G211" s="264">
        <f t="shared" si="174"/>
        <v>42644</v>
      </c>
      <c r="H211" s="264">
        <f t="shared" si="174"/>
        <v>42675</v>
      </c>
      <c r="I211" s="264">
        <f t="shared" si="174"/>
        <v>42705</v>
      </c>
      <c r="J211" s="264">
        <f t="shared" si="174"/>
        <v>42736</v>
      </c>
      <c r="K211" s="264">
        <f t="shared" si="174"/>
        <v>42767</v>
      </c>
      <c r="L211" s="264">
        <f t="shared" si="174"/>
        <v>42795</v>
      </c>
      <c r="M211" s="264">
        <f t="shared" si="174"/>
        <v>42826</v>
      </c>
      <c r="N211" s="264">
        <f t="shared" si="174"/>
        <v>42856</v>
      </c>
      <c r="O211" s="264">
        <f t="shared" si="174"/>
        <v>42887</v>
      </c>
      <c r="P211" s="264">
        <f t="shared" si="174"/>
        <v>42917</v>
      </c>
      <c r="Q211" s="264">
        <f t="shared" si="174"/>
        <v>42948</v>
      </c>
      <c r="R211" s="264">
        <f t="shared" si="174"/>
        <v>42979</v>
      </c>
      <c r="S211" s="264">
        <f t="shared" si="174"/>
        <v>43009</v>
      </c>
      <c r="T211" s="264">
        <f t="shared" si="174"/>
        <v>43040</v>
      </c>
      <c r="U211" s="264">
        <f t="shared" si="174"/>
        <v>43070</v>
      </c>
      <c r="V211" s="264">
        <f t="shared" si="174"/>
        <v>43101</v>
      </c>
      <c r="W211" s="264">
        <f t="shared" si="174"/>
        <v>43132</v>
      </c>
      <c r="X211" s="264">
        <f t="shared" si="174"/>
        <v>43160</v>
      </c>
      <c r="Y211" s="264">
        <f t="shared" si="174"/>
        <v>43191</v>
      </c>
      <c r="Z211" s="264">
        <f t="shared" si="174"/>
        <v>43221</v>
      </c>
      <c r="AA211" s="264">
        <f t="shared" si="174"/>
        <v>43252</v>
      </c>
      <c r="AB211" s="264">
        <f t="shared" si="174"/>
        <v>43283</v>
      </c>
      <c r="AC211" s="264">
        <f t="shared" si="174"/>
        <v>43314</v>
      </c>
      <c r="AD211" s="264">
        <f t="shared" si="174"/>
        <v>43345</v>
      </c>
      <c r="AE211" s="264">
        <f t="shared" si="174"/>
        <v>43376</v>
      </c>
      <c r="AF211" s="264">
        <f t="shared" si="174"/>
        <v>43407</v>
      </c>
      <c r="AG211" s="264">
        <f t="shared" si="174"/>
        <v>43437</v>
      </c>
      <c r="AH211" s="264">
        <f t="shared" si="174"/>
        <v>43468</v>
      </c>
      <c r="AI211" s="264">
        <f t="shared" si="174"/>
        <v>43499</v>
      </c>
      <c r="AJ211" s="264">
        <f t="shared" si="174"/>
        <v>43527</v>
      </c>
      <c r="AK211" s="264">
        <f t="shared" si="174"/>
        <v>43558</v>
      </c>
      <c r="AL211" s="264">
        <f t="shared" si="174"/>
        <v>43587</v>
      </c>
      <c r="AM211" s="264">
        <f t="shared" si="174"/>
        <v>43618</v>
      </c>
      <c r="AN211" s="264">
        <f t="shared" si="174"/>
        <v>43647</v>
      </c>
      <c r="AO211" s="264">
        <f t="shared" si="174"/>
        <v>43678</v>
      </c>
      <c r="AP211" s="264">
        <f t="shared" si="174"/>
        <v>43709</v>
      </c>
      <c r="AQ211" s="264">
        <f t="shared" si="174"/>
        <v>43739</v>
      </c>
      <c r="AR211" s="264">
        <f t="shared" si="174"/>
        <v>43770</v>
      </c>
      <c r="AS211" s="264">
        <f t="shared" si="174"/>
        <v>43800</v>
      </c>
      <c r="AT211" s="264">
        <f t="shared" si="174"/>
        <v>43831</v>
      </c>
      <c r="AU211" s="264">
        <f t="shared" si="174"/>
        <v>43862</v>
      </c>
      <c r="AV211" s="946">
        <f t="shared" si="174"/>
        <v>43891</v>
      </c>
      <c r="AW211" s="264">
        <f t="shared" si="174"/>
        <v>43922</v>
      </c>
      <c r="AX211" s="264">
        <f t="shared" si="174"/>
        <v>43952</v>
      </c>
      <c r="AY211" s="264">
        <f t="shared" si="174"/>
        <v>43983</v>
      </c>
      <c r="AZ211" s="264">
        <f t="shared" si="174"/>
        <v>44013</v>
      </c>
      <c r="BA211" s="264">
        <f t="shared" si="174"/>
        <v>44044</v>
      </c>
      <c r="BB211" s="264">
        <f t="shared" si="174"/>
        <v>44075</v>
      </c>
      <c r="BC211" s="264">
        <f t="shared" si="174"/>
        <v>44105</v>
      </c>
      <c r="BD211" s="264">
        <f t="shared" si="174"/>
        <v>44136</v>
      </c>
      <c r="BE211" s="264">
        <f t="shared" si="174"/>
        <v>44166</v>
      </c>
      <c r="BF211" s="264">
        <f t="shared" si="174"/>
        <v>44197</v>
      </c>
      <c r="BG211" s="264">
        <f t="shared" si="174"/>
        <v>44228</v>
      </c>
      <c r="BH211" s="264">
        <f t="shared" si="174"/>
        <v>44256</v>
      </c>
      <c r="BI211" s="264">
        <f t="shared" si="174"/>
        <v>44287</v>
      </c>
      <c r="BJ211" s="264">
        <f t="shared" si="174"/>
        <v>44317</v>
      </c>
      <c r="BK211" s="264">
        <f t="shared" si="174"/>
        <v>44348</v>
      </c>
      <c r="BL211" s="264">
        <f t="shared" si="174"/>
        <v>44378</v>
      </c>
      <c r="BM211" s="264">
        <f t="shared" si="174"/>
        <v>44409</v>
      </c>
      <c r="BN211" s="264">
        <f t="shared" si="174"/>
        <v>44440</v>
      </c>
      <c r="BO211" s="264">
        <f t="shared" ref="BO211:CB211" si="175">BO$12</f>
        <v>44470</v>
      </c>
      <c r="BP211" s="264">
        <f t="shared" si="175"/>
        <v>44501</v>
      </c>
      <c r="BQ211" s="264">
        <f t="shared" si="175"/>
        <v>44531</v>
      </c>
      <c r="BR211" s="264">
        <f t="shared" si="175"/>
        <v>44562</v>
      </c>
      <c r="BS211" s="264">
        <f t="shared" si="175"/>
        <v>44593</v>
      </c>
      <c r="BT211" s="264">
        <f t="shared" si="175"/>
        <v>44622</v>
      </c>
      <c r="BU211" s="264">
        <f t="shared" si="175"/>
        <v>44654</v>
      </c>
      <c r="BV211" s="264">
        <f t="shared" si="175"/>
        <v>44685</v>
      </c>
      <c r="BW211" s="264">
        <f t="shared" si="175"/>
        <v>44716</v>
      </c>
      <c r="BX211" s="264">
        <f t="shared" si="175"/>
        <v>44746</v>
      </c>
      <c r="BY211" s="264">
        <f t="shared" si="175"/>
        <v>44774</v>
      </c>
      <c r="BZ211" s="264">
        <f t="shared" si="175"/>
        <v>44805</v>
      </c>
      <c r="CA211" s="264">
        <f t="shared" si="175"/>
        <v>44835</v>
      </c>
      <c r="CB211" s="264">
        <f t="shared" si="175"/>
        <v>44866</v>
      </c>
      <c r="CC211" s="264">
        <f>CC$12</f>
        <v>44896</v>
      </c>
      <c r="CD211" s="264">
        <f>CD$12</f>
        <v>44927</v>
      </c>
      <c r="CE211"/>
      <c r="CF211"/>
      <c r="CG211"/>
      <c r="CH211"/>
      <c r="CI211"/>
      <c r="CJ211"/>
      <c r="CK211"/>
      <c r="CL211"/>
      <c r="CM211"/>
      <c r="CN211"/>
      <c r="CO211"/>
      <c r="CP211"/>
      <c r="CQ211"/>
      <c r="CR211"/>
      <c r="CS211"/>
      <c r="CT211"/>
      <c r="CU211"/>
      <c r="CV211"/>
      <c r="CW211"/>
      <c r="CX211"/>
      <c r="CY211"/>
      <c r="CZ211"/>
      <c r="DA211"/>
      <c r="DB211"/>
      <c r="DC211"/>
      <c r="DD211"/>
    </row>
    <row r="212" spans="1:108" x14ac:dyDescent="0.25">
      <c r="B212" s="117" t="s">
        <v>131</v>
      </c>
      <c r="C212" s="266" t="s">
        <v>47</v>
      </c>
      <c r="D212" s="266" t="s">
        <v>47</v>
      </c>
      <c r="E212" s="266" t="s">
        <v>47</v>
      </c>
      <c r="F212" s="266" t="s">
        <v>47</v>
      </c>
      <c r="G212" s="266" t="s">
        <v>47</v>
      </c>
      <c r="H212" s="266" t="s">
        <v>47</v>
      </c>
      <c r="I212" s="266" t="s">
        <v>47</v>
      </c>
      <c r="J212" s="338" t="s">
        <v>47</v>
      </c>
      <c r="K212" s="338" t="s">
        <v>47</v>
      </c>
      <c r="L212" s="592" t="s">
        <v>47</v>
      </c>
      <c r="M212" s="592" t="s">
        <v>47</v>
      </c>
      <c r="N212" s="592" t="s">
        <v>47</v>
      </c>
      <c r="O212" s="592" t="s">
        <v>47</v>
      </c>
      <c r="P212" s="592" t="s">
        <v>47</v>
      </c>
      <c r="Q212" s="592" t="s">
        <v>47</v>
      </c>
      <c r="R212" s="592" t="s">
        <v>47</v>
      </c>
      <c r="S212" s="592" t="s">
        <v>47</v>
      </c>
      <c r="T212" s="592" t="s">
        <v>47</v>
      </c>
      <c r="U212" s="592" t="s">
        <v>47</v>
      </c>
      <c r="V212" s="592" t="s">
        <v>47</v>
      </c>
      <c r="W212" s="592" t="s">
        <v>47</v>
      </c>
      <c r="X212" s="592" t="s">
        <v>47</v>
      </c>
      <c r="Y212" s="592" t="s">
        <v>47</v>
      </c>
      <c r="Z212" s="592" t="s">
        <v>47</v>
      </c>
      <c r="AA212" s="592" t="s">
        <v>47</v>
      </c>
      <c r="AB212" s="592" t="s">
        <v>47</v>
      </c>
      <c r="AC212" s="592" t="s">
        <v>47</v>
      </c>
      <c r="AD212" s="592" t="s">
        <v>47</v>
      </c>
      <c r="AE212" s="592" t="s">
        <v>47</v>
      </c>
      <c r="AF212" s="592" t="s">
        <v>47</v>
      </c>
      <c r="AG212" s="592" t="s">
        <v>47</v>
      </c>
      <c r="AH212" s="592" t="s">
        <v>47</v>
      </c>
      <c r="AI212" s="592" t="s">
        <v>47</v>
      </c>
      <c r="AJ212" s="348" t="s">
        <v>47</v>
      </c>
      <c r="AK212" s="348" t="s">
        <v>47</v>
      </c>
      <c r="AL212" s="348" t="s">
        <v>47</v>
      </c>
      <c r="AM212" s="348" t="s">
        <v>47</v>
      </c>
      <c r="AN212" s="348" t="s">
        <v>47</v>
      </c>
      <c r="AO212" s="348" t="s">
        <v>47</v>
      </c>
      <c r="AP212" s="348" t="s">
        <v>47</v>
      </c>
      <c r="AQ212" s="348" t="s">
        <v>47</v>
      </c>
      <c r="AR212" s="348" t="s">
        <v>47</v>
      </c>
      <c r="AS212" s="348" t="s">
        <v>47</v>
      </c>
      <c r="AT212" s="348" t="s">
        <v>47</v>
      </c>
      <c r="AU212" s="348" t="s">
        <v>47</v>
      </c>
      <c r="AV212" s="962" t="s">
        <v>47</v>
      </c>
      <c r="AW212" s="348" t="s">
        <v>47</v>
      </c>
      <c r="AX212" s="348" t="s">
        <v>47</v>
      </c>
      <c r="AY212" s="348" t="s">
        <v>47</v>
      </c>
      <c r="AZ212" s="348" t="s">
        <v>47</v>
      </c>
      <c r="BA212" s="348" t="s">
        <v>47</v>
      </c>
      <c r="BB212" s="348" t="s">
        <v>47</v>
      </c>
      <c r="BC212" s="348" t="s">
        <v>47</v>
      </c>
      <c r="BD212" s="348" t="s">
        <v>47</v>
      </c>
      <c r="BE212" s="348" t="s">
        <v>47</v>
      </c>
      <c r="BF212" s="592" t="s">
        <v>47</v>
      </c>
      <c r="BG212" s="592" t="s">
        <v>47</v>
      </c>
      <c r="BH212" s="592" t="s">
        <v>47</v>
      </c>
      <c r="BI212" s="592" t="s">
        <v>47</v>
      </c>
      <c r="BJ212" s="592" t="s">
        <v>47</v>
      </c>
      <c r="BK212" s="592" t="s">
        <v>47</v>
      </c>
      <c r="BL212" s="592" t="s">
        <v>47</v>
      </c>
      <c r="BM212" s="592" t="s">
        <v>47</v>
      </c>
      <c r="BN212" s="592" t="s">
        <v>47</v>
      </c>
      <c r="BO212" s="592" t="s">
        <v>47</v>
      </c>
      <c r="BP212" s="592" t="s">
        <v>47</v>
      </c>
      <c r="BQ212" s="592">
        <v>1174</v>
      </c>
      <c r="BR212" s="592">
        <v>1174</v>
      </c>
      <c r="BS212" s="592">
        <v>1174</v>
      </c>
      <c r="BT212" s="592">
        <v>1174</v>
      </c>
      <c r="BU212" s="592">
        <v>1174</v>
      </c>
      <c r="BV212" s="592">
        <v>1174</v>
      </c>
      <c r="BW212" s="592">
        <v>1174</v>
      </c>
      <c r="BX212" s="592">
        <v>1174</v>
      </c>
      <c r="BY212" s="592">
        <v>1174</v>
      </c>
      <c r="BZ212" s="592">
        <v>1174</v>
      </c>
      <c r="CA212" s="592">
        <v>1174</v>
      </c>
      <c r="CB212" s="592">
        <v>1174</v>
      </c>
      <c r="CC212" s="343">
        <v>1359</v>
      </c>
      <c r="CD212" s="592">
        <v>1359</v>
      </c>
      <c r="CE212"/>
      <c r="CF212"/>
      <c r="CG212"/>
      <c r="CH212"/>
      <c r="CI212"/>
      <c r="CJ212"/>
      <c r="CK212"/>
      <c r="CL212"/>
      <c r="CM212"/>
      <c r="CN212"/>
      <c r="CO212"/>
      <c r="CP212"/>
      <c r="CQ212"/>
      <c r="CR212"/>
      <c r="CS212"/>
      <c r="CT212"/>
      <c r="CU212"/>
      <c r="CV212"/>
      <c r="CW212"/>
      <c r="CX212"/>
      <c r="CY212"/>
      <c r="CZ212"/>
      <c r="DA212"/>
      <c r="DB212"/>
      <c r="DC212"/>
      <c r="DD212"/>
    </row>
    <row r="213" spans="1:108" x14ac:dyDescent="0.25">
      <c r="B213" s="117" t="s">
        <v>135</v>
      </c>
      <c r="C213" s="266" t="s">
        <v>47</v>
      </c>
      <c r="D213" s="266" t="s">
        <v>47</v>
      </c>
      <c r="E213" s="266" t="s">
        <v>47</v>
      </c>
      <c r="F213" s="266" t="s">
        <v>47</v>
      </c>
      <c r="G213" s="266" t="s">
        <v>47</v>
      </c>
      <c r="H213" s="266" t="s">
        <v>47</v>
      </c>
      <c r="I213" s="266" t="s">
        <v>47</v>
      </c>
      <c r="J213" s="338" t="s">
        <v>47</v>
      </c>
      <c r="K213" s="338" t="s">
        <v>47</v>
      </c>
      <c r="L213" s="592" t="s">
        <v>47</v>
      </c>
      <c r="M213" s="592" t="s">
        <v>47</v>
      </c>
      <c r="N213" s="592" t="s">
        <v>47</v>
      </c>
      <c r="O213" s="592" t="s">
        <v>47</v>
      </c>
      <c r="P213" s="592" t="s">
        <v>47</v>
      </c>
      <c r="Q213" s="592" t="s">
        <v>47</v>
      </c>
      <c r="R213" s="592" t="s">
        <v>47</v>
      </c>
      <c r="S213" s="592" t="s">
        <v>47</v>
      </c>
      <c r="T213" s="592" t="s">
        <v>47</v>
      </c>
      <c r="U213" s="592" t="s">
        <v>47</v>
      </c>
      <c r="V213" s="592" t="s">
        <v>47</v>
      </c>
      <c r="W213" s="592" t="s">
        <v>47</v>
      </c>
      <c r="X213" s="592" t="s">
        <v>47</v>
      </c>
      <c r="Y213" s="592" t="s">
        <v>47</v>
      </c>
      <c r="Z213" s="592" t="s">
        <v>47</v>
      </c>
      <c r="AA213" s="592" t="s">
        <v>47</v>
      </c>
      <c r="AB213" s="592" t="s">
        <v>47</v>
      </c>
      <c r="AC213" s="592" t="s">
        <v>47</v>
      </c>
      <c r="AD213" s="592" t="s">
        <v>47</v>
      </c>
      <c r="AE213" s="592" t="s">
        <v>47</v>
      </c>
      <c r="AF213" s="592" t="s">
        <v>47</v>
      </c>
      <c r="AG213" s="592" t="s">
        <v>47</v>
      </c>
      <c r="AH213" s="592" t="s">
        <v>47</v>
      </c>
      <c r="AI213" s="592" t="s">
        <v>47</v>
      </c>
      <c r="AJ213" s="348" t="s">
        <v>47</v>
      </c>
      <c r="AK213" s="348" t="s">
        <v>47</v>
      </c>
      <c r="AL213" s="348" t="s">
        <v>47</v>
      </c>
      <c r="AM213" s="348" t="s">
        <v>47</v>
      </c>
      <c r="AN213" s="348" t="s">
        <v>47</v>
      </c>
      <c r="AO213" s="348" t="s">
        <v>47</v>
      </c>
      <c r="AP213" s="348" t="s">
        <v>47</v>
      </c>
      <c r="AQ213" s="348" t="s">
        <v>47</v>
      </c>
      <c r="AR213" s="348" t="s">
        <v>47</v>
      </c>
      <c r="AS213" s="348" t="s">
        <v>47</v>
      </c>
      <c r="AT213" s="348" t="s">
        <v>47</v>
      </c>
      <c r="AU213" s="348" t="s">
        <v>47</v>
      </c>
      <c r="AV213" s="962" t="s">
        <v>47</v>
      </c>
      <c r="AW213" s="348" t="s">
        <v>47</v>
      </c>
      <c r="AX213" s="348" t="s">
        <v>47</v>
      </c>
      <c r="AY213" s="348" t="s">
        <v>47</v>
      </c>
      <c r="AZ213" s="348" t="s">
        <v>47</v>
      </c>
      <c r="BA213" s="348" t="s">
        <v>47</v>
      </c>
      <c r="BB213" s="348" t="s">
        <v>47</v>
      </c>
      <c r="BC213" s="348" t="s">
        <v>47</v>
      </c>
      <c r="BD213" s="348">
        <v>1587</v>
      </c>
      <c r="BE213" s="348">
        <v>1587</v>
      </c>
      <c r="BF213" s="592">
        <v>1587</v>
      </c>
      <c r="BG213" s="592">
        <v>1587</v>
      </c>
      <c r="BH213" s="592">
        <v>1587</v>
      </c>
      <c r="BI213" s="592">
        <v>1587</v>
      </c>
      <c r="BJ213" s="592">
        <v>1587</v>
      </c>
      <c r="BK213" s="592">
        <v>1587</v>
      </c>
      <c r="BL213" s="592">
        <v>1587</v>
      </c>
      <c r="BM213" s="592">
        <v>1587</v>
      </c>
      <c r="BN213" s="592" t="s">
        <v>47</v>
      </c>
      <c r="BO213" s="592" t="s">
        <v>47</v>
      </c>
      <c r="BP213" s="592" t="s">
        <v>47</v>
      </c>
      <c r="BQ213" s="592">
        <v>1249</v>
      </c>
      <c r="BR213" s="592">
        <v>1249</v>
      </c>
      <c r="BS213" s="592">
        <v>1249</v>
      </c>
      <c r="BT213" s="592">
        <v>1249</v>
      </c>
      <c r="BU213" s="592">
        <v>1249</v>
      </c>
      <c r="BV213" s="592">
        <v>1249</v>
      </c>
      <c r="BW213" s="592">
        <v>1249</v>
      </c>
      <c r="BX213" s="592">
        <v>1249</v>
      </c>
      <c r="BY213" s="592">
        <v>1249</v>
      </c>
      <c r="BZ213" s="592">
        <v>1249</v>
      </c>
      <c r="CA213" s="592">
        <v>1249</v>
      </c>
      <c r="CB213" s="592">
        <v>1249</v>
      </c>
      <c r="CC213" s="592">
        <v>1249</v>
      </c>
      <c r="CD213" s="592">
        <v>1249</v>
      </c>
      <c r="CE213"/>
      <c r="CF213"/>
      <c r="CG213"/>
      <c r="CH213"/>
      <c r="CI213"/>
      <c r="CJ213"/>
      <c r="CK213"/>
      <c r="CL213"/>
      <c r="CM213"/>
      <c r="CN213"/>
      <c r="CO213"/>
      <c r="CP213"/>
      <c r="CQ213"/>
      <c r="CR213"/>
      <c r="CS213"/>
      <c r="CT213"/>
      <c r="CU213"/>
      <c r="CV213"/>
      <c r="CW213"/>
      <c r="CX213"/>
      <c r="CY213"/>
      <c r="CZ213"/>
      <c r="DA213"/>
      <c r="DB213"/>
      <c r="DC213"/>
      <c r="DD213"/>
    </row>
    <row r="214" spans="1:108" x14ac:dyDescent="0.25">
      <c r="B214" s="117" t="s">
        <v>142</v>
      </c>
      <c r="C214" s="265" t="s">
        <v>47</v>
      </c>
      <c r="D214" s="265" t="s">
        <v>47</v>
      </c>
      <c r="E214" s="265" t="s">
        <v>47</v>
      </c>
      <c r="F214" s="265" t="s">
        <v>47</v>
      </c>
      <c r="G214" s="265" t="s">
        <v>47</v>
      </c>
      <c r="H214" s="265" t="s">
        <v>47</v>
      </c>
      <c r="I214" s="265" t="s">
        <v>47</v>
      </c>
      <c r="J214" s="338" t="s">
        <v>47</v>
      </c>
      <c r="K214" s="338" t="s">
        <v>47</v>
      </c>
      <c r="L214" s="592" t="s">
        <v>47</v>
      </c>
      <c r="M214" s="592" t="s">
        <v>47</v>
      </c>
      <c r="N214" s="592" t="s">
        <v>47</v>
      </c>
      <c r="O214" s="592" t="s">
        <v>47</v>
      </c>
      <c r="P214" s="592" t="s">
        <v>47</v>
      </c>
      <c r="Q214" s="592" t="s">
        <v>47</v>
      </c>
      <c r="R214" s="592" t="s">
        <v>47</v>
      </c>
      <c r="S214" s="592" t="s">
        <v>47</v>
      </c>
      <c r="T214" s="592" t="s">
        <v>47</v>
      </c>
      <c r="U214" s="592" t="s">
        <v>47</v>
      </c>
      <c r="V214" s="592" t="s">
        <v>47</v>
      </c>
      <c r="W214" s="592" t="s">
        <v>47</v>
      </c>
      <c r="X214" s="592" t="s">
        <v>47</v>
      </c>
      <c r="Y214" s="592" t="s">
        <v>47</v>
      </c>
      <c r="Z214" s="592" t="s">
        <v>47</v>
      </c>
      <c r="AA214" s="592" t="s">
        <v>47</v>
      </c>
      <c r="AB214" s="592" t="s">
        <v>47</v>
      </c>
      <c r="AC214" s="592" t="s">
        <v>47</v>
      </c>
      <c r="AD214" s="592" t="s">
        <v>47</v>
      </c>
      <c r="AE214" s="592" t="s">
        <v>47</v>
      </c>
      <c r="AF214" s="592" t="s">
        <v>47</v>
      </c>
      <c r="AG214" s="592" t="s">
        <v>47</v>
      </c>
      <c r="AH214" s="592" t="s">
        <v>47</v>
      </c>
      <c r="AI214" s="592" t="s">
        <v>47</v>
      </c>
      <c r="AJ214" s="348" t="s">
        <v>47</v>
      </c>
      <c r="AK214" s="348" t="s">
        <v>47</v>
      </c>
      <c r="AL214" s="348" t="s">
        <v>47</v>
      </c>
      <c r="AM214" s="348" t="s">
        <v>47</v>
      </c>
      <c r="AN214" s="348" t="s">
        <v>47</v>
      </c>
      <c r="AO214" s="348" t="s">
        <v>47</v>
      </c>
      <c r="AP214" s="348" t="s">
        <v>47</v>
      </c>
      <c r="AQ214" s="348" t="s">
        <v>47</v>
      </c>
      <c r="AR214" s="348" t="s">
        <v>47</v>
      </c>
      <c r="AS214" s="348" t="s">
        <v>47</v>
      </c>
      <c r="AT214" s="348" t="s">
        <v>47</v>
      </c>
      <c r="AU214" s="348" t="s">
        <v>47</v>
      </c>
      <c r="AV214" s="962" t="s">
        <v>47</v>
      </c>
      <c r="AW214" s="350" t="s">
        <v>47</v>
      </c>
      <c r="AX214" s="350" t="s">
        <v>47</v>
      </c>
      <c r="AY214" s="348" t="s">
        <v>47</v>
      </c>
      <c r="AZ214" s="348" t="s">
        <v>47</v>
      </c>
      <c r="BA214" s="348" t="s">
        <v>47</v>
      </c>
      <c r="BB214" s="348" t="s">
        <v>47</v>
      </c>
      <c r="BC214" s="348">
        <v>1390</v>
      </c>
      <c r="BD214" s="348">
        <v>1390</v>
      </c>
      <c r="BE214" s="348">
        <v>1390</v>
      </c>
      <c r="BF214" s="592">
        <v>1390</v>
      </c>
      <c r="BG214" s="592">
        <v>1390</v>
      </c>
      <c r="BH214" s="592">
        <v>1390</v>
      </c>
      <c r="BI214" s="592">
        <v>1390</v>
      </c>
      <c r="BJ214" s="592">
        <v>1390</v>
      </c>
      <c r="BK214" s="592">
        <v>1390</v>
      </c>
      <c r="BL214" s="592">
        <v>1390</v>
      </c>
      <c r="BM214" s="592">
        <v>1390</v>
      </c>
      <c r="BN214" s="592" t="s">
        <v>47</v>
      </c>
      <c r="BO214" s="592" t="s">
        <v>47</v>
      </c>
      <c r="BP214" s="592" t="s">
        <v>47</v>
      </c>
      <c r="BQ214" s="592" t="s">
        <v>47</v>
      </c>
      <c r="BR214" s="592" t="s">
        <v>47</v>
      </c>
      <c r="BS214" s="592" t="s">
        <v>47</v>
      </c>
      <c r="BT214" s="592" t="s">
        <v>47</v>
      </c>
      <c r="BU214" s="592" t="s">
        <v>47</v>
      </c>
      <c r="BV214" s="592" t="s">
        <v>47</v>
      </c>
      <c r="BW214" s="592" t="s">
        <v>47</v>
      </c>
      <c r="BX214" s="592" t="s">
        <v>47</v>
      </c>
      <c r="BY214" s="343">
        <v>1275</v>
      </c>
      <c r="BZ214" s="592">
        <v>1275</v>
      </c>
      <c r="CA214" s="592">
        <v>1275</v>
      </c>
      <c r="CB214" s="592">
        <v>1275</v>
      </c>
      <c r="CC214" s="592">
        <v>1275</v>
      </c>
      <c r="CD214" s="592">
        <v>1275</v>
      </c>
      <c r="CE214"/>
      <c r="CF214"/>
      <c r="CG214"/>
      <c r="CH214"/>
      <c r="CI214"/>
      <c r="CJ214"/>
      <c r="CK214"/>
      <c r="CL214"/>
      <c r="CM214"/>
      <c r="CN214"/>
      <c r="CO214"/>
      <c r="CP214"/>
      <c r="CQ214"/>
      <c r="CR214"/>
      <c r="CS214"/>
      <c r="CT214"/>
      <c r="CU214"/>
      <c r="CV214"/>
      <c r="CW214"/>
      <c r="CX214"/>
      <c r="CY214"/>
      <c r="CZ214"/>
      <c r="DA214"/>
      <c r="DB214"/>
      <c r="DC214"/>
      <c r="DD214"/>
    </row>
    <row r="215" spans="1:108" x14ac:dyDescent="0.25">
      <c r="B215" s="117" t="s">
        <v>136</v>
      </c>
      <c r="C215" s="266" t="s">
        <v>47</v>
      </c>
      <c r="D215" s="266" t="s">
        <v>47</v>
      </c>
      <c r="E215" s="266" t="s">
        <v>47</v>
      </c>
      <c r="F215" s="266" t="s">
        <v>47</v>
      </c>
      <c r="G215" s="266" t="s">
        <v>47</v>
      </c>
      <c r="H215" s="266" t="s">
        <v>47</v>
      </c>
      <c r="I215" s="266" t="s">
        <v>47</v>
      </c>
      <c r="J215" s="338" t="s">
        <v>47</v>
      </c>
      <c r="K215" s="338" t="s">
        <v>47</v>
      </c>
      <c r="L215" s="592" t="s">
        <v>47</v>
      </c>
      <c r="M215" s="592" t="s">
        <v>47</v>
      </c>
      <c r="N215" s="592" t="s">
        <v>47</v>
      </c>
      <c r="O215" s="592" t="s">
        <v>47</v>
      </c>
      <c r="P215" s="592" t="s">
        <v>47</v>
      </c>
      <c r="Q215" s="592" t="s">
        <v>47</v>
      </c>
      <c r="R215" s="592" t="s">
        <v>47</v>
      </c>
      <c r="S215" s="592" t="s">
        <v>47</v>
      </c>
      <c r="T215" s="592" t="s">
        <v>47</v>
      </c>
      <c r="U215" s="592" t="s">
        <v>47</v>
      </c>
      <c r="V215" s="592" t="s">
        <v>47</v>
      </c>
      <c r="W215" s="592" t="s">
        <v>47</v>
      </c>
      <c r="X215" s="592" t="s">
        <v>47</v>
      </c>
      <c r="Y215" s="592" t="s">
        <v>47</v>
      </c>
      <c r="Z215" s="592" t="s">
        <v>47</v>
      </c>
      <c r="AA215" s="592" t="s">
        <v>47</v>
      </c>
      <c r="AB215" s="592" t="s">
        <v>47</v>
      </c>
      <c r="AC215" s="592" t="s">
        <v>47</v>
      </c>
      <c r="AD215" s="592" t="s">
        <v>47</v>
      </c>
      <c r="AE215" s="592" t="s">
        <v>47</v>
      </c>
      <c r="AF215" s="592" t="s">
        <v>47</v>
      </c>
      <c r="AG215" s="592" t="s">
        <v>47</v>
      </c>
      <c r="AH215" s="592" t="s">
        <v>47</v>
      </c>
      <c r="AI215" s="592" t="s">
        <v>47</v>
      </c>
      <c r="AJ215" s="348" t="s">
        <v>47</v>
      </c>
      <c r="AK215" s="348" t="s">
        <v>47</v>
      </c>
      <c r="AL215" s="348" t="s">
        <v>47</v>
      </c>
      <c r="AM215" s="348" t="s">
        <v>47</v>
      </c>
      <c r="AN215" s="348" t="s">
        <v>47</v>
      </c>
      <c r="AO215" s="348" t="s">
        <v>47</v>
      </c>
      <c r="AP215" s="348" t="s">
        <v>47</v>
      </c>
      <c r="AQ215" s="348" t="s">
        <v>47</v>
      </c>
      <c r="AR215" s="348" t="s">
        <v>47</v>
      </c>
      <c r="AS215" s="348" t="s">
        <v>47</v>
      </c>
      <c r="AT215" s="348" t="s">
        <v>47</v>
      </c>
      <c r="AU215" s="348" t="s">
        <v>47</v>
      </c>
      <c r="AV215" s="962" t="s">
        <v>47</v>
      </c>
      <c r="AW215" s="348" t="s">
        <v>47</v>
      </c>
      <c r="AX215" s="348" t="s">
        <v>47</v>
      </c>
      <c r="AY215" s="348" t="s">
        <v>47</v>
      </c>
      <c r="AZ215" s="348" t="s">
        <v>47</v>
      </c>
      <c r="BA215" s="348" t="s">
        <v>47</v>
      </c>
      <c r="BB215" s="348" t="s">
        <v>47</v>
      </c>
      <c r="BC215" s="348" t="s">
        <v>47</v>
      </c>
      <c r="BD215" s="348" t="s">
        <v>47</v>
      </c>
      <c r="BE215" s="348">
        <v>1387.5</v>
      </c>
      <c r="BF215" s="592">
        <v>1387.5</v>
      </c>
      <c r="BG215" s="592">
        <v>1387.5</v>
      </c>
      <c r="BH215" s="592">
        <v>1387.5</v>
      </c>
      <c r="BI215" s="592">
        <v>1387.5</v>
      </c>
      <c r="BJ215" s="592">
        <v>1387.5</v>
      </c>
      <c r="BK215" s="592">
        <v>1387.5</v>
      </c>
      <c r="BL215" s="592">
        <v>1387.5</v>
      </c>
      <c r="BM215" s="592">
        <v>1387.5</v>
      </c>
      <c r="BN215" s="592" t="s">
        <v>47</v>
      </c>
      <c r="BO215" s="592" t="s">
        <v>47</v>
      </c>
      <c r="BP215" s="592" t="s">
        <v>47</v>
      </c>
      <c r="BQ215" s="592">
        <v>1148</v>
      </c>
      <c r="BR215" s="592">
        <v>1148</v>
      </c>
      <c r="BS215" s="592">
        <v>1148</v>
      </c>
      <c r="BT215" s="592">
        <v>1148</v>
      </c>
      <c r="BU215" s="592">
        <v>1148</v>
      </c>
      <c r="BV215" s="592">
        <v>1148</v>
      </c>
      <c r="BW215" s="592">
        <v>1148</v>
      </c>
      <c r="BX215" s="592">
        <v>1148</v>
      </c>
      <c r="BY215" s="343">
        <v>1294</v>
      </c>
      <c r="BZ215" s="592">
        <v>1294</v>
      </c>
      <c r="CA215" s="592">
        <v>1294</v>
      </c>
      <c r="CB215" s="592">
        <v>1294</v>
      </c>
      <c r="CC215" s="592">
        <v>1294</v>
      </c>
      <c r="CD215" s="343">
        <v>1362.4</v>
      </c>
      <c r="CE215"/>
      <c r="CF215"/>
      <c r="CG215"/>
      <c r="CH215"/>
      <c r="CI215"/>
      <c r="CJ215"/>
      <c r="CK215"/>
      <c r="CL215"/>
      <c r="CM215"/>
      <c r="CN215"/>
      <c r="CO215"/>
      <c r="CP215"/>
      <c r="CQ215"/>
      <c r="CR215"/>
      <c r="CS215"/>
      <c r="CT215"/>
      <c r="CU215"/>
      <c r="CV215"/>
      <c r="CW215"/>
      <c r="CX215"/>
      <c r="CY215"/>
      <c r="CZ215"/>
      <c r="DA215"/>
      <c r="DB215"/>
      <c r="DC215"/>
      <c r="DD215"/>
    </row>
    <row r="216" spans="1:108" x14ac:dyDescent="0.25">
      <c r="B216" s="117" t="s">
        <v>1218</v>
      </c>
      <c r="C216" s="266" t="s">
        <v>47</v>
      </c>
      <c r="D216" s="266" t="s">
        <v>47</v>
      </c>
      <c r="E216" s="266" t="s">
        <v>47</v>
      </c>
      <c r="F216" s="266" t="s">
        <v>47</v>
      </c>
      <c r="G216" s="266" t="s">
        <v>47</v>
      </c>
      <c r="H216" s="266" t="s">
        <v>47</v>
      </c>
      <c r="I216" s="266" t="s">
        <v>47</v>
      </c>
      <c r="J216" s="266" t="s">
        <v>47</v>
      </c>
      <c r="K216" s="266" t="s">
        <v>47</v>
      </c>
      <c r="L216" s="266" t="s">
        <v>47</v>
      </c>
      <c r="M216" s="266" t="s">
        <v>47</v>
      </c>
      <c r="N216" s="266" t="s">
        <v>47</v>
      </c>
      <c r="O216" s="266" t="s">
        <v>47</v>
      </c>
      <c r="P216" s="266" t="s">
        <v>47</v>
      </c>
      <c r="Q216" s="266" t="s">
        <v>47</v>
      </c>
      <c r="R216" s="266" t="s">
        <v>47</v>
      </c>
      <c r="S216" s="266" t="s">
        <v>47</v>
      </c>
      <c r="T216" s="266" t="s">
        <v>47</v>
      </c>
      <c r="U216" s="266" t="s">
        <v>47</v>
      </c>
      <c r="V216" s="266" t="s">
        <v>47</v>
      </c>
      <c r="W216" s="266" t="s">
        <v>47</v>
      </c>
      <c r="X216" s="266" t="s">
        <v>47</v>
      </c>
      <c r="Y216" s="266" t="s">
        <v>47</v>
      </c>
      <c r="Z216" s="266" t="s">
        <v>47</v>
      </c>
      <c r="AA216" s="266" t="s">
        <v>47</v>
      </c>
      <c r="AB216" s="266" t="s">
        <v>47</v>
      </c>
      <c r="AC216" s="266" t="s">
        <v>47</v>
      </c>
      <c r="AD216" s="266" t="s">
        <v>47</v>
      </c>
      <c r="AE216" s="266" t="s">
        <v>47</v>
      </c>
      <c r="AF216" s="266" t="s">
        <v>47</v>
      </c>
      <c r="AG216" s="266" t="s">
        <v>47</v>
      </c>
      <c r="AH216" s="266" t="s">
        <v>47</v>
      </c>
      <c r="AI216" s="266" t="s">
        <v>47</v>
      </c>
      <c r="AJ216" s="266" t="s">
        <v>47</v>
      </c>
      <c r="AK216" s="266" t="s">
        <v>47</v>
      </c>
      <c r="AL216" s="266" t="s">
        <v>47</v>
      </c>
      <c r="AM216" s="266" t="s">
        <v>47</v>
      </c>
      <c r="AN216" s="266" t="s">
        <v>47</v>
      </c>
      <c r="AO216" s="266" t="s">
        <v>47</v>
      </c>
      <c r="AP216" s="266" t="s">
        <v>47</v>
      </c>
      <c r="AQ216" s="266" t="s">
        <v>47</v>
      </c>
      <c r="AR216" s="266" t="s">
        <v>47</v>
      </c>
      <c r="AS216" s="266" t="s">
        <v>47</v>
      </c>
      <c r="AT216" s="266" t="s">
        <v>47</v>
      </c>
      <c r="AU216" s="266" t="s">
        <v>47</v>
      </c>
      <c r="AV216" s="266" t="s">
        <v>47</v>
      </c>
      <c r="AW216" s="266" t="s">
        <v>47</v>
      </c>
      <c r="AX216" s="266" t="s">
        <v>47</v>
      </c>
      <c r="AY216" s="266" t="s">
        <v>47</v>
      </c>
      <c r="AZ216" s="266" t="s">
        <v>47</v>
      </c>
      <c r="BA216" s="266" t="s">
        <v>47</v>
      </c>
      <c r="BB216" s="266" t="s">
        <v>47</v>
      </c>
      <c r="BC216" s="266" t="s">
        <v>47</v>
      </c>
      <c r="BD216" s="266" t="s">
        <v>47</v>
      </c>
      <c r="BE216" s="266" t="s">
        <v>47</v>
      </c>
      <c r="BF216" s="266" t="s">
        <v>47</v>
      </c>
      <c r="BG216" s="266" t="s">
        <v>47</v>
      </c>
      <c r="BH216" s="266" t="s">
        <v>47</v>
      </c>
      <c r="BI216" s="266" t="s">
        <v>47</v>
      </c>
      <c r="BJ216" s="266" t="s">
        <v>47</v>
      </c>
      <c r="BK216" s="266" t="s">
        <v>47</v>
      </c>
      <c r="BL216" s="266" t="s">
        <v>47</v>
      </c>
      <c r="BM216" s="266" t="s">
        <v>47</v>
      </c>
      <c r="BN216" s="592">
        <v>1267</v>
      </c>
      <c r="BO216" s="592">
        <v>1267</v>
      </c>
      <c r="BP216" s="592">
        <v>1267</v>
      </c>
      <c r="BQ216" s="342">
        <v>985</v>
      </c>
      <c r="BR216" s="266">
        <v>985</v>
      </c>
      <c r="BS216" s="266">
        <v>985</v>
      </c>
      <c r="BT216" s="343">
        <v>1072</v>
      </c>
      <c r="BU216" s="592">
        <v>1072</v>
      </c>
      <c r="BV216" s="592">
        <v>1072</v>
      </c>
      <c r="BW216" s="592">
        <v>1072</v>
      </c>
      <c r="BX216" s="592">
        <v>1072</v>
      </c>
      <c r="BY216" s="592">
        <v>1072</v>
      </c>
      <c r="BZ216" s="592">
        <v>1072</v>
      </c>
      <c r="CA216" s="592">
        <v>1072</v>
      </c>
      <c r="CB216" s="343">
        <v>1372</v>
      </c>
      <c r="CC216" s="592">
        <v>1372</v>
      </c>
      <c r="CD216" s="592">
        <v>1372</v>
      </c>
      <c r="CE216"/>
      <c r="CF216"/>
      <c r="CG216"/>
      <c r="CH216"/>
      <c r="CI216"/>
      <c r="CJ216"/>
      <c r="CK216"/>
      <c r="CL216"/>
      <c r="CM216"/>
      <c r="CN216"/>
      <c r="CO216"/>
      <c r="CP216"/>
      <c r="CQ216"/>
      <c r="CR216"/>
      <c r="CS216"/>
      <c r="CT216"/>
      <c r="CU216"/>
      <c r="CV216"/>
      <c r="CW216"/>
      <c r="CX216"/>
      <c r="CY216"/>
      <c r="CZ216"/>
      <c r="DA216"/>
      <c r="DB216"/>
      <c r="DC216"/>
      <c r="DD216"/>
    </row>
    <row r="217" spans="1:108" x14ac:dyDescent="0.25">
      <c r="A217" s="1113"/>
      <c r="B217" s="791" t="s">
        <v>134</v>
      </c>
      <c r="C217" s="1126" t="s">
        <v>47</v>
      </c>
      <c r="D217" s="1126" t="s">
        <v>47</v>
      </c>
      <c r="E217" s="1126" t="s">
        <v>47</v>
      </c>
      <c r="F217" s="1126" t="s">
        <v>47</v>
      </c>
      <c r="G217" s="1126" t="s">
        <v>47</v>
      </c>
      <c r="H217" s="1126" t="s">
        <v>47</v>
      </c>
      <c r="I217" s="1126" t="s">
        <v>47</v>
      </c>
      <c r="J217" s="1127" t="s">
        <v>47</v>
      </c>
      <c r="K217" s="1127" t="s">
        <v>47</v>
      </c>
      <c r="L217" s="1127" t="s">
        <v>47</v>
      </c>
      <c r="M217" s="1127" t="s">
        <v>47</v>
      </c>
      <c r="N217" s="1127" t="s">
        <v>47</v>
      </c>
      <c r="O217" s="1127" t="s">
        <v>47</v>
      </c>
      <c r="P217" s="1127" t="s">
        <v>47</v>
      </c>
      <c r="Q217" s="1127" t="s">
        <v>47</v>
      </c>
      <c r="R217" s="1127" t="s">
        <v>47</v>
      </c>
      <c r="S217" s="1127" t="s">
        <v>47</v>
      </c>
      <c r="T217" s="1127" t="s">
        <v>47</v>
      </c>
      <c r="U217" s="1127" t="s">
        <v>47</v>
      </c>
      <c r="V217" s="1127" t="s">
        <v>47</v>
      </c>
      <c r="W217" s="1127" t="s">
        <v>47</v>
      </c>
      <c r="X217" s="1127" t="s">
        <v>47</v>
      </c>
      <c r="Y217" s="1127" t="s">
        <v>47</v>
      </c>
      <c r="Z217" s="1127" t="s">
        <v>47</v>
      </c>
      <c r="AA217" s="1127" t="s">
        <v>47</v>
      </c>
      <c r="AB217" s="1127" t="s">
        <v>47</v>
      </c>
      <c r="AC217" s="1127" t="s">
        <v>47</v>
      </c>
      <c r="AD217" s="1127" t="s">
        <v>47</v>
      </c>
      <c r="AE217" s="1127" t="s">
        <v>47</v>
      </c>
      <c r="AF217" s="1127" t="s">
        <v>47</v>
      </c>
      <c r="AG217" s="1127" t="s">
        <v>47</v>
      </c>
      <c r="AH217" s="1127" t="s">
        <v>47</v>
      </c>
      <c r="AI217" s="1127" t="s">
        <v>47</v>
      </c>
      <c r="AJ217" s="1127" t="s">
        <v>47</v>
      </c>
      <c r="AK217" s="1127" t="s">
        <v>47</v>
      </c>
      <c r="AL217" s="1127" t="s">
        <v>47</v>
      </c>
      <c r="AM217" s="1127" t="s">
        <v>47</v>
      </c>
      <c r="AN217" s="1127" t="s">
        <v>47</v>
      </c>
      <c r="AO217" s="1127" t="s">
        <v>47</v>
      </c>
      <c r="AP217" s="1127" t="s">
        <v>47</v>
      </c>
      <c r="AQ217" s="1127" t="s">
        <v>47</v>
      </c>
      <c r="AR217" s="1127" t="s">
        <v>47</v>
      </c>
      <c r="AS217" s="1127" t="s">
        <v>47</v>
      </c>
      <c r="AT217" s="1127" t="s">
        <v>47</v>
      </c>
      <c r="AU217" s="1127" t="s">
        <v>47</v>
      </c>
      <c r="AV217" s="1128" t="s">
        <v>47</v>
      </c>
      <c r="AW217" s="1127" t="s">
        <v>47</v>
      </c>
      <c r="AX217" s="1127" t="s">
        <v>47</v>
      </c>
      <c r="AY217" s="1127" t="s">
        <v>47</v>
      </c>
      <c r="AZ217" s="1127" t="s">
        <v>47</v>
      </c>
      <c r="BA217" s="1127" t="s">
        <v>47</v>
      </c>
      <c r="BB217" s="1127" t="s">
        <v>47</v>
      </c>
      <c r="BC217" s="1127" t="s">
        <v>47</v>
      </c>
      <c r="BD217" s="1127" t="s">
        <v>47</v>
      </c>
      <c r="BE217" s="1127" t="s">
        <v>47</v>
      </c>
      <c r="BF217" s="1127" t="s">
        <v>47</v>
      </c>
      <c r="BG217" s="1127" t="s">
        <v>47</v>
      </c>
      <c r="BH217" s="1127" t="s">
        <v>47</v>
      </c>
      <c r="BI217" s="1127" t="s">
        <v>47</v>
      </c>
      <c r="BJ217" s="1127" t="s">
        <v>47</v>
      </c>
      <c r="BK217" s="1127" t="s">
        <v>47</v>
      </c>
      <c r="BL217" s="1127" t="s">
        <v>47</v>
      </c>
      <c r="BM217" s="1127" t="s">
        <v>47</v>
      </c>
      <c r="BN217" s="1127">
        <v>1226</v>
      </c>
      <c r="BO217" s="1127">
        <v>1226</v>
      </c>
      <c r="BP217" s="1127">
        <v>1226</v>
      </c>
      <c r="BQ217" s="1127">
        <v>1226</v>
      </c>
      <c r="BR217" s="1127">
        <v>1280</v>
      </c>
      <c r="BS217" s="1127">
        <v>1280</v>
      </c>
      <c r="BT217" s="1127" t="s">
        <v>47</v>
      </c>
      <c r="BU217" s="1127" t="s">
        <v>47</v>
      </c>
      <c r="BV217" s="1127" t="s">
        <v>47</v>
      </c>
      <c r="BW217" s="1127" t="s">
        <v>47</v>
      </c>
      <c r="BX217" s="1127" t="s">
        <v>47</v>
      </c>
      <c r="BY217" s="1127" t="s">
        <v>47</v>
      </c>
      <c r="BZ217" s="1127" t="s">
        <v>47</v>
      </c>
      <c r="CA217" s="1127" t="s">
        <v>47</v>
      </c>
      <c r="CB217" s="1127" t="s">
        <v>47</v>
      </c>
      <c r="CC217" s="1127" t="s">
        <v>47</v>
      </c>
      <c r="CD217" s="1127" t="s">
        <v>47</v>
      </c>
      <c r="CE217"/>
      <c r="CF217"/>
      <c r="CG217"/>
      <c r="CH217"/>
      <c r="CI217"/>
      <c r="CJ217"/>
      <c r="CK217"/>
      <c r="CL217"/>
      <c r="CM217"/>
      <c r="CN217"/>
      <c r="CO217"/>
      <c r="CP217"/>
      <c r="CQ217"/>
      <c r="CR217"/>
      <c r="CS217"/>
      <c r="CT217"/>
      <c r="CU217"/>
      <c r="CV217"/>
      <c r="CW217"/>
      <c r="CX217"/>
      <c r="CY217"/>
      <c r="CZ217"/>
      <c r="DA217"/>
      <c r="DB217"/>
      <c r="DC217"/>
      <c r="DD217"/>
    </row>
    <row r="218" spans="1:108" x14ac:dyDescent="0.25">
      <c r="A218"/>
      <c r="B218" s="1117" t="s">
        <v>381</v>
      </c>
      <c r="C218" s="1118" t="str">
        <f t="shared" ref="C218:BK218" si="176">IFERROR(AVERAGE(C212:C217),"-")</f>
        <v>-</v>
      </c>
      <c r="D218" s="1118" t="str">
        <f t="shared" si="176"/>
        <v>-</v>
      </c>
      <c r="E218" s="1118" t="str">
        <f t="shared" si="176"/>
        <v>-</v>
      </c>
      <c r="F218" s="1118" t="str">
        <f t="shared" si="176"/>
        <v>-</v>
      </c>
      <c r="G218" s="1118" t="str">
        <f t="shared" si="176"/>
        <v>-</v>
      </c>
      <c r="H218" s="1118" t="str">
        <f t="shared" si="176"/>
        <v>-</v>
      </c>
      <c r="I218" s="1118" t="str">
        <f t="shared" si="176"/>
        <v>-</v>
      </c>
      <c r="J218" s="1118" t="str">
        <f t="shared" si="176"/>
        <v>-</v>
      </c>
      <c r="K218" s="1118" t="str">
        <f t="shared" si="176"/>
        <v>-</v>
      </c>
      <c r="L218" s="1118" t="str">
        <f t="shared" si="176"/>
        <v>-</v>
      </c>
      <c r="M218" s="1118" t="str">
        <f t="shared" si="176"/>
        <v>-</v>
      </c>
      <c r="N218" s="1118" t="str">
        <f t="shared" si="176"/>
        <v>-</v>
      </c>
      <c r="O218" s="1118" t="str">
        <f t="shared" si="176"/>
        <v>-</v>
      </c>
      <c r="P218" s="1118" t="str">
        <f t="shared" si="176"/>
        <v>-</v>
      </c>
      <c r="Q218" s="1118" t="str">
        <f t="shared" si="176"/>
        <v>-</v>
      </c>
      <c r="R218" s="1118" t="str">
        <f t="shared" si="176"/>
        <v>-</v>
      </c>
      <c r="S218" s="1118" t="str">
        <f t="shared" si="176"/>
        <v>-</v>
      </c>
      <c r="T218" s="1118" t="str">
        <f t="shared" si="176"/>
        <v>-</v>
      </c>
      <c r="U218" s="1118" t="str">
        <f t="shared" si="176"/>
        <v>-</v>
      </c>
      <c r="V218" s="1118" t="str">
        <f t="shared" si="176"/>
        <v>-</v>
      </c>
      <c r="W218" s="1118" t="str">
        <f t="shared" si="176"/>
        <v>-</v>
      </c>
      <c r="X218" s="1118" t="str">
        <f t="shared" si="176"/>
        <v>-</v>
      </c>
      <c r="Y218" s="1118" t="str">
        <f t="shared" si="176"/>
        <v>-</v>
      </c>
      <c r="Z218" s="1118" t="str">
        <f t="shared" si="176"/>
        <v>-</v>
      </c>
      <c r="AA218" s="1118" t="str">
        <f t="shared" si="176"/>
        <v>-</v>
      </c>
      <c r="AB218" s="1118" t="str">
        <f t="shared" si="176"/>
        <v>-</v>
      </c>
      <c r="AC218" s="1118" t="str">
        <f t="shared" si="176"/>
        <v>-</v>
      </c>
      <c r="AD218" s="1118" t="str">
        <f t="shared" si="176"/>
        <v>-</v>
      </c>
      <c r="AE218" s="1118" t="str">
        <f t="shared" si="176"/>
        <v>-</v>
      </c>
      <c r="AF218" s="1118" t="str">
        <f t="shared" si="176"/>
        <v>-</v>
      </c>
      <c r="AG218" s="1118" t="str">
        <f t="shared" si="176"/>
        <v>-</v>
      </c>
      <c r="AH218" s="1118" t="str">
        <f t="shared" si="176"/>
        <v>-</v>
      </c>
      <c r="AI218" s="1118" t="str">
        <f t="shared" si="176"/>
        <v>-</v>
      </c>
      <c r="AJ218" s="1118" t="str">
        <f t="shared" si="176"/>
        <v>-</v>
      </c>
      <c r="AK218" s="1118" t="str">
        <f t="shared" si="176"/>
        <v>-</v>
      </c>
      <c r="AL218" s="1118" t="str">
        <f t="shared" si="176"/>
        <v>-</v>
      </c>
      <c r="AM218" s="1118" t="str">
        <f t="shared" si="176"/>
        <v>-</v>
      </c>
      <c r="AN218" s="1118" t="str">
        <f t="shared" si="176"/>
        <v>-</v>
      </c>
      <c r="AO218" s="1118" t="str">
        <f t="shared" si="176"/>
        <v>-</v>
      </c>
      <c r="AP218" s="1118" t="str">
        <f t="shared" si="176"/>
        <v>-</v>
      </c>
      <c r="AQ218" s="1118" t="str">
        <f t="shared" si="176"/>
        <v>-</v>
      </c>
      <c r="AR218" s="1118" t="str">
        <f t="shared" si="176"/>
        <v>-</v>
      </c>
      <c r="AS218" s="1118" t="str">
        <f t="shared" si="176"/>
        <v>-</v>
      </c>
      <c r="AT218" s="1118" t="str">
        <f t="shared" si="176"/>
        <v>-</v>
      </c>
      <c r="AU218" s="1118" t="str">
        <f t="shared" si="176"/>
        <v>-</v>
      </c>
      <c r="AV218" s="1118" t="str">
        <f t="shared" si="176"/>
        <v>-</v>
      </c>
      <c r="AW218" s="1118" t="str">
        <f t="shared" si="176"/>
        <v>-</v>
      </c>
      <c r="AX218" s="1118" t="str">
        <f t="shared" si="176"/>
        <v>-</v>
      </c>
      <c r="AY218" s="1118" t="str">
        <f t="shared" si="176"/>
        <v>-</v>
      </c>
      <c r="AZ218" s="1118" t="str">
        <f t="shared" si="176"/>
        <v>-</v>
      </c>
      <c r="BA218" s="1118" t="str">
        <f t="shared" si="176"/>
        <v>-</v>
      </c>
      <c r="BB218" s="1118" t="str">
        <f t="shared" si="176"/>
        <v>-</v>
      </c>
      <c r="BC218" s="1119">
        <f t="shared" si="176"/>
        <v>1390</v>
      </c>
      <c r="BD218" s="1119">
        <f t="shared" si="176"/>
        <v>1488.5</v>
      </c>
      <c r="BE218" s="1119">
        <f t="shared" si="176"/>
        <v>1454.8333333333333</v>
      </c>
      <c r="BF218" s="1119">
        <f t="shared" si="176"/>
        <v>1454.8333333333333</v>
      </c>
      <c r="BG218" s="1119">
        <f t="shared" si="176"/>
        <v>1454.8333333333333</v>
      </c>
      <c r="BH218" s="1119">
        <f t="shared" si="176"/>
        <v>1454.8333333333333</v>
      </c>
      <c r="BI218" s="1119">
        <f t="shared" si="176"/>
        <v>1454.8333333333333</v>
      </c>
      <c r="BJ218" s="1119">
        <f t="shared" si="176"/>
        <v>1454.8333333333333</v>
      </c>
      <c r="BK218" s="1119">
        <f t="shared" si="176"/>
        <v>1454.8333333333333</v>
      </c>
      <c r="BL218" s="1119">
        <f>IFERROR(AVERAGE(BL212:BL217),"-")</f>
        <v>1454.8333333333333</v>
      </c>
      <c r="BM218" s="1119">
        <f t="shared" ref="BM218:BY218" si="177">IFERROR(AVERAGE(BM212:BM217),"-")</f>
        <v>1454.8333333333333</v>
      </c>
      <c r="BN218" s="1119">
        <f t="shared" si="177"/>
        <v>1246.5</v>
      </c>
      <c r="BO218" s="1119">
        <f t="shared" si="177"/>
        <v>1246.5</v>
      </c>
      <c r="BP218" s="1119">
        <f t="shared" si="177"/>
        <v>1246.5</v>
      </c>
      <c r="BQ218" s="1119">
        <f t="shared" si="177"/>
        <v>1156.4000000000001</v>
      </c>
      <c r="BR218" s="1119">
        <f t="shared" si="177"/>
        <v>1167.2</v>
      </c>
      <c r="BS218" s="1119">
        <f t="shared" si="177"/>
        <v>1167.2</v>
      </c>
      <c r="BT218" s="1119">
        <f t="shared" si="177"/>
        <v>1160.75</v>
      </c>
      <c r="BU218" s="1119">
        <f t="shared" si="177"/>
        <v>1160.75</v>
      </c>
      <c r="BV218" s="1119">
        <f t="shared" si="177"/>
        <v>1160.75</v>
      </c>
      <c r="BW218" s="1119">
        <f t="shared" si="177"/>
        <v>1160.75</v>
      </c>
      <c r="BX218" s="1119">
        <f t="shared" si="177"/>
        <v>1160.75</v>
      </c>
      <c r="BY218" s="1119">
        <f t="shared" si="177"/>
        <v>1212.8</v>
      </c>
      <c r="BZ218" s="1124">
        <f>IFERROR(AVERAGE(BZ212:BZ217),"-")</f>
        <v>1212.8</v>
      </c>
      <c r="CA218" s="1124">
        <f>IFERROR(AVERAGE(CA212:CA217),"-")</f>
        <v>1212.8</v>
      </c>
      <c r="CB218" s="1124">
        <f>IFERROR(AVERAGE(CB212:CB217),"-")</f>
        <v>1272.8</v>
      </c>
      <c r="CC218" s="1124">
        <f>IFERROR(AVERAGE(CC212:CC217),"-")</f>
        <v>1309.8</v>
      </c>
      <c r="CD218" s="1124">
        <f>IFERROR(AVERAGE(CD212:CD217),"-")</f>
        <v>1323.48</v>
      </c>
      <c r="CE218"/>
      <c r="CF218"/>
      <c r="CG218"/>
      <c r="CH218"/>
      <c r="CI218"/>
      <c r="CJ218"/>
      <c r="CK218"/>
      <c r="CL218"/>
      <c r="CM218"/>
      <c r="CN218"/>
      <c r="CO218"/>
      <c r="CP218"/>
      <c r="CQ218"/>
      <c r="CR218"/>
      <c r="CS218"/>
      <c r="CT218"/>
      <c r="CU218"/>
      <c r="CV218"/>
      <c r="CW218"/>
      <c r="CX218"/>
      <c r="CY218"/>
      <c r="CZ218"/>
      <c r="DA218"/>
      <c r="DB218"/>
      <c r="DC218"/>
      <c r="DD218"/>
    </row>
    <row r="219" spans="1:108" x14ac:dyDescent="0.25">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c r="AU219"/>
      <c r="AV219" s="950"/>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row>
    <row r="220" spans="1:108" x14ac:dyDescent="0.25">
      <c r="B220" s="113" t="s">
        <v>1101</v>
      </c>
      <c r="C220" s="264">
        <f t="shared" ref="C220:BN220" si="178">C$12</f>
        <v>42522</v>
      </c>
      <c r="D220" s="264">
        <f t="shared" si="178"/>
        <v>42552</v>
      </c>
      <c r="E220" s="264">
        <f t="shared" si="178"/>
        <v>42583</v>
      </c>
      <c r="F220" s="264">
        <f t="shared" si="178"/>
        <v>42614</v>
      </c>
      <c r="G220" s="264">
        <f t="shared" si="178"/>
        <v>42644</v>
      </c>
      <c r="H220" s="264">
        <f t="shared" si="178"/>
        <v>42675</v>
      </c>
      <c r="I220" s="264">
        <f t="shared" si="178"/>
        <v>42705</v>
      </c>
      <c r="J220" s="264">
        <f t="shared" si="178"/>
        <v>42736</v>
      </c>
      <c r="K220" s="264">
        <f t="shared" si="178"/>
        <v>42767</v>
      </c>
      <c r="L220" s="264">
        <f t="shared" si="178"/>
        <v>42795</v>
      </c>
      <c r="M220" s="264">
        <f t="shared" si="178"/>
        <v>42826</v>
      </c>
      <c r="N220" s="264">
        <f t="shared" si="178"/>
        <v>42856</v>
      </c>
      <c r="O220" s="264">
        <f t="shared" si="178"/>
        <v>42887</v>
      </c>
      <c r="P220" s="264">
        <f t="shared" si="178"/>
        <v>42917</v>
      </c>
      <c r="Q220" s="264">
        <f t="shared" si="178"/>
        <v>42948</v>
      </c>
      <c r="R220" s="264">
        <f t="shared" si="178"/>
        <v>42979</v>
      </c>
      <c r="S220" s="264">
        <f t="shared" si="178"/>
        <v>43009</v>
      </c>
      <c r="T220" s="264">
        <f t="shared" si="178"/>
        <v>43040</v>
      </c>
      <c r="U220" s="264">
        <f t="shared" si="178"/>
        <v>43070</v>
      </c>
      <c r="V220" s="264">
        <f t="shared" si="178"/>
        <v>43101</v>
      </c>
      <c r="W220" s="264">
        <f t="shared" si="178"/>
        <v>43132</v>
      </c>
      <c r="X220" s="264">
        <f t="shared" si="178"/>
        <v>43160</v>
      </c>
      <c r="Y220" s="264">
        <f t="shared" si="178"/>
        <v>43191</v>
      </c>
      <c r="Z220" s="264">
        <f t="shared" si="178"/>
        <v>43221</v>
      </c>
      <c r="AA220" s="264">
        <f t="shared" si="178"/>
        <v>43252</v>
      </c>
      <c r="AB220" s="264">
        <f t="shared" si="178"/>
        <v>43283</v>
      </c>
      <c r="AC220" s="264">
        <f t="shared" si="178"/>
        <v>43314</v>
      </c>
      <c r="AD220" s="264">
        <f t="shared" si="178"/>
        <v>43345</v>
      </c>
      <c r="AE220" s="264">
        <f t="shared" si="178"/>
        <v>43376</v>
      </c>
      <c r="AF220" s="264">
        <f t="shared" si="178"/>
        <v>43407</v>
      </c>
      <c r="AG220" s="264">
        <f t="shared" si="178"/>
        <v>43437</v>
      </c>
      <c r="AH220" s="264">
        <f t="shared" si="178"/>
        <v>43468</v>
      </c>
      <c r="AI220" s="264">
        <f t="shared" si="178"/>
        <v>43499</v>
      </c>
      <c r="AJ220" s="264">
        <f t="shared" si="178"/>
        <v>43527</v>
      </c>
      <c r="AK220" s="264">
        <f t="shared" si="178"/>
        <v>43558</v>
      </c>
      <c r="AL220" s="264">
        <f t="shared" si="178"/>
        <v>43587</v>
      </c>
      <c r="AM220" s="264">
        <f t="shared" si="178"/>
        <v>43618</v>
      </c>
      <c r="AN220" s="264">
        <f t="shared" si="178"/>
        <v>43647</v>
      </c>
      <c r="AO220" s="264">
        <f t="shared" si="178"/>
        <v>43678</v>
      </c>
      <c r="AP220" s="264">
        <f t="shared" si="178"/>
        <v>43709</v>
      </c>
      <c r="AQ220" s="264">
        <f t="shared" si="178"/>
        <v>43739</v>
      </c>
      <c r="AR220" s="264">
        <f t="shared" si="178"/>
        <v>43770</v>
      </c>
      <c r="AS220" s="264">
        <f t="shared" si="178"/>
        <v>43800</v>
      </c>
      <c r="AT220" s="264">
        <f t="shared" si="178"/>
        <v>43831</v>
      </c>
      <c r="AU220" s="264">
        <f t="shared" si="178"/>
        <v>43862</v>
      </c>
      <c r="AV220" s="946">
        <f t="shared" si="178"/>
        <v>43891</v>
      </c>
      <c r="AW220" s="264">
        <f t="shared" si="178"/>
        <v>43922</v>
      </c>
      <c r="AX220" s="264">
        <f t="shared" si="178"/>
        <v>43952</v>
      </c>
      <c r="AY220" s="264">
        <f t="shared" si="178"/>
        <v>43983</v>
      </c>
      <c r="AZ220" s="264">
        <f t="shared" si="178"/>
        <v>44013</v>
      </c>
      <c r="BA220" s="264">
        <f t="shared" si="178"/>
        <v>44044</v>
      </c>
      <c r="BB220" s="264">
        <f t="shared" si="178"/>
        <v>44075</v>
      </c>
      <c r="BC220" s="264">
        <f t="shared" si="178"/>
        <v>44105</v>
      </c>
      <c r="BD220" s="264">
        <f t="shared" si="178"/>
        <v>44136</v>
      </c>
      <c r="BE220" s="264">
        <f t="shared" si="178"/>
        <v>44166</v>
      </c>
      <c r="BF220" s="264">
        <f t="shared" si="178"/>
        <v>44197</v>
      </c>
      <c r="BG220" s="264">
        <f t="shared" si="178"/>
        <v>44228</v>
      </c>
      <c r="BH220" s="264">
        <f t="shared" si="178"/>
        <v>44256</v>
      </c>
      <c r="BI220" s="264">
        <f t="shared" si="178"/>
        <v>44287</v>
      </c>
      <c r="BJ220" s="264">
        <f t="shared" si="178"/>
        <v>44317</v>
      </c>
      <c r="BK220" s="264">
        <f t="shared" si="178"/>
        <v>44348</v>
      </c>
      <c r="BL220" s="264">
        <f t="shared" si="178"/>
        <v>44378</v>
      </c>
      <c r="BM220" s="264">
        <f t="shared" si="178"/>
        <v>44409</v>
      </c>
      <c r="BN220" s="264">
        <f t="shared" si="178"/>
        <v>44440</v>
      </c>
      <c r="BO220" s="264">
        <f t="shared" ref="BO220:CB220" si="179">BO$12</f>
        <v>44470</v>
      </c>
      <c r="BP220" s="264">
        <f t="shared" si="179"/>
        <v>44501</v>
      </c>
      <c r="BQ220" s="264">
        <f t="shared" si="179"/>
        <v>44531</v>
      </c>
      <c r="BR220" s="264">
        <f t="shared" si="179"/>
        <v>44562</v>
      </c>
      <c r="BS220" s="264">
        <f t="shared" si="179"/>
        <v>44593</v>
      </c>
      <c r="BT220" s="264">
        <f t="shared" si="179"/>
        <v>44622</v>
      </c>
      <c r="BU220" s="264">
        <f t="shared" si="179"/>
        <v>44654</v>
      </c>
      <c r="BV220" s="264">
        <f t="shared" si="179"/>
        <v>44685</v>
      </c>
      <c r="BW220" s="264">
        <f t="shared" si="179"/>
        <v>44716</v>
      </c>
      <c r="BX220" s="264">
        <f t="shared" si="179"/>
        <v>44746</v>
      </c>
      <c r="BY220" s="264">
        <f t="shared" si="179"/>
        <v>44774</v>
      </c>
      <c r="BZ220" s="264">
        <f t="shared" si="179"/>
        <v>44805</v>
      </c>
      <c r="CA220" s="264">
        <f t="shared" si="179"/>
        <v>44835</v>
      </c>
      <c r="CB220" s="264">
        <f t="shared" si="179"/>
        <v>44866</v>
      </c>
      <c r="CC220" s="264">
        <f>CC$12</f>
        <v>44896</v>
      </c>
      <c r="CD220" s="264">
        <f>CD$12</f>
        <v>44927</v>
      </c>
      <c r="CE220"/>
      <c r="CF220"/>
      <c r="CG220"/>
      <c r="CH220"/>
      <c r="CI220"/>
      <c r="CJ220"/>
      <c r="CK220"/>
      <c r="CL220"/>
      <c r="CM220"/>
      <c r="CN220"/>
      <c r="CO220"/>
      <c r="CP220"/>
      <c r="CQ220"/>
      <c r="CR220"/>
      <c r="CS220"/>
      <c r="CT220"/>
      <c r="CU220"/>
      <c r="CV220"/>
      <c r="CW220"/>
      <c r="CX220"/>
      <c r="CY220"/>
      <c r="CZ220"/>
      <c r="DA220"/>
      <c r="DB220"/>
      <c r="DC220"/>
      <c r="DD220"/>
    </row>
    <row r="221" spans="1:108" x14ac:dyDescent="0.25">
      <c r="B221" s="117" t="s">
        <v>131</v>
      </c>
      <c r="C221" s="265" t="s">
        <v>47</v>
      </c>
      <c r="D221" s="265" t="s">
        <v>47</v>
      </c>
      <c r="E221" s="265" t="s">
        <v>47</v>
      </c>
      <c r="F221" s="266" t="s">
        <v>47</v>
      </c>
      <c r="G221" s="266" t="s">
        <v>47</v>
      </c>
      <c r="H221" s="266" t="s">
        <v>47</v>
      </c>
      <c r="I221" s="266" t="s">
        <v>47</v>
      </c>
      <c r="J221" s="266" t="s">
        <v>47</v>
      </c>
      <c r="K221" s="266" t="s">
        <v>47</v>
      </c>
      <c r="L221" s="593" t="s">
        <v>47</v>
      </c>
      <c r="M221" s="593" t="s">
        <v>47</v>
      </c>
      <c r="N221" s="593" t="s">
        <v>47</v>
      </c>
      <c r="O221" s="593" t="s">
        <v>47</v>
      </c>
      <c r="P221" s="593" t="s">
        <v>47</v>
      </c>
      <c r="Q221" s="593" t="s">
        <v>47</v>
      </c>
      <c r="R221" s="593" t="s">
        <v>47</v>
      </c>
      <c r="S221" s="593" t="s">
        <v>47</v>
      </c>
      <c r="T221" s="593" t="s">
        <v>47</v>
      </c>
      <c r="U221" s="592" t="s">
        <v>47</v>
      </c>
      <c r="V221" s="592" t="s">
        <v>47</v>
      </c>
      <c r="W221" s="592" t="s">
        <v>47</v>
      </c>
      <c r="X221" s="592" t="s">
        <v>47</v>
      </c>
      <c r="Y221" s="592" t="s">
        <v>47</v>
      </c>
      <c r="Z221" s="592" t="s">
        <v>47</v>
      </c>
      <c r="AA221" s="592" t="s">
        <v>47</v>
      </c>
      <c r="AB221" s="592" t="s">
        <v>47</v>
      </c>
      <c r="AC221" s="592" t="s">
        <v>47</v>
      </c>
      <c r="AD221" s="592" t="s">
        <v>47</v>
      </c>
      <c r="AE221" s="592" t="s">
        <v>47</v>
      </c>
      <c r="AF221" s="592" t="s">
        <v>47</v>
      </c>
      <c r="AG221" s="592" t="s">
        <v>47</v>
      </c>
      <c r="AH221" s="592" t="s">
        <v>47</v>
      </c>
      <c r="AI221" s="592" t="s">
        <v>47</v>
      </c>
      <c r="AJ221" s="348" t="s">
        <v>47</v>
      </c>
      <c r="AK221" s="348" t="s">
        <v>47</v>
      </c>
      <c r="AL221" s="348" t="s">
        <v>47</v>
      </c>
      <c r="AM221" s="348" t="s">
        <v>47</v>
      </c>
      <c r="AN221" s="348" t="s">
        <v>47</v>
      </c>
      <c r="AO221" s="348" t="s">
        <v>47</v>
      </c>
      <c r="AP221" s="348" t="s">
        <v>47</v>
      </c>
      <c r="AQ221" s="348" t="s">
        <v>47</v>
      </c>
      <c r="AR221" s="348" t="s">
        <v>47</v>
      </c>
      <c r="AS221" s="348" t="s">
        <v>47</v>
      </c>
      <c r="AT221" s="348" t="s">
        <v>47</v>
      </c>
      <c r="AU221" s="348" t="s">
        <v>47</v>
      </c>
      <c r="AV221" s="962" t="s">
        <v>47</v>
      </c>
      <c r="AW221" s="348" t="s">
        <v>47</v>
      </c>
      <c r="AX221" s="348" t="s">
        <v>47</v>
      </c>
      <c r="AY221" s="348" t="s">
        <v>47</v>
      </c>
      <c r="AZ221" s="348" t="s">
        <v>47</v>
      </c>
      <c r="BA221" s="348" t="s">
        <v>47</v>
      </c>
      <c r="BB221" s="348" t="s">
        <v>47</v>
      </c>
      <c r="BC221" s="348" t="s">
        <v>47</v>
      </c>
      <c r="BD221" s="348" t="s">
        <v>47</v>
      </c>
      <c r="BE221" s="348" t="s">
        <v>47</v>
      </c>
      <c r="BF221" s="592" t="s">
        <v>47</v>
      </c>
      <c r="BG221" s="592" t="s">
        <v>47</v>
      </c>
      <c r="BH221" s="592" t="s">
        <v>47</v>
      </c>
      <c r="BI221" s="592" t="s">
        <v>47</v>
      </c>
      <c r="BJ221" s="592" t="s">
        <v>47</v>
      </c>
      <c r="BK221" s="592" t="s">
        <v>47</v>
      </c>
      <c r="BL221" s="592" t="s">
        <v>47</v>
      </c>
      <c r="BM221" s="592" t="s">
        <v>47</v>
      </c>
      <c r="BN221" s="592" t="s">
        <v>47</v>
      </c>
      <c r="BO221" s="592" t="s">
        <v>47</v>
      </c>
      <c r="BP221" s="592" t="s">
        <v>47</v>
      </c>
      <c r="BQ221" s="592">
        <v>186</v>
      </c>
      <c r="BR221" s="592">
        <v>186</v>
      </c>
      <c r="BS221" s="592">
        <v>186</v>
      </c>
      <c r="BT221" s="592">
        <v>186</v>
      </c>
      <c r="BU221" s="592">
        <v>187</v>
      </c>
      <c r="BV221" s="592">
        <v>187</v>
      </c>
      <c r="BW221" s="592">
        <v>187</v>
      </c>
      <c r="BX221" s="592">
        <v>187</v>
      </c>
      <c r="BY221" s="592">
        <v>187</v>
      </c>
      <c r="BZ221" s="592">
        <v>187</v>
      </c>
      <c r="CA221" s="592">
        <v>187</v>
      </c>
      <c r="CB221" s="592">
        <v>187</v>
      </c>
      <c r="CC221" s="343">
        <v>244</v>
      </c>
      <c r="CD221" s="592">
        <v>244</v>
      </c>
      <c r="CE221"/>
      <c r="CF221"/>
      <c r="CG221"/>
      <c r="CH221"/>
      <c r="CI221"/>
      <c r="CJ221"/>
      <c r="CK221"/>
      <c r="CL221"/>
      <c r="CM221"/>
      <c r="CN221"/>
      <c r="CO221"/>
      <c r="CP221"/>
      <c r="CQ221"/>
      <c r="CR221"/>
      <c r="CS221"/>
      <c r="CT221"/>
      <c r="CU221"/>
      <c r="CV221"/>
      <c r="CW221"/>
      <c r="CX221"/>
      <c r="CY221"/>
      <c r="CZ221"/>
      <c r="DA221"/>
      <c r="DB221"/>
      <c r="DC221"/>
      <c r="DD221"/>
    </row>
    <row r="222" spans="1:108" x14ac:dyDescent="0.25">
      <c r="B222" s="117" t="s">
        <v>135</v>
      </c>
      <c r="C222" s="265" t="s">
        <v>47</v>
      </c>
      <c r="D222" s="265" t="s">
        <v>47</v>
      </c>
      <c r="E222" s="265" t="s">
        <v>47</v>
      </c>
      <c r="F222" s="265" t="s">
        <v>47</v>
      </c>
      <c r="G222" s="265" t="s">
        <v>47</v>
      </c>
      <c r="H222" s="266" t="s">
        <v>47</v>
      </c>
      <c r="I222" s="266" t="s">
        <v>47</v>
      </c>
      <c r="J222" s="266" t="s">
        <v>47</v>
      </c>
      <c r="K222" s="266" t="s">
        <v>47</v>
      </c>
      <c r="L222" s="593" t="s">
        <v>47</v>
      </c>
      <c r="M222" s="593" t="s">
        <v>47</v>
      </c>
      <c r="N222" s="593" t="s">
        <v>47</v>
      </c>
      <c r="O222" s="593" t="s">
        <v>47</v>
      </c>
      <c r="P222" s="593" t="s">
        <v>47</v>
      </c>
      <c r="Q222" s="593" t="s">
        <v>47</v>
      </c>
      <c r="R222" s="593" t="s">
        <v>47</v>
      </c>
      <c r="S222" s="593" t="s">
        <v>47</v>
      </c>
      <c r="T222" s="593" t="s">
        <v>47</v>
      </c>
      <c r="U222" s="593" t="s">
        <v>47</v>
      </c>
      <c r="V222" s="593" t="s">
        <v>47</v>
      </c>
      <c r="W222" s="593" t="s">
        <v>47</v>
      </c>
      <c r="X222" s="593" t="s">
        <v>47</v>
      </c>
      <c r="Y222" s="593" t="s">
        <v>47</v>
      </c>
      <c r="Z222" s="593" t="s">
        <v>47</v>
      </c>
      <c r="AA222" s="593" t="s">
        <v>47</v>
      </c>
      <c r="AB222" s="593" t="s">
        <v>47</v>
      </c>
      <c r="AC222" s="593" t="s">
        <v>47</v>
      </c>
      <c r="AD222" s="593" t="s">
        <v>47</v>
      </c>
      <c r="AE222" s="593" t="s">
        <v>47</v>
      </c>
      <c r="AF222" s="592" t="s">
        <v>47</v>
      </c>
      <c r="AG222" s="593" t="s">
        <v>47</v>
      </c>
      <c r="AH222" s="593" t="s">
        <v>47</v>
      </c>
      <c r="AI222" s="593" t="s">
        <v>47</v>
      </c>
      <c r="AJ222" s="348" t="s">
        <v>47</v>
      </c>
      <c r="AK222" s="348" t="s">
        <v>47</v>
      </c>
      <c r="AL222" s="348" t="s">
        <v>47</v>
      </c>
      <c r="AM222" s="348" t="s">
        <v>47</v>
      </c>
      <c r="AN222" s="348" t="s">
        <v>47</v>
      </c>
      <c r="AO222" s="348" t="s">
        <v>47</v>
      </c>
      <c r="AP222" s="348" t="s">
        <v>47</v>
      </c>
      <c r="AQ222" s="348" t="s">
        <v>47</v>
      </c>
      <c r="AR222" s="348" t="s">
        <v>47</v>
      </c>
      <c r="AS222" s="348" t="s">
        <v>47</v>
      </c>
      <c r="AT222" s="348" t="s">
        <v>47</v>
      </c>
      <c r="AU222" s="348" t="s">
        <v>47</v>
      </c>
      <c r="AV222" s="962" t="s">
        <v>47</v>
      </c>
      <c r="AW222" s="348" t="s">
        <v>47</v>
      </c>
      <c r="AX222" s="348" t="s">
        <v>47</v>
      </c>
      <c r="AY222" s="348" t="s">
        <v>47</v>
      </c>
      <c r="AZ222" s="348" t="s">
        <v>47</v>
      </c>
      <c r="BA222" s="348" t="s">
        <v>47</v>
      </c>
      <c r="BB222" s="348" t="s">
        <v>47</v>
      </c>
      <c r="BC222" s="348" t="s">
        <v>47</v>
      </c>
      <c r="BD222" s="348">
        <v>288</v>
      </c>
      <c r="BE222" s="348">
        <v>288</v>
      </c>
      <c r="BF222" s="592">
        <v>288</v>
      </c>
      <c r="BG222" s="592">
        <v>288</v>
      </c>
      <c r="BH222" s="592">
        <v>288</v>
      </c>
      <c r="BI222" s="592">
        <v>288</v>
      </c>
      <c r="BJ222" s="592">
        <v>288</v>
      </c>
      <c r="BK222" s="592">
        <v>288</v>
      </c>
      <c r="BL222" s="592">
        <v>288</v>
      </c>
      <c r="BM222" s="592">
        <v>288</v>
      </c>
      <c r="BN222" s="592" t="s">
        <v>47</v>
      </c>
      <c r="BO222" s="592" t="s">
        <v>47</v>
      </c>
      <c r="BP222" s="592" t="s">
        <v>47</v>
      </c>
      <c r="BQ222" s="592">
        <v>202</v>
      </c>
      <c r="BR222" s="592">
        <v>202</v>
      </c>
      <c r="BS222" s="592">
        <v>202</v>
      </c>
      <c r="BT222" s="592">
        <v>202</v>
      </c>
      <c r="BU222" s="592">
        <v>202</v>
      </c>
      <c r="BV222" s="592">
        <v>202</v>
      </c>
      <c r="BW222" s="592">
        <v>202</v>
      </c>
      <c r="BX222" s="592">
        <v>202</v>
      </c>
      <c r="BY222" s="592">
        <v>202</v>
      </c>
      <c r="BZ222" s="592">
        <v>202</v>
      </c>
      <c r="CA222" s="592">
        <v>202</v>
      </c>
      <c r="CB222" s="592">
        <v>202</v>
      </c>
      <c r="CC222" s="592">
        <v>202</v>
      </c>
      <c r="CD222" s="592">
        <v>202</v>
      </c>
      <c r="CE222"/>
      <c r="CF222"/>
      <c r="CG222"/>
      <c r="CH222"/>
      <c r="CI222"/>
      <c r="CJ222"/>
      <c r="CK222"/>
      <c r="CL222"/>
      <c r="CM222"/>
      <c r="CN222"/>
      <c r="CO222"/>
      <c r="CP222"/>
      <c r="CQ222"/>
      <c r="CR222"/>
      <c r="CS222"/>
      <c r="CT222"/>
      <c r="CU222"/>
      <c r="CV222"/>
      <c r="CW222"/>
      <c r="CX222"/>
      <c r="CY222"/>
      <c r="CZ222"/>
      <c r="DA222"/>
      <c r="DB222"/>
      <c r="DC222"/>
      <c r="DD222"/>
    </row>
    <row r="223" spans="1:108" x14ac:dyDescent="0.25">
      <c r="B223" s="117" t="s">
        <v>142</v>
      </c>
      <c r="C223" s="265" t="s">
        <v>47</v>
      </c>
      <c r="D223" s="265" t="s">
        <v>47</v>
      </c>
      <c r="E223" s="265" t="s">
        <v>47</v>
      </c>
      <c r="F223" s="265" t="s">
        <v>47</v>
      </c>
      <c r="G223" s="265" t="s">
        <v>47</v>
      </c>
      <c r="H223" s="265" t="s">
        <v>47</v>
      </c>
      <c r="I223" s="265" t="s">
        <v>47</v>
      </c>
      <c r="J223" s="265" t="s">
        <v>47</v>
      </c>
      <c r="K223" s="265" t="s">
        <v>47</v>
      </c>
      <c r="L223" s="353" t="s">
        <v>47</v>
      </c>
      <c r="M223" s="353" t="s">
        <v>47</v>
      </c>
      <c r="N223" s="353" t="s">
        <v>47</v>
      </c>
      <c r="O223" s="593" t="s">
        <v>47</v>
      </c>
      <c r="P223" s="593" t="s">
        <v>47</v>
      </c>
      <c r="Q223" s="593" t="s">
        <v>47</v>
      </c>
      <c r="R223" s="593" t="s">
        <v>47</v>
      </c>
      <c r="S223" s="593" t="s">
        <v>47</v>
      </c>
      <c r="T223" s="593" t="s">
        <v>47</v>
      </c>
      <c r="U223" s="593" t="s">
        <v>47</v>
      </c>
      <c r="V223" s="593" t="s">
        <v>47</v>
      </c>
      <c r="W223" s="592" t="s">
        <v>47</v>
      </c>
      <c r="X223" s="592" t="s">
        <v>47</v>
      </c>
      <c r="Y223" s="592" t="s">
        <v>47</v>
      </c>
      <c r="Z223" s="592" t="s">
        <v>47</v>
      </c>
      <c r="AA223" s="592" t="s">
        <v>47</v>
      </c>
      <c r="AB223" s="592" t="s">
        <v>47</v>
      </c>
      <c r="AC223" s="592" t="s">
        <v>47</v>
      </c>
      <c r="AD223" s="592" t="s">
        <v>47</v>
      </c>
      <c r="AE223" s="592" t="s">
        <v>47</v>
      </c>
      <c r="AF223" s="592" t="s">
        <v>47</v>
      </c>
      <c r="AG223" s="593" t="s">
        <v>47</v>
      </c>
      <c r="AH223" s="593" t="s">
        <v>47</v>
      </c>
      <c r="AI223" s="593" t="s">
        <v>47</v>
      </c>
      <c r="AJ223" s="348" t="s">
        <v>47</v>
      </c>
      <c r="AK223" s="348" t="s">
        <v>47</v>
      </c>
      <c r="AL223" s="348" t="s">
        <v>47</v>
      </c>
      <c r="AM223" s="348" t="s">
        <v>47</v>
      </c>
      <c r="AN223" s="348" t="s">
        <v>47</v>
      </c>
      <c r="AO223" s="348" t="s">
        <v>47</v>
      </c>
      <c r="AP223" s="348" t="s">
        <v>47</v>
      </c>
      <c r="AQ223" s="348" t="s">
        <v>47</v>
      </c>
      <c r="AR223" s="348" t="s">
        <v>47</v>
      </c>
      <c r="AS223" s="348" t="s">
        <v>47</v>
      </c>
      <c r="AT223" s="348" t="s">
        <v>47</v>
      </c>
      <c r="AU223" s="348" t="s">
        <v>47</v>
      </c>
      <c r="AV223" s="962" t="s">
        <v>47</v>
      </c>
      <c r="AW223" s="350" t="s">
        <v>47</v>
      </c>
      <c r="AX223" s="350" t="s">
        <v>47</v>
      </c>
      <c r="AY223" s="348" t="s">
        <v>47</v>
      </c>
      <c r="AZ223" s="348" t="s">
        <v>47</v>
      </c>
      <c r="BA223" s="348" t="s">
        <v>47</v>
      </c>
      <c r="BB223" s="348" t="s">
        <v>47</v>
      </c>
      <c r="BC223" s="348">
        <v>249</v>
      </c>
      <c r="BD223" s="348">
        <v>249</v>
      </c>
      <c r="BE223" s="348">
        <v>249</v>
      </c>
      <c r="BF223" s="592">
        <v>249</v>
      </c>
      <c r="BG223" s="592">
        <v>249</v>
      </c>
      <c r="BH223" s="592">
        <v>249</v>
      </c>
      <c r="BI223" s="592">
        <v>249</v>
      </c>
      <c r="BJ223" s="592">
        <v>249</v>
      </c>
      <c r="BK223" s="592">
        <v>249</v>
      </c>
      <c r="BL223" s="592">
        <v>249</v>
      </c>
      <c r="BM223" s="592">
        <v>249</v>
      </c>
      <c r="BN223" s="592" t="s">
        <v>47</v>
      </c>
      <c r="BO223" s="592" t="s">
        <v>47</v>
      </c>
      <c r="BP223" s="592" t="s">
        <v>47</v>
      </c>
      <c r="BQ223" s="592" t="s">
        <v>47</v>
      </c>
      <c r="BR223" s="592" t="s">
        <v>47</v>
      </c>
      <c r="BS223" s="592" t="s">
        <v>47</v>
      </c>
      <c r="BT223" s="592" t="s">
        <v>47</v>
      </c>
      <c r="BU223" s="592" t="s">
        <v>47</v>
      </c>
      <c r="BV223" s="592" t="s">
        <v>47</v>
      </c>
      <c r="BW223" s="592" t="s">
        <v>47</v>
      </c>
      <c r="BX223" s="592" t="s">
        <v>47</v>
      </c>
      <c r="BY223" s="343">
        <v>214</v>
      </c>
      <c r="BZ223" s="592">
        <v>214</v>
      </c>
      <c r="CA223" s="592">
        <v>214</v>
      </c>
      <c r="CB223" s="592">
        <v>214</v>
      </c>
      <c r="CC223" s="592">
        <v>214</v>
      </c>
      <c r="CD223" s="592">
        <v>214</v>
      </c>
      <c r="CE223"/>
      <c r="CF223"/>
      <c r="CG223"/>
      <c r="CH223"/>
      <c r="CI223"/>
      <c r="CJ223"/>
      <c r="CK223"/>
      <c r="CL223"/>
      <c r="CM223"/>
      <c r="CN223"/>
      <c r="CO223"/>
      <c r="CP223"/>
      <c r="CQ223"/>
      <c r="CR223"/>
      <c r="CS223"/>
      <c r="CT223"/>
      <c r="CU223"/>
      <c r="CV223"/>
      <c r="CW223"/>
      <c r="CX223"/>
      <c r="CY223"/>
      <c r="CZ223"/>
      <c r="DA223"/>
      <c r="DB223"/>
      <c r="DC223"/>
      <c r="DD223"/>
    </row>
    <row r="224" spans="1:108" x14ac:dyDescent="0.25">
      <c r="B224" s="117" t="s">
        <v>136</v>
      </c>
      <c r="C224" s="265" t="s">
        <v>47</v>
      </c>
      <c r="D224" s="265" t="s">
        <v>47</v>
      </c>
      <c r="E224" s="265" t="s">
        <v>47</v>
      </c>
      <c r="F224" s="265" t="s">
        <v>47</v>
      </c>
      <c r="G224" s="266" t="s">
        <v>47</v>
      </c>
      <c r="H224" s="266" t="s">
        <v>47</v>
      </c>
      <c r="I224" s="266" t="s">
        <v>47</v>
      </c>
      <c r="J224" s="266" t="s">
        <v>47</v>
      </c>
      <c r="K224" s="266" t="s">
        <v>47</v>
      </c>
      <c r="L224" s="593" t="s">
        <v>47</v>
      </c>
      <c r="M224" s="593" t="s">
        <v>47</v>
      </c>
      <c r="N224" s="593" t="s">
        <v>47</v>
      </c>
      <c r="O224" s="593" t="s">
        <v>47</v>
      </c>
      <c r="P224" s="593" t="s">
        <v>47</v>
      </c>
      <c r="Q224" s="593" t="s">
        <v>47</v>
      </c>
      <c r="R224" s="593" t="s">
        <v>47</v>
      </c>
      <c r="S224" s="593" t="s">
        <v>47</v>
      </c>
      <c r="T224" s="593" t="s">
        <v>47</v>
      </c>
      <c r="U224" s="593" t="s">
        <v>47</v>
      </c>
      <c r="V224" s="592" t="s">
        <v>47</v>
      </c>
      <c r="W224" s="593" t="s">
        <v>47</v>
      </c>
      <c r="X224" s="593" t="s">
        <v>47</v>
      </c>
      <c r="Y224" s="593" t="s">
        <v>47</v>
      </c>
      <c r="Z224" s="593" t="s">
        <v>47</v>
      </c>
      <c r="AA224" s="593" t="s">
        <v>47</v>
      </c>
      <c r="AB224" s="593" t="s">
        <v>47</v>
      </c>
      <c r="AC224" s="593" t="s">
        <v>47</v>
      </c>
      <c r="AD224" s="592" t="s">
        <v>47</v>
      </c>
      <c r="AE224" s="593" t="s">
        <v>47</v>
      </c>
      <c r="AF224" s="593" t="s">
        <v>47</v>
      </c>
      <c r="AG224" s="593" t="s">
        <v>47</v>
      </c>
      <c r="AH224" s="593" t="s">
        <v>47</v>
      </c>
      <c r="AI224" s="593" t="s">
        <v>47</v>
      </c>
      <c r="AJ224" s="348" t="s">
        <v>47</v>
      </c>
      <c r="AK224" s="348" t="s">
        <v>47</v>
      </c>
      <c r="AL224" s="348" t="s">
        <v>47</v>
      </c>
      <c r="AM224" s="348" t="s">
        <v>47</v>
      </c>
      <c r="AN224" s="348" t="s">
        <v>47</v>
      </c>
      <c r="AO224" s="348" t="s">
        <v>47</v>
      </c>
      <c r="AP224" s="348" t="s">
        <v>47</v>
      </c>
      <c r="AQ224" s="348" t="s">
        <v>47</v>
      </c>
      <c r="AR224" s="348" t="s">
        <v>47</v>
      </c>
      <c r="AS224" s="348" t="s">
        <v>47</v>
      </c>
      <c r="AT224" s="348" t="s">
        <v>47</v>
      </c>
      <c r="AU224" s="348" t="s">
        <v>47</v>
      </c>
      <c r="AV224" s="962" t="s">
        <v>47</v>
      </c>
      <c r="AW224" s="348" t="s">
        <v>47</v>
      </c>
      <c r="AX224" s="348" t="s">
        <v>47</v>
      </c>
      <c r="AY224" s="348" t="s">
        <v>47</v>
      </c>
      <c r="AZ224" s="348" t="s">
        <v>47</v>
      </c>
      <c r="BA224" s="348" t="s">
        <v>47</v>
      </c>
      <c r="BB224" s="348" t="s">
        <v>47</v>
      </c>
      <c r="BC224" s="348" t="s">
        <v>47</v>
      </c>
      <c r="BD224" s="348" t="s">
        <v>47</v>
      </c>
      <c r="BE224" s="348">
        <v>263.8</v>
      </c>
      <c r="BF224" s="592">
        <v>263.8</v>
      </c>
      <c r="BG224" s="592">
        <v>263.8</v>
      </c>
      <c r="BH224" s="592">
        <v>263.8</v>
      </c>
      <c r="BI224" s="592">
        <v>263.8</v>
      </c>
      <c r="BJ224" s="592">
        <v>263.8</v>
      </c>
      <c r="BK224" s="592">
        <v>263.8</v>
      </c>
      <c r="BL224" s="592">
        <v>263.8</v>
      </c>
      <c r="BM224" s="592">
        <v>263.8</v>
      </c>
      <c r="BN224" s="592" t="s">
        <v>47</v>
      </c>
      <c r="BO224" s="592" t="s">
        <v>47</v>
      </c>
      <c r="BP224" s="592" t="s">
        <v>47</v>
      </c>
      <c r="BQ224" s="592">
        <v>191</v>
      </c>
      <c r="BR224" s="592">
        <v>191</v>
      </c>
      <c r="BS224" s="592">
        <v>191</v>
      </c>
      <c r="BT224" s="592">
        <v>191</v>
      </c>
      <c r="BU224" s="592">
        <v>191</v>
      </c>
      <c r="BV224" s="592">
        <v>191</v>
      </c>
      <c r="BW224" s="592">
        <v>191</v>
      </c>
      <c r="BX224" s="592">
        <v>191</v>
      </c>
      <c r="BY224" s="343">
        <v>200</v>
      </c>
      <c r="BZ224" s="592">
        <v>200</v>
      </c>
      <c r="CA224" s="592">
        <v>200</v>
      </c>
      <c r="CB224" s="592">
        <v>200</v>
      </c>
      <c r="CC224" s="592">
        <v>200</v>
      </c>
      <c r="CD224" s="343">
        <v>236.5</v>
      </c>
      <c r="CE224"/>
      <c r="CF224"/>
      <c r="CG224"/>
      <c r="CH224"/>
      <c r="CI224"/>
      <c r="CJ224"/>
      <c r="CK224"/>
      <c r="CL224"/>
      <c r="CM224"/>
      <c r="CN224"/>
      <c r="CO224"/>
      <c r="CP224"/>
      <c r="CQ224"/>
      <c r="CR224"/>
      <c r="CS224"/>
      <c r="CT224"/>
      <c r="CU224"/>
      <c r="CV224"/>
      <c r="CW224"/>
      <c r="CX224"/>
      <c r="CY224"/>
      <c r="CZ224"/>
      <c r="DA224"/>
      <c r="DB224"/>
      <c r="DC224"/>
      <c r="DD224"/>
    </row>
    <row r="225" spans="1:108" x14ac:dyDescent="0.25">
      <c r="B225" s="117" t="s">
        <v>1218</v>
      </c>
      <c r="C225" s="265" t="s">
        <v>47</v>
      </c>
      <c r="D225" s="265" t="s">
        <v>47</v>
      </c>
      <c r="E225" s="265" t="s">
        <v>47</v>
      </c>
      <c r="F225" s="265" t="s">
        <v>47</v>
      </c>
      <c r="G225" s="265" t="s">
        <v>47</v>
      </c>
      <c r="H225" s="265" t="s">
        <v>47</v>
      </c>
      <c r="I225" s="265" t="s">
        <v>47</v>
      </c>
      <c r="J225" s="265" t="s">
        <v>47</v>
      </c>
      <c r="K225" s="265" t="s">
        <v>47</v>
      </c>
      <c r="L225" s="265" t="s">
        <v>47</v>
      </c>
      <c r="M225" s="265" t="s">
        <v>47</v>
      </c>
      <c r="N225" s="265" t="s">
        <v>47</v>
      </c>
      <c r="O225" s="265" t="s">
        <v>47</v>
      </c>
      <c r="P225" s="265" t="s">
        <v>47</v>
      </c>
      <c r="Q225" s="265" t="s">
        <v>47</v>
      </c>
      <c r="R225" s="265" t="s">
        <v>47</v>
      </c>
      <c r="S225" s="265" t="s">
        <v>47</v>
      </c>
      <c r="T225" s="265" t="s">
        <v>47</v>
      </c>
      <c r="U225" s="265" t="s">
        <v>47</v>
      </c>
      <c r="V225" s="265" t="s">
        <v>47</v>
      </c>
      <c r="W225" s="265" t="s">
        <v>47</v>
      </c>
      <c r="X225" s="265" t="s">
        <v>47</v>
      </c>
      <c r="Y225" s="265" t="s">
        <v>47</v>
      </c>
      <c r="Z225" s="265" t="s">
        <v>47</v>
      </c>
      <c r="AA225" s="265" t="s">
        <v>47</v>
      </c>
      <c r="AB225" s="265" t="s">
        <v>47</v>
      </c>
      <c r="AC225" s="265" t="s">
        <v>47</v>
      </c>
      <c r="AD225" s="265" t="s">
        <v>47</v>
      </c>
      <c r="AE225" s="265" t="s">
        <v>47</v>
      </c>
      <c r="AF225" s="265" t="s">
        <v>47</v>
      </c>
      <c r="AG225" s="265" t="s">
        <v>47</v>
      </c>
      <c r="AH225" s="265" t="s">
        <v>47</v>
      </c>
      <c r="AI225" s="265" t="s">
        <v>47</v>
      </c>
      <c r="AJ225" s="265" t="s">
        <v>47</v>
      </c>
      <c r="AK225" s="265" t="s">
        <v>47</v>
      </c>
      <c r="AL225" s="265" t="s">
        <v>47</v>
      </c>
      <c r="AM225" s="265" t="s">
        <v>47</v>
      </c>
      <c r="AN225" s="265" t="s">
        <v>47</v>
      </c>
      <c r="AO225" s="265" t="s">
        <v>47</v>
      </c>
      <c r="AP225" s="265" t="s">
        <v>47</v>
      </c>
      <c r="AQ225" s="265" t="s">
        <v>47</v>
      </c>
      <c r="AR225" s="265" t="s">
        <v>47</v>
      </c>
      <c r="AS225" s="265" t="s">
        <v>47</v>
      </c>
      <c r="AT225" s="265" t="s">
        <v>47</v>
      </c>
      <c r="AU225" s="265" t="s">
        <v>47</v>
      </c>
      <c r="AV225" s="265" t="s">
        <v>47</v>
      </c>
      <c r="AW225" s="265" t="s">
        <v>47</v>
      </c>
      <c r="AX225" s="265" t="s">
        <v>47</v>
      </c>
      <c r="AY225" s="265" t="s">
        <v>47</v>
      </c>
      <c r="AZ225" s="265" t="s">
        <v>47</v>
      </c>
      <c r="BA225" s="265" t="s">
        <v>47</v>
      </c>
      <c r="BB225" s="265" t="s">
        <v>47</v>
      </c>
      <c r="BC225" s="265" t="s">
        <v>47</v>
      </c>
      <c r="BD225" s="265" t="s">
        <v>47</v>
      </c>
      <c r="BE225" s="265" t="s">
        <v>47</v>
      </c>
      <c r="BF225" s="265" t="s">
        <v>47</v>
      </c>
      <c r="BG225" s="265" t="s">
        <v>47</v>
      </c>
      <c r="BH225" s="265" t="s">
        <v>47</v>
      </c>
      <c r="BI225" s="265" t="s">
        <v>47</v>
      </c>
      <c r="BJ225" s="265" t="s">
        <v>47</v>
      </c>
      <c r="BK225" s="265" t="s">
        <v>47</v>
      </c>
      <c r="BL225" s="265" t="s">
        <v>47</v>
      </c>
      <c r="BM225" s="265" t="s">
        <v>47</v>
      </c>
      <c r="BN225" s="592">
        <v>212</v>
      </c>
      <c r="BO225" s="592">
        <v>212</v>
      </c>
      <c r="BP225" s="592">
        <v>212</v>
      </c>
      <c r="BQ225" s="342">
        <v>168</v>
      </c>
      <c r="BR225" s="592">
        <v>168</v>
      </c>
      <c r="BS225" s="592">
        <v>168</v>
      </c>
      <c r="BT225" s="343">
        <v>172</v>
      </c>
      <c r="BU225" s="592">
        <v>172</v>
      </c>
      <c r="BV225" s="592">
        <v>172</v>
      </c>
      <c r="BW225" s="592">
        <v>172</v>
      </c>
      <c r="BX225" s="592">
        <v>172</v>
      </c>
      <c r="BY225" s="592">
        <v>172</v>
      </c>
      <c r="BZ225" s="592">
        <v>172</v>
      </c>
      <c r="CA225" s="592">
        <v>172</v>
      </c>
      <c r="CB225" s="343">
        <v>235</v>
      </c>
      <c r="CC225" s="592">
        <v>235</v>
      </c>
      <c r="CD225" s="592">
        <v>235</v>
      </c>
      <c r="CE225"/>
      <c r="CF225"/>
      <c r="CG225"/>
      <c r="CH225"/>
      <c r="CI225"/>
      <c r="CJ225"/>
      <c r="CK225"/>
      <c r="CL225"/>
      <c r="CM225"/>
      <c r="CN225"/>
      <c r="CO225"/>
      <c r="CP225"/>
      <c r="CQ225"/>
      <c r="CR225"/>
      <c r="CS225"/>
      <c r="CT225"/>
      <c r="CU225"/>
      <c r="CV225"/>
      <c r="CW225"/>
      <c r="CX225"/>
      <c r="CY225"/>
      <c r="CZ225"/>
      <c r="DA225"/>
      <c r="DB225"/>
      <c r="DC225"/>
      <c r="DD225"/>
    </row>
    <row r="226" spans="1:108" x14ac:dyDescent="0.25">
      <c r="A226" s="1113"/>
      <c r="B226" s="791" t="s">
        <v>134</v>
      </c>
      <c r="C226" s="1125" t="s">
        <v>47</v>
      </c>
      <c r="D226" s="1125" t="s">
        <v>47</v>
      </c>
      <c r="E226" s="1125" t="s">
        <v>47</v>
      </c>
      <c r="F226" s="1125" t="s">
        <v>47</v>
      </c>
      <c r="G226" s="1125" t="s">
        <v>47</v>
      </c>
      <c r="H226" s="1126" t="s">
        <v>47</v>
      </c>
      <c r="I226" s="1126" t="s">
        <v>47</v>
      </c>
      <c r="J226" s="1126" t="s">
        <v>47</v>
      </c>
      <c r="K226" s="1126" t="s">
        <v>47</v>
      </c>
      <c r="L226" s="1126" t="s">
        <v>47</v>
      </c>
      <c r="M226" s="1126" t="s">
        <v>47</v>
      </c>
      <c r="N226" s="1126" t="s">
        <v>47</v>
      </c>
      <c r="O226" s="1126" t="s">
        <v>47</v>
      </c>
      <c r="P226" s="1126" t="s">
        <v>47</v>
      </c>
      <c r="Q226" s="1127" t="s">
        <v>47</v>
      </c>
      <c r="R226" s="1127" t="s">
        <v>47</v>
      </c>
      <c r="S226" s="1127" t="s">
        <v>47</v>
      </c>
      <c r="T226" s="1127" t="s">
        <v>47</v>
      </c>
      <c r="U226" s="1127" t="s">
        <v>47</v>
      </c>
      <c r="V226" s="1127" t="s">
        <v>47</v>
      </c>
      <c r="W226" s="1127" t="s">
        <v>47</v>
      </c>
      <c r="X226" s="1127" t="s">
        <v>47</v>
      </c>
      <c r="Y226" s="1127" t="s">
        <v>47</v>
      </c>
      <c r="Z226" s="1127" t="s">
        <v>47</v>
      </c>
      <c r="AA226" s="1127" t="s">
        <v>47</v>
      </c>
      <c r="AB226" s="1127" t="s">
        <v>47</v>
      </c>
      <c r="AC226" s="1127" t="s">
        <v>47</v>
      </c>
      <c r="AD226" s="1127" t="s">
        <v>47</v>
      </c>
      <c r="AE226" s="1127" t="s">
        <v>47</v>
      </c>
      <c r="AF226" s="1127" t="s">
        <v>47</v>
      </c>
      <c r="AG226" s="1126" t="s">
        <v>47</v>
      </c>
      <c r="AH226" s="1126" t="s">
        <v>47</v>
      </c>
      <c r="AI226" s="1126" t="s">
        <v>47</v>
      </c>
      <c r="AJ226" s="1127" t="s">
        <v>47</v>
      </c>
      <c r="AK226" s="1127" t="s">
        <v>47</v>
      </c>
      <c r="AL226" s="1127" t="s">
        <v>47</v>
      </c>
      <c r="AM226" s="1127" t="s">
        <v>47</v>
      </c>
      <c r="AN226" s="1127" t="s">
        <v>47</v>
      </c>
      <c r="AO226" s="1127" t="s">
        <v>47</v>
      </c>
      <c r="AP226" s="1127" t="s">
        <v>47</v>
      </c>
      <c r="AQ226" s="1127" t="s">
        <v>47</v>
      </c>
      <c r="AR226" s="1127" t="s">
        <v>47</v>
      </c>
      <c r="AS226" s="1127" t="s">
        <v>47</v>
      </c>
      <c r="AT226" s="1127" t="s">
        <v>47</v>
      </c>
      <c r="AU226" s="1127" t="s">
        <v>47</v>
      </c>
      <c r="AV226" s="1128" t="s">
        <v>47</v>
      </c>
      <c r="AW226" s="1127" t="s">
        <v>47</v>
      </c>
      <c r="AX226" s="1127" t="s">
        <v>47</v>
      </c>
      <c r="AY226" s="1127" t="s">
        <v>47</v>
      </c>
      <c r="AZ226" s="1127" t="s">
        <v>47</v>
      </c>
      <c r="BA226" s="1127" t="s">
        <v>47</v>
      </c>
      <c r="BB226" s="1127" t="s">
        <v>47</v>
      </c>
      <c r="BC226" s="1127" t="s">
        <v>47</v>
      </c>
      <c r="BD226" s="1127" t="s">
        <v>47</v>
      </c>
      <c r="BE226" s="1127" t="s">
        <v>47</v>
      </c>
      <c r="BF226" s="1127" t="s">
        <v>47</v>
      </c>
      <c r="BG226" s="1127" t="s">
        <v>47</v>
      </c>
      <c r="BH226" s="1127" t="s">
        <v>47</v>
      </c>
      <c r="BI226" s="1127" t="s">
        <v>47</v>
      </c>
      <c r="BJ226" s="1127" t="s">
        <v>47</v>
      </c>
      <c r="BK226" s="1127" t="s">
        <v>47</v>
      </c>
      <c r="BL226" s="1127" t="s">
        <v>47</v>
      </c>
      <c r="BM226" s="1127" t="s">
        <v>47</v>
      </c>
      <c r="BN226" s="1127">
        <v>206</v>
      </c>
      <c r="BO226" s="1127">
        <v>206</v>
      </c>
      <c r="BP226" s="1127">
        <v>206</v>
      </c>
      <c r="BQ226" s="1127">
        <v>206</v>
      </c>
      <c r="BR226" s="1127">
        <v>213</v>
      </c>
      <c r="BS226" s="1127">
        <v>213</v>
      </c>
      <c r="BT226" s="1127" t="s">
        <v>47</v>
      </c>
      <c r="BU226" s="1127" t="s">
        <v>47</v>
      </c>
      <c r="BV226" s="1127" t="s">
        <v>47</v>
      </c>
      <c r="BW226" s="1127" t="s">
        <v>47</v>
      </c>
      <c r="BX226" s="1127" t="s">
        <v>47</v>
      </c>
      <c r="BY226" s="1127" t="s">
        <v>47</v>
      </c>
      <c r="BZ226" s="592" t="s">
        <v>47</v>
      </c>
      <c r="CA226" s="592" t="s">
        <v>47</v>
      </c>
      <c r="CB226" s="592" t="s">
        <v>47</v>
      </c>
      <c r="CC226" s="592" t="s">
        <v>47</v>
      </c>
      <c r="CD226" s="592" t="s">
        <v>47</v>
      </c>
      <c r="CE226"/>
      <c r="CF226"/>
      <c r="CG226"/>
      <c r="CH226"/>
      <c r="CI226"/>
      <c r="CJ226"/>
      <c r="CK226"/>
      <c r="CL226"/>
      <c r="CM226"/>
      <c r="CN226"/>
      <c r="CO226"/>
      <c r="CP226"/>
      <c r="CQ226"/>
      <c r="CR226"/>
      <c r="CS226"/>
      <c r="CT226"/>
      <c r="CU226"/>
      <c r="CV226"/>
      <c r="CW226"/>
      <c r="CX226"/>
      <c r="CY226"/>
      <c r="CZ226"/>
      <c r="DA226"/>
      <c r="DB226"/>
      <c r="DC226"/>
      <c r="DD226"/>
    </row>
    <row r="227" spans="1:108" x14ac:dyDescent="0.25">
      <c r="A227"/>
      <c r="B227" s="1117" t="s">
        <v>381</v>
      </c>
      <c r="C227" s="1118" t="str">
        <f t="shared" ref="C227:BI227" si="180">IFERROR(AVERAGE(C221:C226),"-")</f>
        <v>-</v>
      </c>
      <c r="D227" s="1118" t="str">
        <f t="shared" si="180"/>
        <v>-</v>
      </c>
      <c r="E227" s="1118" t="str">
        <f t="shared" si="180"/>
        <v>-</v>
      </c>
      <c r="F227" s="1118" t="str">
        <f t="shared" si="180"/>
        <v>-</v>
      </c>
      <c r="G227" s="1118" t="str">
        <f t="shared" si="180"/>
        <v>-</v>
      </c>
      <c r="H227" s="1118" t="str">
        <f t="shared" si="180"/>
        <v>-</v>
      </c>
      <c r="I227" s="1118" t="str">
        <f t="shared" si="180"/>
        <v>-</v>
      </c>
      <c r="J227" s="1118" t="str">
        <f t="shared" si="180"/>
        <v>-</v>
      </c>
      <c r="K227" s="1118" t="str">
        <f t="shared" si="180"/>
        <v>-</v>
      </c>
      <c r="L227" s="1120" t="str">
        <f t="shared" si="180"/>
        <v>-</v>
      </c>
      <c r="M227" s="1120" t="str">
        <f t="shared" si="180"/>
        <v>-</v>
      </c>
      <c r="N227" s="1120" t="str">
        <f t="shared" si="180"/>
        <v>-</v>
      </c>
      <c r="O227" s="1120" t="str">
        <f t="shared" si="180"/>
        <v>-</v>
      </c>
      <c r="P227" s="1120" t="str">
        <f t="shared" si="180"/>
        <v>-</v>
      </c>
      <c r="Q227" s="1120" t="str">
        <f t="shared" si="180"/>
        <v>-</v>
      </c>
      <c r="R227" s="1120" t="str">
        <f t="shared" si="180"/>
        <v>-</v>
      </c>
      <c r="S227" s="1120" t="str">
        <f t="shared" si="180"/>
        <v>-</v>
      </c>
      <c r="T227" s="1120" t="str">
        <f t="shared" si="180"/>
        <v>-</v>
      </c>
      <c r="U227" s="1120" t="str">
        <f t="shared" si="180"/>
        <v>-</v>
      </c>
      <c r="V227" s="1121" t="str">
        <f t="shared" si="180"/>
        <v>-</v>
      </c>
      <c r="W227" s="1121" t="str">
        <f t="shared" si="180"/>
        <v>-</v>
      </c>
      <c r="X227" s="1121" t="str">
        <f t="shared" si="180"/>
        <v>-</v>
      </c>
      <c r="Y227" s="1121" t="str">
        <f t="shared" si="180"/>
        <v>-</v>
      </c>
      <c r="Z227" s="1121" t="str">
        <f t="shared" si="180"/>
        <v>-</v>
      </c>
      <c r="AA227" s="1121" t="str">
        <f t="shared" si="180"/>
        <v>-</v>
      </c>
      <c r="AB227" s="1121" t="str">
        <f t="shared" si="180"/>
        <v>-</v>
      </c>
      <c r="AC227" s="1121" t="str">
        <f t="shared" si="180"/>
        <v>-</v>
      </c>
      <c r="AD227" s="1121" t="str">
        <f t="shared" si="180"/>
        <v>-</v>
      </c>
      <c r="AE227" s="1121" t="str">
        <f t="shared" si="180"/>
        <v>-</v>
      </c>
      <c r="AF227" s="1121" t="str">
        <f t="shared" si="180"/>
        <v>-</v>
      </c>
      <c r="AG227" s="1121" t="str">
        <f t="shared" si="180"/>
        <v>-</v>
      </c>
      <c r="AH227" s="1121" t="str">
        <f t="shared" si="180"/>
        <v>-</v>
      </c>
      <c r="AI227" s="1121" t="str">
        <f t="shared" si="180"/>
        <v>-</v>
      </c>
      <c r="AJ227" s="1121" t="str">
        <f t="shared" si="180"/>
        <v>-</v>
      </c>
      <c r="AK227" s="1121" t="str">
        <f t="shared" si="180"/>
        <v>-</v>
      </c>
      <c r="AL227" s="1121" t="str">
        <f t="shared" si="180"/>
        <v>-</v>
      </c>
      <c r="AM227" s="1121" t="str">
        <f t="shared" si="180"/>
        <v>-</v>
      </c>
      <c r="AN227" s="1121" t="str">
        <f t="shared" si="180"/>
        <v>-</v>
      </c>
      <c r="AO227" s="1121" t="str">
        <f t="shared" si="180"/>
        <v>-</v>
      </c>
      <c r="AP227" s="1121" t="str">
        <f t="shared" si="180"/>
        <v>-</v>
      </c>
      <c r="AQ227" s="1121" t="str">
        <f t="shared" si="180"/>
        <v>-</v>
      </c>
      <c r="AR227" s="1121" t="str">
        <f t="shared" si="180"/>
        <v>-</v>
      </c>
      <c r="AS227" s="1121" t="str">
        <f t="shared" si="180"/>
        <v>-</v>
      </c>
      <c r="AT227" s="1120" t="str">
        <f t="shared" si="180"/>
        <v>-</v>
      </c>
      <c r="AU227" s="1120" t="str">
        <f t="shared" si="180"/>
        <v>-</v>
      </c>
      <c r="AV227" s="1122" t="str">
        <f t="shared" si="180"/>
        <v>-</v>
      </c>
      <c r="AW227" s="1123" t="str">
        <f t="shared" si="180"/>
        <v>-</v>
      </c>
      <c r="AX227" s="1123" t="str">
        <f t="shared" si="180"/>
        <v>-</v>
      </c>
      <c r="AY227" s="1123" t="str">
        <f t="shared" si="180"/>
        <v>-</v>
      </c>
      <c r="AZ227" s="1120" t="str">
        <f t="shared" si="180"/>
        <v>-</v>
      </c>
      <c r="BA227" s="1120" t="str">
        <f t="shared" si="180"/>
        <v>-</v>
      </c>
      <c r="BB227" s="1120" t="str">
        <f t="shared" si="180"/>
        <v>-</v>
      </c>
      <c r="BC227" s="1120">
        <f t="shared" si="180"/>
        <v>249</v>
      </c>
      <c r="BD227" s="1120">
        <f t="shared" si="180"/>
        <v>268.5</v>
      </c>
      <c r="BE227" s="1120">
        <f t="shared" si="180"/>
        <v>266.93333333333334</v>
      </c>
      <c r="BF227" s="1120">
        <f t="shared" si="180"/>
        <v>266.93333333333334</v>
      </c>
      <c r="BG227" s="1120">
        <f t="shared" si="180"/>
        <v>266.93333333333334</v>
      </c>
      <c r="BH227" s="1120">
        <f t="shared" si="180"/>
        <v>266.93333333333334</v>
      </c>
      <c r="BI227" s="1120">
        <f t="shared" si="180"/>
        <v>266.93333333333334</v>
      </c>
      <c r="BJ227" s="1120">
        <f>IFERROR(AVERAGE(BJ221:BJ226),"-")</f>
        <v>266.93333333333334</v>
      </c>
      <c r="BK227" s="1120">
        <f t="shared" ref="BK227:BY227" si="181">IFERROR(AVERAGE(BK221:BK226),"-")</f>
        <v>266.93333333333334</v>
      </c>
      <c r="BL227" s="1120">
        <f t="shared" si="181"/>
        <v>266.93333333333334</v>
      </c>
      <c r="BM227" s="1120">
        <f t="shared" si="181"/>
        <v>266.93333333333334</v>
      </c>
      <c r="BN227" s="1120">
        <f t="shared" si="181"/>
        <v>209</v>
      </c>
      <c r="BO227" s="1120">
        <f t="shared" si="181"/>
        <v>209</v>
      </c>
      <c r="BP227" s="1120">
        <f t="shared" si="181"/>
        <v>209</v>
      </c>
      <c r="BQ227" s="1120">
        <f t="shared" si="181"/>
        <v>190.6</v>
      </c>
      <c r="BR227" s="1120">
        <f t="shared" si="181"/>
        <v>192</v>
      </c>
      <c r="BS227" s="1120">
        <f t="shared" si="181"/>
        <v>192</v>
      </c>
      <c r="BT227" s="1120">
        <f t="shared" si="181"/>
        <v>187.75</v>
      </c>
      <c r="BU227" s="1120">
        <f t="shared" si="181"/>
        <v>188</v>
      </c>
      <c r="BV227" s="1120">
        <f t="shared" si="181"/>
        <v>188</v>
      </c>
      <c r="BW227" s="1120">
        <f t="shared" si="181"/>
        <v>188</v>
      </c>
      <c r="BX227" s="1120">
        <f t="shared" si="181"/>
        <v>188</v>
      </c>
      <c r="BY227" s="1120">
        <f t="shared" si="181"/>
        <v>195</v>
      </c>
      <c r="BZ227" s="1120">
        <f>IFERROR(AVERAGE(BZ221:BZ226),"-")</f>
        <v>195</v>
      </c>
      <c r="CA227" s="1120">
        <f>IFERROR(AVERAGE(CA221:CA226),"-")</f>
        <v>195</v>
      </c>
      <c r="CB227" s="1120">
        <f>IFERROR(AVERAGE(CB221:CB226),"-")</f>
        <v>207.6</v>
      </c>
      <c r="CC227" s="1120">
        <f>IFERROR(AVERAGE(CC221:CC226),"-")</f>
        <v>219</v>
      </c>
      <c r="CD227" s="1120">
        <f>IFERROR(AVERAGE(CD221:CD226),"-")</f>
        <v>226.3</v>
      </c>
      <c r="CE227"/>
      <c r="CF227"/>
      <c r="CG227"/>
      <c r="CH227"/>
      <c r="CI227"/>
      <c r="CJ227"/>
      <c r="CK227"/>
      <c r="CL227"/>
      <c r="CM227"/>
      <c r="CN227"/>
      <c r="CO227"/>
      <c r="CP227"/>
      <c r="CQ227"/>
      <c r="CR227"/>
      <c r="CS227"/>
      <c r="CT227"/>
      <c r="CU227"/>
      <c r="CV227"/>
      <c r="CW227"/>
      <c r="CX227"/>
      <c r="CY227"/>
      <c r="CZ227"/>
      <c r="DA227"/>
      <c r="DB227"/>
      <c r="DC227"/>
      <c r="DD227"/>
    </row>
    <row r="228" spans="1:108" x14ac:dyDescent="0.25">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833"/>
      <c r="AU228" s="833"/>
      <c r="AV228" s="954"/>
      <c r="AW228" s="833"/>
      <c r="AX228" s="833"/>
      <c r="AY228" s="833"/>
      <c r="AZ228" s="833"/>
      <c r="BA228" s="833"/>
      <c r="BB228" s="833"/>
      <c r="BC228" s="833"/>
      <c r="BD228" s="833"/>
      <c r="BE228" s="833"/>
      <c r="BF228" s="833"/>
      <c r="BG228" s="833"/>
      <c r="BH228" s="833"/>
      <c r="BI228" s="833"/>
      <c r="BJ228" s="833"/>
      <c r="BK228" s="833"/>
      <c r="BL228" s="833"/>
      <c r="BM228" s="833"/>
      <c r="BN228" s="833"/>
      <c r="BO228" s="833"/>
      <c r="BP228" s="833"/>
      <c r="BQ228" s="833"/>
      <c r="BR228" s="833"/>
      <c r="BS228" s="833"/>
      <c r="BT228" s="833"/>
      <c r="BU228" s="833"/>
      <c r="BV228" s="833"/>
      <c r="BW228" s="833"/>
      <c r="BX228" s="833"/>
      <c r="BY228" s="833"/>
      <c r="BZ228" s="833"/>
      <c r="CA228" s="833"/>
      <c r="CB228" s="833"/>
      <c r="CC228" s="833"/>
      <c r="CD228" s="833"/>
      <c r="CE228"/>
      <c r="CF228"/>
      <c r="CG228"/>
      <c r="CH228"/>
      <c r="CI228"/>
      <c r="CJ228"/>
      <c r="CK228"/>
      <c r="CL228"/>
      <c r="CM228"/>
      <c r="CN228"/>
      <c r="CO228"/>
      <c r="CP228"/>
      <c r="CQ228"/>
      <c r="CR228"/>
      <c r="CS228"/>
      <c r="CT228"/>
      <c r="CU228"/>
      <c r="CV228"/>
      <c r="CW228"/>
      <c r="CX228"/>
      <c r="CY228"/>
      <c r="CZ228"/>
      <c r="DA228"/>
      <c r="DB228"/>
      <c r="DC228"/>
      <c r="DD228"/>
    </row>
    <row r="229" spans="1:108" x14ac:dyDescent="0.25">
      <c r="B229" s="113" t="s">
        <v>1102</v>
      </c>
      <c r="C229" s="264">
        <f t="shared" ref="C229:BN229" si="182">C$12</f>
        <v>42522</v>
      </c>
      <c r="D229" s="264">
        <f t="shared" si="182"/>
        <v>42552</v>
      </c>
      <c r="E229" s="264">
        <f t="shared" si="182"/>
        <v>42583</v>
      </c>
      <c r="F229" s="264">
        <f t="shared" si="182"/>
        <v>42614</v>
      </c>
      <c r="G229" s="264">
        <f t="shared" si="182"/>
        <v>42644</v>
      </c>
      <c r="H229" s="264">
        <f t="shared" si="182"/>
        <v>42675</v>
      </c>
      <c r="I229" s="264">
        <f t="shared" si="182"/>
        <v>42705</v>
      </c>
      <c r="J229" s="264">
        <f t="shared" si="182"/>
        <v>42736</v>
      </c>
      <c r="K229" s="264">
        <f t="shared" si="182"/>
        <v>42767</v>
      </c>
      <c r="L229" s="264">
        <f t="shared" si="182"/>
        <v>42795</v>
      </c>
      <c r="M229" s="264">
        <f t="shared" si="182"/>
        <v>42826</v>
      </c>
      <c r="N229" s="264">
        <f t="shared" si="182"/>
        <v>42856</v>
      </c>
      <c r="O229" s="264">
        <f t="shared" si="182"/>
        <v>42887</v>
      </c>
      <c r="P229" s="264">
        <f t="shared" si="182"/>
        <v>42917</v>
      </c>
      <c r="Q229" s="264">
        <f t="shared" si="182"/>
        <v>42948</v>
      </c>
      <c r="R229" s="264">
        <f t="shared" si="182"/>
        <v>42979</v>
      </c>
      <c r="S229" s="264">
        <f t="shared" si="182"/>
        <v>43009</v>
      </c>
      <c r="T229" s="264">
        <f t="shared" si="182"/>
        <v>43040</v>
      </c>
      <c r="U229" s="264">
        <f t="shared" si="182"/>
        <v>43070</v>
      </c>
      <c r="V229" s="264">
        <f t="shared" si="182"/>
        <v>43101</v>
      </c>
      <c r="W229" s="264">
        <f t="shared" si="182"/>
        <v>43132</v>
      </c>
      <c r="X229" s="264">
        <f t="shared" si="182"/>
        <v>43160</v>
      </c>
      <c r="Y229" s="264">
        <f t="shared" si="182"/>
        <v>43191</v>
      </c>
      <c r="Z229" s="264">
        <f t="shared" si="182"/>
        <v>43221</v>
      </c>
      <c r="AA229" s="264">
        <f t="shared" si="182"/>
        <v>43252</v>
      </c>
      <c r="AB229" s="264">
        <f t="shared" si="182"/>
        <v>43283</v>
      </c>
      <c r="AC229" s="264">
        <f t="shared" si="182"/>
        <v>43314</v>
      </c>
      <c r="AD229" s="264">
        <f t="shared" si="182"/>
        <v>43345</v>
      </c>
      <c r="AE229" s="264">
        <f t="shared" si="182"/>
        <v>43376</v>
      </c>
      <c r="AF229" s="264">
        <f t="shared" si="182"/>
        <v>43407</v>
      </c>
      <c r="AG229" s="264">
        <f t="shared" si="182"/>
        <v>43437</v>
      </c>
      <c r="AH229" s="264">
        <f t="shared" si="182"/>
        <v>43468</v>
      </c>
      <c r="AI229" s="264">
        <f t="shared" si="182"/>
        <v>43499</v>
      </c>
      <c r="AJ229" s="264">
        <f t="shared" si="182"/>
        <v>43527</v>
      </c>
      <c r="AK229" s="264">
        <f t="shared" si="182"/>
        <v>43558</v>
      </c>
      <c r="AL229" s="264">
        <f t="shared" si="182"/>
        <v>43587</v>
      </c>
      <c r="AM229" s="264">
        <f t="shared" si="182"/>
        <v>43618</v>
      </c>
      <c r="AN229" s="264">
        <f t="shared" si="182"/>
        <v>43647</v>
      </c>
      <c r="AO229" s="264">
        <f t="shared" si="182"/>
        <v>43678</v>
      </c>
      <c r="AP229" s="264">
        <f t="shared" si="182"/>
        <v>43709</v>
      </c>
      <c r="AQ229" s="264">
        <f t="shared" si="182"/>
        <v>43739</v>
      </c>
      <c r="AR229" s="264">
        <f t="shared" si="182"/>
        <v>43770</v>
      </c>
      <c r="AS229" s="264">
        <f t="shared" si="182"/>
        <v>43800</v>
      </c>
      <c r="AT229" s="264">
        <f t="shared" si="182"/>
        <v>43831</v>
      </c>
      <c r="AU229" s="264">
        <f t="shared" si="182"/>
        <v>43862</v>
      </c>
      <c r="AV229" s="946">
        <f t="shared" si="182"/>
        <v>43891</v>
      </c>
      <c r="AW229" s="264">
        <f t="shared" si="182"/>
        <v>43922</v>
      </c>
      <c r="AX229" s="264">
        <f t="shared" si="182"/>
        <v>43952</v>
      </c>
      <c r="AY229" s="264">
        <f t="shared" si="182"/>
        <v>43983</v>
      </c>
      <c r="AZ229" s="264">
        <f t="shared" si="182"/>
        <v>44013</v>
      </c>
      <c r="BA229" s="264">
        <f t="shared" si="182"/>
        <v>44044</v>
      </c>
      <c r="BB229" s="264">
        <f t="shared" si="182"/>
        <v>44075</v>
      </c>
      <c r="BC229" s="264">
        <f t="shared" si="182"/>
        <v>44105</v>
      </c>
      <c r="BD229" s="264">
        <f t="shared" si="182"/>
        <v>44136</v>
      </c>
      <c r="BE229" s="264">
        <f t="shared" si="182"/>
        <v>44166</v>
      </c>
      <c r="BF229" s="264">
        <f t="shared" si="182"/>
        <v>44197</v>
      </c>
      <c r="BG229" s="264">
        <f t="shared" si="182"/>
        <v>44228</v>
      </c>
      <c r="BH229" s="264">
        <f t="shared" si="182"/>
        <v>44256</v>
      </c>
      <c r="BI229" s="264">
        <f t="shared" si="182"/>
        <v>44287</v>
      </c>
      <c r="BJ229" s="264">
        <f t="shared" si="182"/>
        <v>44317</v>
      </c>
      <c r="BK229" s="264">
        <f t="shared" si="182"/>
        <v>44348</v>
      </c>
      <c r="BL229" s="264">
        <f t="shared" si="182"/>
        <v>44378</v>
      </c>
      <c r="BM229" s="264">
        <f t="shared" si="182"/>
        <v>44409</v>
      </c>
      <c r="BN229" s="264">
        <f t="shared" si="182"/>
        <v>44440</v>
      </c>
      <c r="BO229" s="264">
        <f t="shared" ref="BO229:CB229" si="183">BO$12</f>
        <v>44470</v>
      </c>
      <c r="BP229" s="264">
        <f t="shared" si="183"/>
        <v>44501</v>
      </c>
      <c r="BQ229" s="264">
        <f t="shared" si="183"/>
        <v>44531</v>
      </c>
      <c r="BR229" s="264">
        <f t="shared" si="183"/>
        <v>44562</v>
      </c>
      <c r="BS229" s="264">
        <f t="shared" si="183"/>
        <v>44593</v>
      </c>
      <c r="BT229" s="264">
        <f t="shared" si="183"/>
        <v>44622</v>
      </c>
      <c r="BU229" s="264">
        <f t="shared" si="183"/>
        <v>44654</v>
      </c>
      <c r="BV229" s="264">
        <f t="shared" si="183"/>
        <v>44685</v>
      </c>
      <c r="BW229" s="264">
        <f t="shared" si="183"/>
        <v>44716</v>
      </c>
      <c r="BX229" s="264">
        <f t="shared" si="183"/>
        <v>44746</v>
      </c>
      <c r="BY229" s="264">
        <f t="shared" si="183"/>
        <v>44774</v>
      </c>
      <c r="BZ229" s="264">
        <f t="shared" si="183"/>
        <v>44805</v>
      </c>
      <c r="CA229" s="264">
        <f t="shared" si="183"/>
        <v>44835</v>
      </c>
      <c r="CB229" s="264">
        <f t="shared" si="183"/>
        <v>44866</v>
      </c>
      <c r="CC229" s="264">
        <f>CC$12</f>
        <v>44896</v>
      </c>
      <c r="CD229" s="264">
        <f>CD$12</f>
        <v>44927</v>
      </c>
      <c r="CE229"/>
      <c r="CF229"/>
      <c r="CG229"/>
      <c r="CH229"/>
      <c r="CI229"/>
      <c r="CJ229"/>
      <c r="CK229"/>
      <c r="CL229"/>
      <c r="CM229"/>
      <c r="CN229"/>
      <c r="CO229"/>
      <c r="CP229"/>
      <c r="CQ229"/>
      <c r="CR229"/>
      <c r="CS229"/>
      <c r="CT229"/>
      <c r="CU229"/>
      <c r="CV229"/>
      <c r="CW229"/>
      <c r="CX229"/>
      <c r="CY229"/>
      <c r="CZ229"/>
      <c r="DA229"/>
      <c r="DB229"/>
      <c r="DC229"/>
      <c r="DD229"/>
    </row>
    <row r="230" spans="1:108" x14ac:dyDescent="0.25">
      <c r="B230" s="117" t="s">
        <v>131</v>
      </c>
      <c r="C230" s="265" t="s">
        <v>47</v>
      </c>
      <c r="D230" s="265" t="s">
        <v>47</v>
      </c>
      <c r="E230" s="265" t="s">
        <v>47</v>
      </c>
      <c r="F230" s="266" t="s">
        <v>47</v>
      </c>
      <c r="G230" s="266" t="s">
        <v>47</v>
      </c>
      <c r="H230" s="266" t="s">
        <v>47</v>
      </c>
      <c r="I230" s="266" t="s">
        <v>47</v>
      </c>
      <c r="J230" s="266" t="s">
        <v>47</v>
      </c>
      <c r="K230" s="266" t="s">
        <v>47</v>
      </c>
      <c r="L230" s="593" t="s">
        <v>47</v>
      </c>
      <c r="M230" s="593" t="s">
        <v>47</v>
      </c>
      <c r="N230" s="593" t="s">
        <v>47</v>
      </c>
      <c r="O230" s="593" t="s">
        <v>47</v>
      </c>
      <c r="P230" s="593" t="s">
        <v>47</v>
      </c>
      <c r="Q230" s="593" t="s">
        <v>47</v>
      </c>
      <c r="R230" s="593" t="s">
        <v>47</v>
      </c>
      <c r="S230" s="593" t="s">
        <v>47</v>
      </c>
      <c r="T230" s="593" t="s">
        <v>47</v>
      </c>
      <c r="U230" s="592" t="s">
        <v>47</v>
      </c>
      <c r="V230" s="592" t="s">
        <v>47</v>
      </c>
      <c r="W230" s="592" t="s">
        <v>47</v>
      </c>
      <c r="X230" s="592" t="s">
        <v>47</v>
      </c>
      <c r="Y230" s="592" t="s">
        <v>47</v>
      </c>
      <c r="Z230" s="592" t="s">
        <v>47</v>
      </c>
      <c r="AA230" s="592" t="s">
        <v>47</v>
      </c>
      <c r="AB230" s="592" t="s">
        <v>47</v>
      </c>
      <c r="AC230" s="592" t="s">
        <v>47</v>
      </c>
      <c r="AD230" s="592" t="s">
        <v>47</v>
      </c>
      <c r="AE230" s="592" t="s">
        <v>47</v>
      </c>
      <c r="AF230" s="592" t="s">
        <v>47</v>
      </c>
      <c r="AG230" s="592" t="s">
        <v>47</v>
      </c>
      <c r="AH230" s="592" t="s">
        <v>47</v>
      </c>
      <c r="AI230" s="592" t="s">
        <v>47</v>
      </c>
      <c r="AJ230" s="348" t="s">
        <v>47</v>
      </c>
      <c r="AK230" s="348" t="s">
        <v>47</v>
      </c>
      <c r="AL230" s="348" t="s">
        <v>47</v>
      </c>
      <c r="AM230" s="348" t="s">
        <v>47</v>
      </c>
      <c r="AN230" s="348" t="s">
        <v>47</v>
      </c>
      <c r="AO230" s="348" t="s">
        <v>47</v>
      </c>
      <c r="AP230" s="348" t="s">
        <v>47</v>
      </c>
      <c r="AQ230" s="348" t="s">
        <v>47</v>
      </c>
      <c r="AR230" s="348" t="s">
        <v>47</v>
      </c>
      <c r="AS230" s="348" t="s">
        <v>47</v>
      </c>
      <c r="AT230" s="348" t="s">
        <v>47</v>
      </c>
      <c r="AU230" s="348" t="s">
        <v>47</v>
      </c>
      <c r="AV230" s="962" t="s">
        <v>47</v>
      </c>
      <c r="AW230" s="348" t="s">
        <v>47</v>
      </c>
      <c r="AX230" s="348" t="s">
        <v>47</v>
      </c>
      <c r="AY230" s="348" t="s">
        <v>47</v>
      </c>
      <c r="AZ230" s="348" t="s">
        <v>47</v>
      </c>
      <c r="BA230" s="348" t="s">
        <v>47</v>
      </c>
      <c r="BB230" s="348" t="s">
        <v>47</v>
      </c>
      <c r="BC230" s="348" t="s">
        <v>47</v>
      </c>
      <c r="BD230" s="348" t="s">
        <v>47</v>
      </c>
      <c r="BE230" s="348" t="s">
        <v>47</v>
      </c>
      <c r="BF230" s="592" t="s">
        <v>47</v>
      </c>
      <c r="BG230" s="592" t="s">
        <v>47</v>
      </c>
      <c r="BH230" s="592" t="s">
        <v>47</v>
      </c>
      <c r="BI230" s="592" t="s">
        <v>47</v>
      </c>
      <c r="BJ230" s="592" t="s">
        <v>47</v>
      </c>
      <c r="BK230" s="592" t="s">
        <v>47</v>
      </c>
      <c r="BL230" s="592" t="s">
        <v>47</v>
      </c>
      <c r="BM230" s="592" t="s">
        <v>47</v>
      </c>
      <c r="BN230" s="592" t="s">
        <v>47</v>
      </c>
      <c r="BO230" s="592" t="s">
        <v>47</v>
      </c>
      <c r="BP230" s="592" t="s">
        <v>47</v>
      </c>
      <c r="BQ230" s="592">
        <v>100</v>
      </c>
      <c r="BR230" s="592">
        <v>100</v>
      </c>
      <c r="BS230" s="592">
        <v>100</v>
      </c>
      <c r="BT230" s="592">
        <v>100</v>
      </c>
      <c r="BU230" s="592">
        <v>100</v>
      </c>
      <c r="BV230" s="592">
        <v>100</v>
      </c>
      <c r="BW230" s="592">
        <v>100</v>
      </c>
      <c r="BX230" s="592">
        <v>100</v>
      </c>
      <c r="BY230" s="592">
        <v>100</v>
      </c>
      <c r="BZ230" s="592">
        <v>100</v>
      </c>
      <c r="CA230" s="592">
        <v>100</v>
      </c>
      <c r="CB230" s="592">
        <v>100</v>
      </c>
      <c r="CC230" s="343">
        <v>141</v>
      </c>
      <c r="CD230" s="592">
        <v>141</v>
      </c>
      <c r="CE230"/>
      <c r="CF230"/>
      <c r="CG230"/>
      <c r="CH230"/>
      <c r="CI230"/>
      <c r="CJ230"/>
      <c r="CK230"/>
      <c r="CL230"/>
      <c r="CM230"/>
      <c r="CN230"/>
      <c r="CO230"/>
      <c r="CP230"/>
      <c r="CQ230"/>
      <c r="CR230"/>
      <c r="CS230"/>
      <c r="CT230"/>
      <c r="CU230"/>
      <c r="CV230"/>
      <c r="CW230"/>
      <c r="CX230"/>
      <c r="CY230"/>
      <c r="CZ230"/>
      <c r="DA230"/>
      <c r="DB230"/>
      <c r="DC230"/>
      <c r="DD230"/>
    </row>
    <row r="231" spans="1:108" x14ac:dyDescent="0.25">
      <c r="B231" s="117" t="s">
        <v>135</v>
      </c>
      <c r="C231" s="265" t="s">
        <v>47</v>
      </c>
      <c r="D231" s="265" t="s">
        <v>47</v>
      </c>
      <c r="E231" s="265" t="s">
        <v>47</v>
      </c>
      <c r="F231" s="265" t="s">
        <v>47</v>
      </c>
      <c r="G231" s="265" t="s">
        <v>47</v>
      </c>
      <c r="H231" s="266" t="s">
        <v>47</v>
      </c>
      <c r="I231" s="266" t="s">
        <v>47</v>
      </c>
      <c r="J231" s="266" t="s">
        <v>47</v>
      </c>
      <c r="K231" s="266" t="s">
        <v>47</v>
      </c>
      <c r="L231" s="593" t="s">
        <v>47</v>
      </c>
      <c r="M231" s="593" t="s">
        <v>47</v>
      </c>
      <c r="N231" s="593" t="s">
        <v>47</v>
      </c>
      <c r="O231" s="593" t="s">
        <v>47</v>
      </c>
      <c r="P231" s="593" t="s">
        <v>47</v>
      </c>
      <c r="Q231" s="593" t="s">
        <v>47</v>
      </c>
      <c r="R231" s="593" t="s">
        <v>47</v>
      </c>
      <c r="S231" s="593" t="s">
        <v>47</v>
      </c>
      <c r="T231" s="593" t="s">
        <v>47</v>
      </c>
      <c r="U231" s="593" t="s">
        <v>47</v>
      </c>
      <c r="V231" s="593" t="s">
        <v>47</v>
      </c>
      <c r="W231" s="593" t="s">
        <v>47</v>
      </c>
      <c r="X231" s="593" t="s">
        <v>47</v>
      </c>
      <c r="Y231" s="593" t="s">
        <v>47</v>
      </c>
      <c r="Z231" s="593" t="s">
        <v>47</v>
      </c>
      <c r="AA231" s="593" t="s">
        <v>47</v>
      </c>
      <c r="AB231" s="593" t="s">
        <v>47</v>
      </c>
      <c r="AC231" s="593" t="s">
        <v>47</v>
      </c>
      <c r="AD231" s="593" t="s">
        <v>47</v>
      </c>
      <c r="AE231" s="593" t="s">
        <v>47</v>
      </c>
      <c r="AF231" s="592" t="s">
        <v>47</v>
      </c>
      <c r="AG231" s="592" t="s">
        <v>47</v>
      </c>
      <c r="AH231" s="592" t="s">
        <v>47</v>
      </c>
      <c r="AI231" s="592" t="s">
        <v>47</v>
      </c>
      <c r="AJ231" s="348" t="s">
        <v>47</v>
      </c>
      <c r="AK231" s="348" t="s">
        <v>47</v>
      </c>
      <c r="AL231" s="348" t="s">
        <v>47</v>
      </c>
      <c r="AM231" s="348" t="s">
        <v>47</v>
      </c>
      <c r="AN231" s="348" t="s">
        <v>47</v>
      </c>
      <c r="AO231" s="348" t="s">
        <v>47</v>
      </c>
      <c r="AP231" s="348" t="s">
        <v>47</v>
      </c>
      <c r="AQ231" s="348" t="s">
        <v>47</v>
      </c>
      <c r="AR231" s="348" t="s">
        <v>47</v>
      </c>
      <c r="AS231" s="348" t="s">
        <v>47</v>
      </c>
      <c r="AT231" s="348" t="s">
        <v>47</v>
      </c>
      <c r="AU231" s="348" t="s">
        <v>47</v>
      </c>
      <c r="AV231" s="962" t="s">
        <v>47</v>
      </c>
      <c r="AW231" s="348" t="s">
        <v>47</v>
      </c>
      <c r="AX231" s="348" t="s">
        <v>47</v>
      </c>
      <c r="AY231" s="348" t="s">
        <v>47</v>
      </c>
      <c r="AZ231" s="348" t="s">
        <v>47</v>
      </c>
      <c r="BA231" s="348" t="s">
        <v>47</v>
      </c>
      <c r="BB231" s="348" t="s">
        <v>47</v>
      </c>
      <c r="BC231" s="348" t="s">
        <v>47</v>
      </c>
      <c r="BD231" s="348">
        <v>173</v>
      </c>
      <c r="BE231" s="348">
        <v>173</v>
      </c>
      <c r="BF231" s="592">
        <v>173</v>
      </c>
      <c r="BG231" s="592">
        <v>173</v>
      </c>
      <c r="BH231" s="592">
        <v>173</v>
      </c>
      <c r="BI231" s="592">
        <v>173</v>
      </c>
      <c r="BJ231" s="592">
        <v>173</v>
      </c>
      <c r="BK231" s="592">
        <v>173</v>
      </c>
      <c r="BL231" s="592">
        <v>173</v>
      </c>
      <c r="BM231" s="592">
        <v>173</v>
      </c>
      <c r="BN231" s="592" t="s">
        <v>47</v>
      </c>
      <c r="BO231" s="592" t="s">
        <v>47</v>
      </c>
      <c r="BP231" s="592" t="s">
        <v>47</v>
      </c>
      <c r="BQ231" s="592">
        <v>115</v>
      </c>
      <c r="BR231" s="592">
        <v>115</v>
      </c>
      <c r="BS231" s="592">
        <v>115</v>
      </c>
      <c r="BT231" s="592">
        <v>115</v>
      </c>
      <c r="BU231" s="592">
        <v>115</v>
      </c>
      <c r="BV231" s="592">
        <v>115</v>
      </c>
      <c r="BW231" s="592">
        <v>115</v>
      </c>
      <c r="BX231" s="592">
        <v>115</v>
      </c>
      <c r="BY231" s="592">
        <v>115</v>
      </c>
      <c r="BZ231" s="592">
        <v>115</v>
      </c>
      <c r="CA231" s="592">
        <v>115</v>
      </c>
      <c r="CB231" s="592">
        <v>115</v>
      </c>
      <c r="CC231" s="592">
        <v>115</v>
      </c>
      <c r="CD231" s="592">
        <v>115</v>
      </c>
      <c r="CE231"/>
      <c r="CF231"/>
      <c r="CG231"/>
      <c r="CH231"/>
      <c r="CI231"/>
      <c r="CJ231"/>
      <c r="CK231"/>
      <c r="CL231"/>
      <c r="CM231"/>
      <c r="CN231"/>
      <c r="CO231"/>
      <c r="CP231"/>
      <c r="CQ231"/>
      <c r="CR231"/>
      <c r="CS231"/>
      <c r="CT231"/>
      <c r="CU231"/>
      <c r="CV231"/>
      <c r="CW231"/>
      <c r="CX231"/>
      <c r="CY231"/>
      <c r="CZ231"/>
      <c r="DA231"/>
      <c r="DB231"/>
      <c r="DC231"/>
      <c r="DD231"/>
    </row>
    <row r="232" spans="1:108" x14ac:dyDescent="0.25">
      <c r="B232" s="117" t="s">
        <v>142</v>
      </c>
      <c r="C232" s="265" t="s">
        <v>47</v>
      </c>
      <c r="D232" s="265" t="s">
        <v>47</v>
      </c>
      <c r="E232" s="265" t="s">
        <v>47</v>
      </c>
      <c r="F232" s="265" t="s">
        <v>47</v>
      </c>
      <c r="G232" s="265" t="s">
        <v>47</v>
      </c>
      <c r="H232" s="265" t="s">
        <v>47</v>
      </c>
      <c r="I232" s="265" t="s">
        <v>47</v>
      </c>
      <c r="J232" s="265" t="s">
        <v>47</v>
      </c>
      <c r="K232" s="265" t="s">
        <v>47</v>
      </c>
      <c r="L232" s="353" t="s">
        <v>47</v>
      </c>
      <c r="M232" s="353" t="s">
        <v>47</v>
      </c>
      <c r="N232" s="353" t="s">
        <v>47</v>
      </c>
      <c r="O232" s="593" t="s">
        <v>47</v>
      </c>
      <c r="P232" s="593" t="s">
        <v>47</v>
      </c>
      <c r="Q232" s="593" t="s">
        <v>47</v>
      </c>
      <c r="R232" s="593" t="s">
        <v>47</v>
      </c>
      <c r="S232" s="593" t="s">
        <v>47</v>
      </c>
      <c r="T232" s="593" t="s">
        <v>47</v>
      </c>
      <c r="U232" s="593" t="s">
        <v>47</v>
      </c>
      <c r="V232" s="593" t="s">
        <v>47</v>
      </c>
      <c r="W232" s="592" t="s">
        <v>47</v>
      </c>
      <c r="X232" s="593" t="s">
        <v>47</v>
      </c>
      <c r="Y232" s="593" t="s">
        <v>47</v>
      </c>
      <c r="Z232" s="593" t="s">
        <v>47</v>
      </c>
      <c r="AA232" s="593" t="s">
        <v>47</v>
      </c>
      <c r="AB232" s="593" t="s">
        <v>47</v>
      </c>
      <c r="AC232" s="593" t="s">
        <v>47</v>
      </c>
      <c r="AD232" s="593" t="s">
        <v>47</v>
      </c>
      <c r="AE232" s="593" t="s">
        <v>47</v>
      </c>
      <c r="AF232" s="593" t="s">
        <v>47</v>
      </c>
      <c r="AG232" s="593" t="s">
        <v>47</v>
      </c>
      <c r="AH232" s="593" t="s">
        <v>47</v>
      </c>
      <c r="AI232" s="593" t="s">
        <v>47</v>
      </c>
      <c r="AJ232" s="348" t="s">
        <v>47</v>
      </c>
      <c r="AK232" s="348" t="s">
        <v>47</v>
      </c>
      <c r="AL232" s="348" t="s">
        <v>47</v>
      </c>
      <c r="AM232" s="348" t="s">
        <v>47</v>
      </c>
      <c r="AN232" s="348" t="s">
        <v>47</v>
      </c>
      <c r="AO232" s="348" t="s">
        <v>47</v>
      </c>
      <c r="AP232" s="348" t="s">
        <v>47</v>
      </c>
      <c r="AQ232" s="348" t="s">
        <v>47</v>
      </c>
      <c r="AR232" s="348" t="s">
        <v>47</v>
      </c>
      <c r="AS232" s="348" t="s">
        <v>47</v>
      </c>
      <c r="AT232" s="348" t="s">
        <v>47</v>
      </c>
      <c r="AU232" s="348" t="s">
        <v>47</v>
      </c>
      <c r="AV232" s="962" t="s">
        <v>47</v>
      </c>
      <c r="AW232" s="350" t="s">
        <v>47</v>
      </c>
      <c r="AX232" s="350" t="s">
        <v>47</v>
      </c>
      <c r="AY232" s="348" t="s">
        <v>47</v>
      </c>
      <c r="AZ232" s="348" t="s">
        <v>47</v>
      </c>
      <c r="BA232" s="348" t="s">
        <v>47</v>
      </c>
      <c r="BB232" s="348" t="s">
        <v>47</v>
      </c>
      <c r="BC232" s="348">
        <v>123</v>
      </c>
      <c r="BD232" s="348">
        <v>123</v>
      </c>
      <c r="BE232" s="348">
        <v>123</v>
      </c>
      <c r="BF232" s="592">
        <v>123</v>
      </c>
      <c r="BG232" s="592">
        <v>123</v>
      </c>
      <c r="BH232" s="592">
        <v>123</v>
      </c>
      <c r="BI232" s="592">
        <v>123</v>
      </c>
      <c r="BJ232" s="592">
        <v>123</v>
      </c>
      <c r="BK232" s="592">
        <v>123</v>
      </c>
      <c r="BL232" s="592">
        <v>123</v>
      </c>
      <c r="BM232" s="592">
        <v>123</v>
      </c>
      <c r="BN232" s="592" t="s">
        <v>47</v>
      </c>
      <c r="BO232" s="592" t="s">
        <v>47</v>
      </c>
      <c r="BP232" s="592" t="s">
        <v>47</v>
      </c>
      <c r="BQ232" s="592" t="s">
        <v>47</v>
      </c>
      <c r="BR232" s="592" t="s">
        <v>47</v>
      </c>
      <c r="BS232" s="592" t="s">
        <v>47</v>
      </c>
      <c r="BT232" s="592" t="s">
        <v>47</v>
      </c>
      <c r="BU232" s="592" t="s">
        <v>47</v>
      </c>
      <c r="BV232" s="592" t="s">
        <v>47</v>
      </c>
      <c r="BW232" s="592" t="s">
        <v>47</v>
      </c>
      <c r="BX232" s="592" t="s">
        <v>47</v>
      </c>
      <c r="BY232" s="343">
        <v>135</v>
      </c>
      <c r="BZ232" s="592">
        <v>135</v>
      </c>
      <c r="CA232" s="592">
        <v>135</v>
      </c>
      <c r="CB232" s="592">
        <v>135</v>
      </c>
      <c r="CC232" s="592">
        <v>135</v>
      </c>
      <c r="CD232" s="592">
        <v>135</v>
      </c>
      <c r="CE232"/>
      <c r="CF232"/>
      <c r="CG232"/>
      <c r="CH232"/>
      <c r="CI232"/>
      <c r="CJ232"/>
      <c r="CK232"/>
      <c r="CL232"/>
      <c r="CM232"/>
      <c r="CN232"/>
      <c r="CO232"/>
      <c r="CP232"/>
      <c r="CQ232"/>
      <c r="CR232"/>
      <c r="CS232"/>
      <c r="CT232"/>
      <c r="CU232"/>
      <c r="CV232"/>
      <c r="CW232"/>
      <c r="CX232"/>
      <c r="CY232"/>
      <c r="CZ232"/>
      <c r="DA232"/>
      <c r="DB232"/>
      <c r="DC232"/>
      <c r="DD232"/>
    </row>
    <row r="233" spans="1:108" x14ac:dyDescent="0.25">
      <c r="B233" s="117" t="s">
        <v>136</v>
      </c>
      <c r="C233" s="265" t="s">
        <v>47</v>
      </c>
      <c r="D233" s="265" t="s">
        <v>47</v>
      </c>
      <c r="E233" s="265" t="s">
        <v>47</v>
      </c>
      <c r="F233" s="265" t="s">
        <v>47</v>
      </c>
      <c r="G233" s="266" t="s">
        <v>47</v>
      </c>
      <c r="H233" s="266" t="s">
        <v>47</v>
      </c>
      <c r="I233" s="266" t="s">
        <v>47</v>
      </c>
      <c r="J233" s="266" t="s">
        <v>47</v>
      </c>
      <c r="K233" s="266" t="s">
        <v>47</v>
      </c>
      <c r="L233" s="593" t="s">
        <v>47</v>
      </c>
      <c r="M233" s="593" t="s">
        <v>47</v>
      </c>
      <c r="N233" s="593" t="s">
        <v>47</v>
      </c>
      <c r="O233" s="593" t="s">
        <v>47</v>
      </c>
      <c r="P233" s="593" t="s">
        <v>47</v>
      </c>
      <c r="Q233" s="592" t="s">
        <v>47</v>
      </c>
      <c r="R233" s="592" t="s">
        <v>47</v>
      </c>
      <c r="S233" s="592" t="s">
        <v>47</v>
      </c>
      <c r="T233" s="592" t="s">
        <v>47</v>
      </c>
      <c r="U233" s="592" t="s">
        <v>47</v>
      </c>
      <c r="V233" s="592" t="s">
        <v>47</v>
      </c>
      <c r="W233" s="592" t="s">
        <v>47</v>
      </c>
      <c r="X233" s="592" t="s">
        <v>47</v>
      </c>
      <c r="Y233" s="592" t="s">
        <v>47</v>
      </c>
      <c r="Z233" s="592" t="s">
        <v>47</v>
      </c>
      <c r="AA233" s="592" t="s">
        <v>47</v>
      </c>
      <c r="AB233" s="592" t="s">
        <v>47</v>
      </c>
      <c r="AC233" s="592" t="s">
        <v>47</v>
      </c>
      <c r="AD233" s="592" t="s">
        <v>47</v>
      </c>
      <c r="AE233" s="592" t="s">
        <v>47</v>
      </c>
      <c r="AF233" s="592" t="s">
        <v>47</v>
      </c>
      <c r="AG233" s="592" t="s">
        <v>47</v>
      </c>
      <c r="AH233" s="592" t="s">
        <v>47</v>
      </c>
      <c r="AI233" s="592" t="s">
        <v>47</v>
      </c>
      <c r="AJ233" s="348" t="s">
        <v>47</v>
      </c>
      <c r="AK233" s="348" t="s">
        <v>47</v>
      </c>
      <c r="AL233" s="348" t="s">
        <v>47</v>
      </c>
      <c r="AM233" s="348" t="s">
        <v>47</v>
      </c>
      <c r="AN233" s="348" t="s">
        <v>47</v>
      </c>
      <c r="AO233" s="348" t="s">
        <v>47</v>
      </c>
      <c r="AP233" s="348" t="s">
        <v>47</v>
      </c>
      <c r="AQ233" s="348" t="s">
        <v>47</v>
      </c>
      <c r="AR233" s="348" t="s">
        <v>47</v>
      </c>
      <c r="AS233" s="348" t="s">
        <v>47</v>
      </c>
      <c r="AT233" s="348" t="s">
        <v>47</v>
      </c>
      <c r="AU233" s="348" t="s">
        <v>47</v>
      </c>
      <c r="AV233" s="962" t="s">
        <v>47</v>
      </c>
      <c r="AW233" s="348" t="s">
        <v>47</v>
      </c>
      <c r="AX233" s="348" t="s">
        <v>47</v>
      </c>
      <c r="AY233" s="348" t="s">
        <v>47</v>
      </c>
      <c r="AZ233" s="348" t="s">
        <v>47</v>
      </c>
      <c r="BA233" s="348" t="s">
        <v>47</v>
      </c>
      <c r="BB233" s="348" t="s">
        <v>47</v>
      </c>
      <c r="BC233" s="348" t="s">
        <v>47</v>
      </c>
      <c r="BD233" s="348" t="s">
        <v>47</v>
      </c>
      <c r="BE233" s="348">
        <v>155.19999999999999</v>
      </c>
      <c r="BF233" s="592">
        <v>155.19999999999999</v>
      </c>
      <c r="BG233" s="592">
        <v>155.19999999999999</v>
      </c>
      <c r="BH233" s="592">
        <v>155.19999999999999</v>
      </c>
      <c r="BI233" s="592">
        <v>155.19999999999999</v>
      </c>
      <c r="BJ233" s="592">
        <v>155.19999999999999</v>
      </c>
      <c r="BK233" s="592">
        <v>155.19999999999999</v>
      </c>
      <c r="BL233" s="592">
        <v>155.19999999999999</v>
      </c>
      <c r="BM233" s="592">
        <v>155.19999999999999</v>
      </c>
      <c r="BN233" s="592" t="s">
        <v>47</v>
      </c>
      <c r="BO233" s="592" t="s">
        <v>47</v>
      </c>
      <c r="BP233" s="592" t="s">
        <v>47</v>
      </c>
      <c r="BQ233" s="592">
        <v>111</v>
      </c>
      <c r="BR233" s="592">
        <v>111</v>
      </c>
      <c r="BS233" s="592">
        <v>111</v>
      </c>
      <c r="BT233" s="592">
        <v>111</v>
      </c>
      <c r="BU233" s="592">
        <v>111</v>
      </c>
      <c r="BV233" s="592">
        <v>111</v>
      </c>
      <c r="BW233" s="592">
        <v>111</v>
      </c>
      <c r="BX233" s="592">
        <v>111</v>
      </c>
      <c r="BY233" s="343">
        <v>122</v>
      </c>
      <c r="BZ233" s="592">
        <v>122</v>
      </c>
      <c r="CA233" s="592">
        <v>122</v>
      </c>
      <c r="CB233" s="592">
        <v>122</v>
      </c>
      <c r="CC233" s="592">
        <v>122</v>
      </c>
      <c r="CD233" s="343">
        <v>148.80000000000001</v>
      </c>
      <c r="CE233"/>
      <c r="CF233"/>
      <c r="CG233"/>
      <c r="CH233"/>
      <c r="CI233"/>
      <c r="CJ233"/>
      <c r="CK233"/>
      <c r="CL233"/>
      <c r="CM233"/>
      <c r="CN233"/>
      <c r="CO233"/>
      <c r="CP233"/>
      <c r="CQ233"/>
      <c r="CR233"/>
      <c r="CS233"/>
      <c r="CT233"/>
      <c r="CU233"/>
      <c r="CV233"/>
      <c r="CW233"/>
      <c r="CX233"/>
      <c r="CY233"/>
      <c r="CZ233"/>
      <c r="DA233"/>
      <c r="DB233"/>
      <c r="DC233"/>
      <c r="DD233"/>
    </row>
    <row r="234" spans="1:108" x14ac:dyDescent="0.25">
      <c r="B234" s="117" t="s">
        <v>1218</v>
      </c>
      <c r="C234" s="592" t="s">
        <v>47</v>
      </c>
      <c r="D234" s="592" t="s">
        <v>47</v>
      </c>
      <c r="E234" s="592" t="s">
        <v>47</v>
      </c>
      <c r="F234" s="592" t="s">
        <v>47</v>
      </c>
      <c r="G234" s="592" t="s">
        <v>47</v>
      </c>
      <c r="H234" s="592" t="s">
        <v>47</v>
      </c>
      <c r="I234" s="592" t="s">
        <v>47</v>
      </c>
      <c r="J234" s="592" t="s">
        <v>47</v>
      </c>
      <c r="K234" s="592" t="s">
        <v>47</v>
      </c>
      <c r="L234" s="592" t="s">
        <v>47</v>
      </c>
      <c r="M234" s="592" t="s">
        <v>47</v>
      </c>
      <c r="N234" s="592" t="s">
        <v>47</v>
      </c>
      <c r="O234" s="592" t="s">
        <v>47</v>
      </c>
      <c r="P234" s="592" t="s">
        <v>47</v>
      </c>
      <c r="Q234" s="592" t="s">
        <v>47</v>
      </c>
      <c r="R234" s="592" t="s">
        <v>47</v>
      </c>
      <c r="S234" s="592" t="s">
        <v>47</v>
      </c>
      <c r="T234" s="592" t="s">
        <v>47</v>
      </c>
      <c r="U234" s="592" t="s">
        <v>47</v>
      </c>
      <c r="V234" s="592" t="s">
        <v>47</v>
      </c>
      <c r="W234" s="592" t="s">
        <v>47</v>
      </c>
      <c r="X234" s="592" t="s">
        <v>47</v>
      </c>
      <c r="Y234" s="592" t="s">
        <v>47</v>
      </c>
      <c r="Z234" s="592" t="s">
        <v>47</v>
      </c>
      <c r="AA234" s="592" t="s">
        <v>47</v>
      </c>
      <c r="AB234" s="592" t="s">
        <v>47</v>
      </c>
      <c r="AC234" s="592" t="s">
        <v>47</v>
      </c>
      <c r="AD234" s="592" t="s">
        <v>47</v>
      </c>
      <c r="AE234" s="592" t="s">
        <v>47</v>
      </c>
      <c r="AF234" s="592" t="s">
        <v>47</v>
      </c>
      <c r="AG234" s="592" t="s">
        <v>47</v>
      </c>
      <c r="AH234" s="592" t="s">
        <v>47</v>
      </c>
      <c r="AI234" s="592" t="s">
        <v>47</v>
      </c>
      <c r="AJ234" s="592" t="s">
        <v>47</v>
      </c>
      <c r="AK234" s="592" t="s">
        <v>47</v>
      </c>
      <c r="AL234" s="592" t="s">
        <v>47</v>
      </c>
      <c r="AM234" s="592" t="s">
        <v>47</v>
      </c>
      <c r="AN234" s="592" t="s">
        <v>47</v>
      </c>
      <c r="AO234" s="592" t="s">
        <v>47</v>
      </c>
      <c r="AP234" s="592" t="s">
        <v>47</v>
      </c>
      <c r="AQ234" s="592" t="s">
        <v>47</v>
      </c>
      <c r="AR234" s="592" t="s">
        <v>47</v>
      </c>
      <c r="AS234" s="592" t="s">
        <v>47</v>
      </c>
      <c r="AT234" s="592" t="s">
        <v>47</v>
      </c>
      <c r="AU234" s="592" t="s">
        <v>47</v>
      </c>
      <c r="AV234" s="592" t="s">
        <v>47</v>
      </c>
      <c r="AW234" s="592" t="s">
        <v>47</v>
      </c>
      <c r="AX234" s="592" t="s">
        <v>47</v>
      </c>
      <c r="AY234" s="592" t="s">
        <v>47</v>
      </c>
      <c r="AZ234" s="592" t="s">
        <v>47</v>
      </c>
      <c r="BA234" s="592" t="s">
        <v>47</v>
      </c>
      <c r="BB234" s="592" t="s">
        <v>47</v>
      </c>
      <c r="BC234" s="592" t="s">
        <v>47</v>
      </c>
      <c r="BD234" s="592" t="s">
        <v>47</v>
      </c>
      <c r="BE234" s="592" t="s">
        <v>47</v>
      </c>
      <c r="BF234" s="592" t="s">
        <v>47</v>
      </c>
      <c r="BG234" s="592" t="s">
        <v>47</v>
      </c>
      <c r="BH234" s="592" t="s">
        <v>47</v>
      </c>
      <c r="BI234" s="592" t="s">
        <v>47</v>
      </c>
      <c r="BJ234" s="592" t="s">
        <v>47</v>
      </c>
      <c r="BK234" s="592" t="s">
        <v>47</v>
      </c>
      <c r="BL234" s="592" t="s">
        <v>47</v>
      </c>
      <c r="BM234" s="592" t="s">
        <v>47</v>
      </c>
      <c r="BN234" s="592">
        <v>129</v>
      </c>
      <c r="BO234" s="592">
        <v>129</v>
      </c>
      <c r="BP234" s="592">
        <v>129</v>
      </c>
      <c r="BQ234" s="342">
        <v>98</v>
      </c>
      <c r="BR234" s="592">
        <v>98</v>
      </c>
      <c r="BS234" s="592">
        <v>98</v>
      </c>
      <c r="BT234" s="592">
        <v>98</v>
      </c>
      <c r="BU234" s="592">
        <v>98</v>
      </c>
      <c r="BV234" s="592">
        <v>98</v>
      </c>
      <c r="BW234" s="592">
        <v>98</v>
      </c>
      <c r="BX234" s="592">
        <v>98</v>
      </c>
      <c r="BY234" s="592">
        <v>98</v>
      </c>
      <c r="BZ234" s="592">
        <v>98</v>
      </c>
      <c r="CA234" s="592">
        <v>98</v>
      </c>
      <c r="CB234" s="343">
        <v>147</v>
      </c>
      <c r="CC234" s="592">
        <v>147</v>
      </c>
      <c r="CD234" s="592">
        <v>147</v>
      </c>
      <c r="CE234"/>
      <c r="CF234"/>
      <c r="CG234"/>
      <c r="CH234"/>
      <c r="CI234"/>
      <c r="CJ234"/>
      <c r="CK234"/>
      <c r="CL234"/>
      <c r="CM234"/>
      <c r="CN234"/>
      <c r="CO234"/>
      <c r="CP234"/>
      <c r="CQ234"/>
      <c r="CR234"/>
      <c r="CS234"/>
      <c r="CT234"/>
      <c r="CU234"/>
      <c r="CV234"/>
      <c r="CW234"/>
      <c r="CX234"/>
      <c r="CY234"/>
      <c r="CZ234"/>
      <c r="DA234"/>
      <c r="DB234"/>
      <c r="DC234"/>
      <c r="DD234"/>
    </row>
    <row r="235" spans="1:108" x14ac:dyDescent="0.25">
      <c r="A235" s="1113"/>
      <c r="B235" s="791" t="s">
        <v>134</v>
      </c>
      <c r="C235" s="1125" t="s">
        <v>47</v>
      </c>
      <c r="D235" s="1125" t="s">
        <v>47</v>
      </c>
      <c r="E235" s="1125" t="s">
        <v>47</v>
      </c>
      <c r="F235" s="1125" t="s">
        <v>47</v>
      </c>
      <c r="G235" s="1125" t="s">
        <v>47</v>
      </c>
      <c r="H235" s="1126" t="s">
        <v>47</v>
      </c>
      <c r="I235" s="1126" t="s">
        <v>47</v>
      </c>
      <c r="J235" s="1126" t="s">
        <v>47</v>
      </c>
      <c r="K235" s="1126" t="s">
        <v>47</v>
      </c>
      <c r="L235" s="1126" t="s">
        <v>47</v>
      </c>
      <c r="M235" s="1126" t="s">
        <v>47</v>
      </c>
      <c r="N235" s="1126" t="s">
        <v>47</v>
      </c>
      <c r="O235" s="1126" t="s">
        <v>47</v>
      </c>
      <c r="P235" s="1126" t="s">
        <v>47</v>
      </c>
      <c r="Q235" s="1127" t="s">
        <v>47</v>
      </c>
      <c r="R235" s="1127" t="s">
        <v>47</v>
      </c>
      <c r="S235" s="1127" t="s">
        <v>47</v>
      </c>
      <c r="T235" s="1127" t="s">
        <v>47</v>
      </c>
      <c r="U235" s="1127" t="s">
        <v>47</v>
      </c>
      <c r="V235" s="1127" t="s">
        <v>47</v>
      </c>
      <c r="W235" s="1127" t="s">
        <v>47</v>
      </c>
      <c r="X235" s="1127" t="s">
        <v>47</v>
      </c>
      <c r="Y235" s="1127" t="s">
        <v>47</v>
      </c>
      <c r="Z235" s="1127" t="s">
        <v>47</v>
      </c>
      <c r="AA235" s="1127" t="s">
        <v>47</v>
      </c>
      <c r="AB235" s="1127" t="s">
        <v>47</v>
      </c>
      <c r="AC235" s="1127" t="s">
        <v>47</v>
      </c>
      <c r="AD235" s="1127" t="s">
        <v>47</v>
      </c>
      <c r="AE235" s="1127" t="s">
        <v>47</v>
      </c>
      <c r="AF235" s="1127" t="s">
        <v>47</v>
      </c>
      <c r="AG235" s="1126" t="s">
        <v>47</v>
      </c>
      <c r="AH235" s="1126" t="s">
        <v>47</v>
      </c>
      <c r="AI235" s="1126" t="s">
        <v>47</v>
      </c>
      <c r="AJ235" s="1127" t="s">
        <v>47</v>
      </c>
      <c r="AK235" s="1127" t="s">
        <v>47</v>
      </c>
      <c r="AL235" s="1127" t="s">
        <v>47</v>
      </c>
      <c r="AM235" s="1127" t="s">
        <v>47</v>
      </c>
      <c r="AN235" s="1127" t="s">
        <v>47</v>
      </c>
      <c r="AO235" s="1127" t="s">
        <v>47</v>
      </c>
      <c r="AP235" s="1127" t="s">
        <v>47</v>
      </c>
      <c r="AQ235" s="1127" t="s">
        <v>47</v>
      </c>
      <c r="AR235" s="1127" t="s">
        <v>47</v>
      </c>
      <c r="AS235" s="1127" t="s">
        <v>47</v>
      </c>
      <c r="AT235" s="1127" t="s">
        <v>47</v>
      </c>
      <c r="AU235" s="1127" t="s">
        <v>47</v>
      </c>
      <c r="AV235" s="1128" t="s">
        <v>47</v>
      </c>
      <c r="AW235" s="1127" t="s">
        <v>47</v>
      </c>
      <c r="AX235" s="1127" t="s">
        <v>47</v>
      </c>
      <c r="AY235" s="1127" t="s">
        <v>47</v>
      </c>
      <c r="AZ235" s="1127" t="s">
        <v>47</v>
      </c>
      <c r="BA235" s="1127" t="s">
        <v>47</v>
      </c>
      <c r="BB235" s="1127" t="s">
        <v>47</v>
      </c>
      <c r="BC235" s="1127" t="s">
        <v>47</v>
      </c>
      <c r="BD235" s="1127" t="s">
        <v>47</v>
      </c>
      <c r="BE235" s="1127" t="s">
        <v>47</v>
      </c>
      <c r="BF235" s="1127" t="s">
        <v>47</v>
      </c>
      <c r="BG235" s="1127" t="s">
        <v>47</v>
      </c>
      <c r="BH235" s="1127" t="s">
        <v>47</v>
      </c>
      <c r="BI235" s="1127" t="s">
        <v>47</v>
      </c>
      <c r="BJ235" s="1127" t="s">
        <v>47</v>
      </c>
      <c r="BK235" s="1127" t="s">
        <v>47</v>
      </c>
      <c r="BL235" s="1127" t="s">
        <v>47</v>
      </c>
      <c r="BM235" s="1127" t="s">
        <v>47</v>
      </c>
      <c r="BN235" s="1127">
        <v>108</v>
      </c>
      <c r="BO235" s="1127">
        <v>108</v>
      </c>
      <c r="BP235" s="1127">
        <v>108</v>
      </c>
      <c r="BQ235" s="1127">
        <v>108</v>
      </c>
      <c r="BR235" s="1127">
        <v>114</v>
      </c>
      <c r="BS235" s="1127">
        <v>114</v>
      </c>
      <c r="BT235" s="1127" t="s">
        <v>47</v>
      </c>
      <c r="BU235" s="1127" t="s">
        <v>47</v>
      </c>
      <c r="BV235" s="1127" t="s">
        <v>47</v>
      </c>
      <c r="BW235" s="1127" t="s">
        <v>47</v>
      </c>
      <c r="BX235" s="1127" t="s">
        <v>47</v>
      </c>
      <c r="BY235" s="1127" t="s">
        <v>47</v>
      </c>
      <c r="BZ235" s="592" t="s">
        <v>47</v>
      </c>
      <c r="CA235" s="592" t="s">
        <v>47</v>
      </c>
      <c r="CB235" s="592" t="s">
        <v>47</v>
      </c>
      <c r="CC235" s="592" t="s">
        <v>47</v>
      </c>
      <c r="CD235" s="592" t="s">
        <v>47</v>
      </c>
      <c r="CE235"/>
      <c r="CF235"/>
      <c r="CG235"/>
      <c r="CH235"/>
      <c r="CI235"/>
      <c r="CJ235"/>
      <c r="CK235"/>
      <c r="CL235"/>
      <c r="CM235"/>
      <c r="CN235"/>
      <c r="CO235"/>
      <c r="CP235"/>
      <c r="CQ235"/>
      <c r="CR235"/>
      <c r="CS235"/>
      <c r="CT235"/>
      <c r="CU235"/>
      <c r="CV235"/>
      <c r="CW235"/>
      <c r="CX235"/>
      <c r="CY235"/>
      <c r="CZ235"/>
      <c r="DA235"/>
      <c r="DB235"/>
      <c r="DC235"/>
      <c r="DD235"/>
    </row>
    <row r="236" spans="1:108" x14ac:dyDescent="0.25">
      <c r="A236"/>
      <c r="B236" s="1117" t="s">
        <v>381</v>
      </c>
      <c r="C236" s="1118" t="str">
        <f t="shared" ref="C236:BN236" si="184">IFERROR(AVERAGE(C230:C235),"-")</f>
        <v>-</v>
      </c>
      <c r="D236" s="1118" t="str">
        <f t="shared" si="184"/>
        <v>-</v>
      </c>
      <c r="E236" s="1118" t="str">
        <f t="shared" si="184"/>
        <v>-</v>
      </c>
      <c r="F236" s="1118" t="str">
        <f t="shared" si="184"/>
        <v>-</v>
      </c>
      <c r="G236" s="1118" t="str">
        <f t="shared" si="184"/>
        <v>-</v>
      </c>
      <c r="H236" s="1118" t="str">
        <f t="shared" si="184"/>
        <v>-</v>
      </c>
      <c r="I236" s="1118" t="str">
        <f t="shared" si="184"/>
        <v>-</v>
      </c>
      <c r="J236" s="1118" t="str">
        <f t="shared" si="184"/>
        <v>-</v>
      </c>
      <c r="K236" s="1118" t="str">
        <f t="shared" si="184"/>
        <v>-</v>
      </c>
      <c r="L236" s="1120" t="str">
        <f t="shared" si="184"/>
        <v>-</v>
      </c>
      <c r="M236" s="1120" t="str">
        <f t="shared" si="184"/>
        <v>-</v>
      </c>
      <c r="N236" s="1120" t="str">
        <f t="shared" si="184"/>
        <v>-</v>
      </c>
      <c r="O236" s="1120" t="str">
        <f t="shared" si="184"/>
        <v>-</v>
      </c>
      <c r="P236" s="1120" t="str">
        <f t="shared" si="184"/>
        <v>-</v>
      </c>
      <c r="Q236" s="1120" t="str">
        <f t="shared" si="184"/>
        <v>-</v>
      </c>
      <c r="R236" s="1120" t="str">
        <f t="shared" si="184"/>
        <v>-</v>
      </c>
      <c r="S236" s="1120" t="str">
        <f t="shared" si="184"/>
        <v>-</v>
      </c>
      <c r="T236" s="1120" t="str">
        <f t="shared" si="184"/>
        <v>-</v>
      </c>
      <c r="U236" s="1120" t="str">
        <f t="shared" si="184"/>
        <v>-</v>
      </c>
      <c r="V236" s="1121" t="str">
        <f t="shared" si="184"/>
        <v>-</v>
      </c>
      <c r="W236" s="1121" t="str">
        <f t="shared" si="184"/>
        <v>-</v>
      </c>
      <c r="X236" s="1121" t="str">
        <f t="shared" si="184"/>
        <v>-</v>
      </c>
      <c r="Y236" s="1121" t="str">
        <f t="shared" si="184"/>
        <v>-</v>
      </c>
      <c r="Z236" s="1121" t="str">
        <f t="shared" si="184"/>
        <v>-</v>
      </c>
      <c r="AA236" s="1121" t="str">
        <f t="shared" si="184"/>
        <v>-</v>
      </c>
      <c r="AB236" s="1121" t="str">
        <f t="shared" si="184"/>
        <v>-</v>
      </c>
      <c r="AC236" s="1121" t="str">
        <f t="shared" si="184"/>
        <v>-</v>
      </c>
      <c r="AD236" s="1121" t="str">
        <f t="shared" si="184"/>
        <v>-</v>
      </c>
      <c r="AE236" s="1121" t="str">
        <f t="shared" si="184"/>
        <v>-</v>
      </c>
      <c r="AF236" s="1121" t="str">
        <f t="shared" si="184"/>
        <v>-</v>
      </c>
      <c r="AG236" s="1121" t="str">
        <f t="shared" si="184"/>
        <v>-</v>
      </c>
      <c r="AH236" s="1121" t="str">
        <f t="shared" si="184"/>
        <v>-</v>
      </c>
      <c r="AI236" s="1121" t="str">
        <f t="shared" si="184"/>
        <v>-</v>
      </c>
      <c r="AJ236" s="1121" t="str">
        <f t="shared" si="184"/>
        <v>-</v>
      </c>
      <c r="AK236" s="1121" t="str">
        <f t="shared" si="184"/>
        <v>-</v>
      </c>
      <c r="AL236" s="1121" t="str">
        <f t="shared" si="184"/>
        <v>-</v>
      </c>
      <c r="AM236" s="1121" t="str">
        <f t="shared" si="184"/>
        <v>-</v>
      </c>
      <c r="AN236" s="1121" t="str">
        <f t="shared" si="184"/>
        <v>-</v>
      </c>
      <c r="AO236" s="1121" t="str">
        <f t="shared" si="184"/>
        <v>-</v>
      </c>
      <c r="AP236" s="1121" t="str">
        <f t="shared" si="184"/>
        <v>-</v>
      </c>
      <c r="AQ236" s="1121" t="str">
        <f t="shared" si="184"/>
        <v>-</v>
      </c>
      <c r="AR236" s="1121" t="str">
        <f t="shared" si="184"/>
        <v>-</v>
      </c>
      <c r="AS236" s="1120" t="str">
        <f t="shared" si="184"/>
        <v>-</v>
      </c>
      <c r="AT236" s="1120" t="str">
        <f t="shared" si="184"/>
        <v>-</v>
      </c>
      <c r="AU236" s="1120" t="str">
        <f t="shared" si="184"/>
        <v>-</v>
      </c>
      <c r="AV236" s="1120" t="str">
        <f t="shared" si="184"/>
        <v>-</v>
      </c>
      <c r="AW236" s="1120" t="str">
        <f t="shared" si="184"/>
        <v>-</v>
      </c>
      <c r="AX236" s="1120" t="str">
        <f t="shared" si="184"/>
        <v>-</v>
      </c>
      <c r="AY236" s="1120" t="str">
        <f t="shared" si="184"/>
        <v>-</v>
      </c>
      <c r="AZ236" s="1120" t="str">
        <f t="shared" si="184"/>
        <v>-</v>
      </c>
      <c r="BA236" s="1120" t="str">
        <f t="shared" si="184"/>
        <v>-</v>
      </c>
      <c r="BB236" s="1120" t="str">
        <f t="shared" si="184"/>
        <v>-</v>
      </c>
      <c r="BC236" s="1120">
        <f t="shared" si="184"/>
        <v>123</v>
      </c>
      <c r="BD236" s="1120">
        <f t="shared" si="184"/>
        <v>148</v>
      </c>
      <c r="BE236" s="1120">
        <f t="shared" si="184"/>
        <v>150.4</v>
      </c>
      <c r="BF236" s="1120">
        <f t="shared" si="184"/>
        <v>150.4</v>
      </c>
      <c r="BG236" s="1120">
        <f t="shared" si="184"/>
        <v>150.4</v>
      </c>
      <c r="BH236" s="1120">
        <f t="shared" si="184"/>
        <v>150.4</v>
      </c>
      <c r="BI236" s="1120">
        <f t="shared" si="184"/>
        <v>150.4</v>
      </c>
      <c r="BJ236" s="1120">
        <f t="shared" si="184"/>
        <v>150.4</v>
      </c>
      <c r="BK236" s="1120">
        <f t="shared" si="184"/>
        <v>150.4</v>
      </c>
      <c r="BL236" s="1120">
        <f t="shared" si="184"/>
        <v>150.4</v>
      </c>
      <c r="BM236" s="1120">
        <f t="shared" si="184"/>
        <v>150.4</v>
      </c>
      <c r="BN236" s="1120">
        <f t="shared" si="184"/>
        <v>118.5</v>
      </c>
      <c r="BO236" s="1120">
        <f>IFERROR(AVERAGE(BO230:BO235),"-")</f>
        <v>118.5</v>
      </c>
      <c r="BP236" s="1120">
        <f t="shared" ref="BP236:BY236" si="185">IFERROR(AVERAGE(BP230:BP235),"-")</f>
        <v>118.5</v>
      </c>
      <c r="BQ236" s="1120">
        <f t="shared" si="185"/>
        <v>106.4</v>
      </c>
      <c r="BR236" s="1120">
        <f t="shared" si="185"/>
        <v>107.6</v>
      </c>
      <c r="BS236" s="1120">
        <f t="shared" si="185"/>
        <v>107.6</v>
      </c>
      <c r="BT236" s="1120">
        <f t="shared" si="185"/>
        <v>106</v>
      </c>
      <c r="BU236" s="1120">
        <f t="shared" si="185"/>
        <v>106</v>
      </c>
      <c r="BV236" s="1120">
        <f t="shared" si="185"/>
        <v>106</v>
      </c>
      <c r="BW236" s="1120">
        <f t="shared" si="185"/>
        <v>106</v>
      </c>
      <c r="BX236" s="1120">
        <f t="shared" si="185"/>
        <v>106</v>
      </c>
      <c r="BY236" s="1120">
        <f t="shared" si="185"/>
        <v>114</v>
      </c>
      <c r="BZ236" s="1120">
        <f>IFERROR(AVERAGE(BZ230:BZ235),"-")</f>
        <v>114</v>
      </c>
      <c r="CA236" s="1120">
        <f>IFERROR(AVERAGE(CA230:CA235),"-")</f>
        <v>114</v>
      </c>
      <c r="CB236" s="1120">
        <f>IFERROR(AVERAGE(CB230:CB235),"-")</f>
        <v>123.8</v>
      </c>
      <c r="CC236" s="1120">
        <f>IFERROR(AVERAGE(CC230:CC235),"-")</f>
        <v>132</v>
      </c>
      <c r="CD236" s="1120">
        <f>IFERROR(AVERAGE(CD230:CD235),"-")</f>
        <v>137.35999999999999</v>
      </c>
      <c r="CE236"/>
      <c r="CF236"/>
      <c r="CG236"/>
      <c r="CH236"/>
      <c r="CI236"/>
      <c r="CJ236"/>
      <c r="CK236"/>
      <c r="CL236"/>
      <c r="CM236"/>
      <c r="CN236"/>
      <c r="CO236"/>
      <c r="CP236"/>
      <c r="CQ236"/>
      <c r="CR236"/>
      <c r="CS236"/>
      <c r="CT236"/>
      <c r="CU236"/>
      <c r="CV236"/>
      <c r="CW236"/>
      <c r="CX236"/>
      <c r="CY236"/>
      <c r="CZ236"/>
      <c r="DA236"/>
      <c r="DB236"/>
      <c r="DC236"/>
      <c r="DD236"/>
    </row>
    <row r="237" spans="1:108" x14ac:dyDescent="0.25">
      <c r="X237" s="341"/>
      <c r="Y237" s="341"/>
      <c r="Z237" s="341"/>
      <c r="AA237" s="341"/>
      <c r="AB237" s="341"/>
      <c r="AC237" s="341"/>
      <c r="AD237" s="341"/>
      <c r="AE237" s="341"/>
      <c r="AF237" s="341"/>
      <c r="AG237" s="341"/>
      <c r="AH237" s="341"/>
      <c r="AI237" s="341"/>
      <c r="AJ237" s="341"/>
      <c r="AK237" s="341"/>
      <c r="AL237" s="341"/>
      <c r="AM237" s="341"/>
      <c r="AN237" s="341"/>
      <c r="AO237" s="341"/>
      <c r="AP237" s="341"/>
      <c r="AQ237" s="341"/>
      <c r="AR237" s="341"/>
      <c r="AS237" s="341"/>
      <c r="AT237" s="787"/>
      <c r="CE237"/>
      <c r="CF237"/>
      <c r="CG237"/>
      <c r="CH237"/>
      <c r="CI237"/>
      <c r="CJ237"/>
      <c r="CK237"/>
      <c r="CL237"/>
      <c r="CM237"/>
      <c r="CN237"/>
      <c r="CO237"/>
      <c r="CP237"/>
      <c r="CQ237"/>
      <c r="CR237"/>
      <c r="CS237"/>
      <c r="CT237"/>
      <c r="CU237"/>
      <c r="CV237"/>
      <c r="CW237"/>
      <c r="CX237"/>
      <c r="CY237"/>
      <c r="CZ237"/>
      <c r="DA237"/>
      <c r="DB237"/>
      <c r="DC237"/>
      <c r="DD237"/>
    </row>
    <row r="238" spans="1:108" x14ac:dyDescent="0.25">
      <c r="B238" s="113" t="s">
        <v>1172</v>
      </c>
      <c r="C238" s="264" t="s">
        <v>1493</v>
      </c>
      <c r="D238" s="264" t="s">
        <v>1494</v>
      </c>
      <c r="E238" s="264" t="s">
        <v>1495</v>
      </c>
      <c r="F238" s="264" t="s">
        <v>1496</v>
      </c>
      <c r="G238" s="264" t="s">
        <v>1497</v>
      </c>
      <c r="H238" s="264" t="s">
        <v>1498</v>
      </c>
      <c r="I238" s="264" t="s">
        <v>1440</v>
      </c>
      <c r="J238" s="264" t="s">
        <v>1499</v>
      </c>
      <c r="K238" s="264" t="s">
        <v>1441</v>
      </c>
      <c r="L238" s="264" t="s">
        <v>1500</v>
      </c>
      <c r="M238" s="264" t="s">
        <v>1501</v>
      </c>
      <c r="N238" s="264" t="s">
        <v>1502</v>
      </c>
      <c r="O238" s="264" t="s">
        <v>1503</v>
      </c>
      <c r="P238" s="264" t="s">
        <v>1504</v>
      </c>
      <c r="Q238" s="264" t="s">
        <v>1505</v>
      </c>
      <c r="R238" s="264" t="s">
        <v>1506</v>
      </c>
      <c r="S238" s="264" t="s">
        <v>1507</v>
      </c>
      <c r="T238" s="264" t="s">
        <v>1508</v>
      </c>
      <c r="U238" s="264" t="s">
        <v>1442</v>
      </c>
      <c r="V238" s="264" t="s">
        <v>1509</v>
      </c>
      <c r="W238" s="264" t="s">
        <v>1443</v>
      </c>
      <c r="X238" s="264" t="s">
        <v>1510</v>
      </c>
      <c r="Y238" s="264" t="s">
        <v>1511</v>
      </c>
      <c r="Z238" s="264" t="s">
        <v>1512</v>
      </c>
      <c r="AA238" s="264" t="s">
        <v>1513</v>
      </c>
      <c r="AB238" s="264" t="s">
        <v>1514</v>
      </c>
      <c r="AC238" s="264" t="s">
        <v>1515</v>
      </c>
      <c r="AD238" s="264" t="s">
        <v>1516</v>
      </c>
      <c r="AE238" s="264" t="s">
        <v>1517</v>
      </c>
      <c r="AF238" s="264" t="s">
        <v>1518</v>
      </c>
      <c r="AG238" s="264" t="s">
        <v>1444</v>
      </c>
      <c r="AH238" s="264" t="s">
        <v>1519</v>
      </c>
      <c r="AI238" s="264" t="s">
        <v>1445</v>
      </c>
      <c r="AJ238" s="264" t="s">
        <v>1520</v>
      </c>
      <c r="AK238" s="264" t="s">
        <v>1521</v>
      </c>
      <c r="AL238" s="264" t="s">
        <v>1522</v>
      </c>
      <c r="AM238" s="264" t="s">
        <v>1446</v>
      </c>
      <c r="AN238" s="264" t="s">
        <v>1523</v>
      </c>
      <c r="AO238" s="264" t="s">
        <v>1524</v>
      </c>
      <c r="AP238" s="264" t="s">
        <v>1525</v>
      </c>
      <c r="AQ238" s="264" t="s">
        <v>1526</v>
      </c>
      <c r="AR238" s="264" t="s">
        <v>1527</v>
      </c>
      <c r="AS238" s="264" t="s">
        <v>1447</v>
      </c>
      <c r="AT238" s="264" t="s">
        <v>1528</v>
      </c>
      <c r="AU238" s="264" t="s">
        <v>1529</v>
      </c>
      <c r="AV238" s="946" t="s">
        <v>1530</v>
      </c>
      <c r="AW238" s="264" t="s">
        <v>1531</v>
      </c>
      <c r="AX238" s="264" t="s">
        <v>1532</v>
      </c>
      <c r="AY238" s="264" t="s">
        <v>1448</v>
      </c>
      <c r="AZ238" s="264" t="s">
        <v>1449</v>
      </c>
      <c r="BA238" s="264" t="s">
        <v>1450</v>
      </c>
      <c r="BB238" s="264" t="s">
        <v>1533</v>
      </c>
      <c r="BC238" s="264" t="s">
        <v>1534</v>
      </c>
      <c r="BD238" s="264" t="s">
        <v>1535</v>
      </c>
      <c r="BE238" s="264" t="s">
        <v>1536</v>
      </c>
      <c r="BF238" s="264" t="s">
        <v>1537</v>
      </c>
      <c r="BG238" s="264" t="s">
        <v>1538</v>
      </c>
      <c r="BH238" s="264" t="s">
        <v>1539</v>
      </c>
      <c r="BI238" s="264" t="s">
        <v>1452</v>
      </c>
      <c r="BJ238" s="264" t="s">
        <v>1540</v>
      </c>
      <c r="BK238" s="264" t="s">
        <v>1541</v>
      </c>
      <c r="BL238" s="264" t="s">
        <v>1451</v>
      </c>
      <c r="BM238" s="264" t="s">
        <v>1542</v>
      </c>
      <c r="BN238" s="264" t="s">
        <v>1543</v>
      </c>
      <c r="BO238" s="264" t="s">
        <v>1544</v>
      </c>
      <c r="BP238" s="264" t="s">
        <v>1545</v>
      </c>
      <c r="BQ238" s="264" t="s">
        <v>1546</v>
      </c>
      <c r="BR238" s="264" t="s">
        <v>1547</v>
      </c>
      <c r="BS238" s="264" t="s">
        <v>1548</v>
      </c>
      <c r="BT238" s="264" t="s">
        <v>1453</v>
      </c>
      <c r="BU238" s="264" t="s">
        <v>1454</v>
      </c>
      <c r="BV238" s="264" t="s">
        <v>1549</v>
      </c>
      <c r="BW238" s="264" t="s">
        <v>1550</v>
      </c>
      <c r="BX238" s="264" t="s">
        <v>1551</v>
      </c>
      <c r="BY238" s="264" t="s">
        <v>1552</v>
      </c>
      <c r="BZ238" s="264" t="s">
        <v>1553</v>
      </c>
      <c r="CA238" s="264" t="s">
        <v>1554</v>
      </c>
      <c r="CB238" s="264" t="s">
        <v>1555</v>
      </c>
      <c r="CC238" s="264" t="s">
        <v>1556</v>
      </c>
      <c r="CD238" s="264" t="s">
        <v>1557</v>
      </c>
      <c r="CE238"/>
      <c r="CF238"/>
      <c r="CG238"/>
      <c r="CH238"/>
      <c r="CI238"/>
      <c r="CJ238"/>
      <c r="CK238"/>
      <c r="CL238"/>
      <c r="CM238"/>
      <c r="CN238"/>
      <c r="CO238"/>
      <c r="CP238"/>
      <c r="CQ238"/>
      <c r="CR238"/>
      <c r="CS238"/>
      <c r="CT238"/>
      <c r="CU238"/>
      <c r="CV238"/>
      <c r="CW238"/>
      <c r="CX238"/>
      <c r="CY238"/>
      <c r="CZ238"/>
      <c r="DA238"/>
      <c r="DB238"/>
      <c r="DC238"/>
      <c r="DD238"/>
    </row>
    <row r="239" spans="1:108" x14ac:dyDescent="0.25">
      <c r="B239" s="117" t="s">
        <v>131</v>
      </c>
      <c r="C239" s="346" t="s">
        <v>47</v>
      </c>
      <c r="D239" s="346" t="s">
        <v>47</v>
      </c>
      <c r="E239" s="346" t="s">
        <v>47</v>
      </c>
      <c r="F239" s="346" t="s">
        <v>47</v>
      </c>
      <c r="G239" s="346" t="s">
        <v>47</v>
      </c>
      <c r="H239" s="346" t="s">
        <v>47</v>
      </c>
      <c r="I239" s="346" t="s">
        <v>47</v>
      </c>
      <c r="J239" s="346" t="s">
        <v>47</v>
      </c>
      <c r="K239" s="346" t="s">
        <v>47</v>
      </c>
      <c r="L239" s="346" t="s">
        <v>47</v>
      </c>
      <c r="M239" s="346" t="s">
        <v>47</v>
      </c>
      <c r="N239" s="346" t="s">
        <v>47</v>
      </c>
      <c r="O239" s="346" t="s">
        <v>47</v>
      </c>
      <c r="P239" s="346" t="s">
        <v>47</v>
      </c>
      <c r="Q239" s="346" t="s">
        <v>47</v>
      </c>
      <c r="R239" s="346" t="s">
        <v>47</v>
      </c>
      <c r="S239" s="346" t="s">
        <v>47</v>
      </c>
      <c r="T239" s="346" t="s">
        <v>47</v>
      </c>
      <c r="U239" s="964" t="s">
        <v>47</v>
      </c>
      <c r="V239" s="964" t="s">
        <v>47</v>
      </c>
      <c r="W239" s="964" t="s">
        <v>47</v>
      </c>
      <c r="X239" s="964" t="s">
        <v>47</v>
      </c>
      <c r="Y239" s="964" t="s">
        <v>47</v>
      </c>
      <c r="Z239" s="964" t="s">
        <v>47</v>
      </c>
      <c r="AA239" s="964" t="s">
        <v>47</v>
      </c>
      <c r="AB239" s="964" t="s">
        <v>47</v>
      </c>
      <c r="AC239" s="964" t="s">
        <v>47</v>
      </c>
      <c r="AD239" s="964" t="s">
        <v>47</v>
      </c>
      <c r="AE239" s="964" t="s">
        <v>47</v>
      </c>
      <c r="AF239" s="964" t="s">
        <v>47</v>
      </c>
      <c r="AG239" s="964" t="s">
        <v>47</v>
      </c>
      <c r="AH239" s="964" t="s">
        <v>47</v>
      </c>
      <c r="AI239" s="964" t="s">
        <v>47</v>
      </c>
      <c r="AJ239" s="964" t="s">
        <v>47</v>
      </c>
      <c r="AK239" s="964" t="s">
        <v>47</v>
      </c>
      <c r="AL239" s="964" t="s">
        <v>47</v>
      </c>
      <c r="AM239" s="964" t="s">
        <v>47</v>
      </c>
      <c r="AN239" s="964" t="s">
        <v>47</v>
      </c>
      <c r="AO239" s="964" t="s">
        <v>47</v>
      </c>
      <c r="AP239" s="964" t="s">
        <v>47</v>
      </c>
      <c r="AQ239" s="964" t="s">
        <v>47</v>
      </c>
      <c r="AR239" s="964" t="s">
        <v>47</v>
      </c>
      <c r="AS239" s="964" t="s">
        <v>47</v>
      </c>
      <c r="AT239" s="964" t="s">
        <v>47</v>
      </c>
      <c r="AU239" s="964" t="s">
        <v>47</v>
      </c>
      <c r="AV239" s="964" t="s">
        <v>47</v>
      </c>
      <c r="AW239" s="965" t="s">
        <v>47</v>
      </c>
      <c r="AX239" s="964" t="s">
        <v>47</v>
      </c>
      <c r="AY239" s="964" t="s">
        <v>47</v>
      </c>
      <c r="AZ239" s="964" t="s">
        <v>47</v>
      </c>
      <c r="BA239" s="964" t="s">
        <v>47</v>
      </c>
      <c r="BB239" s="964" t="s">
        <v>47</v>
      </c>
      <c r="BC239" s="964" t="s">
        <v>47</v>
      </c>
      <c r="BD239" s="964" t="s">
        <v>47</v>
      </c>
      <c r="BE239" s="964" t="s">
        <v>47</v>
      </c>
      <c r="BF239" s="964" t="s">
        <v>47</v>
      </c>
      <c r="BG239" s="964" t="s">
        <v>47</v>
      </c>
      <c r="BH239" s="964" t="s">
        <v>47</v>
      </c>
      <c r="BI239" s="964" t="s">
        <v>47</v>
      </c>
      <c r="BJ239" s="964" t="s">
        <v>47</v>
      </c>
      <c r="BK239" s="964" t="s">
        <v>47</v>
      </c>
      <c r="BL239" s="964" t="s">
        <v>47</v>
      </c>
      <c r="BM239" s="964" t="s">
        <v>47</v>
      </c>
      <c r="BN239" s="964" t="s">
        <v>47</v>
      </c>
      <c r="BO239" s="964" t="s">
        <v>47</v>
      </c>
      <c r="BP239" s="964" t="s">
        <v>47</v>
      </c>
      <c r="BQ239" s="964">
        <v>18.5</v>
      </c>
      <c r="BR239" s="964">
        <v>18.5</v>
      </c>
      <c r="BS239" s="964">
        <v>18.5</v>
      </c>
      <c r="BT239" s="964">
        <v>18.5</v>
      </c>
      <c r="BU239" s="964">
        <v>19.5</v>
      </c>
      <c r="BV239" s="964">
        <v>19.5</v>
      </c>
      <c r="BW239" s="964">
        <v>19.5</v>
      </c>
      <c r="BX239" s="964">
        <v>19.5</v>
      </c>
      <c r="BY239" s="964">
        <v>19.5</v>
      </c>
      <c r="BZ239" s="597">
        <v>19.5</v>
      </c>
      <c r="CA239" s="597">
        <v>19.5</v>
      </c>
      <c r="CB239" s="597">
        <v>19.5</v>
      </c>
      <c r="CC239" s="597">
        <v>19.5</v>
      </c>
      <c r="CD239" s="597">
        <v>19.5</v>
      </c>
      <c r="CE239"/>
      <c r="CF239"/>
      <c r="CG239"/>
      <c r="CH239"/>
      <c r="CI239"/>
      <c r="CJ239"/>
      <c r="CK239"/>
      <c r="CL239"/>
      <c r="CM239"/>
      <c r="CN239"/>
      <c r="CO239"/>
      <c r="CP239"/>
      <c r="CQ239"/>
      <c r="CR239"/>
      <c r="CS239"/>
      <c r="CT239"/>
      <c r="CU239"/>
      <c r="CV239"/>
      <c r="CW239"/>
      <c r="CX239"/>
      <c r="CY239"/>
      <c r="CZ239"/>
      <c r="DA239"/>
      <c r="DB239"/>
      <c r="DC239"/>
      <c r="DD239"/>
    </row>
    <row r="240" spans="1:108" x14ac:dyDescent="0.25">
      <c r="B240" s="117" t="s">
        <v>135</v>
      </c>
      <c r="C240" s="353" t="s">
        <v>47</v>
      </c>
      <c r="D240" s="353" t="s">
        <v>47</v>
      </c>
      <c r="E240" s="353" t="s">
        <v>47</v>
      </c>
      <c r="F240" s="353" t="s">
        <v>47</v>
      </c>
      <c r="G240" s="353" t="s">
        <v>47</v>
      </c>
      <c r="H240" s="353" t="s">
        <v>47</v>
      </c>
      <c r="I240" s="353" t="s">
        <v>47</v>
      </c>
      <c r="J240" s="353" t="s">
        <v>47</v>
      </c>
      <c r="K240" s="353" t="s">
        <v>47</v>
      </c>
      <c r="L240" s="353" t="s">
        <v>47</v>
      </c>
      <c r="M240" s="353" t="s">
        <v>47</v>
      </c>
      <c r="N240" s="353" t="s">
        <v>47</v>
      </c>
      <c r="O240" s="353" t="s">
        <v>47</v>
      </c>
      <c r="P240" s="353" t="s">
        <v>47</v>
      </c>
      <c r="Q240" s="353" t="s">
        <v>47</v>
      </c>
      <c r="R240" s="353" t="s">
        <v>47</v>
      </c>
      <c r="S240" s="353" t="s">
        <v>47</v>
      </c>
      <c r="T240" s="353" t="s">
        <v>47</v>
      </c>
      <c r="U240" s="353" t="s">
        <v>47</v>
      </c>
      <c r="V240" s="353" t="s">
        <v>47</v>
      </c>
      <c r="W240" s="353" t="s">
        <v>47</v>
      </c>
      <c r="X240" s="353" t="s">
        <v>47</v>
      </c>
      <c r="Y240" s="353" t="s">
        <v>47</v>
      </c>
      <c r="Z240" s="597" t="s">
        <v>47</v>
      </c>
      <c r="AA240" s="353" t="s">
        <v>47</v>
      </c>
      <c r="AB240" s="353" t="s">
        <v>47</v>
      </c>
      <c r="AC240" s="353" t="s">
        <v>47</v>
      </c>
      <c r="AD240" s="353" t="s">
        <v>47</v>
      </c>
      <c r="AE240" s="353" t="s">
        <v>47</v>
      </c>
      <c r="AF240" s="353" t="s">
        <v>47</v>
      </c>
      <c r="AG240" s="353" t="s">
        <v>47</v>
      </c>
      <c r="AH240" s="353" t="s">
        <v>47</v>
      </c>
      <c r="AI240" s="353" t="s">
        <v>47</v>
      </c>
      <c r="AJ240" s="353" t="s">
        <v>47</v>
      </c>
      <c r="AK240" s="353" t="s">
        <v>47</v>
      </c>
      <c r="AL240" s="353" t="s">
        <v>47</v>
      </c>
      <c r="AM240" s="353" t="s">
        <v>47</v>
      </c>
      <c r="AN240" s="353" t="s">
        <v>47</v>
      </c>
      <c r="AO240" s="353" t="s">
        <v>47</v>
      </c>
      <c r="AP240" s="353" t="s">
        <v>47</v>
      </c>
      <c r="AQ240" s="353" t="s">
        <v>47</v>
      </c>
      <c r="AR240" s="353" t="s">
        <v>47</v>
      </c>
      <c r="AS240" s="353" t="s">
        <v>47</v>
      </c>
      <c r="AT240" s="353" t="s">
        <v>47</v>
      </c>
      <c r="AU240" s="353" t="s">
        <v>47</v>
      </c>
      <c r="AV240" s="353" t="s">
        <v>47</v>
      </c>
      <c r="AW240" s="1038" t="s">
        <v>47</v>
      </c>
      <c r="AX240" s="597" t="s">
        <v>47</v>
      </c>
      <c r="AY240" s="597" t="s">
        <v>47</v>
      </c>
      <c r="AZ240" s="597" t="s">
        <v>47</v>
      </c>
      <c r="BA240" s="597" t="s">
        <v>47</v>
      </c>
      <c r="BB240" s="597" t="s">
        <v>47</v>
      </c>
      <c r="BC240" s="597" t="s">
        <v>47</v>
      </c>
      <c r="BD240" s="597" t="s">
        <v>47</v>
      </c>
      <c r="BE240" s="597" t="s">
        <v>47</v>
      </c>
      <c r="BF240" s="597" t="s">
        <v>47</v>
      </c>
      <c r="BG240" s="597" t="s">
        <v>47</v>
      </c>
      <c r="BH240" s="597" t="s">
        <v>47</v>
      </c>
      <c r="BI240" s="597" t="s">
        <v>47</v>
      </c>
      <c r="BJ240" s="597" t="s">
        <v>47</v>
      </c>
      <c r="BK240" s="597" t="s">
        <v>47</v>
      </c>
      <c r="BL240" s="597" t="s">
        <v>47</v>
      </c>
      <c r="BM240" s="597" t="s">
        <v>47</v>
      </c>
      <c r="BN240" s="597" t="s">
        <v>47</v>
      </c>
      <c r="BO240" s="597" t="s">
        <v>47</v>
      </c>
      <c r="BP240" s="597" t="s">
        <v>47</v>
      </c>
      <c r="BQ240" s="862">
        <v>23</v>
      </c>
      <c r="BR240" s="862">
        <v>23</v>
      </c>
      <c r="BS240" s="597">
        <v>23</v>
      </c>
      <c r="BT240" s="597">
        <v>23</v>
      </c>
      <c r="BU240" s="597">
        <v>24</v>
      </c>
      <c r="BV240" s="597">
        <v>24</v>
      </c>
      <c r="BW240" s="597">
        <v>24</v>
      </c>
      <c r="BX240" s="597">
        <v>24</v>
      </c>
      <c r="BY240" s="597">
        <v>24</v>
      </c>
      <c r="BZ240" s="597">
        <v>24</v>
      </c>
      <c r="CA240" s="597">
        <v>24</v>
      </c>
      <c r="CB240" s="597">
        <v>24</v>
      </c>
      <c r="CC240" s="597">
        <v>24</v>
      </c>
      <c r="CD240" s="597">
        <v>24</v>
      </c>
      <c r="CE240"/>
      <c r="CF240"/>
      <c r="CG240"/>
      <c r="CH240"/>
      <c r="CI240"/>
      <c r="CJ240"/>
      <c r="CK240"/>
      <c r="CL240"/>
      <c r="CM240"/>
      <c r="CN240"/>
      <c r="CO240"/>
      <c r="CP240"/>
      <c r="CQ240"/>
      <c r="CR240"/>
      <c r="CS240"/>
      <c r="CT240"/>
      <c r="CU240"/>
      <c r="CV240"/>
      <c r="CW240"/>
      <c r="CX240"/>
      <c r="CY240"/>
      <c r="CZ240"/>
      <c r="DA240"/>
      <c r="DB240"/>
      <c r="DC240"/>
      <c r="DD240"/>
    </row>
    <row r="241" spans="1:108" x14ac:dyDescent="0.25">
      <c r="B241" s="117" t="s">
        <v>142</v>
      </c>
      <c r="C241" s="353" t="s">
        <v>47</v>
      </c>
      <c r="D241" s="353" t="s">
        <v>47</v>
      </c>
      <c r="E241" s="353" t="s">
        <v>47</v>
      </c>
      <c r="F241" s="353" t="s">
        <v>47</v>
      </c>
      <c r="G241" s="353" t="s">
        <v>47</v>
      </c>
      <c r="H241" s="353" t="s">
        <v>47</v>
      </c>
      <c r="I241" s="353" t="s">
        <v>47</v>
      </c>
      <c r="J241" s="353" t="s">
        <v>47</v>
      </c>
      <c r="K241" s="353" t="s">
        <v>47</v>
      </c>
      <c r="L241" s="353" t="s">
        <v>47</v>
      </c>
      <c r="M241" s="353" t="s">
        <v>47</v>
      </c>
      <c r="N241" s="353" t="s">
        <v>47</v>
      </c>
      <c r="O241" s="353" t="s">
        <v>47</v>
      </c>
      <c r="P241" s="353" t="s">
        <v>47</v>
      </c>
      <c r="Q241" s="353" t="s">
        <v>47</v>
      </c>
      <c r="R241" s="353" t="s">
        <v>47</v>
      </c>
      <c r="S241" s="353" t="s">
        <v>47</v>
      </c>
      <c r="T241" s="353" t="s">
        <v>47</v>
      </c>
      <c r="U241" s="353" t="s">
        <v>47</v>
      </c>
      <c r="V241" s="353" t="s">
        <v>47</v>
      </c>
      <c r="W241" s="597" t="s">
        <v>47</v>
      </c>
      <c r="X241" s="597" t="s">
        <v>47</v>
      </c>
      <c r="Y241" s="597" t="s">
        <v>47</v>
      </c>
      <c r="Z241" s="597" t="s">
        <v>47</v>
      </c>
      <c r="AA241" s="597" t="s">
        <v>47</v>
      </c>
      <c r="AB241" s="597" t="s">
        <v>47</v>
      </c>
      <c r="AC241" s="597" t="s">
        <v>47</v>
      </c>
      <c r="AD241" s="597" t="s">
        <v>47</v>
      </c>
      <c r="AE241" s="597" t="s">
        <v>47</v>
      </c>
      <c r="AF241" s="597" t="s">
        <v>47</v>
      </c>
      <c r="AG241" s="597" t="s">
        <v>47</v>
      </c>
      <c r="AH241" s="597" t="s">
        <v>47</v>
      </c>
      <c r="AI241" s="597" t="s">
        <v>47</v>
      </c>
      <c r="AJ241" s="597" t="s">
        <v>47</v>
      </c>
      <c r="AK241" s="597" t="s">
        <v>47</v>
      </c>
      <c r="AL241" s="597" t="s">
        <v>47</v>
      </c>
      <c r="AM241" s="597" t="s">
        <v>47</v>
      </c>
      <c r="AN241" s="597" t="s">
        <v>47</v>
      </c>
      <c r="AO241" s="597" t="s">
        <v>47</v>
      </c>
      <c r="AP241" s="597" t="s">
        <v>47</v>
      </c>
      <c r="AQ241" s="597" t="s">
        <v>47</v>
      </c>
      <c r="AR241" s="597" t="s">
        <v>47</v>
      </c>
      <c r="AS241" s="597" t="s">
        <v>47</v>
      </c>
      <c r="AT241" s="597" t="s">
        <v>47</v>
      </c>
      <c r="AU241" s="597" t="s">
        <v>47</v>
      </c>
      <c r="AV241" s="597" t="s">
        <v>47</v>
      </c>
      <c r="AW241" s="1038" t="s">
        <v>47</v>
      </c>
      <c r="AX241" s="597" t="s">
        <v>47</v>
      </c>
      <c r="AY241" s="597" t="s">
        <v>47</v>
      </c>
      <c r="AZ241" s="597" t="s">
        <v>47</v>
      </c>
      <c r="BA241" s="597" t="s">
        <v>47</v>
      </c>
      <c r="BB241" s="597" t="s">
        <v>47</v>
      </c>
      <c r="BC241" s="597" t="s">
        <v>47</v>
      </c>
      <c r="BD241" s="597" t="s">
        <v>47</v>
      </c>
      <c r="BE241" s="597" t="s">
        <v>47</v>
      </c>
      <c r="BF241" s="597" t="s">
        <v>47</v>
      </c>
      <c r="BG241" s="597" t="s">
        <v>47</v>
      </c>
      <c r="BH241" s="597" t="s">
        <v>47</v>
      </c>
      <c r="BI241" s="597" t="s">
        <v>47</v>
      </c>
      <c r="BJ241" s="597" t="s">
        <v>47</v>
      </c>
      <c r="BK241" s="597" t="s">
        <v>47</v>
      </c>
      <c r="BL241" s="597" t="s">
        <v>47</v>
      </c>
      <c r="BM241" s="597" t="s">
        <v>47</v>
      </c>
      <c r="BN241" s="597" t="s">
        <v>47</v>
      </c>
      <c r="BO241" s="597" t="s">
        <v>47</v>
      </c>
      <c r="BP241" s="597" t="s">
        <v>47</v>
      </c>
      <c r="BQ241" s="597" t="s">
        <v>47</v>
      </c>
      <c r="BR241" s="597" t="s">
        <v>47</v>
      </c>
      <c r="BS241" s="597" t="s">
        <v>47</v>
      </c>
      <c r="BT241" s="597" t="s">
        <v>47</v>
      </c>
      <c r="BU241" s="597" t="s">
        <v>47</v>
      </c>
      <c r="BV241" s="597" t="s">
        <v>47</v>
      </c>
      <c r="BW241" s="597" t="s">
        <v>47</v>
      </c>
      <c r="BX241" s="597" t="s">
        <v>47</v>
      </c>
      <c r="BY241" s="597" t="s">
        <v>47</v>
      </c>
      <c r="BZ241" s="597" t="s">
        <v>47</v>
      </c>
      <c r="CA241" s="597" t="s">
        <v>47</v>
      </c>
      <c r="CB241" s="597" t="s">
        <v>47</v>
      </c>
      <c r="CC241" s="597" t="s">
        <v>47</v>
      </c>
      <c r="CD241" s="597" t="s">
        <v>47</v>
      </c>
      <c r="CE241"/>
      <c r="CF241"/>
      <c r="CG241"/>
      <c r="CH241"/>
      <c r="CI241"/>
      <c r="CJ241"/>
      <c r="CK241"/>
      <c r="CL241"/>
      <c r="CM241"/>
      <c r="CN241"/>
      <c r="CO241"/>
      <c r="CP241"/>
      <c r="CQ241"/>
      <c r="CR241"/>
      <c r="CS241"/>
      <c r="CT241"/>
      <c r="CU241"/>
      <c r="CV241"/>
      <c r="CW241"/>
      <c r="CX241"/>
      <c r="CY241"/>
      <c r="CZ241"/>
      <c r="DA241"/>
      <c r="DB241"/>
      <c r="DC241"/>
      <c r="DD241"/>
    </row>
    <row r="242" spans="1:108" x14ac:dyDescent="0.25">
      <c r="B242" s="117" t="s">
        <v>136</v>
      </c>
      <c r="C242" s="346" t="s">
        <v>47</v>
      </c>
      <c r="D242" s="346" t="s">
        <v>47</v>
      </c>
      <c r="E242" s="346" t="s">
        <v>47</v>
      </c>
      <c r="F242" s="346" t="s">
        <v>47</v>
      </c>
      <c r="G242" s="346" t="s">
        <v>47</v>
      </c>
      <c r="H242" s="346" t="s">
        <v>47</v>
      </c>
      <c r="I242" s="346" t="s">
        <v>47</v>
      </c>
      <c r="J242" s="346" t="s">
        <v>47</v>
      </c>
      <c r="K242" s="346" t="s">
        <v>47</v>
      </c>
      <c r="L242" s="346" t="s">
        <v>47</v>
      </c>
      <c r="M242" s="346" t="s">
        <v>47</v>
      </c>
      <c r="N242" s="346" t="s">
        <v>47</v>
      </c>
      <c r="O242" s="346" t="s">
        <v>47</v>
      </c>
      <c r="P242" s="346" t="s">
        <v>47</v>
      </c>
      <c r="Q242" s="346" t="s">
        <v>47</v>
      </c>
      <c r="R242" s="346" t="s">
        <v>47</v>
      </c>
      <c r="S242" s="346" t="s">
        <v>47</v>
      </c>
      <c r="T242" s="346" t="s">
        <v>47</v>
      </c>
      <c r="U242" s="346" t="s">
        <v>47</v>
      </c>
      <c r="V242" s="964" t="s">
        <v>47</v>
      </c>
      <c r="W242" s="964" t="s">
        <v>47</v>
      </c>
      <c r="X242" s="964" t="s">
        <v>47</v>
      </c>
      <c r="Y242" s="964" t="s">
        <v>47</v>
      </c>
      <c r="Z242" s="964" t="s">
        <v>47</v>
      </c>
      <c r="AA242" s="964" t="s">
        <v>47</v>
      </c>
      <c r="AB242" s="964" t="s">
        <v>47</v>
      </c>
      <c r="AC242" s="964" t="s">
        <v>47</v>
      </c>
      <c r="AD242" s="964" t="s">
        <v>47</v>
      </c>
      <c r="AE242" s="964" t="s">
        <v>47</v>
      </c>
      <c r="AF242" s="964" t="s">
        <v>47</v>
      </c>
      <c r="AG242" s="964" t="s">
        <v>47</v>
      </c>
      <c r="AH242" s="964" t="s">
        <v>47</v>
      </c>
      <c r="AI242" s="964" t="s">
        <v>47</v>
      </c>
      <c r="AJ242" s="964" t="s">
        <v>47</v>
      </c>
      <c r="AK242" s="964" t="s">
        <v>47</v>
      </c>
      <c r="AL242" s="964" t="s">
        <v>47</v>
      </c>
      <c r="AM242" s="964" t="s">
        <v>47</v>
      </c>
      <c r="AN242" s="964" t="s">
        <v>47</v>
      </c>
      <c r="AO242" s="964" t="s">
        <v>47</v>
      </c>
      <c r="AP242" s="964" t="s">
        <v>47</v>
      </c>
      <c r="AQ242" s="964" t="s">
        <v>47</v>
      </c>
      <c r="AR242" s="964" t="s">
        <v>47</v>
      </c>
      <c r="AS242" s="964" t="s">
        <v>47</v>
      </c>
      <c r="AT242" s="964" t="s">
        <v>47</v>
      </c>
      <c r="AU242" s="964" t="s">
        <v>47</v>
      </c>
      <c r="AV242" s="964" t="s">
        <v>47</v>
      </c>
      <c r="AW242" s="965" t="s">
        <v>47</v>
      </c>
      <c r="AX242" s="964" t="s">
        <v>47</v>
      </c>
      <c r="AY242" s="964" t="s">
        <v>47</v>
      </c>
      <c r="AZ242" s="964" t="s">
        <v>47</v>
      </c>
      <c r="BA242" s="964" t="s">
        <v>47</v>
      </c>
      <c r="BB242" s="964" t="s">
        <v>47</v>
      </c>
      <c r="BC242" s="964" t="s">
        <v>47</v>
      </c>
      <c r="BD242" s="964" t="s">
        <v>47</v>
      </c>
      <c r="BE242" s="964" t="s">
        <v>47</v>
      </c>
      <c r="BF242" s="964" t="s">
        <v>47</v>
      </c>
      <c r="BG242" s="964" t="s">
        <v>47</v>
      </c>
      <c r="BH242" s="964" t="s">
        <v>47</v>
      </c>
      <c r="BI242" s="964" t="s">
        <v>47</v>
      </c>
      <c r="BJ242" s="964" t="s">
        <v>47</v>
      </c>
      <c r="BK242" s="964" t="s">
        <v>47</v>
      </c>
      <c r="BL242" s="964" t="s">
        <v>47</v>
      </c>
      <c r="BM242" s="964" t="s">
        <v>47</v>
      </c>
      <c r="BN242" s="964" t="s">
        <v>47</v>
      </c>
      <c r="BO242" s="964" t="s">
        <v>47</v>
      </c>
      <c r="BP242" s="862">
        <v>22</v>
      </c>
      <c r="BQ242" s="964">
        <v>22</v>
      </c>
      <c r="BR242" s="964">
        <v>22</v>
      </c>
      <c r="BS242" s="964">
        <v>22</v>
      </c>
      <c r="BT242" s="964">
        <v>22</v>
      </c>
      <c r="BU242" s="964">
        <v>23</v>
      </c>
      <c r="BV242" s="964">
        <v>23</v>
      </c>
      <c r="BW242" s="964">
        <v>23</v>
      </c>
      <c r="BX242" s="964">
        <v>23</v>
      </c>
      <c r="BY242" s="964" t="s">
        <v>47</v>
      </c>
      <c r="BZ242" s="597" t="s">
        <v>47</v>
      </c>
      <c r="CA242" s="597" t="s">
        <v>47</v>
      </c>
      <c r="CB242" s="597" t="s">
        <v>47</v>
      </c>
      <c r="CC242" s="597" t="s">
        <v>47</v>
      </c>
      <c r="CD242" s="597" t="s">
        <v>47</v>
      </c>
      <c r="CE242"/>
      <c r="CF242"/>
      <c r="CG242"/>
      <c r="CH242"/>
      <c r="CI242"/>
      <c r="CJ242"/>
      <c r="CK242"/>
      <c r="CL242"/>
      <c r="CM242"/>
      <c r="CN242"/>
      <c r="CO242"/>
      <c r="CP242"/>
      <c r="CQ242"/>
      <c r="CR242"/>
      <c r="CS242"/>
      <c r="CT242"/>
      <c r="CU242"/>
      <c r="CV242"/>
      <c r="CW242"/>
      <c r="CX242"/>
      <c r="CY242"/>
      <c r="CZ242"/>
      <c r="DA242"/>
      <c r="DB242"/>
      <c r="DC242"/>
      <c r="DD242"/>
    </row>
    <row r="243" spans="1:108" x14ac:dyDescent="0.25">
      <c r="B243" s="117" t="s">
        <v>841</v>
      </c>
      <c r="C243" s="353" t="s">
        <v>47</v>
      </c>
      <c r="D243" s="353" t="s">
        <v>47</v>
      </c>
      <c r="E243" s="353" t="s">
        <v>47</v>
      </c>
      <c r="F243" s="353" t="s">
        <v>47</v>
      </c>
      <c r="G243" s="353" t="s">
        <v>47</v>
      </c>
      <c r="H243" s="353" t="s">
        <v>47</v>
      </c>
      <c r="I243" s="353" t="s">
        <v>47</v>
      </c>
      <c r="J243" s="353" t="s">
        <v>47</v>
      </c>
      <c r="K243" s="353" t="s">
        <v>47</v>
      </c>
      <c r="L243" s="353" t="s">
        <v>47</v>
      </c>
      <c r="M243" s="353" t="s">
        <v>47</v>
      </c>
      <c r="N243" s="353" t="s">
        <v>47</v>
      </c>
      <c r="O243" s="353" t="s">
        <v>47</v>
      </c>
      <c r="P243" s="353" t="s">
        <v>47</v>
      </c>
      <c r="Q243" s="353" t="s">
        <v>47</v>
      </c>
      <c r="R243" s="353" t="s">
        <v>47</v>
      </c>
      <c r="S243" s="353" t="s">
        <v>47</v>
      </c>
      <c r="T243" s="353" t="s">
        <v>47</v>
      </c>
      <c r="U243" s="353" t="s">
        <v>47</v>
      </c>
      <c r="V243" s="353" t="s">
        <v>47</v>
      </c>
      <c r="W243" s="597" t="s">
        <v>47</v>
      </c>
      <c r="X243" s="597" t="s">
        <v>47</v>
      </c>
      <c r="Y243" s="597" t="s">
        <v>47</v>
      </c>
      <c r="Z243" s="597" t="s">
        <v>47</v>
      </c>
      <c r="AA243" s="597" t="s">
        <v>47</v>
      </c>
      <c r="AB243" s="597" t="s">
        <v>47</v>
      </c>
      <c r="AC243" s="597" t="s">
        <v>47</v>
      </c>
      <c r="AD243" s="597" t="s">
        <v>47</v>
      </c>
      <c r="AE243" s="597" t="s">
        <v>47</v>
      </c>
      <c r="AF243" s="597" t="s">
        <v>47</v>
      </c>
      <c r="AG243" s="597" t="s">
        <v>47</v>
      </c>
      <c r="AH243" s="597" t="s">
        <v>47</v>
      </c>
      <c r="AI243" s="597" t="s">
        <v>47</v>
      </c>
      <c r="AJ243" s="597" t="s">
        <v>47</v>
      </c>
      <c r="AK243" s="597" t="s">
        <v>47</v>
      </c>
      <c r="AL243" s="597" t="s">
        <v>47</v>
      </c>
      <c r="AM243" s="597" t="s">
        <v>47</v>
      </c>
      <c r="AN243" s="597" t="s">
        <v>47</v>
      </c>
      <c r="AO243" s="597" t="s">
        <v>47</v>
      </c>
      <c r="AP243" s="597" t="s">
        <v>47</v>
      </c>
      <c r="AQ243" s="597" t="s">
        <v>47</v>
      </c>
      <c r="AR243" s="597" t="s">
        <v>47</v>
      </c>
      <c r="AS243" s="597" t="s">
        <v>47</v>
      </c>
      <c r="AT243" s="597" t="s">
        <v>47</v>
      </c>
      <c r="AU243" s="597" t="s">
        <v>47</v>
      </c>
      <c r="AV243" s="597" t="s">
        <v>47</v>
      </c>
      <c r="AW243" s="1038" t="s">
        <v>47</v>
      </c>
      <c r="AX243" s="597" t="s">
        <v>47</v>
      </c>
      <c r="AY243" s="597" t="s">
        <v>47</v>
      </c>
      <c r="AZ243" s="597" t="s">
        <v>47</v>
      </c>
      <c r="BA243" s="597" t="s">
        <v>47</v>
      </c>
      <c r="BB243" s="597" t="s">
        <v>47</v>
      </c>
      <c r="BC243" s="597" t="s">
        <v>47</v>
      </c>
      <c r="BD243" s="597" t="s">
        <v>47</v>
      </c>
      <c r="BE243" s="597" t="s">
        <v>47</v>
      </c>
      <c r="BF243" s="597" t="s">
        <v>47</v>
      </c>
      <c r="BG243" s="597" t="s">
        <v>47</v>
      </c>
      <c r="BH243" s="597" t="s">
        <v>47</v>
      </c>
      <c r="BI243" s="597" t="s">
        <v>47</v>
      </c>
      <c r="BJ243" s="597" t="s">
        <v>47</v>
      </c>
      <c r="BK243" s="597" t="s">
        <v>47</v>
      </c>
      <c r="BL243" s="597" t="s">
        <v>47</v>
      </c>
      <c r="BM243" s="597" t="s">
        <v>47</v>
      </c>
      <c r="BN243" s="597">
        <v>25</v>
      </c>
      <c r="BO243" s="597">
        <v>25</v>
      </c>
      <c r="BP243" s="597">
        <v>25</v>
      </c>
      <c r="BQ243" s="597">
        <v>25</v>
      </c>
      <c r="BR243" s="597">
        <v>25</v>
      </c>
      <c r="BS243" s="597">
        <v>25</v>
      </c>
      <c r="BT243" s="597">
        <v>20</v>
      </c>
      <c r="BU243" s="597">
        <v>21</v>
      </c>
      <c r="BV243" s="597">
        <v>21</v>
      </c>
      <c r="BW243" s="597">
        <v>21</v>
      </c>
      <c r="BX243" s="597">
        <v>21</v>
      </c>
      <c r="BY243" s="597">
        <v>21</v>
      </c>
      <c r="BZ243" s="597">
        <v>21</v>
      </c>
      <c r="CA243" s="597">
        <v>21</v>
      </c>
      <c r="CB243" s="597">
        <v>21</v>
      </c>
      <c r="CC243" s="597">
        <v>21</v>
      </c>
      <c r="CD243" s="597">
        <v>21</v>
      </c>
      <c r="CE243"/>
      <c r="CF243"/>
      <c r="CG243"/>
      <c r="CH243"/>
      <c r="CI243"/>
      <c r="CJ243"/>
      <c r="CK243"/>
      <c r="CL243"/>
      <c r="CM243"/>
      <c r="CN243"/>
      <c r="CO243"/>
      <c r="CP243"/>
      <c r="CQ243"/>
      <c r="CR243"/>
      <c r="CS243"/>
      <c r="CT243"/>
      <c r="CU243"/>
      <c r="CV243"/>
      <c r="CW243"/>
      <c r="CX243"/>
      <c r="CY243"/>
      <c r="CZ243"/>
      <c r="DA243"/>
      <c r="DB243"/>
      <c r="DC243"/>
      <c r="DD243"/>
    </row>
    <row r="244" spans="1:108" x14ac:dyDescent="0.25">
      <c r="A244" s="1113"/>
      <c r="B244" s="791" t="s">
        <v>134</v>
      </c>
      <c r="C244" s="1126" t="s">
        <v>47</v>
      </c>
      <c r="D244" s="1126" t="s">
        <v>47</v>
      </c>
      <c r="E244" s="1126" t="s">
        <v>47</v>
      </c>
      <c r="F244" s="1126" t="s">
        <v>47</v>
      </c>
      <c r="G244" s="1126" t="s">
        <v>47</v>
      </c>
      <c r="H244" s="1126" t="s">
        <v>47</v>
      </c>
      <c r="I244" s="1126" t="s">
        <v>47</v>
      </c>
      <c r="J244" s="1127" t="s">
        <v>47</v>
      </c>
      <c r="K244" s="1127" t="s">
        <v>47</v>
      </c>
      <c r="L244" s="1127" t="s">
        <v>47</v>
      </c>
      <c r="M244" s="1127" t="s">
        <v>47</v>
      </c>
      <c r="N244" s="1127" t="s">
        <v>47</v>
      </c>
      <c r="O244" s="1127" t="s">
        <v>47</v>
      </c>
      <c r="P244" s="1127" t="s">
        <v>47</v>
      </c>
      <c r="Q244" s="1127" t="s">
        <v>47</v>
      </c>
      <c r="R244" s="1127" t="s">
        <v>47</v>
      </c>
      <c r="S244" s="1127" t="s">
        <v>47</v>
      </c>
      <c r="T244" s="1127" t="s">
        <v>47</v>
      </c>
      <c r="U244" s="1127" t="s">
        <v>47</v>
      </c>
      <c r="V244" s="1127" t="s">
        <v>47</v>
      </c>
      <c r="W244" s="1127" t="s">
        <v>47</v>
      </c>
      <c r="X244" s="1127" t="s">
        <v>47</v>
      </c>
      <c r="Y244" s="1127" t="s">
        <v>47</v>
      </c>
      <c r="Z244" s="1127" t="s">
        <v>47</v>
      </c>
      <c r="AA244" s="1127" t="s">
        <v>47</v>
      </c>
      <c r="AB244" s="1127" t="s">
        <v>47</v>
      </c>
      <c r="AC244" s="1127" t="s">
        <v>47</v>
      </c>
      <c r="AD244" s="1127" t="s">
        <v>47</v>
      </c>
      <c r="AE244" s="1127" t="s">
        <v>47</v>
      </c>
      <c r="AF244" s="1127" t="s">
        <v>47</v>
      </c>
      <c r="AG244" s="1127" t="s">
        <v>47</v>
      </c>
      <c r="AH244" s="1127" t="s">
        <v>47</v>
      </c>
      <c r="AI244" s="1127" t="s">
        <v>47</v>
      </c>
      <c r="AJ244" s="1127" t="s">
        <v>47</v>
      </c>
      <c r="AK244" s="1127" t="s">
        <v>47</v>
      </c>
      <c r="AL244" s="1127" t="s">
        <v>47</v>
      </c>
      <c r="AM244" s="1127" t="s">
        <v>47</v>
      </c>
      <c r="AN244" s="1127" t="s">
        <v>47</v>
      </c>
      <c r="AO244" s="1127" t="s">
        <v>47</v>
      </c>
      <c r="AP244" s="1127" t="s">
        <v>47</v>
      </c>
      <c r="AQ244" s="1127" t="s">
        <v>47</v>
      </c>
      <c r="AR244" s="1127" t="s">
        <v>47</v>
      </c>
      <c r="AS244" s="1127" t="s">
        <v>47</v>
      </c>
      <c r="AT244" s="1127" t="s">
        <v>47</v>
      </c>
      <c r="AU244" s="1127" t="s">
        <v>47</v>
      </c>
      <c r="AV244" s="1128" t="s">
        <v>47</v>
      </c>
      <c r="AW244" s="1127" t="s">
        <v>47</v>
      </c>
      <c r="AX244" s="1127" t="s">
        <v>47</v>
      </c>
      <c r="AY244" s="1127" t="s">
        <v>47</v>
      </c>
      <c r="AZ244" s="1127" t="s">
        <v>47</v>
      </c>
      <c r="BA244" s="1127" t="s">
        <v>47</v>
      </c>
      <c r="BB244" s="1127" t="s">
        <v>47</v>
      </c>
      <c r="BC244" s="1127" t="s">
        <v>47</v>
      </c>
      <c r="BD244" s="1127" t="s">
        <v>47</v>
      </c>
      <c r="BE244" s="1127" t="s">
        <v>47</v>
      </c>
      <c r="BF244" s="1127" t="s">
        <v>47</v>
      </c>
      <c r="BG244" s="1127" t="s">
        <v>47</v>
      </c>
      <c r="BH244" s="1127" t="s">
        <v>47</v>
      </c>
      <c r="BI244" s="1127" t="s">
        <v>47</v>
      </c>
      <c r="BJ244" s="1127" t="s">
        <v>47</v>
      </c>
      <c r="BK244" s="1127" t="s">
        <v>47</v>
      </c>
      <c r="BL244" s="1127" t="s">
        <v>47</v>
      </c>
      <c r="BM244" s="1127" t="s">
        <v>47</v>
      </c>
      <c r="BN244" s="1127">
        <v>21</v>
      </c>
      <c r="BO244" s="1127">
        <v>21</v>
      </c>
      <c r="BP244" s="1127">
        <v>21</v>
      </c>
      <c r="BQ244" s="1127">
        <v>21</v>
      </c>
      <c r="BR244" s="1127">
        <v>18</v>
      </c>
      <c r="BS244" s="1127">
        <v>18</v>
      </c>
      <c r="BT244" s="1127" t="s">
        <v>47</v>
      </c>
      <c r="BU244" s="1127" t="s">
        <v>47</v>
      </c>
      <c r="BV244" s="1127" t="s">
        <v>47</v>
      </c>
      <c r="BW244" s="1127" t="s">
        <v>47</v>
      </c>
      <c r="BX244" s="1127" t="s">
        <v>47</v>
      </c>
      <c r="BY244" s="1127" t="s">
        <v>47</v>
      </c>
      <c r="BZ244" s="1127" t="s">
        <v>47</v>
      </c>
      <c r="CA244" s="1127" t="s">
        <v>47</v>
      </c>
      <c r="CB244" s="1127" t="s">
        <v>47</v>
      </c>
      <c r="CC244" s="1127" t="s">
        <v>47</v>
      </c>
      <c r="CD244" s="1127" t="s">
        <v>47</v>
      </c>
      <c r="CE244"/>
      <c r="CF244"/>
      <c r="CG244"/>
      <c r="CH244"/>
      <c r="CI244"/>
      <c r="CJ244"/>
      <c r="CK244"/>
      <c r="CL244"/>
      <c r="CM244"/>
      <c r="CN244"/>
      <c r="CO244"/>
      <c r="CP244"/>
      <c r="CQ244"/>
      <c r="CR244"/>
      <c r="CS244"/>
      <c r="CT244"/>
      <c r="CU244"/>
      <c r="CV244"/>
      <c r="CW244"/>
      <c r="CX244"/>
      <c r="CY244"/>
      <c r="CZ244"/>
      <c r="DA244"/>
      <c r="DB244"/>
      <c r="DC244"/>
      <c r="DD244"/>
    </row>
    <row r="245" spans="1:108" x14ac:dyDescent="0.25">
      <c r="A245"/>
      <c r="B245" s="279" t="s">
        <v>381</v>
      </c>
      <c r="C245" s="280" t="str">
        <f t="shared" ref="C245:AH245" si="186">IFERROR(AVERAGE(C239:C243),"-")</f>
        <v>-</v>
      </c>
      <c r="D245" s="280" t="str">
        <f t="shared" si="186"/>
        <v>-</v>
      </c>
      <c r="E245" s="280" t="str">
        <f t="shared" si="186"/>
        <v>-</v>
      </c>
      <c r="F245" s="280" t="str">
        <f t="shared" si="186"/>
        <v>-</v>
      </c>
      <c r="G245" s="280" t="str">
        <f t="shared" si="186"/>
        <v>-</v>
      </c>
      <c r="H245" s="280" t="str">
        <f t="shared" si="186"/>
        <v>-</v>
      </c>
      <c r="I245" s="280" t="str">
        <f t="shared" si="186"/>
        <v>-</v>
      </c>
      <c r="J245" s="280" t="str">
        <f t="shared" si="186"/>
        <v>-</v>
      </c>
      <c r="K245" s="280" t="str">
        <f t="shared" si="186"/>
        <v>-</v>
      </c>
      <c r="L245" s="280" t="str">
        <f t="shared" si="186"/>
        <v>-</v>
      </c>
      <c r="M245" s="280" t="str">
        <f t="shared" si="186"/>
        <v>-</v>
      </c>
      <c r="N245" s="280" t="str">
        <f t="shared" si="186"/>
        <v>-</v>
      </c>
      <c r="O245" s="280" t="str">
        <f t="shared" si="186"/>
        <v>-</v>
      </c>
      <c r="P245" s="280" t="str">
        <f t="shared" si="186"/>
        <v>-</v>
      </c>
      <c r="Q245" s="280" t="str">
        <f t="shared" si="186"/>
        <v>-</v>
      </c>
      <c r="R245" s="280" t="str">
        <f t="shared" si="186"/>
        <v>-</v>
      </c>
      <c r="S245" s="280" t="str">
        <f t="shared" si="186"/>
        <v>-</v>
      </c>
      <c r="T245" s="280" t="str">
        <f t="shared" si="186"/>
        <v>-</v>
      </c>
      <c r="U245" s="280" t="str">
        <f t="shared" si="186"/>
        <v>-</v>
      </c>
      <c r="V245" s="280" t="str">
        <f t="shared" si="186"/>
        <v>-</v>
      </c>
      <c r="W245" s="280" t="str">
        <f t="shared" si="186"/>
        <v>-</v>
      </c>
      <c r="X245" s="280" t="str">
        <f t="shared" si="186"/>
        <v>-</v>
      </c>
      <c r="Y245" s="280" t="str">
        <f t="shared" si="186"/>
        <v>-</v>
      </c>
      <c r="Z245" s="280" t="str">
        <f t="shared" si="186"/>
        <v>-</v>
      </c>
      <c r="AA245" s="280" t="str">
        <f t="shared" si="186"/>
        <v>-</v>
      </c>
      <c r="AB245" s="280" t="str">
        <f t="shared" si="186"/>
        <v>-</v>
      </c>
      <c r="AC245" s="280" t="str">
        <f t="shared" si="186"/>
        <v>-</v>
      </c>
      <c r="AD245" s="280" t="str">
        <f t="shared" si="186"/>
        <v>-</v>
      </c>
      <c r="AE245" s="280" t="str">
        <f t="shared" si="186"/>
        <v>-</v>
      </c>
      <c r="AF245" s="280" t="str">
        <f t="shared" si="186"/>
        <v>-</v>
      </c>
      <c r="AG245" s="280" t="str">
        <f t="shared" si="186"/>
        <v>-</v>
      </c>
      <c r="AH245" s="280" t="str">
        <f t="shared" si="186"/>
        <v>-</v>
      </c>
      <c r="AI245" s="280" t="str">
        <f t="shared" ref="AI245:BM245" si="187">IFERROR(AVERAGE(AI239:AI243),"-")</f>
        <v>-</v>
      </c>
      <c r="AJ245" s="280" t="str">
        <f t="shared" si="187"/>
        <v>-</v>
      </c>
      <c r="AK245" s="280" t="str">
        <f t="shared" si="187"/>
        <v>-</v>
      </c>
      <c r="AL245" s="280" t="str">
        <f t="shared" si="187"/>
        <v>-</v>
      </c>
      <c r="AM245" s="280" t="str">
        <f t="shared" si="187"/>
        <v>-</v>
      </c>
      <c r="AN245" s="280" t="str">
        <f t="shared" si="187"/>
        <v>-</v>
      </c>
      <c r="AO245" s="280" t="str">
        <f t="shared" si="187"/>
        <v>-</v>
      </c>
      <c r="AP245" s="280" t="str">
        <f t="shared" si="187"/>
        <v>-</v>
      </c>
      <c r="AQ245" s="280" t="str">
        <f t="shared" si="187"/>
        <v>-</v>
      </c>
      <c r="AR245" s="280" t="str">
        <f t="shared" si="187"/>
        <v>-</v>
      </c>
      <c r="AS245" s="280" t="str">
        <f t="shared" si="187"/>
        <v>-</v>
      </c>
      <c r="AT245" s="280" t="str">
        <f t="shared" si="187"/>
        <v>-</v>
      </c>
      <c r="AU245" s="280" t="str">
        <f t="shared" si="187"/>
        <v>-</v>
      </c>
      <c r="AV245" s="280" t="str">
        <f t="shared" si="187"/>
        <v>-</v>
      </c>
      <c r="AW245" s="280" t="str">
        <f t="shared" si="187"/>
        <v>-</v>
      </c>
      <c r="AX245" s="280" t="str">
        <f t="shared" si="187"/>
        <v>-</v>
      </c>
      <c r="AY245" s="280" t="str">
        <f t="shared" si="187"/>
        <v>-</v>
      </c>
      <c r="AZ245" s="280" t="str">
        <f t="shared" si="187"/>
        <v>-</v>
      </c>
      <c r="BA245" s="280" t="str">
        <f t="shared" si="187"/>
        <v>-</v>
      </c>
      <c r="BB245" s="280" t="str">
        <f t="shared" si="187"/>
        <v>-</v>
      </c>
      <c r="BC245" s="280" t="str">
        <f t="shared" si="187"/>
        <v>-</v>
      </c>
      <c r="BD245" s="280" t="str">
        <f t="shared" si="187"/>
        <v>-</v>
      </c>
      <c r="BE245" s="280" t="str">
        <f t="shared" si="187"/>
        <v>-</v>
      </c>
      <c r="BF245" s="280" t="str">
        <f t="shared" si="187"/>
        <v>-</v>
      </c>
      <c r="BG245" s="280" t="str">
        <f t="shared" si="187"/>
        <v>-</v>
      </c>
      <c r="BH245" s="280" t="str">
        <f t="shared" si="187"/>
        <v>-</v>
      </c>
      <c r="BI245" s="280" t="str">
        <f t="shared" si="187"/>
        <v>-</v>
      </c>
      <c r="BJ245" s="280" t="str">
        <f t="shared" si="187"/>
        <v>-</v>
      </c>
      <c r="BK245" s="280" t="str">
        <f t="shared" si="187"/>
        <v>-</v>
      </c>
      <c r="BL245" s="280" t="str">
        <f t="shared" si="187"/>
        <v>-</v>
      </c>
      <c r="BM245" s="280" t="str">
        <f t="shared" si="187"/>
        <v>-</v>
      </c>
      <c r="BN245" s="280">
        <f>IFERROR(AVERAGE(BN239:BN244),"-")</f>
        <v>23</v>
      </c>
      <c r="BO245" s="280">
        <f>IFERROR(AVERAGE(BO239:BO244),"-")</f>
        <v>23</v>
      </c>
      <c r="BP245" s="280">
        <f>IFERROR(AVERAGE(BP239:BP244),"-")</f>
        <v>22.666666666666668</v>
      </c>
      <c r="BQ245" s="280">
        <f>IFERROR(AVERAGE(BQ239:BQ244),"-")</f>
        <v>21.9</v>
      </c>
      <c r="BR245" s="280">
        <f t="shared" ref="BR245:CC245" si="188">IFERROR(AVERAGE(BR239:BR244),"-")</f>
        <v>21.3</v>
      </c>
      <c r="BS245" s="280">
        <f t="shared" si="188"/>
        <v>21.3</v>
      </c>
      <c r="BT245" s="280">
        <f t="shared" si="188"/>
        <v>20.875</v>
      </c>
      <c r="BU245" s="280">
        <f t="shared" si="188"/>
        <v>21.875</v>
      </c>
      <c r="BV245" s="280">
        <f t="shared" si="188"/>
        <v>21.875</v>
      </c>
      <c r="BW245" s="280">
        <f t="shared" si="188"/>
        <v>21.875</v>
      </c>
      <c r="BX245" s="280">
        <f t="shared" si="188"/>
        <v>21.875</v>
      </c>
      <c r="BY245" s="280">
        <f t="shared" si="188"/>
        <v>21.5</v>
      </c>
      <c r="BZ245" s="830">
        <f t="shared" si="188"/>
        <v>21.5</v>
      </c>
      <c r="CA245" s="830">
        <f t="shared" si="188"/>
        <v>21.5</v>
      </c>
      <c r="CB245" s="830">
        <f t="shared" si="188"/>
        <v>21.5</v>
      </c>
      <c r="CC245" s="830">
        <f t="shared" si="188"/>
        <v>21.5</v>
      </c>
      <c r="CD245" s="830">
        <f>IFERROR(AVERAGE(CD239:CD244),"-")</f>
        <v>21.5</v>
      </c>
      <c r="CE245"/>
      <c r="CF245"/>
      <c r="CG245"/>
      <c r="CH245"/>
      <c r="CI245"/>
      <c r="CJ245"/>
      <c r="CK245"/>
      <c r="CL245"/>
      <c r="CM245"/>
      <c r="CN245"/>
      <c r="CO245"/>
      <c r="CP245"/>
      <c r="CQ245"/>
      <c r="CR245"/>
      <c r="CS245"/>
      <c r="CT245"/>
      <c r="CU245"/>
      <c r="CV245"/>
      <c r="CW245"/>
      <c r="CX245"/>
      <c r="CY245"/>
      <c r="CZ245"/>
      <c r="DA245"/>
      <c r="DB245"/>
      <c r="DC245"/>
      <c r="DD245"/>
    </row>
    <row r="246" spans="1:108" x14ac:dyDescent="0.25">
      <c r="X246" s="341"/>
      <c r="Y246" s="341"/>
      <c r="Z246" s="341"/>
      <c r="AA246" s="341"/>
      <c r="AB246" s="341"/>
      <c r="AC246" s="341"/>
      <c r="AD246" s="341"/>
      <c r="AE246" s="341"/>
      <c r="AF246" s="341"/>
      <c r="AG246" s="341"/>
      <c r="AH246" s="341"/>
      <c r="AI246" s="341"/>
      <c r="AJ246" s="341"/>
      <c r="AK246" s="341"/>
      <c r="AL246" s="341"/>
      <c r="AM246" s="341"/>
      <c r="AN246" s="341"/>
      <c r="AO246" s="341"/>
      <c r="AP246" s="341"/>
      <c r="AQ246" s="341"/>
      <c r="AR246" s="341"/>
      <c r="AS246" s="341"/>
      <c r="AV246" s="945"/>
    </row>
    <row r="247" spans="1:108" x14ac:dyDescent="0.25">
      <c r="B247" s="113" t="s">
        <v>1305</v>
      </c>
      <c r="C247" s="264">
        <f>C$4</f>
        <v>42522</v>
      </c>
      <c r="D247" s="264">
        <f t="shared" ref="D247:BO247" si="189">D$4</f>
        <v>42552</v>
      </c>
      <c r="E247" s="264">
        <f t="shared" si="189"/>
        <v>42583</v>
      </c>
      <c r="F247" s="264">
        <f t="shared" si="189"/>
        <v>42614</v>
      </c>
      <c r="G247" s="264">
        <f t="shared" si="189"/>
        <v>42644</v>
      </c>
      <c r="H247" s="264">
        <f t="shared" si="189"/>
        <v>42675</v>
      </c>
      <c r="I247" s="264">
        <f t="shared" si="189"/>
        <v>42705</v>
      </c>
      <c r="J247" s="264">
        <f t="shared" si="189"/>
        <v>42736</v>
      </c>
      <c r="K247" s="264">
        <f t="shared" si="189"/>
        <v>42767</v>
      </c>
      <c r="L247" s="264">
        <f t="shared" si="189"/>
        <v>42795</v>
      </c>
      <c r="M247" s="264">
        <f t="shared" si="189"/>
        <v>42826</v>
      </c>
      <c r="N247" s="264">
        <f t="shared" si="189"/>
        <v>42856</v>
      </c>
      <c r="O247" s="264">
        <f t="shared" si="189"/>
        <v>42887</v>
      </c>
      <c r="P247" s="264">
        <f t="shared" si="189"/>
        <v>42917</v>
      </c>
      <c r="Q247" s="264">
        <f t="shared" si="189"/>
        <v>42948</v>
      </c>
      <c r="R247" s="264">
        <f t="shared" si="189"/>
        <v>42979</v>
      </c>
      <c r="S247" s="264">
        <f t="shared" si="189"/>
        <v>43009</v>
      </c>
      <c r="T247" s="264">
        <f t="shared" si="189"/>
        <v>43040</v>
      </c>
      <c r="U247" s="264">
        <f t="shared" si="189"/>
        <v>43070</v>
      </c>
      <c r="V247" s="264">
        <f t="shared" si="189"/>
        <v>43101</v>
      </c>
      <c r="W247" s="264">
        <f t="shared" si="189"/>
        <v>43132</v>
      </c>
      <c r="X247" s="264">
        <f t="shared" si="189"/>
        <v>43160</v>
      </c>
      <c r="Y247" s="264">
        <f t="shared" si="189"/>
        <v>43191</v>
      </c>
      <c r="Z247" s="264">
        <f t="shared" si="189"/>
        <v>43221</v>
      </c>
      <c r="AA247" s="264">
        <f t="shared" si="189"/>
        <v>43252</v>
      </c>
      <c r="AB247" s="264">
        <f t="shared" si="189"/>
        <v>43283</v>
      </c>
      <c r="AC247" s="264">
        <f t="shared" si="189"/>
        <v>43314</v>
      </c>
      <c r="AD247" s="264">
        <f t="shared" si="189"/>
        <v>43345</v>
      </c>
      <c r="AE247" s="264">
        <f t="shared" si="189"/>
        <v>43376</v>
      </c>
      <c r="AF247" s="264">
        <f t="shared" si="189"/>
        <v>43407</v>
      </c>
      <c r="AG247" s="264">
        <f t="shared" si="189"/>
        <v>43437</v>
      </c>
      <c r="AH247" s="264">
        <f t="shared" si="189"/>
        <v>43468</v>
      </c>
      <c r="AI247" s="264">
        <f t="shared" si="189"/>
        <v>43499</v>
      </c>
      <c r="AJ247" s="264">
        <f t="shared" si="189"/>
        <v>43527</v>
      </c>
      <c r="AK247" s="264">
        <f t="shared" si="189"/>
        <v>43558</v>
      </c>
      <c r="AL247" s="264">
        <f t="shared" si="189"/>
        <v>43587</v>
      </c>
      <c r="AM247" s="264">
        <f t="shared" si="189"/>
        <v>43618</v>
      </c>
      <c r="AN247" s="264">
        <f t="shared" si="189"/>
        <v>43647</v>
      </c>
      <c r="AO247" s="264">
        <f t="shared" si="189"/>
        <v>43678</v>
      </c>
      <c r="AP247" s="264">
        <f t="shared" si="189"/>
        <v>43709</v>
      </c>
      <c r="AQ247" s="264">
        <f t="shared" si="189"/>
        <v>43739</v>
      </c>
      <c r="AR247" s="264">
        <f t="shared" si="189"/>
        <v>43770</v>
      </c>
      <c r="AS247" s="264">
        <f t="shared" si="189"/>
        <v>43800</v>
      </c>
      <c r="AT247" s="264">
        <f t="shared" si="189"/>
        <v>43831</v>
      </c>
      <c r="AU247" s="264">
        <f t="shared" si="189"/>
        <v>43862</v>
      </c>
      <c r="AV247" s="264">
        <f t="shared" si="189"/>
        <v>43891</v>
      </c>
      <c r="AW247" s="264">
        <f t="shared" si="189"/>
        <v>43922</v>
      </c>
      <c r="AX247" s="264">
        <f t="shared" si="189"/>
        <v>43952</v>
      </c>
      <c r="AY247" s="264">
        <f t="shared" si="189"/>
        <v>43983</v>
      </c>
      <c r="AZ247" s="264">
        <f t="shared" si="189"/>
        <v>44013</v>
      </c>
      <c r="BA247" s="264">
        <f t="shared" si="189"/>
        <v>44044</v>
      </c>
      <c r="BB247" s="264">
        <f t="shared" si="189"/>
        <v>44075</v>
      </c>
      <c r="BC247" s="264">
        <f t="shared" si="189"/>
        <v>44105</v>
      </c>
      <c r="BD247" s="264">
        <f t="shared" si="189"/>
        <v>44136</v>
      </c>
      <c r="BE247" s="264">
        <f t="shared" si="189"/>
        <v>44166</v>
      </c>
      <c r="BF247" s="264">
        <f t="shared" si="189"/>
        <v>44197</v>
      </c>
      <c r="BG247" s="264">
        <f t="shared" si="189"/>
        <v>44228</v>
      </c>
      <c r="BH247" s="264">
        <f t="shared" si="189"/>
        <v>44256</v>
      </c>
      <c r="BI247" s="264">
        <f t="shared" si="189"/>
        <v>44287</v>
      </c>
      <c r="BJ247" s="264">
        <f t="shared" si="189"/>
        <v>44317</v>
      </c>
      <c r="BK247" s="264">
        <f t="shared" si="189"/>
        <v>44348</v>
      </c>
      <c r="BL247" s="264">
        <f t="shared" si="189"/>
        <v>44378</v>
      </c>
      <c r="BM247" s="264">
        <f t="shared" si="189"/>
        <v>44409</v>
      </c>
      <c r="BN247" s="264">
        <f t="shared" si="189"/>
        <v>44440</v>
      </c>
      <c r="BO247" s="264">
        <f t="shared" si="189"/>
        <v>44470</v>
      </c>
      <c r="BP247" s="264">
        <f t="shared" ref="BP247:DD247" si="190">BP$4</f>
        <v>44501</v>
      </c>
      <c r="BQ247" s="264">
        <f t="shared" si="190"/>
        <v>44531</v>
      </c>
      <c r="BR247" s="264">
        <f t="shared" si="190"/>
        <v>44562</v>
      </c>
      <c r="BS247" s="264">
        <f t="shared" si="190"/>
        <v>44593</v>
      </c>
      <c r="BT247" s="264">
        <f t="shared" si="190"/>
        <v>44622</v>
      </c>
      <c r="BU247" s="264">
        <f t="shared" si="190"/>
        <v>44654</v>
      </c>
      <c r="BV247" s="264">
        <f t="shared" si="190"/>
        <v>44685</v>
      </c>
      <c r="BW247" s="264">
        <f t="shared" si="190"/>
        <v>44716</v>
      </c>
      <c r="BX247" s="264">
        <f t="shared" si="190"/>
        <v>44746</v>
      </c>
      <c r="BY247" s="264">
        <f t="shared" si="190"/>
        <v>44774</v>
      </c>
      <c r="BZ247" s="264">
        <f t="shared" si="190"/>
        <v>44805</v>
      </c>
      <c r="CA247" s="264">
        <f t="shared" si="190"/>
        <v>44835</v>
      </c>
      <c r="CB247" s="264">
        <f t="shared" si="190"/>
        <v>44866</v>
      </c>
      <c r="CC247" s="264">
        <f t="shared" si="190"/>
        <v>44896</v>
      </c>
      <c r="CD247" s="264">
        <f t="shared" si="190"/>
        <v>44927</v>
      </c>
      <c r="CE247" s="264">
        <f t="shared" si="190"/>
        <v>44958</v>
      </c>
      <c r="CF247" s="264">
        <f t="shared" si="190"/>
        <v>44986</v>
      </c>
      <c r="CG247" s="264">
        <f t="shared" si="190"/>
        <v>45017</v>
      </c>
      <c r="CH247" s="264">
        <f t="shared" si="190"/>
        <v>45047</v>
      </c>
      <c r="CI247" s="264">
        <f t="shared" si="190"/>
        <v>45078</v>
      </c>
      <c r="CJ247" s="264">
        <f t="shared" si="190"/>
        <v>45108</v>
      </c>
      <c r="CK247" s="264">
        <f t="shared" si="190"/>
        <v>45139</v>
      </c>
      <c r="CL247" s="264">
        <f t="shared" si="190"/>
        <v>45170</v>
      </c>
      <c r="CM247" s="264">
        <f t="shared" si="190"/>
        <v>45200</v>
      </c>
      <c r="CN247" s="264">
        <f t="shared" si="190"/>
        <v>45231</v>
      </c>
      <c r="CO247" s="264">
        <f t="shared" si="190"/>
        <v>45261</v>
      </c>
      <c r="CP247" s="264">
        <f t="shared" si="190"/>
        <v>45292</v>
      </c>
      <c r="CQ247" s="264">
        <f t="shared" si="190"/>
        <v>45323</v>
      </c>
      <c r="CR247" s="264">
        <f t="shared" si="190"/>
        <v>45352</v>
      </c>
      <c r="CS247" s="264">
        <f t="shared" si="190"/>
        <v>45383</v>
      </c>
      <c r="CT247" s="264">
        <f t="shared" si="190"/>
        <v>45413</v>
      </c>
      <c r="CU247" s="264">
        <f t="shared" si="190"/>
        <v>45444</v>
      </c>
      <c r="CV247" s="264">
        <f t="shared" si="190"/>
        <v>45474</v>
      </c>
      <c r="CW247" s="264">
        <f t="shared" si="190"/>
        <v>45505</v>
      </c>
      <c r="CX247" s="264">
        <f t="shared" si="190"/>
        <v>45536</v>
      </c>
      <c r="CY247" s="264">
        <f t="shared" si="190"/>
        <v>45566</v>
      </c>
      <c r="CZ247" s="264">
        <f t="shared" si="190"/>
        <v>45597</v>
      </c>
      <c r="DA247" s="264">
        <f t="shared" si="190"/>
        <v>45627</v>
      </c>
      <c r="DB247" s="264">
        <f t="shared" si="190"/>
        <v>45658</v>
      </c>
      <c r="DC247" s="264">
        <f t="shared" si="190"/>
        <v>45689</v>
      </c>
      <c r="DD247" s="264">
        <f t="shared" si="190"/>
        <v>45717</v>
      </c>
    </row>
    <row r="248" spans="1:108" x14ac:dyDescent="0.25">
      <c r="B248" s="117" t="s">
        <v>131</v>
      </c>
      <c r="C248" s="353" t="s">
        <v>47</v>
      </c>
      <c r="D248" s="353" t="s">
        <v>47</v>
      </c>
      <c r="E248" s="353" t="s">
        <v>47</v>
      </c>
      <c r="F248" s="353" t="s">
        <v>47</v>
      </c>
      <c r="G248" s="353" t="s">
        <v>47</v>
      </c>
      <c r="H248" s="353" t="s">
        <v>47</v>
      </c>
      <c r="I248" s="353" t="s">
        <v>47</v>
      </c>
      <c r="J248" s="353" t="s">
        <v>47</v>
      </c>
      <c r="K248" s="353" t="s">
        <v>47</v>
      </c>
      <c r="L248" s="353" t="s">
        <v>47</v>
      </c>
      <c r="M248" s="353" t="s">
        <v>47</v>
      </c>
      <c r="N248" s="353" t="s">
        <v>47</v>
      </c>
      <c r="O248" s="353" t="s">
        <v>47</v>
      </c>
      <c r="P248" s="353" t="s">
        <v>47</v>
      </c>
      <c r="Q248" s="353" t="s">
        <v>47</v>
      </c>
      <c r="R248" s="353" t="s">
        <v>47</v>
      </c>
      <c r="S248" s="353" t="s">
        <v>47</v>
      </c>
      <c r="T248" s="353" t="s">
        <v>47</v>
      </c>
      <c r="U248" s="597" t="s">
        <v>47</v>
      </c>
      <c r="V248" s="597" t="s">
        <v>47</v>
      </c>
      <c r="W248" s="597" t="s">
        <v>47</v>
      </c>
      <c r="X248" s="597" t="s">
        <v>47</v>
      </c>
      <c r="Y248" s="597" t="s">
        <v>47</v>
      </c>
      <c r="Z248" s="597" t="s">
        <v>47</v>
      </c>
      <c r="AA248" s="597" t="s">
        <v>47</v>
      </c>
      <c r="AB248" s="597" t="s">
        <v>47</v>
      </c>
      <c r="AC248" s="597" t="s">
        <v>47</v>
      </c>
      <c r="AD248" s="597" t="s">
        <v>47</v>
      </c>
      <c r="AE248" s="597" t="s">
        <v>47</v>
      </c>
      <c r="AF248" s="597" t="s">
        <v>47</v>
      </c>
      <c r="AG248" s="597" t="s">
        <v>47</v>
      </c>
      <c r="AH248" s="597" t="s">
        <v>47</v>
      </c>
      <c r="AI248" s="597" t="s">
        <v>47</v>
      </c>
      <c r="AJ248" s="597" t="s">
        <v>47</v>
      </c>
      <c r="AK248" s="597" t="s">
        <v>47</v>
      </c>
      <c r="AL248" s="597" t="s">
        <v>47</v>
      </c>
      <c r="AM248" s="597" t="s">
        <v>47</v>
      </c>
      <c r="AN248" s="597" t="s">
        <v>47</v>
      </c>
      <c r="AO248" s="597" t="s">
        <v>47</v>
      </c>
      <c r="AP248" s="597" t="s">
        <v>47</v>
      </c>
      <c r="AQ248" s="597" t="s">
        <v>47</v>
      </c>
      <c r="AR248" s="597" t="s">
        <v>47</v>
      </c>
      <c r="AS248" s="597" t="s">
        <v>47</v>
      </c>
      <c r="AT248" s="597" t="s">
        <v>47</v>
      </c>
      <c r="AU248" s="597" t="s">
        <v>47</v>
      </c>
      <c r="AV248" s="597" t="s">
        <v>47</v>
      </c>
      <c r="AW248" s="1038" t="s">
        <v>47</v>
      </c>
      <c r="AX248" s="597" t="s">
        <v>47</v>
      </c>
      <c r="AY248" s="597" t="s">
        <v>47</v>
      </c>
      <c r="AZ248" s="597" t="s">
        <v>47</v>
      </c>
      <c r="BA248" s="597" t="s">
        <v>47</v>
      </c>
      <c r="BB248" s="597" t="s">
        <v>47</v>
      </c>
      <c r="BC248" s="597" t="s">
        <v>47</v>
      </c>
      <c r="BD248" s="597" t="s">
        <v>47</v>
      </c>
      <c r="BE248" s="597" t="s">
        <v>47</v>
      </c>
      <c r="BF248" s="597" t="s">
        <v>47</v>
      </c>
      <c r="BG248" s="597" t="s">
        <v>47</v>
      </c>
      <c r="BH248" s="597" t="s">
        <v>47</v>
      </c>
      <c r="BI248" s="597" t="s">
        <v>47</v>
      </c>
      <c r="BJ248" s="597" t="s">
        <v>47</v>
      </c>
      <c r="BK248" s="597" t="s">
        <v>47</v>
      </c>
      <c r="BL248" s="597" t="s">
        <v>47</v>
      </c>
      <c r="BM248" s="597" t="s">
        <v>47</v>
      </c>
      <c r="BN248" s="597" t="s">
        <v>47</v>
      </c>
      <c r="BO248" s="597" t="s">
        <v>47</v>
      </c>
      <c r="BP248" s="597" t="s">
        <v>47</v>
      </c>
      <c r="BQ248" s="597" t="s">
        <v>47</v>
      </c>
      <c r="BR248" s="597" t="s">
        <v>47</v>
      </c>
      <c r="BS248" s="597" t="s">
        <v>47</v>
      </c>
      <c r="BT248" s="597" t="s">
        <v>47</v>
      </c>
      <c r="BU248" s="597" t="s">
        <v>47</v>
      </c>
      <c r="BV248" s="597" t="s">
        <v>47</v>
      </c>
      <c r="BW248" s="597" t="s">
        <v>47</v>
      </c>
      <c r="BX248" s="597" t="s">
        <v>47</v>
      </c>
      <c r="BY248" s="597" t="s">
        <v>47</v>
      </c>
      <c r="BZ248" s="597" t="s">
        <v>47</v>
      </c>
      <c r="CA248" s="597" t="s">
        <v>47</v>
      </c>
      <c r="CB248" s="597" t="s">
        <v>47</v>
      </c>
      <c r="CC248" s="597" t="s">
        <v>47</v>
      </c>
      <c r="CD248" s="597" t="s">
        <v>47</v>
      </c>
      <c r="CE248" s="597" t="s">
        <v>47</v>
      </c>
      <c r="CF248" s="597" t="s">
        <v>47</v>
      </c>
      <c r="CG248" s="597" t="s">
        <v>47</v>
      </c>
      <c r="CH248" s="597" t="s">
        <v>47</v>
      </c>
      <c r="CI248" s="597" t="s">
        <v>47</v>
      </c>
      <c r="CJ248" s="597" t="s">
        <v>47</v>
      </c>
      <c r="CK248" s="597" t="s">
        <v>47</v>
      </c>
      <c r="CL248" s="597" t="s">
        <v>47</v>
      </c>
      <c r="CM248" s="597" t="s">
        <v>47</v>
      </c>
      <c r="CN248" s="597" t="s">
        <v>47</v>
      </c>
      <c r="CO248" s="597" t="s">
        <v>47</v>
      </c>
      <c r="CP248" s="597">
        <v>31</v>
      </c>
      <c r="CQ248" s="597">
        <v>31</v>
      </c>
      <c r="CR248" s="597">
        <v>31</v>
      </c>
      <c r="CS248" s="597">
        <v>31</v>
      </c>
      <c r="CT248" s="597">
        <v>31</v>
      </c>
      <c r="CU248" s="597">
        <v>31</v>
      </c>
      <c r="CV248" s="597">
        <v>31</v>
      </c>
      <c r="CW248" s="597">
        <v>31</v>
      </c>
      <c r="CX248" s="597">
        <v>31</v>
      </c>
      <c r="CY248" s="597">
        <v>31</v>
      </c>
      <c r="CZ248" s="597">
        <v>31</v>
      </c>
      <c r="DA248" s="597">
        <v>31</v>
      </c>
      <c r="DB248" s="597">
        <v>31</v>
      </c>
      <c r="DC248" s="597">
        <v>31</v>
      </c>
      <c r="DD248" s="597">
        <v>31</v>
      </c>
    </row>
    <row r="249" spans="1:108" x14ac:dyDescent="0.25">
      <c r="B249" s="117" t="s">
        <v>135</v>
      </c>
      <c r="C249" s="353" t="s">
        <v>47</v>
      </c>
      <c r="D249" s="353" t="s">
        <v>47</v>
      </c>
      <c r="E249" s="353" t="s">
        <v>47</v>
      </c>
      <c r="F249" s="353" t="s">
        <v>47</v>
      </c>
      <c r="G249" s="353" t="s">
        <v>47</v>
      </c>
      <c r="H249" s="353" t="s">
        <v>47</v>
      </c>
      <c r="I249" s="353" t="s">
        <v>47</v>
      </c>
      <c r="J249" s="353" t="s">
        <v>47</v>
      </c>
      <c r="K249" s="353" t="s">
        <v>47</v>
      </c>
      <c r="L249" s="353" t="s">
        <v>47</v>
      </c>
      <c r="M249" s="353" t="s">
        <v>47</v>
      </c>
      <c r="N249" s="353" t="s">
        <v>47</v>
      </c>
      <c r="O249" s="353" t="s">
        <v>47</v>
      </c>
      <c r="P249" s="353" t="s">
        <v>47</v>
      </c>
      <c r="Q249" s="353" t="s">
        <v>47</v>
      </c>
      <c r="R249" s="353" t="s">
        <v>47</v>
      </c>
      <c r="S249" s="353" t="s">
        <v>47</v>
      </c>
      <c r="T249" s="353" t="s">
        <v>47</v>
      </c>
      <c r="U249" s="353" t="s">
        <v>47</v>
      </c>
      <c r="V249" s="353" t="s">
        <v>47</v>
      </c>
      <c r="W249" s="353" t="s">
        <v>47</v>
      </c>
      <c r="X249" s="353" t="s">
        <v>47</v>
      </c>
      <c r="Y249" s="353" t="s">
        <v>47</v>
      </c>
      <c r="Z249" s="597" t="s">
        <v>47</v>
      </c>
      <c r="AA249" s="353" t="s">
        <v>47</v>
      </c>
      <c r="AB249" s="353" t="s">
        <v>47</v>
      </c>
      <c r="AC249" s="353" t="s">
        <v>47</v>
      </c>
      <c r="AD249" s="353" t="s">
        <v>47</v>
      </c>
      <c r="AE249" s="353" t="s">
        <v>47</v>
      </c>
      <c r="AF249" s="353" t="s">
        <v>47</v>
      </c>
      <c r="AG249" s="353" t="s">
        <v>47</v>
      </c>
      <c r="AH249" s="353" t="s">
        <v>47</v>
      </c>
      <c r="AI249" s="353" t="s">
        <v>47</v>
      </c>
      <c r="AJ249" s="353" t="s">
        <v>47</v>
      </c>
      <c r="AK249" s="353" t="s">
        <v>47</v>
      </c>
      <c r="AL249" s="353" t="s">
        <v>47</v>
      </c>
      <c r="AM249" s="353" t="s">
        <v>47</v>
      </c>
      <c r="AN249" s="353" t="s">
        <v>47</v>
      </c>
      <c r="AO249" s="353" t="s">
        <v>47</v>
      </c>
      <c r="AP249" s="353" t="s">
        <v>47</v>
      </c>
      <c r="AQ249" s="353" t="s">
        <v>47</v>
      </c>
      <c r="AR249" s="353" t="s">
        <v>47</v>
      </c>
      <c r="AS249" s="353" t="s">
        <v>47</v>
      </c>
      <c r="AT249" s="353" t="s">
        <v>47</v>
      </c>
      <c r="AU249" s="353" t="s">
        <v>47</v>
      </c>
      <c r="AV249" s="353" t="s">
        <v>47</v>
      </c>
      <c r="AW249" s="1038" t="s">
        <v>47</v>
      </c>
      <c r="AX249" s="597" t="s">
        <v>47</v>
      </c>
      <c r="AY249" s="597" t="s">
        <v>47</v>
      </c>
      <c r="AZ249" s="597" t="s">
        <v>47</v>
      </c>
      <c r="BA249" s="597" t="s">
        <v>47</v>
      </c>
      <c r="BB249" s="597" t="s">
        <v>47</v>
      </c>
      <c r="BC249" s="597" t="s">
        <v>47</v>
      </c>
      <c r="BD249" s="597" t="s">
        <v>47</v>
      </c>
      <c r="BE249" s="597" t="s">
        <v>47</v>
      </c>
      <c r="BF249" s="597" t="s">
        <v>47</v>
      </c>
      <c r="BG249" s="597" t="s">
        <v>47</v>
      </c>
      <c r="BH249" s="597" t="s">
        <v>47</v>
      </c>
      <c r="BI249" s="597" t="s">
        <v>47</v>
      </c>
      <c r="BJ249" s="597" t="s">
        <v>47</v>
      </c>
      <c r="BK249" s="597" t="s">
        <v>47</v>
      </c>
      <c r="BL249" s="597" t="s">
        <v>47</v>
      </c>
      <c r="BM249" s="597" t="s">
        <v>47</v>
      </c>
      <c r="BN249" s="597" t="s">
        <v>47</v>
      </c>
      <c r="BO249" s="597" t="s">
        <v>47</v>
      </c>
      <c r="BP249" s="597" t="s">
        <v>47</v>
      </c>
      <c r="BQ249" s="597" t="s">
        <v>47</v>
      </c>
      <c r="BR249" s="597" t="s">
        <v>47</v>
      </c>
      <c r="BS249" s="597" t="s">
        <v>47</v>
      </c>
      <c r="BT249" s="597" t="s">
        <v>47</v>
      </c>
      <c r="BU249" s="597" t="s">
        <v>47</v>
      </c>
      <c r="BV249" s="597" t="s">
        <v>47</v>
      </c>
      <c r="BW249" s="597" t="s">
        <v>47</v>
      </c>
      <c r="BX249" s="597" t="s">
        <v>47</v>
      </c>
      <c r="BY249" s="597" t="s">
        <v>47</v>
      </c>
      <c r="BZ249" s="597" t="s">
        <v>47</v>
      </c>
      <c r="CA249" s="597" t="s">
        <v>47</v>
      </c>
      <c r="CB249" s="597" t="s">
        <v>47</v>
      </c>
      <c r="CC249" s="597" t="s">
        <v>47</v>
      </c>
      <c r="CD249" s="597" t="s">
        <v>47</v>
      </c>
      <c r="CE249" s="597" t="s">
        <v>47</v>
      </c>
      <c r="CF249" s="597" t="s">
        <v>47</v>
      </c>
      <c r="CG249" s="597" t="s">
        <v>47</v>
      </c>
      <c r="CH249" s="597" t="s">
        <v>47</v>
      </c>
      <c r="CI249" s="597" t="s">
        <v>47</v>
      </c>
      <c r="CJ249" s="597" t="s">
        <v>47</v>
      </c>
      <c r="CK249" s="597" t="s">
        <v>47</v>
      </c>
      <c r="CL249" s="597" t="s">
        <v>47</v>
      </c>
      <c r="CM249" s="597" t="s">
        <v>47</v>
      </c>
      <c r="CN249" s="597" t="s">
        <v>47</v>
      </c>
      <c r="CO249" s="597" t="s">
        <v>47</v>
      </c>
      <c r="CP249" s="597" t="s">
        <v>47</v>
      </c>
      <c r="CQ249" s="597" t="s">
        <v>47</v>
      </c>
      <c r="CR249" s="597" t="s">
        <v>47</v>
      </c>
      <c r="CS249" s="597" t="s">
        <v>47</v>
      </c>
      <c r="CT249" s="597" t="s">
        <v>47</v>
      </c>
      <c r="CU249" s="597" t="s">
        <v>47</v>
      </c>
      <c r="CV249" s="597" t="s">
        <v>47</v>
      </c>
      <c r="CW249" s="597" t="s">
        <v>47</v>
      </c>
      <c r="CX249" s="597" t="s">
        <v>47</v>
      </c>
      <c r="CY249" s="597" t="s">
        <v>47</v>
      </c>
      <c r="CZ249" s="597" t="s">
        <v>47</v>
      </c>
      <c r="DA249" s="597" t="s">
        <v>47</v>
      </c>
      <c r="DB249" s="597" t="s">
        <v>47</v>
      </c>
      <c r="DC249" s="597" t="s">
        <v>47</v>
      </c>
      <c r="DD249" s="597" t="s">
        <v>47</v>
      </c>
    </row>
    <row r="250" spans="1:108" x14ac:dyDescent="0.25">
      <c r="B250" s="117" t="s">
        <v>136</v>
      </c>
      <c r="C250" s="353" t="s">
        <v>47</v>
      </c>
      <c r="D250" s="353" t="s">
        <v>47</v>
      </c>
      <c r="E250" s="353" t="s">
        <v>47</v>
      </c>
      <c r="F250" s="353" t="s">
        <v>47</v>
      </c>
      <c r="G250" s="353" t="s">
        <v>47</v>
      </c>
      <c r="H250" s="353" t="s">
        <v>47</v>
      </c>
      <c r="I250" s="353" t="s">
        <v>47</v>
      </c>
      <c r="J250" s="353" t="s">
        <v>47</v>
      </c>
      <c r="K250" s="353" t="s">
        <v>47</v>
      </c>
      <c r="L250" s="353" t="s">
        <v>47</v>
      </c>
      <c r="M250" s="353" t="s">
        <v>47</v>
      </c>
      <c r="N250" s="353" t="s">
        <v>47</v>
      </c>
      <c r="O250" s="353" t="s">
        <v>47</v>
      </c>
      <c r="P250" s="353" t="s">
        <v>47</v>
      </c>
      <c r="Q250" s="353" t="s">
        <v>47</v>
      </c>
      <c r="R250" s="353" t="s">
        <v>47</v>
      </c>
      <c r="S250" s="353" t="s">
        <v>47</v>
      </c>
      <c r="T250" s="353" t="s">
        <v>47</v>
      </c>
      <c r="U250" s="353" t="s">
        <v>47</v>
      </c>
      <c r="V250" s="597" t="s">
        <v>47</v>
      </c>
      <c r="W250" s="597" t="s">
        <v>47</v>
      </c>
      <c r="X250" s="597" t="s">
        <v>47</v>
      </c>
      <c r="Y250" s="597" t="s">
        <v>47</v>
      </c>
      <c r="Z250" s="597" t="s">
        <v>47</v>
      </c>
      <c r="AA250" s="597" t="s">
        <v>47</v>
      </c>
      <c r="AB250" s="597" t="s">
        <v>47</v>
      </c>
      <c r="AC250" s="597" t="s">
        <v>47</v>
      </c>
      <c r="AD250" s="597" t="s">
        <v>47</v>
      </c>
      <c r="AE250" s="597" t="s">
        <v>47</v>
      </c>
      <c r="AF250" s="597" t="s">
        <v>47</v>
      </c>
      <c r="AG250" s="597" t="s">
        <v>47</v>
      </c>
      <c r="AH250" s="597" t="s">
        <v>47</v>
      </c>
      <c r="AI250" s="597" t="s">
        <v>47</v>
      </c>
      <c r="AJ250" s="597" t="s">
        <v>47</v>
      </c>
      <c r="AK250" s="597" t="s">
        <v>47</v>
      </c>
      <c r="AL250" s="597" t="s">
        <v>47</v>
      </c>
      <c r="AM250" s="597" t="s">
        <v>47</v>
      </c>
      <c r="AN250" s="597" t="s">
        <v>47</v>
      </c>
      <c r="AO250" s="597" t="s">
        <v>47</v>
      </c>
      <c r="AP250" s="597" t="s">
        <v>47</v>
      </c>
      <c r="AQ250" s="597" t="s">
        <v>47</v>
      </c>
      <c r="AR250" s="597" t="s">
        <v>47</v>
      </c>
      <c r="AS250" s="597" t="s">
        <v>47</v>
      </c>
      <c r="AT250" s="597" t="s">
        <v>47</v>
      </c>
      <c r="AU250" s="597" t="s">
        <v>47</v>
      </c>
      <c r="AV250" s="597" t="s">
        <v>47</v>
      </c>
      <c r="AW250" s="1038" t="s">
        <v>47</v>
      </c>
      <c r="AX250" s="597" t="s">
        <v>47</v>
      </c>
      <c r="AY250" s="597" t="s">
        <v>47</v>
      </c>
      <c r="AZ250" s="597" t="s">
        <v>47</v>
      </c>
      <c r="BA250" s="597" t="s">
        <v>47</v>
      </c>
      <c r="BB250" s="597" t="s">
        <v>47</v>
      </c>
      <c r="BC250" s="597" t="s">
        <v>47</v>
      </c>
      <c r="BD250" s="597" t="s">
        <v>47</v>
      </c>
      <c r="BE250" s="597" t="s">
        <v>47</v>
      </c>
      <c r="BF250" s="597" t="s">
        <v>47</v>
      </c>
      <c r="BG250" s="597" t="s">
        <v>47</v>
      </c>
      <c r="BH250" s="597" t="s">
        <v>47</v>
      </c>
      <c r="BI250" s="597" t="s">
        <v>47</v>
      </c>
      <c r="BJ250" s="597" t="s">
        <v>47</v>
      </c>
      <c r="BK250" s="597" t="s">
        <v>47</v>
      </c>
      <c r="BL250" s="597" t="s">
        <v>47</v>
      </c>
      <c r="BM250" s="597" t="s">
        <v>47</v>
      </c>
      <c r="BN250" s="597" t="s">
        <v>47</v>
      </c>
      <c r="BO250" s="597" t="s">
        <v>47</v>
      </c>
      <c r="BP250" s="597" t="s">
        <v>47</v>
      </c>
      <c r="BQ250" s="597" t="s">
        <v>47</v>
      </c>
      <c r="BR250" s="597" t="s">
        <v>47</v>
      </c>
      <c r="BS250" s="597" t="s">
        <v>47</v>
      </c>
      <c r="BT250" s="597" t="s">
        <v>47</v>
      </c>
      <c r="BU250" s="597" t="s">
        <v>47</v>
      </c>
      <c r="BV250" s="597" t="s">
        <v>47</v>
      </c>
      <c r="BW250" s="597" t="s">
        <v>47</v>
      </c>
      <c r="BX250" s="597" t="s">
        <v>47</v>
      </c>
      <c r="BY250" s="597" t="s">
        <v>47</v>
      </c>
      <c r="BZ250" s="597" t="s">
        <v>47</v>
      </c>
      <c r="CA250" s="597" t="s">
        <v>47</v>
      </c>
      <c r="CB250" s="597" t="s">
        <v>47</v>
      </c>
      <c r="CC250" s="597" t="s">
        <v>47</v>
      </c>
      <c r="CD250" s="597" t="s">
        <v>47</v>
      </c>
      <c r="CE250" s="597" t="s">
        <v>47</v>
      </c>
      <c r="CF250" s="597" t="s">
        <v>47</v>
      </c>
      <c r="CG250" s="597" t="s">
        <v>47</v>
      </c>
      <c r="CH250" s="597" t="s">
        <v>47</v>
      </c>
      <c r="CI250" s="597" t="s">
        <v>47</v>
      </c>
      <c r="CJ250" s="597" t="s">
        <v>47</v>
      </c>
      <c r="CK250" s="597" t="s">
        <v>47</v>
      </c>
      <c r="CL250" s="597" t="s">
        <v>47</v>
      </c>
      <c r="CM250" s="597" t="s">
        <v>47</v>
      </c>
      <c r="CN250" s="597" t="s">
        <v>47</v>
      </c>
      <c r="CO250" s="597">
        <v>33</v>
      </c>
      <c r="CP250" s="597">
        <v>33</v>
      </c>
      <c r="CQ250" s="597">
        <v>33</v>
      </c>
      <c r="CR250" s="597">
        <v>33</v>
      </c>
      <c r="CS250" s="597">
        <v>33</v>
      </c>
      <c r="CT250" s="597">
        <v>33</v>
      </c>
      <c r="CU250" s="597">
        <v>33</v>
      </c>
      <c r="CV250" s="597">
        <v>33</v>
      </c>
      <c r="CW250" s="597">
        <v>33</v>
      </c>
      <c r="CX250" s="597">
        <v>33</v>
      </c>
      <c r="CY250" s="597" t="s">
        <v>47</v>
      </c>
      <c r="CZ250" s="597" t="s">
        <v>47</v>
      </c>
      <c r="DA250" s="597" t="s">
        <v>47</v>
      </c>
      <c r="DB250" s="597" t="s">
        <v>47</v>
      </c>
      <c r="DC250" s="597" t="s">
        <v>47</v>
      </c>
      <c r="DD250" s="597" t="s">
        <v>47</v>
      </c>
    </row>
    <row r="251" spans="1:108" customFormat="1" ht="12.75" x14ac:dyDescent="0.2">
      <c r="B251" s="279" t="s">
        <v>381</v>
      </c>
      <c r="C251" s="280" t="str">
        <f t="shared" ref="C251:AH251" si="191">IFERROR(AVERAGE(C248:C250),"-")</f>
        <v>-</v>
      </c>
      <c r="D251" s="280" t="str">
        <f t="shared" si="191"/>
        <v>-</v>
      </c>
      <c r="E251" s="280" t="str">
        <f t="shared" si="191"/>
        <v>-</v>
      </c>
      <c r="F251" s="280" t="str">
        <f t="shared" si="191"/>
        <v>-</v>
      </c>
      <c r="G251" s="280" t="str">
        <f t="shared" si="191"/>
        <v>-</v>
      </c>
      <c r="H251" s="280" t="str">
        <f t="shared" si="191"/>
        <v>-</v>
      </c>
      <c r="I251" s="280" t="str">
        <f t="shared" si="191"/>
        <v>-</v>
      </c>
      <c r="J251" s="280" t="str">
        <f t="shared" si="191"/>
        <v>-</v>
      </c>
      <c r="K251" s="280" t="str">
        <f t="shared" si="191"/>
        <v>-</v>
      </c>
      <c r="L251" s="280" t="str">
        <f t="shared" si="191"/>
        <v>-</v>
      </c>
      <c r="M251" s="280" t="str">
        <f t="shared" si="191"/>
        <v>-</v>
      </c>
      <c r="N251" s="280" t="str">
        <f t="shared" si="191"/>
        <v>-</v>
      </c>
      <c r="O251" s="280" t="str">
        <f t="shared" si="191"/>
        <v>-</v>
      </c>
      <c r="P251" s="280" t="str">
        <f t="shared" si="191"/>
        <v>-</v>
      </c>
      <c r="Q251" s="280" t="str">
        <f t="shared" si="191"/>
        <v>-</v>
      </c>
      <c r="R251" s="280" t="str">
        <f t="shared" si="191"/>
        <v>-</v>
      </c>
      <c r="S251" s="280" t="str">
        <f t="shared" si="191"/>
        <v>-</v>
      </c>
      <c r="T251" s="280" t="str">
        <f t="shared" si="191"/>
        <v>-</v>
      </c>
      <c r="U251" s="280" t="str">
        <f t="shared" si="191"/>
        <v>-</v>
      </c>
      <c r="V251" s="280" t="str">
        <f t="shared" si="191"/>
        <v>-</v>
      </c>
      <c r="W251" s="280" t="str">
        <f t="shared" si="191"/>
        <v>-</v>
      </c>
      <c r="X251" s="280" t="str">
        <f t="shared" si="191"/>
        <v>-</v>
      </c>
      <c r="Y251" s="280" t="str">
        <f t="shared" si="191"/>
        <v>-</v>
      </c>
      <c r="Z251" s="280" t="str">
        <f t="shared" si="191"/>
        <v>-</v>
      </c>
      <c r="AA251" s="280" t="str">
        <f t="shared" si="191"/>
        <v>-</v>
      </c>
      <c r="AB251" s="280" t="str">
        <f t="shared" si="191"/>
        <v>-</v>
      </c>
      <c r="AC251" s="280" t="str">
        <f t="shared" si="191"/>
        <v>-</v>
      </c>
      <c r="AD251" s="280" t="str">
        <f t="shared" si="191"/>
        <v>-</v>
      </c>
      <c r="AE251" s="280" t="str">
        <f t="shared" si="191"/>
        <v>-</v>
      </c>
      <c r="AF251" s="280" t="str">
        <f t="shared" si="191"/>
        <v>-</v>
      </c>
      <c r="AG251" s="280" t="str">
        <f t="shared" si="191"/>
        <v>-</v>
      </c>
      <c r="AH251" s="280" t="str">
        <f t="shared" si="191"/>
        <v>-</v>
      </c>
      <c r="AI251" s="280" t="str">
        <f t="shared" ref="AI251:BN251" si="192">IFERROR(AVERAGE(AI248:AI250),"-")</f>
        <v>-</v>
      </c>
      <c r="AJ251" s="280" t="str">
        <f t="shared" si="192"/>
        <v>-</v>
      </c>
      <c r="AK251" s="280" t="str">
        <f t="shared" si="192"/>
        <v>-</v>
      </c>
      <c r="AL251" s="280" t="str">
        <f t="shared" si="192"/>
        <v>-</v>
      </c>
      <c r="AM251" s="280" t="str">
        <f t="shared" si="192"/>
        <v>-</v>
      </c>
      <c r="AN251" s="280" t="str">
        <f t="shared" si="192"/>
        <v>-</v>
      </c>
      <c r="AO251" s="280" t="str">
        <f t="shared" si="192"/>
        <v>-</v>
      </c>
      <c r="AP251" s="280" t="str">
        <f t="shared" si="192"/>
        <v>-</v>
      </c>
      <c r="AQ251" s="280" t="str">
        <f t="shared" si="192"/>
        <v>-</v>
      </c>
      <c r="AR251" s="280" t="str">
        <f t="shared" si="192"/>
        <v>-</v>
      </c>
      <c r="AS251" s="280" t="str">
        <f t="shared" si="192"/>
        <v>-</v>
      </c>
      <c r="AT251" s="280" t="str">
        <f t="shared" si="192"/>
        <v>-</v>
      </c>
      <c r="AU251" s="280" t="str">
        <f t="shared" si="192"/>
        <v>-</v>
      </c>
      <c r="AV251" s="280" t="str">
        <f t="shared" si="192"/>
        <v>-</v>
      </c>
      <c r="AW251" s="280" t="str">
        <f t="shared" si="192"/>
        <v>-</v>
      </c>
      <c r="AX251" s="280" t="str">
        <f t="shared" si="192"/>
        <v>-</v>
      </c>
      <c r="AY251" s="280" t="str">
        <f t="shared" si="192"/>
        <v>-</v>
      </c>
      <c r="AZ251" s="280" t="str">
        <f t="shared" si="192"/>
        <v>-</v>
      </c>
      <c r="BA251" s="280" t="str">
        <f t="shared" si="192"/>
        <v>-</v>
      </c>
      <c r="BB251" s="280" t="str">
        <f t="shared" si="192"/>
        <v>-</v>
      </c>
      <c r="BC251" s="280" t="str">
        <f t="shared" si="192"/>
        <v>-</v>
      </c>
      <c r="BD251" s="280" t="str">
        <f t="shared" si="192"/>
        <v>-</v>
      </c>
      <c r="BE251" s="280" t="str">
        <f t="shared" si="192"/>
        <v>-</v>
      </c>
      <c r="BF251" s="280" t="str">
        <f t="shared" si="192"/>
        <v>-</v>
      </c>
      <c r="BG251" s="280" t="str">
        <f t="shared" si="192"/>
        <v>-</v>
      </c>
      <c r="BH251" s="280" t="str">
        <f t="shared" si="192"/>
        <v>-</v>
      </c>
      <c r="BI251" s="280" t="str">
        <f t="shared" si="192"/>
        <v>-</v>
      </c>
      <c r="BJ251" s="280" t="str">
        <f t="shared" si="192"/>
        <v>-</v>
      </c>
      <c r="BK251" s="280" t="str">
        <f t="shared" si="192"/>
        <v>-</v>
      </c>
      <c r="BL251" s="280" t="str">
        <f t="shared" si="192"/>
        <v>-</v>
      </c>
      <c r="BM251" s="280" t="str">
        <f t="shared" si="192"/>
        <v>-</v>
      </c>
      <c r="BN251" s="280" t="str">
        <f t="shared" si="192"/>
        <v>-</v>
      </c>
      <c r="BO251" s="280" t="str">
        <f t="shared" ref="BO251:CO251" si="193">IFERROR(AVERAGE(BO248:BO250),"-")</f>
        <v>-</v>
      </c>
      <c r="BP251" s="280" t="str">
        <f t="shared" si="193"/>
        <v>-</v>
      </c>
      <c r="BQ251" s="280" t="str">
        <f t="shared" si="193"/>
        <v>-</v>
      </c>
      <c r="BR251" s="280" t="str">
        <f t="shared" si="193"/>
        <v>-</v>
      </c>
      <c r="BS251" s="280" t="str">
        <f t="shared" si="193"/>
        <v>-</v>
      </c>
      <c r="BT251" s="280" t="str">
        <f t="shared" si="193"/>
        <v>-</v>
      </c>
      <c r="BU251" s="280" t="str">
        <f t="shared" si="193"/>
        <v>-</v>
      </c>
      <c r="BV251" s="280" t="str">
        <f t="shared" si="193"/>
        <v>-</v>
      </c>
      <c r="BW251" s="280" t="str">
        <f t="shared" si="193"/>
        <v>-</v>
      </c>
      <c r="BX251" s="280" t="str">
        <f t="shared" si="193"/>
        <v>-</v>
      </c>
      <c r="BY251" s="280" t="str">
        <f t="shared" si="193"/>
        <v>-</v>
      </c>
      <c r="BZ251" s="830" t="str">
        <f t="shared" si="193"/>
        <v>-</v>
      </c>
      <c r="CA251" s="830" t="str">
        <f t="shared" si="193"/>
        <v>-</v>
      </c>
      <c r="CB251" s="830" t="str">
        <f t="shared" si="193"/>
        <v>-</v>
      </c>
      <c r="CC251" s="830" t="str">
        <f t="shared" si="193"/>
        <v>-</v>
      </c>
      <c r="CD251" s="830" t="str">
        <f t="shared" si="193"/>
        <v>-</v>
      </c>
      <c r="CE251" s="830" t="str">
        <f t="shared" si="193"/>
        <v>-</v>
      </c>
      <c r="CF251" s="830" t="str">
        <f t="shared" si="193"/>
        <v>-</v>
      </c>
      <c r="CG251" s="830" t="str">
        <f t="shared" si="193"/>
        <v>-</v>
      </c>
      <c r="CH251" s="830" t="str">
        <f t="shared" si="193"/>
        <v>-</v>
      </c>
      <c r="CI251" s="830" t="str">
        <f t="shared" si="193"/>
        <v>-</v>
      </c>
      <c r="CJ251" s="830" t="str">
        <f t="shared" si="193"/>
        <v>-</v>
      </c>
      <c r="CK251" s="830" t="str">
        <f t="shared" si="193"/>
        <v>-</v>
      </c>
      <c r="CL251" s="830" t="str">
        <f t="shared" si="193"/>
        <v>-</v>
      </c>
      <c r="CM251" s="830" t="str">
        <f t="shared" si="193"/>
        <v>-</v>
      </c>
      <c r="CN251" s="830" t="str">
        <f t="shared" si="193"/>
        <v>-</v>
      </c>
      <c r="CO251" s="830">
        <f t="shared" si="193"/>
        <v>33</v>
      </c>
      <c r="CP251" s="830">
        <f t="shared" ref="CP251:CV251" si="194">IFERROR(AVERAGE(CP248:CP250),"-")</f>
        <v>32</v>
      </c>
      <c r="CQ251" s="830">
        <f t="shared" si="194"/>
        <v>32</v>
      </c>
      <c r="CR251" s="830">
        <f t="shared" si="194"/>
        <v>32</v>
      </c>
      <c r="CS251" s="830">
        <f t="shared" si="194"/>
        <v>32</v>
      </c>
      <c r="CT251" s="830">
        <f t="shared" si="194"/>
        <v>32</v>
      </c>
      <c r="CU251" s="830">
        <f t="shared" si="194"/>
        <v>32</v>
      </c>
      <c r="CV251" s="830">
        <f t="shared" si="194"/>
        <v>32</v>
      </c>
      <c r="CW251" s="830">
        <f t="shared" ref="CW251:DB251" si="195">IFERROR(AVERAGE(CW248:CW250),"-")</f>
        <v>32</v>
      </c>
      <c r="CX251" s="830">
        <f t="shared" si="195"/>
        <v>32</v>
      </c>
      <c r="CY251" s="830">
        <f t="shared" si="195"/>
        <v>31</v>
      </c>
      <c r="CZ251" s="830">
        <f t="shared" si="195"/>
        <v>31</v>
      </c>
      <c r="DA251" s="830">
        <f t="shared" si="195"/>
        <v>31</v>
      </c>
      <c r="DB251" s="830">
        <f t="shared" si="195"/>
        <v>31</v>
      </c>
      <c r="DC251" s="830">
        <f t="shared" ref="DC251:DD251" si="196">IFERROR(AVERAGE(DC248:DC250),"-")</f>
        <v>31</v>
      </c>
      <c r="DD251" s="830">
        <f t="shared" si="196"/>
        <v>31</v>
      </c>
    </row>
    <row r="252" spans="1:108" x14ac:dyDescent="0.25">
      <c r="X252" s="341"/>
      <c r="Y252" s="341"/>
      <c r="Z252" s="341"/>
      <c r="AA252" s="341"/>
      <c r="AB252" s="341"/>
      <c r="AC252" s="341"/>
      <c r="AD252" s="341"/>
      <c r="AE252" s="341"/>
      <c r="AF252" s="341"/>
      <c r="AG252" s="341"/>
      <c r="AH252" s="341"/>
      <c r="AI252" s="341"/>
      <c r="AJ252" s="341"/>
      <c r="AK252" s="341"/>
      <c r="AL252" s="341"/>
      <c r="AM252" s="341"/>
      <c r="AN252" s="341"/>
      <c r="AO252" s="341"/>
      <c r="AP252" s="341"/>
      <c r="AQ252" s="341"/>
      <c r="AR252" s="341"/>
      <c r="AS252" s="341"/>
      <c r="AT252" s="787"/>
      <c r="CO252"/>
      <c r="CP252"/>
      <c r="CQ252"/>
      <c r="CR252"/>
      <c r="CS252"/>
      <c r="CT252"/>
      <c r="CU252"/>
      <c r="CV252"/>
      <c r="CW252"/>
      <c r="CX252"/>
      <c r="CY252"/>
      <c r="CZ252"/>
      <c r="DA252"/>
      <c r="DB252"/>
      <c r="DC252"/>
      <c r="DD252"/>
    </row>
    <row r="253" spans="1:108" x14ac:dyDescent="0.25">
      <c r="B253" s="113" t="s">
        <v>1211</v>
      </c>
      <c r="C253" s="264">
        <f>C$4</f>
        <v>42522</v>
      </c>
      <c r="D253" s="264">
        <f t="shared" ref="D253:BO253" si="197">D$4</f>
        <v>42552</v>
      </c>
      <c r="E253" s="264">
        <f t="shared" si="197"/>
        <v>42583</v>
      </c>
      <c r="F253" s="264">
        <f t="shared" si="197"/>
        <v>42614</v>
      </c>
      <c r="G253" s="264">
        <f t="shared" si="197"/>
        <v>42644</v>
      </c>
      <c r="H253" s="264">
        <f t="shared" si="197"/>
        <v>42675</v>
      </c>
      <c r="I253" s="264">
        <f t="shared" si="197"/>
        <v>42705</v>
      </c>
      <c r="J253" s="264">
        <f t="shared" si="197"/>
        <v>42736</v>
      </c>
      <c r="K253" s="264">
        <f t="shared" si="197"/>
        <v>42767</v>
      </c>
      <c r="L253" s="264">
        <f t="shared" si="197"/>
        <v>42795</v>
      </c>
      <c r="M253" s="264">
        <f t="shared" si="197"/>
        <v>42826</v>
      </c>
      <c r="N253" s="264">
        <f t="shared" si="197"/>
        <v>42856</v>
      </c>
      <c r="O253" s="264">
        <f t="shared" si="197"/>
        <v>42887</v>
      </c>
      <c r="P253" s="264">
        <f t="shared" si="197"/>
        <v>42917</v>
      </c>
      <c r="Q253" s="264">
        <f t="shared" si="197"/>
        <v>42948</v>
      </c>
      <c r="R253" s="264">
        <f t="shared" si="197"/>
        <v>42979</v>
      </c>
      <c r="S253" s="264">
        <f t="shared" si="197"/>
        <v>43009</v>
      </c>
      <c r="T253" s="264">
        <f t="shared" si="197"/>
        <v>43040</v>
      </c>
      <c r="U253" s="264">
        <f t="shared" si="197"/>
        <v>43070</v>
      </c>
      <c r="V253" s="264">
        <f t="shared" si="197"/>
        <v>43101</v>
      </c>
      <c r="W253" s="264">
        <f t="shared" si="197"/>
        <v>43132</v>
      </c>
      <c r="X253" s="264">
        <f t="shared" si="197"/>
        <v>43160</v>
      </c>
      <c r="Y253" s="264">
        <f t="shared" si="197"/>
        <v>43191</v>
      </c>
      <c r="Z253" s="264">
        <f t="shared" si="197"/>
        <v>43221</v>
      </c>
      <c r="AA253" s="264">
        <f t="shared" si="197"/>
        <v>43252</v>
      </c>
      <c r="AB253" s="264">
        <f t="shared" si="197"/>
        <v>43283</v>
      </c>
      <c r="AC253" s="264">
        <f t="shared" si="197"/>
        <v>43314</v>
      </c>
      <c r="AD253" s="264">
        <f t="shared" si="197"/>
        <v>43345</v>
      </c>
      <c r="AE253" s="264">
        <f t="shared" si="197"/>
        <v>43376</v>
      </c>
      <c r="AF253" s="264">
        <f t="shared" si="197"/>
        <v>43407</v>
      </c>
      <c r="AG253" s="264">
        <f t="shared" si="197"/>
        <v>43437</v>
      </c>
      <c r="AH253" s="264">
        <f t="shared" si="197"/>
        <v>43468</v>
      </c>
      <c r="AI253" s="264">
        <f t="shared" si="197"/>
        <v>43499</v>
      </c>
      <c r="AJ253" s="264">
        <f t="shared" si="197"/>
        <v>43527</v>
      </c>
      <c r="AK253" s="264">
        <f t="shared" si="197"/>
        <v>43558</v>
      </c>
      <c r="AL253" s="264">
        <f t="shared" si="197"/>
        <v>43587</v>
      </c>
      <c r="AM253" s="264">
        <f t="shared" si="197"/>
        <v>43618</v>
      </c>
      <c r="AN253" s="264">
        <f t="shared" si="197"/>
        <v>43647</v>
      </c>
      <c r="AO253" s="264">
        <f t="shared" si="197"/>
        <v>43678</v>
      </c>
      <c r="AP253" s="264">
        <f t="shared" si="197"/>
        <v>43709</v>
      </c>
      <c r="AQ253" s="264">
        <f t="shared" si="197"/>
        <v>43739</v>
      </c>
      <c r="AR253" s="264">
        <f t="shared" si="197"/>
        <v>43770</v>
      </c>
      <c r="AS253" s="264">
        <f t="shared" si="197"/>
        <v>43800</v>
      </c>
      <c r="AT253" s="264">
        <f t="shared" si="197"/>
        <v>43831</v>
      </c>
      <c r="AU253" s="264">
        <f t="shared" si="197"/>
        <v>43862</v>
      </c>
      <c r="AV253" s="264">
        <f t="shared" si="197"/>
        <v>43891</v>
      </c>
      <c r="AW253" s="264">
        <f t="shared" si="197"/>
        <v>43922</v>
      </c>
      <c r="AX253" s="264">
        <f t="shared" si="197"/>
        <v>43952</v>
      </c>
      <c r="AY253" s="264">
        <f t="shared" si="197"/>
        <v>43983</v>
      </c>
      <c r="AZ253" s="264">
        <f t="shared" si="197"/>
        <v>44013</v>
      </c>
      <c r="BA253" s="264">
        <f t="shared" si="197"/>
        <v>44044</v>
      </c>
      <c r="BB253" s="264">
        <f t="shared" si="197"/>
        <v>44075</v>
      </c>
      <c r="BC253" s="264">
        <f t="shared" si="197"/>
        <v>44105</v>
      </c>
      <c r="BD253" s="264">
        <f t="shared" si="197"/>
        <v>44136</v>
      </c>
      <c r="BE253" s="264">
        <f t="shared" si="197"/>
        <v>44166</v>
      </c>
      <c r="BF253" s="264">
        <f t="shared" si="197"/>
        <v>44197</v>
      </c>
      <c r="BG253" s="264">
        <f t="shared" si="197"/>
        <v>44228</v>
      </c>
      <c r="BH253" s="264">
        <f t="shared" si="197"/>
        <v>44256</v>
      </c>
      <c r="BI253" s="264">
        <f t="shared" si="197"/>
        <v>44287</v>
      </c>
      <c r="BJ253" s="264">
        <f t="shared" si="197"/>
        <v>44317</v>
      </c>
      <c r="BK253" s="264">
        <f t="shared" si="197"/>
        <v>44348</v>
      </c>
      <c r="BL253" s="264">
        <f t="shared" si="197"/>
        <v>44378</v>
      </c>
      <c r="BM253" s="264">
        <f t="shared" si="197"/>
        <v>44409</v>
      </c>
      <c r="BN253" s="264">
        <f t="shared" si="197"/>
        <v>44440</v>
      </c>
      <c r="BO253" s="264">
        <f t="shared" si="197"/>
        <v>44470</v>
      </c>
      <c r="BP253" s="264">
        <f t="shared" ref="BP253:CN253" si="198">BP$4</f>
        <v>44501</v>
      </c>
      <c r="BQ253" s="264">
        <f t="shared" si="198"/>
        <v>44531</v>
      </c>
      <c r="BR253" s="264">
        <f t="shared" si="198"/>
        <v>44562</v>
      </c>
      <c r="BS253" s="264">
        <f t="shared" si="198"/>
        <v>44593</v>
      </c>
      <c r="BT253" s="264">
        <f t="shared" si="198"/>
        <v>44622</v>
      </c>
      <c r="BU253" s="264">
        <f t="shared" si="198"/>
        <v>44654</v>
      </c>
      <c r="BV253" s="264">
        <f t="shared" si="198"/>
        <v>44685</v>
      </c>
      <c r="BW253" s="264">
        <f t="shared" si="198"/>
        <v>44716</v>
      </c>
      <c r="BX253" s="264">
        <f t="shared" si="198"/>
        <v>44746</v>
      </c>
      <c r="BY253" s="264">
        <f t="shared" si="198"/>
        <v>44774</v>
      </c>
      <c r="BZ253" s="264">
        <f t="shared" si="198"/>
        <v>44805</v>
      </c>
      <c r="CA253" s="264">
        <f t="shared" si="198"/>
        <v>44835</v>
      </c>
      <c r="CB253" s="264">
        <f t="shared" si="198"/>
        <v>44866</v>
      </c>
      <c r="CC253" s="264">
        <f t="shared" si="198"/>
        <v>44896</v>
      </c>
      <c r="CD253" s="264">
        <f t="shared" si="198"/>
        <v>44927</v>
      </c>
      <c r="CE253" s="264">
        <f t="shared" si="198"/>
        <v>44958</v>
      </c>
      <c r="CF253" s="264">
        <f t="shared" si="198"/>
        <v>44986</v>
      </c>
      <c r="CG253" s="264">
        <f t="shared" si="198"/>
        <v>45017</v>
      </c>
      <c r="CH253" s="264">
        <f t="shared" si="198"/>
        <v>45047</v>
      </c>
      <c r="CI253" s="264">
        <f t="shared" si="198"/>
        <v>45078</v>
      </c>
      <c r="CJ253" s="264">
        <f t="shared" si="198"/>
        <v>45108</v>
      </c>
      <c r="CK253" s="264">
        <f t="shared" si="198"/>
        <v>45139</v>
      </c>
      <c r="CL253" s="264">
        <f t="shared" si="198"/>
        <v>45170</v>
      </c>
      <c r="CM253" s="264">
        <f t="shared" si="198"/>
        <v>45200</v>
      </c>
      <c r="CN253" s="264">
        <f t="shared" si="198"/>
        <v>45231</v>
      </c>
      <c r="CO253"/>
      <c r="CP253"/>
      <c r="CQ253"/>
      <c r="CR253"/>
      <c r="CS253"/>
      <c r="CT253"/>
      <c r="CU253"/>
      <c r="CV253"/>
      <c r="CW253"/>
      <c r="CX253"/>
      <c r="CY253"/>
      <c r="CZ253"/>
      <c r="DA253"/>
      <c r="DB253"/>
      <c r="DC253"/>
      <c r="DD253"/>
    </row>
    <row r="254" spans="1:108" x14ac:dyDescent="0.25">
      <c r="B254" s="117" t="s">
        <v>131</v>
      </c>
      <c r="C254" s="346" t="s">
        <v>47</v>
      </c>
      <c r="D254" s="346" t="s">
        <v>47</v>
      </c>
      <c r="E254" s="346" t="s">
        <v>47</v>
      </c>
      <c r="F254" s="346" t="s">
        <v>47</v>
      </c>
      <c r="G254" s="346" t="s">
        <v>47</v>
      </c>
      <c r="H254" s="346" t="s">
        <v>47</v>
      </c>
      <c r="I254" s="346" t="s">
        <v>47</v>
      </c>
      <c r="J254" s="346" t="s">
        <v>47</v>
      </c>
      <c r="K254" s="346" t="s">
        <v>47</v>
      </c>
      <c r="L254" s="346" t="s">
        <v>47</v>
      </c>
      <c r="M254" s="346" t="s">
        <v>47</v>
      </c>
      <c r="N254" s="346" t="s">
        <v>47</v>
      </c>
      <c r="O254" s="346" t="s">
        <v>47</v>
      </c>
      <c r="P254" s="346" t="s">
        <v>47</v>
      </c>
      <c r="Q254" s="346" t="s">
        <v>47</v>
      </c>
      <c r="R254" s="346" t="s">
        <v>47</v>
      </c>
      <c r="S254" s="346" t="s">
        <v>47</v>
      </c>
      <c r="T254" s="346" t="s">
        <v>47</v>
      </c>
      <c r="U254" s="964" t="s">
        <v>47</v>
      </c>
      <c r="V254" s="964" t="s">
        <v>47</v>
      </c>
      <c r="W254" s="964" t="s">
        <v>47</v>
      </c>
      <c r="X254" s="964" t="s">
        <v>47</v>
      </c>
      <c r="Y254" s="964" t="s">
        <v>47</v>
      </c>
      <c r="Z254" s="964" t="s">
        <v>47</v>
      </c>
      <c r="AA254" s="964" t="s">
        <v>47</v>
      </c>
      <c r="AB254" s="964" t="s">
        <v>47</v>
      </c>
      <c r="AC254" s="964" t="s">
        <v>47</v>
      </c>
      <c r="AD254" s="964" t="s">
        <v>47</v>
      </c>
      <c r="AE254" s="964" t="s">
        <v>47</v>
      </c>
      <c r="AF254" s="964" t="s">
        <v>47</v>
      </c>
      <c r="AG254" s="964" t="s">
        <v>47</v>
      </c>
      <c r="AH254" s="964" t="s">
        <v>47</v>
      </c>
      <c r="AI254" s="964" t="s">
        <v>47</v>
      </c>
      <c r="AJ254" s="964" t="s">
        <v>47</v>
      </c>
      <c r="AK254" s="964" t="s">
        <v>47</v>
      </c>
      <c r="AL254" s="964" t="s">
        <v>47</v>
      </c>
      <c r="AM254" s="964" t="s">
        <v>47</v>
      </c>
      <c r="AN254" s="964" t="s">
        <v>47</v>
      </c>
      <c r="AO254" s="964" t="s">
        <v>47</v>
      </c>
      <c r="AP254" s="964" t="s">
        <v>47</v>
      </c>
      <c r="AQ254" s="964" t="s">
        <v>47</v>
      </c>
      <c r="AR254" s="964" t="s">
        <v>47</v>
      </c>
      <c r="AS254" s="964" t="s">
        <v>47</v>
      </c>
      <c r="AT254" s="964" t="s">
        <v>47</v>
      </c>
      <c r="AU254" s="964" t="s">
        <v>47</v>
      </c>
      <c r="AV254" s="964" t="s">
        <v>47</v>
      </c>
      <c r="AW254" s="965" t="s">
        <v>47</v>
      </c>
      <c r="AX254" s="964" t="s">
        <v>47</v>
      </c>
      <c r="AY254" s="964" t="s">
        <v>47</v>
      </c>
      <c r="AZ254" s="964" t="s">
        <v>47</v>
      </c>
      <c r="BA254" s="964" t="s">
        <v>47</v>
      </c>
      <c r="BB254" s="964" t="s">
        <v>47</v>
      </c>
      <c r="BC254" s="964" t="s">
        <v>47</v>
      </c>
      <c r="BD254" s="964" t="s">
        <v>47</v>
      </c>
      <c r="BE254" s="964" t="s">
        <v>47</v>
      </c>
      <c r="BF254" s="964" t="s">
        <v>47</v>
      </c>
      <c r="BG254" s="964" t="s">
        <v>47</v>
      </c>
      <c r="BH254" s="964" t="s">
        <v>47</v>
      </c>
      <c r="BI254" s="964" t="s">
        <v>47</v>
      </c>
      <c r="BJ254" s="964" t="s">
        <v>47</v>
      </c>
      <c r="BK254" s="964" t="s">
        <v>47</v>
      </c>
      <c r="BL254" s="964" t="s">
        <v>47</v>
      </c>
      <c r="BM254" s="964" t="s">
        <v>47</v>
      </c>
      <c r="BN254" s="597" t="s">
        <v>47</v>
      </c>
      <c r="BO254" s="597" t="s">
        <v>47</v>
      </c>
      <c r="BP254" s="597" t="s">
        <v>47</v>
      </c>
      <c r="BQ254" s="597" t="s">
        <v>47</v>
      </c>
      <c r="BR254" s="597" t="s">
        <v>47</v>
      </c>
      <c r="BS254" s="597" t="s">
        <v>47</v>
      </c>
      <c r="BT254" s="597" t="s">
        <v>47</v>
      </c>
      <c r="BU254" s="597" t="s">
        <v>47</v>
      </c>
      <c r="BV254" s="597" t="s">
        <v>47</v>
      </c>
      <c r="BW254" s="597" t="s">
        <v>47</v>
      </c>
      <c r="BX254" s="597" t="s">
        <v>47</v>
      </c>
      <c r="BY254" s="597" t="s">
        <v>47</v>
      </c>
      <c r="BZ254" s="597" t="s">
        <v>47</v>
      </c>
      <c r="CA254" s="597" t="s">
        <v>47</v>
      </c>
      <c r="CB254" s="597" t="s">
        <v>47</v>
      </c>
      <c r="CC254" s="597">
        <v>25</v>
      </c>
      <c r="CD254" s="597">
        <v>25</v>
      </c>
      <c r="CE254" s="597">
        <v>25</v>
      </c>
      <c r="CF254" s="597">
        <v>25</v>
      </c>
      <c r="CG254" s="597">
        <v>25</v>
      </c>
      <c r="CH254" s="597">
        <v>25</v>
      </c>
      <c r="CI254" s="597">
        <v>25</v>
      </c>
      <c r="CJ254" s="597">
        <v>25</v>
      </c>
      <c r="CK254" s="597">
        <v>25</v>
      </c>
      <c r="CL254" s="597">
        <v>25</v>
      </c>
      <c r="CM254" s="597">
        <v>25</v>
      </c>
      <c r="CN254" s="597">
        <v>25</v>
      </c>
      <c r="CO254"/>
      <c r="CP254"/>
      <c r="CQ254"/>
      <c r="CR254"/>
      <c r="CS254"/>
      <c r="CT254"/>
      <c r="CU254"/>
      <c r="CV254"/>
      <c r="CW254"/>
      <c r="CX254"/>
      <c r="CY254"/>
      <c r="CZ254"/>
      <c r="DA254"/>
      <c r="DB254"/>
      <c r="DC254"/>
      <c r="DD254"/>
    </row>
    <row r="255" spans="1:108" x14ac:dyDescent="0.25">
      <c r="B255" s="117" t="s">
        <v>135</v>
      </c>
      <c r="C255" s="353" t="s">
        <v>47</v>
      </c>
      <c r="D255" s="353" t="s">
        <v>47</v>
      </c>
      <c r="E255" s="353" t="s">
        <v>47</v>
      </c>
      <c r="F255" s="353" t="s">
        <v>47</v>
      </c>
      <c r="G255" s="353" t="s">
        <v>47</v>
      </c>
      <c r="H255" s="353" t="s">
        <v>47</v>
      </c>
      <c r="I255" s="353" t="s">
        <v>47</v>
      </c>
      <c r="J255" s="353" t="s">
        <v>47</v>
      </c>
      <c r="K255" s="353" t="s">
        <v>47</v>
      </c>
      <c r="L255" s="353" t="s">
        <v>47</v>
      </c>
      <c r="M255" s="353" t="s">
        <v>47</v>
      </c>
      <c r="N255" s="353" t="s">
        <v>47</v>
      </c>
      <c r="O255" s="353" t="s">
        <v>47</v>
      </c>
      <c r="P255" s="353" t="s">
        <v>47</v>
      </c>
      <c r="Q255" s="353" t="s">
        <v>47</v>
      </c>
      <c r="R255" s="353" t="s">
        <v>47</v>
      </c>
      <c r="S255" s="353" t="s">
        <v>47</v>
      </c>
      <c r="T255" s="353" t="s">
        <v>47</v>
      </c>
      <c r="U255" s="353" t="s">
        <v>47</v>
      </c>
      <c r="V255" s="353" t="s">
        <v>47</v>
      </c>
      <c r="W255" s="353" t="s">
        <v>47</v>
      </c>
      <c r="X255" s="353" t="s">
        <v>47</v>
      </c>
      <c r="Y255" s="353" t="s">
        <v>47</v>
      </c>
      <c r="Z255" s="597" t="s">
        <v>47</v>
      </c>
      <c r="AA255" s="353" t="s">
        <v>47</v>
      </c>
      <c r="AB255" s="353" t="s">
        <v>47</v>
      </c>
      <c r="AC255" s="353" t="s">
        <v>47</v>
      </c>
      <c r="AD255" s="353" t="s">
        <v>47</v>
      </c>
      <c r="AE255" s="353" t="s">
        <v>47</v>
      </c>
      <c r="AF255" s="353" t="s">
        <v>47</v>
      </c>
      <c r="AG255" s="353" t="s">
        <v>47</v>
      </c>
      <c r="AH255" s="353" t="s">
        <v>47</v>
      </c>
      <c r="AI255" s="353" t="s">
        <v>47</v>
      </c>
      <c r="AJ255" s="353" t="s">
        <v>47</v>
      </c>
      <c r="AK255" s="353" t="s">
        <v>47</v>
      </c>
      <c r="AL255" s="353" t="s">
        <v>47</v>
      </c>
      <c r="AM255" s="353" t="s">
        <v>47</v>
      </c>
      <c r="AN255" s="353" t="s">
        <v>47</v>
      </c>
      <c r="AO255" s="353" t="s">
        <v>47</v>
      </c>
      <c r="AP255" s="353" t="s">
        <v>47</v>
      </c>
      <c r="AQ255" s="353" t="s">
        <v>47</v>
      </c>
      <c r="AR255" s="353" t="s">
        <v>47</v>
      </c>
      <c r="AS255" s="353" t="s">
        <v>47</v>
      </c>
      <c r="AT255" s="353" t="s">
        <v>47</v>
      </c>
      <c r="AU255" s="353" t="s">
        <v>47</v>
      </c>
      <c r="AV255" s="353" t="s">
        <v>47</v>
      </c>
      <c r="AW255" s="1038" t="s">
        <v>47</v>
      </c>
      <c r="AX255" s="597" t="s">
        <v>47</v>
      </c>
      <c r="AY255" s="597" t="s">
        <v>47</v>
      </c>
      <c r="AZ255" s="597" t="s">
        <v>47</v>
      </c>
      <c r="BA255" s="597" t="s">
        <v>47</v>
      </c>
      <c r="BB255" s="597" t="s">
        <v>47</v>
      </c>
      <c r="BC255" s="597" t="s">
        <v>47</v>
      </c>
      <c r="BD255" s="597" t="s">
        <v>47</v>
      </c>
      <c r="BE255" s="597" t="s">
        <v>47</v>
      </c>
      <c r="BF255" s="597" t="s">
        <v>47</v>
      </c>
      <c r="BG255" s="597" t="s">
        <v>47</v>
      </c>
      <c r="BH255" s="597" t="s">
        <v>47</v>
      </c>
      <c r="BI255" s="597" t="s">
        <v>47</v>
      </c>
      <c r="BJ255" s="597" t="s">
        <v>47</v>
      </c>
      <c r="BK255" s="597" t="s">
        <v>47</v>
      </c>
      <c r="BL255" s="597" t="s">
        <v>47</v>
      </c>
      <c r="BM255" s="597" t="s">
        <v>47</v>
      </c>
      <c r="BN255" s="597" t="s">
        <v>47</v>
      </c>
      <c r="BO255" s="597" t="s">
        <v>47</v>
      </c>
      <c r="BP255" s="597" t="s">
        <v>47</v>
      </c>
      <c r="BQ255" s="597" t="s">
        <v>47</v>
      </c>
      <c r="BR255" s="597" t="s">
        <v>47</v>
      </c>
      <c r="BS255" s="597" t="s">
        <v>47</v>
      </c>
      <c r="BT255" s="597" t="s">
        <v>47</v>
      </c>
      <c r="BU255" s="597" t="s">
        <v>47</v>
      </c>
      <c r="BV255" s="597" t="s">
        <v>47</v>
      </c>
      <c r="BW255" s="597" t="s">
        <v>47</v>
      </c>
      <c r="BX255" s="597" t="s">
        <v>47</v>
      </c>
      <c r="BY255" s="597">
        <v>23</v>
      </c>
      <c r="BZ255" s="597">
        <v>23</v>
      </c>
      <c r="CA255" s="597">
        <v>23</v>
      </c>
      <c r="CB255" s="597">
        <v>23</v>
      </c>
      <c r="CC255" s="597">
        <v>23</v>
      </c>
      <c r="CD255" s="597">
        <v>23</v>
      </c>
      <c r="CE255" s="597">
        <v>23</v>
      </c>
      <c r="CF255" s="597">
        <v>23</v>
      </c>
      <c r="CG255" s="597">
        <v>23</v>
      </c>
      <c r="CH255" s="597">
        <v>23</v>
      </c>
      <c r="CI255" s="597">
        <v>23</v>
      </c>
      <c r="CJ255" s="597">
        <v>23</v>
      </c>
      <c r="CK255" s="597">
        <v>23</v>
      </c>
      <c r="CL255" s="597">
        <v>23</v>
      </c>
      <c r="CM255" s="597">
        <v>23</v>
      </c>
      <c r="CN255" s="597">
        <v>23</v>
      </c>
      <c r="CO255"/>
      <c r="CP255"/>
      <c r="CQ255"/>
      <c r="CR255"/>
      <c r="CS255"/>
      <c r="CT255"/>
      <c r="CU255"/>
      <c r="CV255"/>
      <c r="CW255"/>
      <c r="CX255"/>
      <c r="CY255"/>
      <c r="CZ255"/>
      <c r="DA255"/>
      <c r="DB255"/>
      <c r="DC255"/>
      <c r="DD255"/>
    </row>
    <row r="256" spans="1:108" x14ac:dyDescent="0.25">
      <c r="B256" s="117" t="s">
        <v>142</v>
      </c>
      <c r="C256" s="353" t="s">
        <v>47</v>
      </c>
      <c r="D256" s="353" t="s">
        <v>47</v>
      </c>
      <c r="E256" s="353" t="s">
        <v>47</v>
      </c>
      <c r="F256" s="353" t="s">
        <v>47</v>
      </c>
      <c r="G256" s="353" t="s">
        <v>47</v>
      </c>
      <c r="H256" s="353" t="s">
        <v>47</v>
      </c>
      <c r="I256" s="353" t="s">
        <v>47</v>
      </c>
      <c r="J256" s="353" t="s">
        <v>47</v>
      </c>
      <c r="K256" s="353" t="s">
        <v>47</v>
      </c>
      <c r="L256" s="353" t="s">
        <v>47</v>
      </c>
      <c r="M256" s="353" t="s">
        <v>47</v>
      </c>
      <c r="N256" s="353" t="s">
        <v>47</v>
      </c>
      <c r="O256" s="353" t="s">
        <v>47</v>
      </c>
      <c r="P256" s="353" t="s">
        <v>47</v>
      </c>
      <c r="Q256" s="353" t="s">
        <v>47</v>
      </c>
      <c r="R256" s="353" t="s">
        <v>47</v>
      </c>
      <c r="S256" s="353" t="s">
        <v>47</v>
      </c>
      <c r="T256" s="353" t="s">
        <v>47</v>
      </c>
      <c r="U256" s="353" t="s">
        <v>47</v>
      </c>
      <c r="V256" s="353" t="s">
        <v>47</v>
      </c>
      <c r="W256" s="597" t="s">
        <v>47</v>
      </c>
      <c r="X256" s="597" t="s">
        <v>47</v>
      </c>
      <c r="Y256" s="597" t="s">
        <v>47</v>
      </c>
      <c r="Z256" s="597" t="s">
        <v>47</v>
      </c>
      <c r="AA256" s="597" t="s">
        <v>47</v>
      </c>
      <c r="AB256" s="597" t="s">
        <v>47</v>
      </c>
      <c r="AC256" s="597" t="s">
        <v>47</v>
      </c>
      <c r="AD256" s="597" t="s">
        <v>47</v>
      </c>
      <c r="AE256" s="597" t="s">
        <v>47</v>
      </c>
      <c r="AF256" s="597" t="s">
        <v>47</v>
      </c>
      <c r="AG256" s="597" t="s">
        <v>47</v>
      </c>
      <c r="AH256" s="597" t="s">
        <v>47</v>
      </c>
      <c r="AI256" s="597" t="s">
        <v>47</v>
      </c>
      <c r="AJ256" s="597" t="s">
        <v>47</v>
      </c>
      <c r="AK256" s="597" t="s">
        <v>47</v>
      </c>
      <c r="AL256" s="597" t="s">
        <v>47</v>
      </c>
      <c r="AM256" s="597" t="s">
        <v>47</v>
      </c>
      <c r="AN256" s="597" t="s">
        <v>47</v>
      </c>
      <c r="AO256" s="597" t="s">
        <v>47</v>
      </c>
      <c r="AP256" s="597" t="s">
        <v>47</v>
      </c>
      <c r="AQ256" s="597" t="s">
        <v>47</v>
      </c>
      <c r="AR256" s="597" t="s">
        <v>47</v>
      </c>
      <c r="AS256" s="597" t="s">
        <v>47</v>
      </c>
      <c r="AT256" s="597" t="s">
        <v>47</v>
      </c>
      <c r="AU256" s="597" t="s">
        <v>47</v>
      </c>
      <c r="AV256" s="597" t="s">
        <v>47</v>
      </c>
      <c r="AW256" s="1038" t="s">
        <v>47</v>
      </c>
      <c r="AX256" s="597" t="s">
        <v>47</v>
      </c>
      <c r="AY256" s="597" t="s">
        <v>47</v>
      </c>
      <c r="AZ256" s="597" t="s">
        <v>47</v>
      </c>
      <c r="BA256" s="597" t="s">
        <v>47</v>
      </c>
      <c r="BB256" s="597" t="s">
        <v>47</v>
      </c>
      <c r="BC256" s="597" t="s">
        <v>47</v>
      </c>
      <c r="BD256" s="597" t="s">
        <v>47</v>
      </c>
      <c r="BE256" s="597" t="s">
        <v>47</v>
      </c>
      <c r="BF256" s="597" t="s">
        <v>47</v>
      </c>
      <c r="BG256" s="597" t="s">
        <v>47</v>
      </c>
      <c r="BH256" s="597" t="s">
        <v>47</v>
      </c>
      <c r="BI256" s="597" t="s">
        <v>47</v>
      </c>
      <c r="BJ256" s="597" t="s">
        <v>47</v>
      </c>
      <c r="BK256" s="597" t="s">
        <v>47</v>
      </c>
      <c r="BL256" s="597" t="s">
        <v>47</v>
      </c>
      <c r="BM256" s="597" t="s">
        <v>47</v>
      </c>
      <c r="BN256" s="597" t="s">
        <v>47</v>
      </c>
      <c r="BO256" s="597" t="s">
        <v>47</v>
      </c>
      <c r="BP256" s="597" t="s">
        <v>47</v>
      </c>
      <c r="BQ256" s="597" t="s">
        <v>47</v>
      </c>
      <c r="BR256" s="597" t="s">
        <v>47</v>
      </c>
      <c r="BS256" s="597" t="s">
        <v>47</v>
      </c>
      <c r="BT256" s="597" t="s">
        <v>47</v>
      </c>
      <c r="BU256" s="597" t="s">
        <v>47</v>
      </c>
      <c r="BV256" s="597" t="s">
        <v>47</v>
      </c>
      <c r="BW256" s="597" t="s">
        <v>47</v>
      </c>
      <c r="BX256" s="597" t="s">
        <v>47</v>
      </c>
      <c r="BY256" s="597">
        <v>32.799999999999997</v>
      </c>
      <c r="BZ256" s="597">
        <v>32.799999999999997</v>
      </c>
      <c r="CA256" s="597">
        <v>32.799999999999997</v>
      </c>
      <c r="CB256" s="597">
        <v>32.799999999999997</v>
      </c>
      <c r="CC256" s="597">
        <v>32.799999999999997</v>
      </c>
      <c r="CD256" s="597">
        <v>32.799999999999997</v>
      </c>
      <c r="CE256" s="597">
        <v>32.799999999999997</v>
      </c>
      <c r="CF256" s="597">
        <v>32.799999999999997</v>
      </c>
      <c r="CG256" s="597">
        <v>32.799999999999997</v>
      </c>
      <c r="CH256" s="597">
        <v>32.799999999999997</v>
      </c>
      <c r="CI256" s="597">
        <v>32.799999999999997</v>
      </c>
      <c r="CJ256" s="597" t="s">
        <v>47</v>
      </c>
      <c r="CK256" s="597" t="s">
        <v>47</v>
      </c>
      <c r="CL256" s="597" t="s">
        <v>47</v>
      </c>
      <c r="CM256" s="597" t="s">
        <v>47</v>
      </c>
      <c r="CN256" s="597" t="s">
        <v>47</v>
      </c>
      <c r="CO256"/>
      <c r="CP256"/>
      <c r="CQ256"/>
      <c r="CR256"/>
      <c r="CS256"/>
      <c r="CT256"/>
      <c r="CU256"/>
      <c r="CV256"/>
      <c r="CW256"/>
      <c r="CX256"/>
      <c r="CY256"/>
      <c r="CZ256"/>
      <c r="DA256"/>
      <c r="DB256"/>
      <c r="DC256"/>
      <c r="DD256"/>
    </row>
    <row r="257" spans="1:108" x14ac:dyDescent="0.25">
      <c r="B257" s="117" t="s">
        <v>136</v>
      </c>
      <c r="C257" s="346" t="s">
        <v>47</v>
      </c>
      <c r="D257" s="346" t="s">
        <v>47</v>
      </c>
      <c r="E257" s="346" t="s">
        <v>47</v>
      </c>
      <c r="F257" s="346" t="s">
        <v>47</v>
      </c>
      <c r="G257" s="346" t="s">
        <v>47</v>
      </c>
      <c r="H257" s="346" t="s">
        <v>47</v>
      </c>
      <c r="I257" s="346" t="s">
        <v>47</v>
      </c>
      <c r="J257" s="346" t="s">
        <v>47</v>
      </c>
      <c r="K257" s="346" t="s">
        <v>47</v>
      </c>
      <c r="L257" s="346" t="s">
        <v>47</v>
      </c>
      <c r="M257" s="346" t="s">
        <v>47</v>
      </c>
      <c r="N257" s="346" t="s">
        <v>47</v>
      </c>
      <c r="O257" s="346" t="s">
        <v>47</v>
      </c>
      <c r="P257" s="346" t="s">
        <v>47</v>
      </c>
      <c r="Q257" s="346" t="s">
        <v>47</v>
      </c>
      <c r="R257" s="346" t="s">
        <v>47</v>
      </c>
      <c r="S257" s="346" t="s">
        <v>47</v>
      </c>
      <c r="T257" s="346" t="s">
        <v>47</v>
      </c>
      <c r="U257" s="346" t="s">
        <v>47</v>
      </c>
      <c r="V257" s="964" t="s">
        <v>47</v>
      </c>
      <c r="W257" s="964" t="s">
        <v>47</v>
      </c>
      <c r="X257" s="964" t="s">
        <v>47</v>
      </c>
      <c r="Y257" s="964" t="s">
        <v>47</v>
      </c>
      <c r="Z257" s="964" t="s">
        <v>47</v>
      </c>
      <c r="AA257" s="964" t="s">
        <v>47</v>
      </c>
      <c r="AB257" s="964" t="s">
        <v>47</v>
      </c>
      <c r="AC257" s="964" t="s">
        <v>47</v>
      </c>
      <c r="AD257" s="964" t="s">
        <v>47</v>
      </c>
      <c r="AE257" s="964" t="s">
        <v>47</v>
      </c>
      <c r="AF257" s="964" t="s">
        <v>47</v>
      </c>
      <c r="AG257" s="964" t="s">
        <v>47</v>
      </c>
      <c r="AH257" s="964" t="s">
        <v>47</v>
      </c>
      <c r="AI257" s="964" t="s">
        <v>47</v>
      </c>
      <c r="AJ257" s="964" t="s">
        <v>47</v>
      </c>
      <c r="AK257" s="964" t="s">
        <v>47</v>
      </c>
      <c r="AL257" s="964" t="s">
        <v>47</v>
      </c>
      <c r="AM257" s="964" t="s">
        <v>47</v>
      </c>
      <c r="AN257" s="964" t="s">
        <v>47</v>
      </c>
      <c r="AO257" s="964" t="s">
        <v>47</v>
      </c>
      <c r="AP257" s="964" t="s">
        <v>47</v>
      </c>
      <c r="AQ257" s="964" t="s">
        <v>47</v>
      </c>
      <c r="AR257" s="964" t="s">
        <v>47</v>
      </c>
      <c r="AS257" s="964" t="s">
        <v>47</v>
      </c>
      <c r="AT257" s="964" t="s">
        <v>47</v>
      </c>
      <c r="AU257" s="964" t="s">
        <v>47</v>
      </c>
      <c r="AV257" s="964" t="s">
        <v>47</v>
      </c>
      <c r="AW257" s="965" t="s">
        <v>47</v>
      </c>
      <c r="AX257" s="964" t="s">
        <v>47</v>
      </c>
      <c r="AY257" s="964" t="s">
        <v>47</v>
      </c>
      <c r="AZ257" s="964" t="s">
        <v>47</v>
      </c>
      <c r="BA257" s="964" t="s">
        <v>47</v>
      </c>
      <c r="BB257" s="964" t="s">
        <v>47</v>
      </c>
      <c r="BC257" s="964" t="s">
        <v>47</v>
      </c>
      <c r="BD257" s="964" t="s">
        <v>47</v>
      </c>
      <c r="BE257" s="964" t="s">
        <v>47</v>
      </c>
      <c r="BF257" s="964" t="s">
        <v>47</v>
      </c>
      <c r="BG257" s="964" t="s">
        <v>47</v>
      </c>
      <c r="BH257" s="964" t="s">
        <v>47</v>
      </c>
      <c r="BI257" s="964" t="s">
        <v>47</v>
      </c>
      <c r="BJ257" s="964" t="s">
        <v>47</v>
      </c>
      <c r="BK257" s="964" t="s">
        <v>47</v>
      </c>
      <c r="BL257" s="964" t="s">
        <v>47</v>
      </c>
      <c r="BM257" s="964" t="s">
        <v>47</v>
      </c>
      <c r="BN257" s="597" t="s">
        <v>47</v>
      </c>
      <c r="BO257" s="597" t="s">
        <v>47</v>
      </c>
      <c r="BP257" s="597" t="s">
        <v>47</v>
      </c>
      <c r="BQ257" s="597" t="s">
        <v>47</v>
      </c>
      <c r="BR257" s="597" t="s">
        <v>47</v>
      </c>
      <c r="BS257" s="597" t="s">
        <v>47</v>
      </c>
      <c r="BT257" s="597" t="s">
        <v>47</v>
      </c>
      <c r="BU257" s="597" t="s">
        <v>47</v>
      </c>
      <c r="BV257" s="597" t="s">
        <v>47</v>
      </c>
      <c r="BW257" s="597" t="s">
        <v>47</v>
      </c>
      <c r="BX257" s="597" t="s">
        <v>47</v>
      </c>
      <c r="BY257" s="597">
        <v>22</v>
      </c>
      <c r="BZ257" s="597">
        <v>22</v>
      </c>
      <c r="CA257" s="597">
        <v>22</v>
      </c>
      <c r="CB257" s="597">
        <v>22</v>
      </c>
      <c r="CC257" s="597">
        <v>22</v>
      </c>
      <c r="CD257" s="597">
        <v>22</v>
      </c>
      <c r="CE257" s="597">
        <v>24</v>
      </c>
      <c r="CF257" s="597">
        <v>24</v>
      </c>
      <c r="CG257" s="597">
        <v>24</v>
      </c>
      <c r="CH257" s="597">
        <v>24</v>
      </c>
      <c r="CI257" s="597">
        <v>24</v>
      </c>
      <c r="CJ257" s="597">
        <v>24</v>
      </c>
      <c r="CK257" s="597">
        <v>24</v>
      </c>
      <c r="CL257" s="597">
        <v>24</v>
      </c>
      <c r="CM257" s="597">
        <v>24</v>
      </c>
      <c r="CN257" s="597">
        <v>24</v>
      </c>
      <c r="CO257"/>
      <c r="CP257"/>
      <c r="CQ257"/>
      <c r="CR257"/>
      <c r="CS257"/>
      <c r="CT257"/>
      <c r="CU257"/>
      <c r="CV257"/>
      <c r="CW257"/>
      <c r="CX257"/>
      <c r="CY257"/>
      <c r="CZ257"/>
      <c r="DA257"/>
      <c r="DB257"/>
      <c r="DC257"/>
      <c r="DD257"/>
    </row>
    <row r="258" spans="1:108" x14ac:dyDescent="0.25">
      <c r="B258" s="117" t="s">
        <v>841</v>
      </c>
      <c r="C258" s="353" t="s">
        <v>47</v>
      </c>
      <c r="D258" s="353" t="s">
        <v>47</v>
      </c>
      <c r="E258" s="353" t="s">
        <v>47</v>
      </c>
      <c r="F258" s="353" t="s">
        <v>47</v>
      </c>
      <c r="G258" s="353" t="s">
        <v>47</v>
      </c>
      <c r="H258" s="353" t="s">
        <v>47</v>
      </c>
      <c r="I258" s="353" t="s">
        <v>47</v>
      </c>
      <c r="J258" s="353" t="s">
        <v>47</v>
      </c>
      <c r="K258" s="353" t="s">
        <v>47</v>
      </c>
      <c r="L258" s="353" t="s">
        <v>47</v>
      </c>
      <c r="M258" s="353" t="s">
        <v>47</v>
      </c>
      <c r="N258" s="353" t="s">
        <v>47</v>
      </c>
      <c r="O258" s="353" t="s">
        <v>47</v>
      </c>
      <c r="P258" s="353" t="s">
        <v>47</v>
      </c>
      <c r="Q258" s="353" t="s">
        <v>47</v>
      </c>
      <c r="R258" s="353" t="s">
        <v>47</v>
      </c>
      <c r="S258" s="353" t="s">
        <v>47</v>
      </c>
      <c r="T258" s="353" t="s">
        <v>47</v>
      </c>
      <c r="U258" s="353" t="s">
        <v>47</v>
      </c>
      <c r="V258" s="353" t="s">
        <v>47</v>
      </c>
      <c r="W258" s="597" t="s">
        <v>47</v>
      </c>
      <c r="X258" s="597" t="s">
        <v>47</v>
      </c>
      <c r="Y258" s="597" t="s">
        <v>47</v>
      </c>
      <c r="Z258" s="597" t="s">
        <v>47</v>
      </c>
      <c r="AA258" s="597" t="s">
        <v>47</v>
      </c>
      <c r="AB258" s="597" t="s">
        <v>47</v>
      </c>
      <c r="AC258" s="597" t="s">
        <v>47</v>
      </c>
      <c r="AD258" s="597" t="s">
        <v>47</v>
      </c>
      <c r="AE258" s="597" t="s">
        <v>47</v>
      </c>
      <c r="AF258" s="597" t="s">
        <v>47</v>
      </c>
      <c r="AG258" s="597" t="s">
        <v>47</v>
      </c>
      <c r="AH258" s="597" t="s">
        <v>47</v>
      </c>
      <c r="AI258" s="597" t="s">
        <v>47</v>
      </c>
      <c r="AJ258" s="597" t="s">
        <v>47</v>
      </c>
      <c r="AK258" s="597" t="s">
        <v>47</v>
      </c>
      <c r="AL258" s="597" t="s">
        <v>47</v>
      </c>
      <c r="AM258" s="597" t="s">
        <v>47</v>
      </c>
      <c r="AN258" s="597" t="s">
        <v>47</v>
      </c>
      <c r="AO258" s="597" t="s">
        <v>47</v>
      </c>
      <c r="AP258" s="597" t="s">
        <v>47</v>
      </c>
      <c r="AQ258" s="597" t="s">
        <v>47</v>
      </c>
      <c r="AR258" s="597" t="s">
        <v>47</v>
      </c>
      <c r="AS258" s="597" t="s">
        <v>47</v>
      </c>
      <c r="AT258" s="597" t="s">
        <v>47</v>
      </c>
      <c r="AU258" s="597" t="s">
        <v>47</v>
      </c>
      <c r="AV258" s="597" t="s">
        <v>47</v>
      </c>
      <c r="AW258" s="1038" t="s">
        <v>47</v>
      </c>
      <c r="AX258" s="597" t="s">
        <v>47</v>
      </c>
      <c r="AY258" s="597" t="s">
        <v>47</v>
      </c>
      <c r="AZ258" s="597" t="s">
        <v>47</v>
      </c>
      <c r="BA258" s="597" t="s">
        <v>47</v>
      </c>
      <c r="BB258" s="597" t="s">
        <v>47</v>
      </c>
      <c r="BC258" s="597" t="s">
        <v>47</v>
      </c>
      <c r="BD258" s="597" t="s">
        <v>47</v>
      </c>
      <c r="BE258" s="597" t="s">
        <v>47</v>
      </c>
      <c r="BF258" s="597" t="s">
        <v>47</v>
      </c>
      <c r="BG258" s="597" t="s">
        <v>47</v>
      </c>
      <c r="BH258" s="597" t="s">
        <v>47</v>
      </c>
      <c r="BI258" s="597" t="s">
        <v>47</v>
      </c>
      <c r="BJ258" s="597" t="s">
        <v>47</v>
      </c>
      <c r="BK258" s="597" t="s">
        <v>47</v>
      </c>
      <c r="BL258" s="597" t="s">
        <v>47</v>
      </c>
      <c r="BM258" s="597" t="s">
        <v>47</v>
      </c>
      <c r="BN258" s="597" t="s">
        <v>47</v>
      </c>
      <c r="BO258" s="597" t="s">
        <v>47</v>
      </c>
      <c r="BP258" s="597" t="s">
        <v>47</v>
      </c>
      <c r="BQ258" s="597" t="s">
        <v>47</v>
      </c>
      <c r="BR258" s="597" t="s">
        <v>47</v>
      </c>
      <c r="BS258" s="597" t="s">
        <v>47</v>
      </c>
      <c r="BT258" s="597" t="s">
        <v>47</v>
      </c>
      <c r="BU258" s="597" t="s">
        <v>47</v>
      </c>
      <c r="BV258" s="597" t="s">
        <v>47</v>
      </c>
      <c r="BW258" s="597" t="s">
        <v>47</v>
      </c>
      <c r="BX258" s="597" t="s">
        <v>47</v>
      </c>
      <c r="BY258" s="597" t="s">
        <v>47</v>
      </c>
      <c r="BZ258" s="597" t="s">
        <v>47</v>
      </c>
      <c r="CA258" s="597" t="s">
        <v>47</v>
      </c>
      <c r="CB258" s="597">
        <v>30</v>
      </c>
      <c r="CC258" s="597">
        <v>30</v>
      </c>
      <c r="CD258" s="597">
        <v>30</v>
      </c>
      <c r="CE258" s="597">
        <v>30</v>
      </c>
      <c r="CF258" s="597">
        <v>30</v>
      </c>
      <c r="CG258" s="597">
        <v>30</v>
      </c>
      <c r="CH258" s="597">
        <v>30</v>
      </c>
      <c r="CI258" s="597" t="s">
        <v>47</v>
      </c>
      <c r="CJ258" s="597" t="s">
        <v>47</v>
      </c>
      <c r="CK258" s="597" t="s">
        <v>47</v>
      </c>
      <c r="CL258" s="597" t="s">
        <v>47</v>
      </c>
      <c r="CM258" s="597" t="s">
        <v>47</v>
      </c>
      <c r="CN258" s="597" t="s">
        <v>47</v>
      </c>
      <c r="CO258"/>
      <c r="CP258"/>
      <c r="CQ258"/>
      <c r="CR258"/>
      <c r="CS258"/>
      <c r="CT258"/>
      <c r="CU258"/>
      <c r="CV258"/>
      <c r="CW258"/>
      <c r="CX258"/>
      <c r="CY258"/>
      <c r="CZ258"/>
      <c r="DA258"/>
      <c r="DB258"/>
      <c r="DC258"/>
      <c r="DD258"/>
    </row>
    <row r="259" spans="1:108" customFormat="1" ht="12.75" x14ac:dyDescent="0.2">
      <c r="B259" s="279" t="s">
        <v>381</v>
      </c>
      <c r="C259" s="280" t="str">
        <f t="shared" ref="C259:AH259" si="199">IFERROR(AVERAGE(C254:C258),"-")</f>
        <v>-</v>
      </c>
      <c r="D259" s="280" t="str">
        <f t="shared" si="199"/>
        <v>-</v>
      </c>
      <c r="E259" s="280" t="str">
        <f t="shared" si="199"/>
        <v>-</v>
      </c>
      <c r="F259" s="280" t="str">
        <f t="shared" si="199"/>
        <v>-</v>
      </c>
      <c r="G259" s="280" t="str">
        <f t="shared" si="199"/>
        <v>-</v>
      </c>
      <c r="H259" s="280" t="str">
        <f t="shared" si="199"/>
        <v>-</v>
      </c>
      <c r="I259" s="280" t="str">
        <f t="shared" si="199"/>
        <v>-</v>
      </c>
      <c r="J259" s="280" t="str">
        <f t="shared" si="199"/>
        <v>-</v>
      </c>
      <c r="K259" s="280" t="str">
        <f t="shared" si="199"/>
        <v>-</v>
      </c>
      <c r="L259" s="280" t="str">
        <f t="shared" si="199"/>
        <v>-</v>
      </c>
      <c r="M259" s="280" t="str">
        <f t="shared" si="199"/>
        <v>-</v>
      </c>
      <c r="N259" s="280" t="str">
        <f t="shared" si="199"/>
        <v>-</v>
      </c>
      <c r="O259" s="280" t="str">
        <f t="shared" si="199"/>
        <v>-</v>
      </c>
      <c r="P259" s="280" t="str">
        <f t="shared" si="199"/>
        <v>-</v>
      </c>
      <c r="Q259" s="280" t="str">
        <f t="shared" si="199"/>
        <v>-</v>
      </c>
      <c r="R259" s="280" t="str">
        <f t="shared" si="199"/>
        <v>-</v>
      </c>
      <c r="S259" s="280" t="str">
        <f t="shared" si="199"/>
        <v>-</v>
      </c>
      <c r="T259" s="280" t="str">
        <f t="shared" si="199"/>
        <v>-</v>
      </c>
      <c r="U259" s="280" t="str">
        <f t="shared" si="199"/>
        <v>-</v>
      </c>
      <c r="V259" s="280" t="str">
        <f t="shared" si="199"/>
        <v>-</v>
      </c>
      <c r="W259" s="280" t="str">
        <f t="shared" si="199"/>
        <v>-</v>
      </c>
      <c r="X259" s="280" t="str">
        <f t="shared" si="199"/>
        <v>-</v>
      </c>
      <c r="Y259" s="280" t="str">
        <f t="shared" si="199"/>
        <v>-</v>
      </c>
      <c r="Z259" s="280" t="str">
        <f t="shared" si="199"/>
        <v>-</v>
      </c>
      <c r="AA259" s="280" t="str">
        <f t="shared" si="199"/>
        <v>-</v>
      </c>
      <c r="AB259" s="280" t="str">
        <f t="shared" si="199"/>
        <v>-</v>
      </c>
      <c r="AC259" s="280" t="str">
        <f t="shared" si="199"/>
        <v>-</v>
      </c>
      <c r="AD259" s="280" t="str">
        <f t="shared" si="199"/>
        <v>-</v>
      </c>
      <c r="AE259" s="280" t="str">
        <f t="shared" si="199"/>
        <v>-</v>
      </c>
      <c r="AF259" s="280" t="str">
        <f t="shared" si="199"/>
        <v>-</v>
      </c>
      <c r="AG259" s="280" t="str">
        <f t="shared" si="199"/>
        <v>-</v>
      </c>
      <c r="AH259" s="280" t="str">
        <f t="shared" si="199"/>
        <v>-</v>
      </c>
      <c r="AI259" s="280" t="str">
        <f t="shared" ref="AI259:BN259" si="200">IFERROR(AVERAGE(AI254:AI258),"-")</f>
        <v>-</v>
      </c>
      <c r="AJ259" s="280" t="str">
        <f t="shared" si="200"/>
        <v>-</v>
      </c>
      <c r="AK259" s="280" t="str">
        <f t="shared" si="200"/>
        <v>-</v>
      </c>
      <c r="AL259" s="280" t="str">
        <f t="shared" si="200"/>
        <v>-</v>
      </c>
      <c r="AM259" s="280" t="str">
        <f t="shared" si="200"/>
        <v>-</v>
      </c>
      <c r="AN259" s="280" t="str">
        <f t="shared" si="200"/>
        <v>-</v>
      </c>
      <c r="AO259" s="280" t="str">
        <f t="shared" si="200"/>
        <v>-</v>
      </c>
      <c r="AP259" s="280" t="str">
        <f t="shared" si="200"/>
        <v>-</v>
      </c>
      <c r="AQ259" s="280" t="str">
        <f t="shared" si="200"/>
        <v>-</v>
      </c>
      <c r="AR259" s="280" t="str">
        <f t="shared" si="200"/>
        <v>-</v>
      </c>
      <c r="AS259" s="280" t="str">
        <f t="shared" si="200"/>
        <v>-</v>
      </c>
      <c r="AT259" s="280" t="str">
        <f t="shared" si="200"/>
        <v>-</v>
      </c>
      <c r="AU259" s="280" t="str">
        <f t="shared" si="200"/>
        <v>-</v>
      </c>
      <c r="AV259" s="280" t="str">
        <f t="shared" si="200"/>
        <v>-</v>
      </c>
      <c r="AW259" s="280" t="str">
        <f t="shared" si="200"/>
        <v>-</v>
      </c>
      <c r="AX259" s="280" t="str">
        <f t="shared" si="200"/>
        <v>-</v>
      </c>
      <c r="AY259" s="280" t="str">
        <f t="shared" si="200"/>
        <v>-</v>
      </c>
      <c r="AZ259" s="280" t="str">
        <f t="shared" si="200"/>
        <v>-</v>
      </c>
      <c r="BA259" s="280" t="str">
        <f t="shared" si="200"/>
        <v>-</v>
      </c>
      <c r="BB259" s="280" t="str">
        <f t="shared" si="200"/>
        <v>-</v>
      </c>
      <c r="BC259" s="280" t="str">
        <f t="shared" si="200"/>
        <v>-</v>
      </c>
      <c r="BD259" s="280" t="str">
        <f t="shared" si="200"/>
        <v>-</v>
      </c>
      <c r="BE259" s="280" t="str">
        <f t="shared" si="200"/>
        <v>-</v>
      </c>
      <c r="BF259" s="280" t="str">
        <f t="shared" si="200"/>
        <v>-</v>
      </c>
      <c r="BG259" s="280" t="str">
        <f t="shared" si="200"/>
        <v>-</v>
      </c>
      <c r="BH259" s="280" t="str">
        <f t="shared" si="200"/>
        <v>-</v>
      </c>
      <c r="BI259" s="280" t="str">
        <f t="shared" si="200"/>
        <v>-</v>
      </c>
      <c r="BJ259" s="280" t="str">
        <f t="shared" si="200"/>
        <v>-</v>
      </c>
      <c r="BK259" s="280" t="str">
        <f t="shared" si="200"/>
        <v>-</v>
      </c>
      <c r="BL259" s="280" t="str">
        <f t="shared" si="200"/>
        <v>-</v>
      </c>
      <c r="BM259" s="280" t="str">
        <f t="shared" si="200"/>
        <v>-</v>
      </c>
      <c r="BN259" s="280" t="str">
        <f t="shared" si="200"/>
        <v>-</v>
      </c>
      <c r="BO259" s="280" t="str">
        <f t="shared" ref="BO259:CC259" si="201">IFERROR(AVERAGE(BO254:BO258),"-")</f>
        <v>-</v>
      </c>
      <c r="BP259" s="280" t="str">
        <f t="shared" si="201"/>
        <v>-</v>
      </c>
      <c r="BQ259" s="280" t="str">
        <f t="shared" si="201"/>
        <v>-</v>
      </c>
      <c r="BR259" s="280" t="str">
        <f t="shared" si="201"/>
        <v>-</v>
      </c>
      <c r="BS259" s="280" t="str">
        <f t="shared" si="201"/>
        <v>-</v>
      </c>
      <c r="BT259" s="280" t="str">
        <f t="shared" si="201"/>
        <v>-</v>
      </c>
      <c r="BU259" s="280" t="str">
        <f t="shared" si="201"/>
        <v>-</v>
      </c>
      <c r="BV259" s="280" t="str">
        <f t="shared" si="201"/>
        <v>-</v>
      </c>
      <c r="BW259" s="280" t="str">
        <f t="shared" si="201"/>
        <v>-</v>
      </c>
      <c r="BX259" s="280" t="str">
        <f t="shared" si="201"/>
        <v>-</v>
      </c>
      <c r="BY259" s="280">
        <f t="shared" si="201"/>
        <v>25.933333333333334</v>
      </c>
      <c r="BZ259" s="830">
        <f t="shared" si="201"/>
        <v>25.933333333333334</v>
      </c>
      <c r="CA259" s="830">
        <f t="shared" si="201"/>
        <v>25.933333333333334</v>
      </c>
      <c r="CB259" s="830">
        <f t="shared" si="201"/>
        <v>26.95</v>
      </c>
      <c r="CC259" s="830">
        <f t="shared" si="201"/>
        <v>26.560000000000002</v>
      </c>
      <c r="CD259" s="830">
        <f t="shared" ref="CD259:CN259" si="202">IFERROR(AVERAGE(CD254:CD258),"-")</f>
        <v>26.560000000000002</v>
      </c>
      <c r="CE259" s="830">
        <f t="shared" si="202"/>
        <v>26.96</v>
      </c>
      <c r="CF259" s="830">
        <f t="shared" si="202"/>
        <v>26.96</v>
      </c>
      <c r="CG259" s="830">
        <f t="shared" si="202"/>
        <v>26.96</v>
      </c>
      <c r="CH259" s="830">
        <f t="shared" si="202"/>
        <v>26.96</v>
      </c>
      <c r="CI259" s="830">
        <f t="shared" si="202"/>
        <v>26.2</v>
      </c>
      <c r="CJ259" s="830">
        <f t="shared" si="202"/>
        <v>24</v>
      </c>
      <c r="CK259" s="830">
        <f t="shared" si="202"/>
        <v>24</v>
      </c>
      <c r="CL259" s="830">
        <f t="shared" si="202"/>
        <v>24</v>
      </c>
      <c r="CM259" s="830">
        <f t="shared" si="202"/>
        <v>24</v>
      </c>
      <c r="CN259" s="830">
        <f t="shared" si="202"/>
        <v>24</v>
      </c>
    </row>
    <row r="260" spans="1:108" x14ac:dyDescent="0.25">
      <c r="A260"/>
      <c r="B260" s="1028"/>
      <c r="C260" s="1029"/>
      <c r="D260" s="1029"/>
      <c r="E260" s="1029"/>
      <c r="F260" s="1029"/>
      <c r="G260" s="1029"/>
      <c r="H260" s="1029"/>
      <c r="I260" s="1029"/>
      <c r="J260" s="1029"/>
      <c r="K260" s="1029"/>
      <c r="L260" s="1030"/>
      <c r="M260" s="1030"/>
      <c r="N260" s="1030"/>
      <c r="O260" s="1030"/>
      <c r="P260" s="1030"/>
      <c r="Q260" s="1030"/>
      <c r="R260" s="1030"/>
      <c r="S260" s="1030"/>
      <c r="T260" s="1030"/>
      <c r="U260" s="1030"/>
      <c r="V260" s="1031"/>
      <c r="W260" s="1031"/>
      <c r="X260" s="1031"/>
      <c r="Y260" s="1031"/>
      <c r="Z260" s="1031"/>
      <c r="AA260" s="1031"/>
      <c r="AB260" s="1031"/>
      <c r="AC260" s="1031"/>
      <c r="AD260" s="1031"/>
      <c r="AE260" s="1031"/>
      <c r="AF260" s="1031"/>
      <c r="AG260" s="1031"/>
      <c r="AH260" s="1031"/>
      <c r="AI260" s="1031"/>
      <c r="AJ260" s="1031"/>
      <c r="AK260" s="1031"/>
      <c r="AL260" s="1031"/>
      <c r="AM260" s="1031"/>
      <c r="AN260" s="1031"/>
      <c r="AO260" s="1031"/>
      <c r="AP260" s="1031"/>
      <c r="AQ260" s="1031"/>
      <c r="AR260" s="1031"/>
      <c r="AS260" s="1031"/>
      <c r="AT260" s="1030"/>
      <c r="AU260" s="1030"/>
      <c r="AV260" s="1032"/>
      <c r="AW260" s="1033"/>
      <c r="AX260" s="1033"/>
      <c r="AY260" s="1033"/>
      <c r="AZ260" s="1030"/>
      <c r="BA260" s="1030"/>
      <c r="BB260" s="1030"/>
      <c r="BC260" s="1030"/>
      <c r="BD260" s="1030"/>
      <c r="BE260" s="1030"/>
      <c r="BF260" s="1030"/>
      <c r="BG260" s="1030"/>
      <c r="BH260" s="1030"/>
      <c r="BI260" s="1030"/>
      <c r="BJ260" s="1030"/>
      <c r="BK260" s="1030"/>
      <c r="BL260" s="1030"/>
      <c r="BM260" s="1030"/>
      <c r="BN260" s="1030"/>
      <c r="BO260" s="1030"/>
      <c r="BP260" s="1030"/>
      <c r="BQ260" s="1030"/>
      <c r="BR260" s="1030"/>
      <c r="BS260" s="1030"/>
      <c r="BT260" s="1030"/>
      <c r="BU260" s="1030"/>
      <c r="BV260" s="1030"/>
      <c r="BW260" s="1030"/>
      <c r="BX260" s="1030"/>
      <c r="BY260" s="1030"/>
      <c r="BZ260" s="1030"/>
      <c r="CA260" s="1030"/>
      <c r="CB260" s="1030"/>
      <c r="CC260" s="1030"/>
      <c r="CD260" s="1030"/>
      <c r="CE260" s="1030"/>
      <c r="CF260" s="1030"/>
      <c r="CG260" s="1030"/>
      <c r="CH260" s="1030"/>
      <c r="CI260" s="1030"/>
      <c r="CJ260" s="1030"/>
      <c r="CK260" s="1030"/>
      <c r="CL260" s="1030"/>
      <c r="CM260" s="1030"/>
      <c r="CN260" s="1030"/>
      <c r="CO260"/>
      <c r="CP260"/>
      <c r="CQ260"/>
      <c r="CR260"/>
      <c r="CS260"/>
      <c r="CT260"/>
      <c r="CU260"/>
      <c r="CV260"/>
      <c r="CW260"/>
      <c r="CX260"/>
      <c r="CY260"/>
      <c r="CZ260"/>
      <c r="DA260"/>
      <c r="DB260"/>
      <c r="DC260"/>
      <c r="DD260"/>
    </row>
    <row r="261" spans="1:108" x14ac:dyDescent="0.25">
      <c r="B261" s="113" t="s">
        <v>1162</v>
      </c>
      <c r="C261" s="264">
        <f>C$4</f>
        <v>42522</v>
      </c>
      <c r="D261" s="264">
        <f t="shared" ref="D261:BO261" si="203">D$4</f>
        <v>42552</v>
      </c>
      <c r="E261" s="264">
        <f t="shared" si="203"/>
        <v>42583</v>
      </c>
      <c r="F261" s="264">
        <f t="shared" si="203"/>
        <v>42614</v>
      </c>
      <c r="G261" s="264">
        <f t="shared" si="203"/>
        <v>42644</v>
      </c>
      <c r="H261" s="264">
        <f t="shared" si="203"/>
        <v>42675</v>
      </c>
      <c r="I261" s="264">
        <f t="shared" si="203"/>
        <v>42705</v>
      </c>
      <c r="J261" s="264">
        <f t="shared" si="203"/>
        <v>42736</v>
      </c>
      <c r="K261" s="264">
        <f t="shared" si="203"/>
        <v>42767</v>
      </c>
      <c r="L261" s="264">
        <f t="shared" si="203"/>
        <v>42795</v>
      </c>
      <c r="M261" s="264">
        <f t="shared" si="203"/>
        <v>42826</v>
      </c>
      <c r="N261" s="264">
        <f t="shared" si="203"/>
        <v>42856</v>
      </c>
      <c r="O261" s="264">
        <f t="shared" si="203"/>
        <v>42887</v>
      </c>
      <c r="P261" s="264">
        <f t="shared" si="203"/>
        <v>42917</v>
      </c>
      <c r="Q261" s="264">
        <f t="shared" si="203"/>
        <v>42948</v>
      </c>
      <c r="R261" s="264">
        <f t="shared" si="203"/>
        <v>42979</v>
      </c>
      <c r="S261" s="264">
        <f t="shared" si="203"/>
        <v>43009</v>
      </c>
      <c r="T261" s="264">
        <f t="shared" si="203"/>
        <v>43040</v>
      </c>
      <c r="U261" s="264">
        <f t="shared" si="203"/>
        <v>43070</v>
      </c>
      <c r="V261" s="264">
        <f t="shared" si="203"/>
        <v>43101</v>
      </c>
      <c r="W261" s="264">
        <f t="shared" si="203"/>
        <v>43132</v>
      </c>
      <c r="X261" s="264">
        <f t="shared" si="203"/>
        <v>43160</v>
      </c>
      <c r="Y261" s="264">
        <f t="shared" si="203"/>
        <v>43191</v>
      </c>
      <c r="Z261" s="264">
        <f t="shared" si="203"/>
        <v>43221</v>
      </c>
      <c r="AA261" s="264">
        <f t="shared" si="203"/>
        <v>43252</v>
      </c>
      <c r="AB261" s="264">
        <f t="shared" si="203"/>
        <v>43283</v>
      </c>
      <c r="AC261" s="264">
        <f t="shared" si="203"/>
        <v>43314</v>
      </c>
      <c r="AD261" s="264">
        <f t="shared" si="203"/>
        <v>43345</v>
      </c>
      <c r="AE261" s="264">
        <f t="shared" si="203"/>
        <v>43376</v>
      </c>
      <c r="AF261" s="264">
        <f t="shared" si="203"/>
        <v>43407</v>
      </c>
      <c r="AG261" s="264">
        <f t="shared" si="203"/>
        <v>43437</v>
      </c>
      <c r="AH261" s="264">
        <f t="shared" si="203"/>
        <v>43468</v>
      </c>
      <c r="AI261" s="264">
        <f t="shared" si="203"/>
        <v>43499</v>
      </c>
      <c r="AJ261" s="264">
        <f t="shared" si="203"/>
        <v>43527</v>
      </c>
      <c r="AK261" s="264">
        <f t="shared" si="203"/>
        <v>43558</v>
      </c>
      <c r="AL261" s="264">
        <f t="shared" si="203"/>
        <v>43587</v>
      </c>
      <c r="AM261" s="264">
        <f t="shared" si="203"/>
        <v>43618</v>
      </c>
      <c r="AN261" s="264">
        <f t="shared" si="203"/>
        <v>43647</v>
      </c>
      <c r="AO261" s="264">
        <f t="shared" si="203"/>
        <v>43678</v>
      </c>
      <c r="AP261" s="264">
        <f t="shared" si="203"/>
        <v>43709</v>
      </c>
      <c r="AQ261" s="264">
        <f t="shared" si="203"/>
        <v>43739</v>
      </c>
      <c r="AR261" s="264">
        <f t="shared" si="203"/>
        <v>43770</v>
      </c>
      <c r="AS261" s="264">
        <f t="shared" si="203"/>
        <v>43800</v>
      </c>
      <c r="AT261" s="264">
        <f t="shared" si="203"/>
        <v>43831</v>
      </c>
      <c r="AU261" s="264">
        <f t="shared" si="203"/>
        <v>43862</v>
      </c>
      <c r="AV261" s="264">
        <f t="shared" si="203"/>
        <v>43891</v>
      </c>
      <c r="AW261" s="264">
        <f t="shared" si="203"/>
        <v>43922</v>
      </c>
      <c r="AX261" s="264">
        <f t="shared" si="203"/>
        <v>43952</v>
      </c>
      <c r="AY261" s="264">
        <f t="shared" si="203"/>
        <v>43983</v>
      </c>
      <c r="AZ261" s="264">
        <f t="shared" si="203"/>
        <v>44013</v>
      </c>
      <c r="BA261" s="264">
        <f t="shared" si="203"/>
        <v>44044</v>
      </c>
      <c r="BB261" s="264">
        <f t="shared" si="203"/>
        <v>44075</v>
      </c>
      <c r="BC261" s="264">
        <f t="shared" si="203"/>
        <v>44105</v>
      </c>
      <c r="BD261" s="264">
        <f t="shared" si="203"/>
        <v>44136</v>
      </c>
      <c r="BE261" s="264">
        <f t="shared" si="203"/>
        <v>44166</v>
      </c>
      <c r="BF261" s="264">
        <f t="shared" si="203"/>
        <v>44197</v>
      </c>
      <c r="BG261" s="264">
        <f t="shared" si="203"/>
        <v>44228</v>
      </c>
      <c r="BH261" s="264">
        <f t="shared" si="203"/>
        <v>44256</v>
      </c>
      <c r="BI261" s="264">
        <f t="shared" si="203"/>
        <v>44287</v>
      </c>
      <c r="BJ261" s="264">
        <f t="shared" si="203"/>
        <v>44317</v>
      </c>
      <c r="BK261" s="264">
        <f t="shared" si="203"/>
        <v>44348</v>
      </c>
      <c r="BL261" s="264">
        <f t="shared" si="203"/>
        <v>44378</v>
      </c>
      <c r="BM261" s="264">
        <f t="shared" si="203"/>
        <v>44409</v>
      </c>
      <c r="BN261" s="264">
        <f t="shared" si="203"/>
        <v>44440</v>
      </c>
      <c r="BO261" s="264">
        <f t="shared" si="203"/>
        <v>44470</v>
      </c>
      <c r="BP261" s="264">
        <f t="shared" ref="BP261:CN261" si="204">BP$4</f>
        <v>44501</v>
      </c>
      <c r="BQ261" s="264">
        <f t="shared" si="204"/>
        <v>44531</v>
      </c>
      <c r="BR261" s="264">
        <f t="shared" si="204"/>
        <v>44562</v>
      </c>
      <c r="BS261" s="264">
        <f t="shared" si="204"/>
        <v>44593</v>
      </c>
      <c r="BT261" s="264">
        <f t="shared" si="204"/>
        <v>44622</v>
      </c>
      <c r="BU261" s="264">
        <f t="shared" si="204"/>
        <v>44654</v>
      </c>
      <c r="BV261" s="264">
        <f t="shared" si="204"/>
        <v>44685</v>
      </c>
      <c r="BW261" s="264">
        <f t="shared" si="204"/>
        <v>44716</v>
      </c>
      <c r="BX261" s="264">
        <f t="shared" si="204"/>
        <v>44746</v>
      </c>
      <c r="BY261" s="264">
        <f t="shared" si="204"/>
        <v>44774</v>
      </c>
      <c r="BZ261" s="264">
        <f t="shared" si="204"/>
        <v>44805</v>
      </c>
      <c r="CA261" s="264">
        <f t="shared" si="204"/>
        <v>44835</v>
      </c>
      <c r="CB261" s="264">
        <f t="shared" si="204"/>
        <v>44866</v>
      </c>
      <c r="CC261" s="264">
        <f t="shared" si="204"/>
        <v>44896</v>
      </c>
      <c r="CD261" s="264">
        <f t="shared" si="204"/>
        <v>44927</v>
      </c>
      <c r="CE261" s="264">
        <f t="shared" si="204"/>
        <v>44958</v>
      </c>
      <c r="CF261" s="264">
        <f t="shared" si="204"/>
        <v>44986</v>
      </c>
      <c r="CG261" s="264">
        <f t="shared" si="204"/>
        <v>45017</v>
      </c>
      <c r="CH261" s="264">
        <f t="shared" si="204"/>
        <v>45047</v>
      </c>
      <c r="CI261" s="264">
        <f t="shared" si="204"/>
        <v>45078</v>
      </c>
      <c r="CJ261" s="264">
        <f t="shared" si="204"/>
        <v>45108</v>
      </c>
      <c r="CK261" s="264">
        <f t="shared" si="204"/>
        <v>45139</v>
      </c>
      <c r="CL261" s="264">
        <f t="shared" si="204"/>
        <v>45170</v>
      </c>
      <c r="CM261" s="264">
        <f t="shared" si="204"/>
        <v>45200</v>
      </c>
      <c r="CN261" s="264">
        <f t="shared" si="204"/>
        <v>45231</v>
      </c>
      <c r="CO261"/>
      <c r="CP261"/>
      <c r="CQ261"/>
      <c r="CR261"/>
      <c r="CS261"/>
      <c r="CT261"/>
      <c r="CU261"/>
      <c r="CV261"/>
      <c r="CW261"/>
      <c r="CX261"/>
      <c r="CY261"/>
      <c r="CZ261"/>
      <c r="DA261"/>
      <c r="DB261"/>
      <c r="DC261"/>
      <c r="DD261"/>
    </row>
    <row r="262" spans="1:108" x14ac:dyDescent="0.25">
      <c r="B262" s="117" t="s">
        <v>131</v>
      </c>
      <c r="C262" s="266" t="s">
        <v>47</v>
      </c>
      <c r="D262" s="266" t="s">
        <v>47</v>
      </c>
      <c r="E262" s="266" t="s">
        <v>47</v>
      </c>
      <c r="F262" s="266" t="s">
        <v>47</v>
      </c>
      <c r="G262" s="266" t="s">
        <v>47</v>
      </c>
      <c r="H262" s="266" t="s">
        <v>47</v>
      </c>
      <c r="I262" s="266" t="s">
        <v>47</v>
      </c>
      <c r="J262" s="338" t="s">
        <v>47</v>
      </c>
      <c r="K262" s="338" t="s">
        <v>47</v>
      </c>
      <c r="L262" s="592" t="s">
        <v>47</v>
      </c>
      <c r="M262" s="592" t="s">
        <v>47</v>
      </c>
      <c r="N262" s="592" t="s">
        <v>47</v>
      </c>
      <c r="O262" s="592" t="s">
        <v>47</v>
      </c>
      <c r="P262" s="592" t="s">
        <v>47</v>
      </c>
      <c r="Q262" s="592" t="s">
        <v>47</v>
      </c>
      <c r="R262" s="592" t="s">
        <v>47</v>
      </c>
      <c r="S262" s="592" t="s">
        <v>47</v>
      </c>
      <c r="T262" s="592" t="s">
        <v>47</v>
      </c>
      <c r="U262" s="592" t="s">
        <v>47</v>
      </c>
      <c r="V262" s="592" t="s">
        <v>47</v>
      </c>
      <c r="W262" s="592" t="s">
        <v>47</v>
      </c>
      <c r="X262" s="592" t="s">
        <v>47</v>
      </c>
      <c r="Y262" s="592" t="s">
        <v>47</v>
      </c>
      <c r="Z262" s="592" t="s">
        <v>47</v>
      </c>
      <c r="AA262" s="592" t="s">
        <v>47</v>
      </c>
      <c r="AB262" s="592" t="s">
        <v>47</v>
      </c>
      <c r="AC262" s="592" t="s">
        <v>47</v>
      </c>
      <c r="AD262" s="592" t="s">
        <v>47</v>
      </c>
      <c r="AE262" s="592" t="s">
        <v>47</v>
      </c>
      <c r="AF262" s="592" t="s">
        <v>47</v>
      </c>
      <c r="AG262" s="592" t="s">
        <v>47</v>
      </c>
      <c r="AH262" s="592" t="s">
        <v>47</v>
      </c>
      <c r="AI262" s="592" t="s">
        <v>47</v>
      </c>
      <c r="AJ262" s="348" t="s">
        <v>47</v>
      </c>
      <c r="AK262" s="348" t="s">
        <v>47</v>
      </c>
      <c r="AL262" s="348" t="s">
        <v>47</v>
      </c>
      <c r="AM262" s="348" t="s">
        <v>47</v>
      </c>
      <c r="AN262" s="348" t="s">
        <v>47</v>
      </c>
      <c r="AO262" s="348" t="s">
        <v>47</v>
      </c>
      <c r="AP262" s="348" t="s">
        <v>47</v>
      </c>
      <c r="AQ262" s="348" t="s">
        <v>47</v>
      </c>
      <c r="AR262" s="348" t="s">
        <v>47</v>
      </c>
      <c r="AS262" s="348" t="s">
        <v>47</v>
      </c>
      <c r="AT262" s="348" t="s">
        <v>47</v>
      </c>
      <c r="AU262" s="348" t="s">
        <v>47</v>
      </c>
      <c r="AV262" s="962" t="s">
        <v>47</v>
      </c>
      <c r="AW262" s="348" t="s">
        <v>47</v>
      </c>
      <c r="AX262" s="348" t="s">
        <v>47</v>
      </c>
      <c r="AY262" s="348" t="s">
        <v>47</v>
      </c>
      <c r="AZ262" s="348" t="s">
        <v>47</v>
      </c>
      <c r="BA262" s="348" t="s">
        <v>47</v>
      </c>
      <c r="BB262" s="348" t="s">
        <v>47</v>
      </c>
      <c r="BC262" s="348" t="s">
        <v>47</v>
      </c>
      <c r="BD262" s="348" t="s">
        <v>47</v>
      </c>
      <c r="BE262" s="348" t="s">
        <v>47</v>
      </c>
      <c r="BF262" s="592" t="s">
        <v>47</v>
      </c>
      <c r="BG262" s="592" t="s">
        <v>47</v>
      </c>
      <c r="BH262" s="592" t="s">
        <v>47</v>
      </c>
      <c r="BI262" s="592" t="s">
        <v>47</v>
      </c>
      <c r="BJ262" s="592" t="s">
        <v>47</v>
      </c>
      <c r="BK262" s="592" t="s">
        <v>47</v>
      </c>
      <c r="BL262" s="592" t="s">
        <v>47</v>
      </c>
      <c r="BM262" s="592" t="s">
        <v>47</v>
      </c>
      <c r="BN262" s="592" t="s">
        <v>47</v>
      </c>
      <c r="BO262" s="592" t="s">
        <v>47</v>
      </c>
      <c r="BP262" s="592" t="s">
        <v>47</v>
      </c>
      <c r="BQ262" s="592">
        <v>1296</v>
      </c>
      <c r="BR262" s="592">
        <v>1296</v>
      </c>
      <c r="BS262" s="592">
        <v>1296</v>
      </c>
      <c r="BT262" s="592">
        <v>1296</v>
      </c>
      <c r="BU262" s="592">
        <v>1296</v>
      </c>
      <c r="BV262" s="592">
        <v>1296</v>
      </c>
      <c r="BW262" s="592">
        <v>1296</v>
      </c>
      <c r="BX262" s="592">
        <v>1296</v>
      </c>
      <c r="BY262" s="592">
        <v>1296</v>
      </c>
      <c r="BZ262" s="592">
        <v>1296</v>
      </c>
      <c r="CA262" s="592">
        <v>1296</v>
      </c>
      <c r="CB262" s="592">
        <v>1296</v>
      </c>
      <c r="CC262" s="343">
        <v>1478</v>
      </c>
      <c r="CD262" s="592">
        <v>1478</v>
      </c>
      <c r="CE262" s="592">
        <v>1478</v>
      </c>
      <c r="CF262" s="592">
        <v>1478</v>
      </c>
      <c r="CG262" s="592">
        <v>1478</v>
      </c>
      <c r="CH262" s="592">
        <v>1478</v>
      </c>
      <c r="CI262" s="592">
        <v>1478</v>
      </c>
      <c r="CJ262" s="592">
        <v>1478</v>
      </c>
      <c r="CK262" s="592">
        <v>1478</v>
      </c>
      <c r="CL262" s="592">
        <v>1478</v>
      </c>
      <c r="CM262" s="592">
        <v>1478</v>
      </c>
      <c r="CN262" s="592">
        <v>1478</v>
      </c>
      <c r="CO262"/>
      <c r="CP262"/>
      <c r="CQ262"/>
      <c r="CR262"/>
      <c r="CS262"/>
      <c r="CT262"/>
      <c r="CU262"/>
      <c r="CV262"/>
      <c r="CW262"/>
      <c r="CX262"/>
      <c r="CY262"/>
      <c r="CZ262"/>
      <c r="DA262"/>
      <c r="DB262"/>
      <c r="DC262"/>
      <c r="DD262"/>
    </row>
    <row r="263" spans="1:108" x14ac:dyDescent="0.25">
      <c r="B263" s="117" t="s">
        <v>135</v>
      </c>
      <c r="C263" s="266" t="s">
        <v>47</v>
      </c>
      <c r="D263" s="266" t="s">
        <v>47</v>
      </c>
      <c r="E263" s="266" t="s">
        <v>47</v>
      </c>
      <c r="F263" s="266" t="s">
        <v>47</v>
      </c>
      <c r="G263" s="266" t="s">
        <v>47</v>
      </c>
      <c r="H263" s="266" t="s">
        <v>47</v>
      </c>
      <c r="I263" s="266" t="s">
        <v>47</v>
      </c>
      <c r="J263" s="338" t="s">
        <v>47</v>
      </c>
      <c r="K263" s="338" t="s">
        <v>47</v>
      </c>
      <c r="L263" s="592" t="s">
        <v>47</v>
      </c>
      <c r="M263" s="592" t="s">
        <v>47</v>
      </c>
      <c r="N263" s="592" t="s">
        <v>47</v>
      </c>
      <c r="O263" s="592" t="s">
        <v>47</v>
      </c>
      <c r="P263" s="592" t="s">
        <v>47</v>
      </c>
      <c r="Q263" s="592" t="s">
        <v>47</v>
      </c>
      <c r="R263" s="592" t="s">
        <v>47</v>
      </c>
      <c r="S263" s="592" t="s">
        <v>47</v>
      </c>
      <c r="T263" s="592" t="s">
        <v>47</v>
      </c>
      <c r="U263" s="592" t="s">
        <v>47</v>
      </c>
      <c r="V263" s="592" t="s">
        <v>47</v>
      </c>
      <c r="W263" s="592" t="s">
        <v>47</v>
      </c>
      <c r="X263" s="592" t="s">
        <v>47</v>
      </c>
      <c r="Y263" s="592" t="s">
        <v>47</v>
      </c>
      <c r="Z263" s="592" t="s">
        <v>47</v>
      </c>
      <c r="AA263" s="592" t="s">
        <v>47</v>
      </c>
      <c r="AB263" s="592" t="s">
        <v>47</v>
      </c>
      <c r="AC263" s="592" t="s">
        <v>47</v>
      </c>
      <c r="AD263" s="592" t="s">
        <v>47</v>
      </c>
      <c r="AE263" s="592" t="s">
        <v>47</v>
      </c>
      <c r="AF263" s="592" t="s">
        <v>47</v>
      </c>
      <c r="AG263" s="592" t="s">
        <v>47</v>
      </c>
      <c r="AH263" s="592" t="s">
        <v>47</v>
      </c>
      <c r="AI263" s="592" t="s">
        <v>47</v>
      </c>
      <c r="AJ263" s="348" t="s">
        <v>47</v>
      </c>
      <c r="AK263" s="348" t="s">
        <v>47</v>
      </c>
      <c r="AL263" s="348" t="s">
        <v>47</v>
      </c>
      <c r="AM263" s="348" t="s">
        <v>47</v>
      </c>
      <c r="AN263" s="348" t="s">
        <v>47</v>
      </c>
      <c r="AO263" s="348" t="s">
        <v>47</v>
      </c>
      <c r="AP263" s="348" t="s">
        <v>47</v>
      </c>
      <c r="AQ263" s="348" t="s">
        <v>47</v>
      </c>
      <c r="AR263" s="348" t="s">
        <v>47</v>
      </c>
      <c r="AS263" s="348" t="s">
        <v>47</v>
      </c>
      <c r="AT263" s="348" t="s">
        <v>47</v>
      </c>
      <c r="AU263" s="348" t="s">
        <v>47</v>
      </c>
      <c r="AV263" s="962" t="s">
        <v>47</v>
      </c>
      <c r="AW263" s="348" t="s">
        <v>47</v>
      </c>
      <c r="AX263" s="348" t="s">
        <v>47</v>
      </c>
      <c r="AY263" s="348" t="s">
        <v>47</v>
      </c>
      <c r="AZ263" s="348" t="s">
        <v>47</v>
      </c>
      <c r="BA263" s="348" t="s">
        <v>47</v>
      </c>
      <c r="BB263" s="348" t="s">
        <v>47</v>
      </c>
      <c r="BC263" s="348" t="s">
        <v>47</v>
      </c>
      <c r="BD263" s="348" t="s">
        <v>47</v>
      </c>
      <c r="BE263" s="348" t="s">
        <v>47</v>
      </c>
      <c r="BF263" s="348" t="s">
        <v>47</v>
      </c>
      <c r="BG263" s="348" t="s">
        <v>47</v>
      </c>
      <c r="BH263" s="348" t="s">
        <v>47</v>
      </c>
      <c r="BI263" s="348" t="s">
        <v>47</v>
      </c>
      <c r="BJ263" s="348" t="s">
        <v>47</v>
      </c>
      <c r="BK263" s="348" t="s">
        <v>47</v>
      </c>
      <c r="BL263" s="348" t="s">
        <v>47</v>
      </c>
      <c r="BM263" s="348" t="s">
        <v>47</v>
      </c>
      <c r="BN263" s="348" t="s">
        <v>47</v>
      </c>
      <c r="BO263" s="348" t="s">
        <v>47</v>
      </c>
      <c r="BP263" s="348" t="s">
        <v>47</v>
      </c>
      <c r="BQ263" s="348">
        <v>1478</v>
      </c>
      <c r="BR263" s="348">
        <v>1478</v>
      </c>
      <c r="BS263" s="348">
        <v>1478</v>
      </c>
      <c r="BT263" s="348">
        <v>1478</v>
      </c>
      <c r="BU263" s="348">
        <v>1478</v>
      </c>
      <c r="BV263" s="348">
        <v>1478</v>
      </c>
      <c r="BW263" s="348">
        <v>1478</v>
      </c>
      <c r="BX263" s="348">
        <v>1478</v>
      </c>
      <c r="BY263" s="348">
        <v>1478</v>
      </c>
      <c r="BZ263" s="592">
        <v>1478</v>
      </c>
      <c r="CA263" s="592">
        <v>1478</v>
      </c>
      <c r="CB263" s="592">
        <v>1478</v>
      </c>
      <c r="CC263" s="592">
        <v>1478</v>
      </c>
      <c r="CD263" s="592">
        <v>1478</v>
      </c>
      <c r="CE263" s="592">
        <v>1478</v>
      </c>
      <c r="CF263" s="592">
        <v>1478</v>
      </c>
      <c r="CG263" s="592">
        <v>1478</v>
      </c>
      <c r="CH263" s="592">
        <v>1478</v>
      </c>
      <c r="CI263" s="592">
        <v>1478</v>
      </c>
      <c r="CJ263" s="592">
        <v>1478</v>
      </c>
      <c r="CK263" s="592">
        <v>1478</v>
      </c>
      <c r="CL263" s="592">
        <v>1478</v>
      </c>
      <c r="CM263" s="592">
        <v>1478</v>
      </c>
      <c r="CN263" s="592">
        <v>1478</v>
      </c>
      <c r="CO263"/>
      <c r="CP263"/>
      <c r="CQ263"/>
      <c r="CR263"/>
      <c r="CS263"/>
      <c r="CT263"/>
      <c r="CU263"/>
      <c r="CV263"/>
      <c r="CW263"/>
      <c r="CX263"/>
      <c r="CY263"/>
      <c r="CZ263"/>
      <c r="DA263"/>
      <c r="DB263"/>
      <c r="DC263"/>
      <c r="DD263"/>
    </row>
    <row r="264" spans="1:108" x14ac:dyDescent="0.25">
      <c r="B264" s="117" t="s">
        <v>142</v>
      </c>
      <c r="C264" s="265" t="s">
        <v>47</v>
      </c>
      <c r="D264" s="265" t="s">
        <v>47</v>
      </c>
      <c r="E264" s="265" t="s">
        <v>47</v>
      </c>
      <c r="F264" s="265" t="s">
        <v>47</v>
      </c>
      <c r="G264" s="265" t="s">
        <v>47</v>
      </c>
      <c r="H264" s="265" t="s">
        <v>47</v>
      </c>
      <c r="I264" s="265" t="s">
        <v>47</v>
      </c>
      <c r="J264" s="338" t="s">
        <v>47</v>
      </c>
      <c r="K264" s="338" t="s">
        <v>47</v>
      </c>
      <c r="L264" s="592" t="s">
        <v>47</v>
      </c>
      <c r="M264" s="592" t="s">
        <v>47</v>
      </c>
      <c r="N264" s="592" t="s">
        <v>47</v>
      </c>
      <c r="O264" s="592" t="s">
        <v>47</v>
      </c>
      <c r="P264" s="592" t="s">
        <v>47</v>
      </c>
      <c r="Q264" s="592" t="s">
        <v>47</v>
      </c>
      <c r="R264" s="592" t="s">
        <v>47</v>
      </c>
      <c r="S264" s="592" t="s">
        <v>47</v>
      </c>
      <c r="T264" s="592" t="s">
        <v>47</v>
      </c>
      <c r="U264" s="592" t="s">
        <v>47</v>
      </c>
      <c r="V264" s="592" t="s">
        <v>47</v>
      </c>
      <c r="W264" s="592" t="s">
        <v>47</v>
      </c>
      <c r="X264" s="592" t="s">
        <v>47</v>
      </c>
      <c r="Y264" s="592" t="s">
        <v>47</v>
      </c>
      <c r="Z264" s="592" t="s">
        <v>47</v>
      </c>
      <c r="AA264" s="592" t="s">
        <v>47</v>
      </c>
      <c r="AB264" s="592" t="s">
        <v>47</v>
      </c>
      <c r="AC264" s="592" t="s">
        <v>47</v>
      </c>
      <c r="AD264" s="592" t="s">
        <v>47</v>
      </c>
      <c r="AE264" s="592" t="s">
        <v>47</v>
      </c>
      <c r="AF264" s="592" t="s">
        <v>47</v>
      </c>
      <c r="AG264" s="592" t="s">
        <v>47</v>
      </c>
      <c r="AH264" s="592" t="s">
        <v>47</v>
      </c>
      <c r="AI264" s="592" t="s">
        <v>47</v>
      </c>
      <c r="AJ264" s="348" t="s">
        <v>47</v>
      </c>
      <c r="AK264" s="348" t="s">
        <v>47</v>
      </c>
      <c r="AL264" s="348" t="s">
        <v>47</v>
      </c>
      <c r="AM264" s="348" t="s">
        <v>47</v>
      </c>
      <c r="AN264" s="348" t="s">
        <v>47</v>
      </c>
      <c r="AO264" s="348" t="s">
        <v>47</v>
      </c>
      <c r="AP264" s="348" t="s">
        <v>47</v>
      </c>
      <c r="AQ264" s="348" t="s">
        <v>47</v>
      </c>
      <c r="AR264" s="348" t="s">
        <v>47</v>
      </c>
      <c r="AS264" s="348" t="s">
        <v>47</v>
      </c>
      <c r="AT264" s="348" t="s">
        <v>47</v>
      </c>
      <c r="AU264" s="348" t="s">
        <v>47</v>
      </c>
      <c r="AV264" s="962" t="s">
        <v>47</v>
      </c>
      <c r="AW264" s="350" t="s">
        <v>47</v>
      </c>
      <c r="AX264" s="350" t="s">
        <v>47</v>
      </c>
      <c r="AY264" s="348" t="s">
        <v>47</v>
      </c>
      <c r="AZ264" s="348" t="s">
        <v>47</v>
      </c>
      <c r="BA264" s="348" t="s">
        <v>47</v>
      </c>
      <c r="BB264" s="348" t="s">
        <v>47</v>
      </c>
      <c r="BC264" s="348" t="s">
        <v>47</v>
      </c>
      <c r="BD264" s="348" t="s">
        <v>47</v>
      </c>
      <c r="BE264" s="348" t="s">
        <v>47</v>
      </c>
      <c r="BF264" s="348" t="s">
        <v>47</v>
      </c>
      <c r="BG264" s="348" t="s">
        <v>47</v>
      </c>
      <c r="BH264" s="348" t="s">
        <v>47</v>
      </c>
      <c r="BI264" s="348" t="s">
        <v>47</v>
      </c>
      <c r="BJ264" s="348" t="s">
        <v>47</v>
      </c>
      <c r="BK264" s="348" t="s">
        <v>47</v>
      </c>
      <c r="BL264" s="348" t="s">
        <v>47</v>
      </c>
      <c r="BM264" s="348" t="s">
        <v>47</v>
      </c>
      <c r="BN264" s="348" t="s">
        <v>47</v>
      </c>
      <c r="BO264" s="348" t="s">
        <v>47</v>
      </c>
      <c r="BP264" s="348" t="s">
        <v>47</v>
      </c>
      <c r="BQ264" s="348" t="s">
        <v>47</v>
      </c>
      <c r="BR264" s="348" t="s">
        <v>47</v>
      </c>
      <c r="BS264" s="348" t="s">
        <v>47</v>
      </c>
      <c r="BT264" s="348" t="s">
        <v>47</v>
      </c>
      <c r="BU264" s="348" t="s">
        <v>47</v>
      </c>
      <c r="BV264" s="348" t="s">
        <v>47</v>
      </c>
      <c r="BW264" s="348" t="s">
        <v>47</v>
      </c>
      <c r="BX264" s="348" t="s">
        <v>47</v>
      </c>
      <c r="BY264" s="343">
        <v>1699</v>
      </c>
      <c r="BZ264" s="592">
        <v>1699</v>
      </c>
      <c r="CA264" s="592">
        <v>1699</v>
      </c>
      <c r="CB264" s="592">
        <v>1699</v>
      </c>
      <c r="CC264" s="592">
        <v>1699</v>
      </c>
      <c r="CD264" s="592">
        <v>1699</v>
      </c>
      <c r="CE264" s="592">
        <v>1699</v>
      </c>
      <c r="CF264" s="592">
        <v>1699</v>
      </c>
      <c r="CG264" s="592">
        <v>1699</v>
      </c>
      <c r="CH264" s="592">
        <v>1699</v>
      </c>
      <c r="CI264" s="592">
        <v>1699</v>
      </c>
      <c r="CJ264" s="592" t="s">
        <v>47</v>
      </c>
      <c r="CK264" s="592" t="s">
        <v>47</v>
      </c>
      <c r="CL264" s="592" t="s">
        <v>47</v>
      </c>
      <c r="CM264" s="592" t="s">
        <v>47</v>
      </c>
      <c r="CN264" s="592" t="s">
        <v>47</v>
      </c>
      <c r="CO264"/>
      <c r="CP264"/>
      <c r="CQ264"/>
      <c r="CR264"/>
      <c r="CS264"/>
      <c r="CT264"/>
      <c r="CU264"/>
      <c r="CV264"/>
      <c r="CW264"/>
      <c r="CX264"/>
      <c r="CY264"/>
      <c r="CZ264"/>
      <c r="DA264"/>
      <c r="DB264"/>
      <c r="DC264"/>
      <c r="DD264"/>
    </row>
    <row r="265" spans="1:108" x14ac:dyDescent="0.25">
      <c r="B265" s="117" t="s">
        <v>136</v>
      </c>
      <c r="C265" s="266" t="s">
        <v>47</v>
      </c>
      <c r="D265" s="266" t="s">
        <v>47</v>
      </c>
      <c r="E265" s="266" t="s">
        <v>47</v>
      </c>
      <c r="F265" s="266" t="s">
        <v>47</v>
      </c>
      <c r="G265" s="266" t="s">
        <v>47</v>
      </c>
      <c r="H265" s="266" t="s">
        <v>47</v>
      </c>
      <c r="I265" s="266" t="s">
        <v>47</v>
      </c>
      <c r="J265" s="338" t="s">
        <v>47</v>
      </c>
      <c r="K265" s="338" t="s">
        <v>47</v>
      </c>
      <c r="L265" s="592" t="s">
        <v>47</v>
      </c>
      <c r="M265" s="592" t="s">
        <v>47</v>
      </c>
      <c r="N265" s="592" t="s">
        <v>47</v>
      </c>
      <c r="O265" s="592" t="s">
        <v>47</v>
      </c>
      <c r="P265" s="592" t="s">
        <v>47</v>
      </c>
      <c r="Q265" s="592" t="s">
        <v>47</v>
      </c>
      <c r="R265" s="592" t="s">
        <v>47</v>
      </c>
      <c r="S265" s="592" t="s">
        <v>47</v>
      </c>
      <c r="T265" s="592" t="s">
        <v>47</v>
      </c>
      <c r="U265" s="592" t="s">
        <v>47</v>
      </c>
      <c r="V265" s="592" t="s">
        <v>47</v>
      </c>
      <c r="W265" s="592" t="s">
        <v>47</v>
      </c>
      <c r="X265" s="592" t="s">
        <v>47</v>
      </c>
      <c r="Y265" s="592" t="s">
        <v>47</v>
      </c>
      <c r="Z265" s="592" t="s">
        <v>47</v>
      </c>
      <c r="AA265" s="592" t="s">
        <v>47</v>
      </c>
      <c r="AB265" s="592" t="s">
        <v>47</v>
      </c>
      <c r="AC265" s="592" t="s">
        <v>47</v>
      </c>
      <c r="AD265" s="592" t="s">
        <v>47</v>
      </c>
      <c r="AE265" s="592" t="s">
        <v>47</v>
      </c>
      <c r="AF265" s="592" t="s">
        <v>47</v>
      </c>
      <c r="AG265" s="592" t="s">
        <v>47</v>
      </c>
      <c r="AH265" s="592" t="s">
        <v>47</v>
      </c>
      <c r="AI265" s="592" t="s">
        <v>47</v>
      </c>
      <c r="AJ265" s="348" t="s">
        <v>47</v>
      </c>
      <c r="AK265" s="348" t="s">
        <v>47</v>
      </c>
      <c r="AL265" s="348" t="s">
        <v>47</v>
      </c>
      <c r="AM265" s="348" t="s">
        <v>47</v>
      </c>
      <c r="AN265" s="348" t="s">
        <v>47</v>
      </c>
      <c r="AO265" s="348" t="s">
        <v>47</v>
      </c>
      <c r="AP265" s="348" t="s">
        <v>47</v>
      </c>
      <c r="AQ265" s="348" t="s">
        <v>47</v>
      </c>
      <c r="AR265" s="348" t="s">
        <v>47</v>
      </c>
      <c r="AS265" s="348" t="s">
        <v>47</v>
      </c>
      <c r="AT265" s="348" t="s">
        <v>47</v>
      </c>
      <c r="AU265" s="348" t="s">
        <v>47</v>
      </c>
      <c r="AV265" s="962" t="s">
        <v>47</v>
      </c>
      <c r="AW265" s="348" t="s">
        <v>47</v>
      </c>
      <c r="AX265" s="348" t="s">
        <v>47</v>
      </c>
      <c r="AY265" s="348" t="s">
        <v>47</v>
      </c>
      <c r="AZ265" s="348" t="s">
        <v>47</v>
      </c>
      <c r="BA265" s="348" t="s">
        <v>47</v>
      </c>
      <c r="BB265" s="348" t="s">
        <v>47</v>
      </c>
      <c r="BC265" s="348" t="s">
        <v>47</v>
      </c>
      <c r="BD265" s="348" t="s">
        <v>47</v>
      </c>
      <c r="BE265" s="348" t="s">
        <v>47</v>
      </c>
      <c r="BF265" s="348" t="s">
        <v>47</v>
      </c>
      <c r="BG265" s="348" t="s">
        <v>47</v>
      </c>
      <c r="BH265" s="348" t="s">
        <v>47</v>
      </c>
      <c r="BI265" s="348" t="s">
        <v>47</v>
      </c>
      <c r="BJ265" s="348" t="s">
        <v>47</v>
      </c>
      <c r="BK265" s="348" t="s">
        <v>47</v>
      </c>
      <c r="BL265" s="348" t="s">
        <v>47</v>
      </c>
      <c r="BM265" s="348" t="s">
        <v>47</v>
      </c>
      <c r="BN265" s="348" t="s">
        <v>47</v>
      </c>
      <c r="BO265" s="348" t="s">
        <v>47</v>
      </c>
      <c r="BP265" s="348" t="s">
        <v>47</v>
      </c>
      <c r="BQ265" s="348">
        <v>1296</v>
      </c>
      <c r="BR265" s="348">
        <v>1296</v>
      </c>
      <c r="BS265" s="348">
        <v>1296</v>
      </c>
      <c r="BT265" s="348">
        <v>1296</v>
      </c>
      <c r="BU265" s="348">
        <v>1297</v>
      </c>
      <c r="BV265" s="348">
        <v>1297</v>
      </c>
      <c r="BW265" s="348">
        <v>1297</v>
      </c>
      <c r="BX265" s="348">
        <v>1297</v>
      </c>
      <c r="BY265" s="343">
        <v>1552</v>
      </c>
      <c r="BZ265" s="592">
        <v>1552</v>
      </c>
      <c r="CA265" s="592">
        <v>1552</v>
      </c>
      <c r="CB265" s="592">
        <v>1552</v>
      </c>
      <c r="CC265" s="592">
        <v>1552</v>
      </c>
      <c r="CD265" s="343">
        <v>1573.5</v>
      </c>
      <c r="CE265" s="592">
        <v>1573.5</v>
      </c>
      <c r="CF265" s="592">
        <v>1573.5</v>
      </c>
      <c r="CG265" s="592">
        <v>1573.5</v>
      </c>
      <c r="CH265" s="592">
        <v>1573.5</v>
      </c>
      <c r="CI265" s="592">
        <v>1573.5</v>
      </c>
      <c r="CJ265" s="592">
        <v>1573.5</v>
      </c>
      <c r="CK265" s="592">
        <v>1573.5</v>
      </c>
      <c r="CL265" s="592">
        <v>1573.5</v>
      </c>
      <c r="CM265" s="592">
        <v>1573.5</v>
      </c>
      <c r="CN265" s="592">
        <v>1573.5</v>
      </c>
      <c r="CO265"/>
      <c r="CP265"/>
      <c r="CQ265"/>
      <c r="CR265"/>
      <c r="CS265"/>
      <c r="CT265"/>
      <c r="CU265"/>
      <c r="CV265"/>
      <c r="CW265"/>
      <c r="CX265"/>
      <c r="CY265"/>
      <c r="CZ265"/>
      <c r="DA265"/>
      <c r="DB265"/>
      <c r="DC265"/>
      <c r="DD265"/>
    </row>
    <row r="266" spans="1:108" x14ac:dyDescent="0.25">
      <c r="B266" s="117" t="s">
        <v>1218</v>
      </c>
      <c r="C266" s="266" t="s">
        <v>47</v>
      </c>
      <c r="D266" s="266" t="s">
        <v>47</v>
      </c>
      <c r="E266" s="266" t="s">
        <v>47</v>
      </c>
      <c r="F266" s="266" t="s">
        <v>47</v>
      </c>
      <c r="G266" s="266" t="s">
        <v>47</v>
      </c>
      <c r="H266" s="266" t="s">
        <v>47</v>
      </c>
      <c r="I266" s="266" t="s">
        <v>47</v>
      </c>
      <c r="J266" s="266" t="s">
        <v>47</v>
      </c>
      <c r="K266" s="266" t="s">
        <v>47</v>
      </c>
      <c r="L266" s="266" t="s">
        <v>47</v>
      </c>
      <c r="M266" s="266" t="s">
        <v>47</v>
      </c>
      <c r="N266" s="266" t="s">
        <v>47</v>
      </c>
      <c r="O266" s="266" t="s">
        <v>47</v>
      </c>
      <c r="P266" s="266" t="s">
        <v>47</v>
      </c>
      <c r="Q266" s="266" t="s">
        <v>47</v>
      </c>
      <c r="R266" s="266" t="s">
        <v>47</v>
      </c>
      <c r="S266" s="266" t="s">
        <v>47</v>
      </c>
      <c r="T266" s="266" t="s">
        <v>47</v>
      </c>
      <c r="U266" s="266" t="s">
        <v>47</v>
      </c>
      <c r="V266" s="266" t="s">
        <v>47</v>
      </c>
      <c r="W266" s="266" t="s">
        <v>47</v>
      </c>
      <c r="X266" s="266" t="s">
        <v>47</v>
      </c>
      <c r="Y266" s="266" t="s">
        <v>47</v>
      </c>
      <c r="Z266" s="266" t="s">
        <v>47</v>
      </c>
      <c r="AA266" s="266" t="s">
        <v>47</v>
      </c>
      <c r="AB266" s="266" t="s">
        <v>47</v>
      </c>
      <c r="AC266" s="266" t="s">
        <v>47</v>
      </c>
      <c r="AD266" s="266" t="s">
        <v>47</v>
      </c>
      <c r="AE266" s="266" t="s">
        <v>47</v>
      </c>
      <c r="AF266" s="266" t="s">
        <v>47</v>
      </c>
      <c r="AG266" s="266" t="s">
        <v>47</v>
      </c>
      <c r="AH266" s="266" t="s">
        <v>47</v>
      </c>
      <c r="AI266" s="266" t="s">
        <v>47</v>
      </c>
      <c r="AJ266" s="266" t="s">
        <v>47</v>
      </c>
      <c r="AK266" s="266" t="s">
        <v>47</v>
      </c>
      <c r="AL266" s="266" t="s">
        <v>47</v>
      </c>
      <c r="AM266" s="266" t="s">
        <v>47</v>
      </c>
      <c r="AN266" s="266" t="s">
        <v>47</v>
      </c>
      <c r="AO266" s="266" t="s">
        <v>47</v>
      </c>
      <c r="AP266" s="266" t="s">
        <v>47</v>
      </c>
      <c r="AQ266" s="266" t="s">
        <v>47</v>
      </c>
      <c r="AR266" s="266" t="s">
        <v>47</v>
      </c>
      <c r="AS266" s="266" t="s">
        <v>47</v>
      </c>
      <c r="AT266" s="266" t="s">
        <v>47</v>
      </c>
      <c r="AU266" s="266" t="s">
        <v>47</v>
      </c>
      <c r="AV266" s="266" t="s">
        <v>47</v>
      </c>
      <c r="AW266" s="266" t="s">
        <v>47</v>
      </c>
      <c r="AX266" s="266" t="s">
        <v>47</v>
      </c>
      <c r="AY266" s="266" t="s">
        <v>47</v>
      </c>
      <c r="AZ266" s="266" t="s">
        <v>47</v>
      </c>
      <c r="BA266" s="266" t="s">
        <v>47</v>
      </c>
      <c r="BB266" s="266" t="s">
        <v>47</v>
      </c>
      <c r="BC266" s="266" t="s">
        <v>47</v>
      </c>
      <c r="BD266" s="266" t="s">
        <v>47</v>
      </c>
      <c r="BE266" s="266" t="s">
        <v>47</v>
      </c>
      <c r="BF266" s="266" t="s">
        <v>47</v>
      </c>
      <c r="BG266" s="266" t="s">
        <v>47</v>
      </c>
      <c r="BH266" s="266" t="s">
        <v>47</v>
      </c>
      <c r="BI266" s="266" t="s">
        <v>47</v>
      </c>
      <c r="BJ266" s="266" t="s">
        <v>47</v>
      </c>
      <c r="BK266" s="266" t="s">
        <v>47</v>
      </c>
      <c r="BL266" s="266" t="s">
        <v>47</v>
      </c>
      <c r="BM266" s="266" t="s">
        <v>47</v>
      </c>
      <c r="BN266" s="348">
        <v>1513</v>
      </c>
      <c r="BO266" s="348">
        <v>1513</v>
      </c>
      <c r="BP266" s="348">
        <v>1513</v>
      </c>
      <c r="BQ266" s="343">
        <v>1396</v>
      </c>
      <c r="BR266" s="348">
        <v>1396</v>
      </c>
      <c r="BS266" s="348">
        <v>1396</v>
      </c>
      <c r="BT266" s="348">
        <v>1387</v>
      </c>
      <c r="BU266" s="348">
        <v>1387</v>
      </c>
      <c r="BV266" s="348">
        <v>1387</v>
      </c>
      <c r="BW266" s="348">
        <v>1387</v>
      </c>
      <c r="BX266" s="348">
        <v>1387</v>
      </c>
      <c r="BY266" s="348">
        <v>1387</v>
      </c>
      <c r="BZ266" s="592">
        <v>1387</v>
      </c>
      <c r="CA266" s="592">
        <v>1387</v>
      </c>
      <c r="CB266" s="343">
        <v>1624</v>
      </c>
      <c r="CC266" s="592">
        <v>1624</v>
      </c>
      <c r="CD266" s="592">
        <v>1624</v>
      </c>
      <c r="CE266" s="592">
        <v>1624</v>
      </c>
      <c r="CF266" s="592">
        <v>1624</v>
      </c>
      <c r="CG266" s="592">
        <v>1624</v>
      </c>
      <c r="CH266" s="592">
        <v>1624</v>
      </c>
      <c r="CI266" s="592" t="s">
        <v>47</v>
      </c>
      <c r="CJ266" s="592" t="s">
        <v>47</v>
      </c>
      <c r="CK266" s="592" t="s">
        <v>47</v>
      </c>
      <c r="CL266" s="592" t="s">
        <v>47</v>
      </c>
      <c r="CM266" s="592" t="s">
        <v>47</v>
      </c>
      <c r="CN266" s="592" t="s">
        <v>47</v>
      </c>
      <c r="CO266"/>
      <c r="CP266"/>
      <c r="CQ266"/>
      <c r="CR266"/>
      <c r="CS266"/>
      <c r="CT266"/>
      <c r="CU266"/>
      <c r="CV266"/>
      <c r="CW266"/>
      <c r="CX266"/>
      <c r="CY266"/>
      <c r="CZ266"/>
      <c r="DA266"/>
      <c r="DB266"/>
      <c r="DC266"/>
      <c r="DD266"/>
    </row>
    <row r="267" spans="1:108" x14ac:dyDescent="0.25">
      <c r="A267"/>
      <c r="B267" s="1117" t="s">
        <v>381</v>
      </c>
      <c r="C267" s="1124" t="str">
        <f t="shared" ref="C267:AH267" si="205">IFERROR(AVERAGE(C262:C266),"-")</f>
        <v>-</v>
      </c>
      <c r="D267" s="1124" t="str">
        <f t="shared" si="205"/>
        <v>-</v>
      </c>
      <c r="E267" s="1124" t="str">
        <f t="shared" si="205"/>
        <v>-</v>
      </c>
      <c r="F267" s="1124" t="str">
        <f t="shared" si="205"/>
        <v>-</v>
      </c>
      <c r="G267" s="1124" t="str">
        <f t="shared" si="205"/>
        <v>-</v>
      </c>
      <c r="H267" s="1124" t="str">
        <f t="shared" si="205"/>
        <v>-</v>
      </c>
      <c r="I267" s="1124" t="str">
        <f t="shared" si="205"/>
        <v>-</v>
      </c>
      <c r="J267" s="1124" t="str">
        <f t="shared" si="205"/>
        <v>-</v>
      </c>
      <c r="K267" s="1124" t="str">
        <f t="shared" si="205"/>
        <v>-</v>
      </c>
      <c r="L267" s="1124" t="str">
        <f t="shared" si="205"/>
        <v>-</v>
      </c>
      <c r="M267" s="1124" t="str">
        <f t="shared" si="205"/>
        <v>-</v>
      </c>
      <c r="N267" s="1124" t="str">
        <f t="shared" si="205"/>
        <v>-</v>
      </c>
      <c r="O267" s="1124" t="str">
        <f t="shared" si="205"/>
        <v>-</v>
      </c>
      <c r="P267" s="1124" t="str">
        <f t="shared" si="205"/>
        <v>-</v>
      </c>
      <c r="Q267" s="1124" t="str">
        <f t="shared" si="205"/>
        <v>-</v>
      </c>
      <c r="R267" s="1124" t="str">
        <f t="shared" si="205"/>
        <v>-</v>
      </c>
      <c r="S267" s="1124" t="str">
        <f t="shared" si="205"/>
        <v>-</v>
      </c>
      <c r="T267" s="1124" t="str">
        <f t="shared" si="205"/>
        <v>-</v>
      </c>
      <c r="U267" s="1124" t="str">
        <f t="shared" si="205"/>
        <v>-</v>
      </c>
      <c r="V267" s="1124" t="str">
        <f t="shared" si="205"/>
        <v>-</v>
      </c>
      <c r="W267" s="1124" t="str">
        <f t="shared" si="205"/>
        <v>-</v>
      </c>
      <c r="X267" s="1124" t="str">
        <f t="shared" si="205"/>
        <v>-</v>
      </c>
      <c r="Y267" s="1124" t="str">
        <f t="shared" si="205"/>
        <v>-</v>
      </c>
      <c r="Z267" s="1124" t="str">
        <f t="shared" si="205"/>
        <v>-</v>
      </c>
      <c r="AA267" s="1124" t="str">
        <f t="shared" si="205"/>
        <v>-</v>
      </c>
      <c r="AB267" s="1124" t="str">
        <f t="shared" si="205"/>
        <v>-</v>
      </c>
      <c r="AC267" s="1124" t="str">
        <f t="shared" si="205"/>
        <v>-</v>
      </c>
      <c r="AD267" s="1124" t="str">
        <f t="shared" si="205"/>
        <v>-</v>
      </c>
      <c r="AE267" s="1124" t="str">
        <f t="shared" si="205"/>
        <v>-</v>
      </c>
      <c r="AF267" s="1124" t="str">
        <f t="shared" si="205"/>
        <v>-</v>
      </c>
      <c r="AG267" s="1124" t="str">
        <f t="shared" si="205"/>
        <v>-</v>
      </c>
      <c r="AH267" s="1124" t="str">
        <f t="shared" si="205"/>
        <v>-</v>
      </c>
      <c r="AI267" s="1124" t="str">
        <f t="shared" ref="AI267:BN267" si="206">IFERROR(AVERAGE(AI262:AI266),"-")</f>
        <v>-</v>
      </c>
      <c r="AJ267" s="1124" t="str">
        <f t="shared" si="206"/>
        <v>-</v>
      </c>
      <c r="AK267" s="1124" t="str">
        <f t="shared" si="206"/>
        <v>-</v>
      </c>
      <c r="AL267" s="1124" t="str">
        <f t="shared" si="206"/>
        <v>-</v>
      </c>
      <c r="AM267" s="1124" t="str">
        <f t="shared" si="206"/>
        <v>-</v>
      </c>
      <c r="AN267" s="1124" t="str">
        <f t="shared" si="206"/>
        <v>-</v>
      </c>
      <c r="AO267" s="1124" t="str">
        <f t="shared" si="206"/>
        <v>-</v>
      </c>
      <c r="AP267" s="1124" t="str">
        <f t="shared" si="206"/>
        <v>-</v>
      </c>
      <c r="AQ267" s="1124" t="str">
        <f t="shared" si="206"/>
        <v>-</v>
      </c>
      <c r="AR267" s="1124" t="str">
        <f t="shared" si="206"/>
        <v>-</v>
      </c>
      <c r="AS267" s="1124" t="str">
        <f t="shared" si="206"/>
        <v>-</v>
      </c>
      <c r="AT267" s="1124" t="str">
        <f t="shared" si="206"/>
        <v>-</v>
      </c>
      <c r="AU267" s="1124" t="str">
        <f t="shared" si="206"/>
        <v>-</v>
      </c>
      <c r="AV267" s="1124" t="str">
        <f t="shared" si="206"/>
        <v>-</v>
      </c>
      <c r="AW267" s="1124" t="str">
        <f t="shared" si="206"/>
        <v>-</v>
      </c>
      <c r="AX267" s="1124" t="str">
        <f t="shared" si="206"/>
        <v>-</v>
      </c>
      <c r="AY267" s="1124" t="str">
        <f t="shared" si="206"/>
        <v>-</v>
      </c>
      <c r="AZ267" s="1124" t="str">
        <f t="shared" si="206"/>
        <v>-</v>
      </c>
      <c r="BA267" s="1124" t="str">
        <f t="shared" si="206"/>
        <v>-</v>
      </c>
      <c r="BB267" s="1124" t="str">
        <f t="shared" si="206"/>
        <v>-</v>
      </c>
      <c r="BC267" s="1124" t="str">
        <f t="shared" si="206"/>
        <v>-</v>
      </c>
      <c r="BD267" s="1124" t="str">
        <f t="shared" si="206"/>
        <v>-</v>
      </c>
      <c r="BE267" s="1124" t="str">
        <f t="shared" si="206"/>
        <v>-</v>
      </c>
      <c r="BF267" s="1124" t="str">
        <f t="shared" si="206"/>
        <v>-</v>
      </c>
      <c r="BG267" s="1124" t="str">
        <f t="shared" si="206"/>
        <v>-</v>
      </c>
      <c r="BH267" s="1124" t="str">
        <f t="shared" si="206"/>
        <v>-</v>
      </c>
      <c r="BI267" s="1124" t="str">
        <f t="shared" si="206"/>
        <v>-</v>
      </c>
      <c r="BJ267" s="1124" t="str">
        <f t="shared" si="206"/>
        <v>-</v>
      </c>
      <c r="BK267" s="1124" t="str">
        <f t="shared" si="206"/>
        <v>-</v>
      </c>
      <c r="BL267" s="1124" t="str">
        <f t="shared" si="206"/>
        <v>-</v>
      </c>
      <c r="BM267" s="1124" t="str">
        <f t="shared" si="206"/>
        <v>-</v>
      </c>
      <c r="BN267" s="1124">
        <f t="shared" si="206"/>
        <v>1513</v>
      </c>
      <c r="BO267" s="1124">
        <f t="shared" ref="BO267:CN267" si="207">IFERROR(AVERAGE(BO262:BO266),"-")</f>
        <v>1513</v>
      </c>
      <c r="BP267" s="1124">
        <f t="shared" si="207"/>
        <v>1513</v>
      </c>
      <c r="BQ267" s="1124">
        <f t="shared" si="207"/>
        <v>1366.5</v>
      </c>
      <c r="BR267" s="1124">
        <f t="shared" si="207"/>
        <v>1366.5</v>
      </c>
      <c r="BS267" s="1124">
        <f t="shared" si="207"/>
        <v>1366.5</v>
      </c>
      <c r="BT267" s="1124">
        <f t="shared" si="207"/>
        <v>1364.25</v>
      </c>
      <c r="BU267" s="1124">
        <f t="shared" si="207"/>
        <v>1364.5</v>
      </c>
      <c r="BV267" s="1124">
        <f t="shared" si="207"/>
        <v>1364.5</v>
      </c>
      <c r="BW267" s="1124">
        <f t="shared" si="207"/>
        <v>1364.5</v>
      </c>
      <c r="BX267" s="1124">
        <f t="shared" si="207"/>
        <v>1364.5</v>
      </c>
      <c r="BY267" s="1124">
        <f t="shared" si="207"/>
        <v>1482.4</v>
      </c>
      <c r="BZ267" s="1124">
        <f t="shared" si="207"/>
        <v>1482.4</v>
      </c>
      <c r="CA267" s="1124">
        <f t="shared" si="207"/>
        <v>1482.4</v>
      </c>
      <c r="CB267" s="1124">
        <f t="shared" si="207"/>
        <v>1529.8</v>
      </c>
      <c r="CC267" s="1124">
        <f t="shared" si="207"/>
        <v>1566.2</v>
      </c>
      <c r="CD267" s="1124">
        <f t="shared" si="207"/>
        <v>1570.5</v>
      </c>
      <c r="CE267" s="1124">
        <f t="shared" si="207"/>
        <v>1570.5</v>
      </c>
      <c r="CF267" s="1124">
        <f t="shared" si="207"/>
        <v>1570.5</v>
      </c>
      <c r="CG267" s="1124">
        <f t="shared" si="207"/>
        <v>1570.5</v>
      </c>
      <c r="CH267" s="1124">
        <f t="shared" si="207"/>
        <v>1570.5</v>
      </c>
      <c r="CI267" s="1124">
        <f t="shared" si="207"/>
        <v>1557.125</v>
      </c>
      <c r="CJ267" s="1124">
        <f t="shared" si="207"/>
        <v>1509.8333333333333</v>
      </c>
      <c r="CK267" s="1124">
        <f t="shared" si="207"/>
        <v>1509.8333333333333</v>
      </c>
      <c r="CL267" s="1124">
        <f t="shared" si="207"/>
        <v>1509.8333333333333</v>
      </c>
      <c r="CM267" s="1124">
        <f t="shared" si="207"/>
        <v>1509.8333333333333</v>
      </c>
      <c r="CN267" s="1124">
        <f t="shared" si="207"/>
        <v>1509.8333333333333</v>
      </c>
      <c r="CO267"/>
      <c r="CP267"/>
      <c r="CQ267"/>
      <c r="CR267"/>
      <c r="CS267"/>
      <c r="CT267"/>
      <c r="CU267"/>
      <c r="CV267"/>
      <c r="CW267"/>
      <c r="CX267"/>
      <c r="CY267"/>
      <c r="CZ267"/>
      <c r="DA267"/>
      <c r="DB267"/>
      <c r="DC267"/>
      <c r="DD267"/>
    </row>
    <row r="268" spans="1:108" customFormat="1" x14ac:dyDescent="0.25">
      <c r="A268" s="263"/>
      <c r="B268" s="263"/>
      <c r="C268" s="263"/>
      <c r="D268" s="263"/>
      <c r="E268" s="263"/>
      <c r="F268" s="263"/>
      <c r="G268" s="263"/>
      <c r="H268" s="263"/>
      <c r="I268" s="263"/>
      <c r="J268" s="263"/>
      <c r="K268" s="263"/>
      <c r="L268" s="263"/>
      <c r="M268" s="263"/>
      <c r="N268" s="263"/>
      <c r="O268" s="263"/>
      <c r="P268" s="263"/>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c r="AS268" s="341"/>
      <c r="AV268" s="950"/>
    </row>
    <row r="269" spans="1:108" customFormat="1" x14ac:dyDescent="0.25">
      <c r="A269" s="263"/>
      <c r="B269" s="113" t="s">
        <v>1163</v>
      </c>
      <c r="C269" s="264">
        <f>C$4</f>
        <v>42522</v>
      </c>
      <c r="D269" s="264">
        <f t="shared" ref="D269:BO269" si="208">D$4</f>
        <v>42552</v>
      </c>
      <c r="E269" s="264">
        <f t="shared" si="208"/>
        <v>42583</v>
      </c>
      <c r="F269" s="264">
        <f t="shared" si="208"/>
        <v>42614</v>
      </c>
      <c r="G269" s="264">
        <f t="shared" si="208"/>
        <v>42644</v>
      </c>
      <c r="H269" s="264">
        <f t="shared" si="208"/>
        <v>42675</v>
      </c>
      <c r="I269" s="264">
        <f t="shared" si="208"/>
        <v>42705</v>
      </c>
      <c r="J269" s="264">
        <f t="shared" si="208"/>
        <v>42736</v>
      </c>
      <c r="K269" s="264">
        <f t="shared" si="208"/>
        <v>42767</v>
      </c>
      <c r="L269" s="264">
        <f t="shared" si="208"/>
        <v>42795</v>
      </c>
      <c r="M269" s="264">
        <f t="shared" si="208"/>
        <v>42826</v>
      </c>
      <c r="N269" s="264">
        <f t="shared" si="208"/>
        <v>42856</v>
      </c>
      <c r="O269" s="264">
        <f t="shared" si="208"/>
        <v>42887</v>
      </c>
      <c r="P269" s="264">
        <f t="shared" si="208"/>
        <v>42917</v>
      </c>
      <c r="Q269" s="264">
        <f t="shared" si="208"/>
        <v>42948</v>
      </c>
      <c r="R269" s="264">
        <f t="shared" si="208"/>
        <v>42979</v>
      </c>
      <c r="S269" s="264">
        <f t="shared" si="208"/>
        <v>43009</v>
      </c>
      <c r="T269" s="264">
        <f t="shared" si="208"/>
        <v>43040</v>
      </c>
      <c r="U269" s="264">
        <f t="shared" si="208"/>
        <v>43070</v>
      </c>
      <c r="V269" s="264">
        <f t="shared" si="208"/>
        <v>43101</v>
      </c>
      <c r="W269" s="264">
        <f t="shared" si="208"/>
        <v>43132</v>
      </c>
      <c r="X269" s="264">
        <f t="shared" si="208"/>
        <v>43160</v>
      </c>
      <c r="Y269" s="264">
        <f t="shared" si="208"/>
        <v>43191</v>
      </c>
      <c r="Z269" s="264">
        <f t="shared" si="208"/>
        <v>43221</v>
      </c>
      <c r="AA269" s="264">
        <f t="shared" si="208"/>
        <v>43252</v>
      </c>
      <c r="AB269" s="264">
        <f t="shared" si="208"/>
        <v>43283</v>
      </c>
      <c r="AC269" s="264">
        <f t="shared" si="208"/>
        <v>43314</v>
      </c>
      <c r="AD269" s="264">
        <f t="shared" si="208"/>
        <v>43345</v>
      </c>
      <c r="AE269" s="264">
        <f t="shared" si="208"/>
        <v>43376</v>
      </c>
      <c r="AF269" s="264">
        <f t="shared" si="208"/>
        <v>43407</v>
      </c>
      <c r="AG269" s="264">
        <f t="shared" si="208"/>
        <v>43437</v>
      </c>
      <c r="AH269" s="264">
        <f t="shared" si="208"/>
        <v>43468</v>
      </c>
      <c r="AI269" s="264">
        <f t="shared" si="208"/>
        <v>43499</v>
      </c>
      <c r="AJ269" s="264">
        <f t="shared" si="208"/>
        <v>43527</v>
      </c>
      <c r="AK269" s="264">
        <f t="shared" si="208"/>
        <v>43558</v>
      </c>
      <c r="AL269" s="264">
        <f t="shared" si="208"/>
        <v>43587</v>
      </c>
      <c r="AM269" s="264">
        <f t="shared" si="208"/>
        <v>43618</v>
      </c>
      <c r="AN269" s="264">
        <f t="shared" si="208"/>
        <v>43647</v>
      </c>
      <c r="AO269" s="264">
        <f t="shared" si="208"/>
        <v>43678</v>
      </c>
      <c r="AP269" s="264">
        <f t="shared" si="208"/>
        <v>43709</v>
      </c>
      <c r="AQ269" s="264">
        <f t="shared" si="208"/>
        <v>43739</v>
      </c>
      <c r="AR269" s="264">
        <f t="shared" si="208"/>
        <v>43770</v>
      </c>
      <c r="AS269" s="264">
        <f t="shared" si="208"/>
        <v>43800</v>
      </c>
      <c r="AT269" s="264">
        <f t="shared" si="208"/>
        <v>43831</v>
      </c>
      <c r="AU269" s="264">
        <f t="shared" si="208"/>
        <v>43862</v>
      </c>
      <c r="AV269" s="264">
        <f t="shared" si="208"/>
        <v>43891</v>
      </c>
      <c r="AW269" s="264">
        <f t="shared" si="208"/>
        <v>43922</v>
      </c>
      <c r="AX269" s="264">
        <f t="shared" si="208"/>
        <v>43952</v>
      </c>
      <c r="AY269" s="264">
        <f t="shared" si="208"/>
        <v>43983</v>
      </c>
      <c r="AZ269" s="264">
        <f t="shared" si="208"/>
        <v>44013</v>
      </c>
      <c r="BA269" s="264">
        <f t="shared" si="208"/>
        <v>44044</v>
      </c>
      <c r="BB269" s="264">
        <f t="shared" si="208"/>
        <v>44075</v>
      </c>
      <c r="BC269" s="264">
        <f t="shared" si="208"/>
        <v>44105</v>
      </c>
      <c r="BD269" s="264">
        <f t="shared" si="208"/>
        <v>44136</v>
      </c>
      <c r="BE269" s="264">
        <f t="shared" si="208"/>
        <v>44166</v>
      </c>
      <c r="BF269" s="264">
        <f t="shared" si="208"/>
        <v>44197</v>
      </c>
      <c r="BG269" s="264">
        <f t="shared" si="208"/>
        <v>44228</v>
      </c>
      <c r="BH269" s="264">
        <f t="shared" si="208"/>
        <v>44256</v>
      </c>
      <c r="BI269" s="264">
        <f t="shared" si="208"/>
        <v>44287</v>
      </c>
      <c r="BJ269" s="264">
        <f t="shared" si="208"/>
        <v>44317</v>
      </c>
      <c r="BK269" s="264">
        <f t="shared" si="208"/>
        <v>44348</v>
      </c>
      <c r="BL269" s="264">
        <f t="shared" si="208"/>
        <v>44378</v>
      </c>
      <c r="BM269" s="264">
        <f t="shared" si="208"/>
        <v>44409</v>
      </c>
      <c r="BN269" s="264">
        <f t="shared" si="208"/>
        <v>44440</v>
      </c>
      <c r="BO269" s="264">
        <f t="shared" si="208"/>
        <v>44470</v>
      </c>
      <c r="BP269" s="264">
        <f t="shared" ref="BP269:CN269" si="209">BP$4</f>
        <v>44501</v>
      </c>
      <c r="BQ269" s="264">
        <f t="shared" si="209"/>
        <v>44531</v>
      </c>
      <c r="BR269" s="264">
        <f t="shared" si="209"/>
        <v>44562</v>
      </c>
      <c r="BS269" s="264">
        <f t="shared" si="209"/>
        <v>44593</v>
      </c>
      <c r="BT269" s="264">
        <f t="shared" si="209"/>
        <v>44622</v>
      </c>
      <c r="BU269" s="264">
        <f t="shared" si="209"/>
        <v>44654</v>
      </c>
      <c r="BV269" s="264">
        <f t="shared" si="209"/>
        <v>44685</v>
      </c>
      <c r="BW269" s="264">
        <f t="shared" si="209"/>
        <v>44716</v>
      </c>
      <c r="BX269" s="264">
        <f t="shared" si="209"/>
        <v>44746</v>
      </c>
      <c r="BY269" s="264">
        <f t="shared" si="209"/>
        <v>44774</v>
      </c>
      <c r="BZ269" s="264">
        <f t="shared" si="209"/>
        <v>44805</v>
      </c>
      <c r="CA269" s="264">
        <f t="shared" si="209"/>
        <v>44835</v>
      </c>
      <c r="CB269" s="264">
        <f t="shared" si="209"/>
        <v>44866</v>
      </c>
      <c r="CC269" s="264">
        <f t="shared" si="209"/>
        <v>44896</v>
      </c>
      <c r="CD269" s="264">
        <f t="shared" si="209"/>
        <v>44927</v>
      </c>
      <c r="CE269" s="264">
        <f t="shared" si="209"/>
        <v>44958</v>
      </c>
      <c r="CF269" s="264">
        <f t="shared" si="209"/>
        <v>44986</v>
      </c>
      <c r="CG269" s="264">
        <f t="shared" si="209"/>
        <v>45017</v>
      </c>
      <c r="CH269" s="264">
        <f t="shared" si="209"/>
        <v>45047</v>
      </c>
      <c r="CI269" s="264">
        <f t="shared" si="209"/>
        <v>45078</v>
      </c>
      <c r="CJ269" s="264">
        <f t="shared" si="209"/>
        <v>45108</v>
      </c>
      <c r="CK269" s="264">
        <f t="shared" si="209"/>
        <v>45139</v>
      </c>
      <c r="CL269" s="264">
        <f t="shared" si="209"/>
        <v>45170</v>
      </c>
      <c r="CM269" s="264">
        <f t="shared" si="209"/>
        <v>45200</v>
      </c>
      <c r="CN269" s="264">
        <f t="shared" si="209"/>
        <v>45231</v>
      </c>
    </row>
    <row r="270" spans="1:108" customFormat="1" x14ac:dyDescent="0.25">
      <c r="A270" s="263"/>
      <c r="B270" s="117" t="s">
        <v>131</v>
      </c>
      <c r="C270" s="265" t="s">
        <v>47</v>
      </c>
      <c r="D270" s="265" t="s">
        <v>47</v>
      </c>
      <c r="E270" s="265" t="s">
        <v>47</v>
      </c>
      <c r="F270" s="266" t="s">
        <v>47</v>
      </c>
      <c r="G270" s="266" t="s">
        <v>47</v>
      </c>
      <c r="H270" s="266" t="s">
        <v>47</v>
      </c>
      <c r="I270" s="266" t="s">
        <v>47</v>
      </c>
      <c r="J270" s="266" t="s">
        <v>47</v>
      </c>
      <c r="K270" s="266" t="s">
        <v>47</v>
      </c>
      <c r="L270" s="593" t="s">
        <v>47</v>
      </c>
      <c r="M270" s="593" t="s">
        <v>47</v>
      </c>
      <c r="N270" s="593" t="s">
        <v>47</v>
      </c>
      <c r="O270" s="593" t="s">
        <v>47</v>
      </c>
      <c r="P270" s="593" t="s">
        <v>47</v>
      </c>
      <c r="Q270" s="593" t="s">
        <v>47</v>
      </c>
      <c r="R270" s="593" t="s">
        <v>47</v>
      </c>
      <c r="S270" s="593" t="s">
        <v>47</v>
      </c>
      <c r="T270" s="593" t="s">
        <v>47</v>
      </c>
      <c r="U270" s="592" t="s">
        <v>47</v>
      </c>
      <c r="V270" s="592" t="s">
        <v>47</v>
      </c>
      <c r="W270" s="592" t="s">
        <v>47</v>
      </c>
      <c r="X270" s="592" t="s">
        <v>47</v>
      </c>
      <c r="Y270" s="592" t="s">
        <v>47</v>
      </c>
      <c r="Z270" s="592" t="s">
        <v>47</v>
      </c>
      <c r="AA270" s="592" t="s">
        <v>47</v>
      </c>
      <c r="AB270" s="592" t="s">
        <v>47</v>
      </c>
      <c r="AC270" s="592" t="s">
        <v>47</v>
      </c>
      <c r="AD270" s="592" t="s">
        <v>47</v>
      </c>
      <c r="AE270" s="592" t="s">
        <v>47</v>
      </c>
      <c r="AF270" s="592" t="s">
        <v>47</v>
      </c>
      <c r="AG270" s="592" t="s">
        <v>47</v>
      </c>
      <c r="AH270" s="592" t="s">
        <v>47</v>
      </c>
      <c r="AI270" s="592" t="s">
        <v>47</v>
      </c>
      <c r="AJ270" s="348" t="s">
        <v>47</v>
      </c>
      <c r="AK270" s="348" t="s">
        <v>47</v>
      </c>
      <c r="AL270" s="348" t="s">
        <v>47</v>
      </c>
      <c r="AM270" s="348" t="s">
        <v>47</v>
      </c>
      <c r="AN270" s="348" t="s">
        <v>47</v>
      </c>
      <c r="AO270" s="348" t="s">
        <v>47</v>
      </c>
      <c r="AP270" s="348" t="s">
        <v>47</v>
      </c>
      <c r="AQ270" s="348" t="s">
        <v>47</v>
      </c>
      <c r="AR270" s="348" t="s">
        <v>47</v>
      </c>
      <c r="AS270" s="348" t="s">
        <v>47</v>
      </c>
      <c r="AT270" s="348" t="s">
        <v>47</v>
      </c>
      <c r="AU270" s="348" t="s">
        <v>47</v>
      </c>
      <c r="AV270" s="962" t="s">
        <v>47</v>
      </c>
      <c r="AW270" s="348" t="s">
        <v>47</v>
      </c>
      <c r="AX270" s="348" t="s">
        <v>47</v>
      </c>
      <c r="AY270" s="348" t="s">
        <v>47</v>
      </c>
      <c r="AZ270" s="348" t="s">
        <v>47</v>
      </c>
      <c r="BA270" s="348" t="s">
        <v>47</v>
      </c>
      <c r="BB270" s="348" t="s">
        <v>47</v>
      </c>
      <c r="BC270" s="348" t="s">
        <v>47</v>
      </c>
      <c r="BD270" s="348" t="s">
        <v>47</v>
      </c>
      <c r="BE270" s="348" t="s">
        <v>47</v>
      </c>
      <c r="BF270" s="592" t="s">
        <v>47</v>
      </c>
      <c r="BG270" s="592" t="s">
        <v>47</v>
      </c>
      <c r="BH270" s="592" t="s">
        <v>47</v>
      </c>
      <c r="BI270" s="592" t="s">
        <v>47</v>
      </c>
      <c r="BJ270" s="592" t="s">
        <v>47</v>
      </c>
      <c r="BK270" s="592" t="s">
        <v>47</v>
      </c>
      <c r="BL270" s="592" t="s">
        <v>47</v>
      </c>
      <c r="BM270" s="592" t="s">
        <v>47</v>
      </c>
      <c r="BN270" s="592" t="s">
        <v>47</v>
      </c>
      <c r="BO270" s="592" t="s">
        <v>47</v>
      </c>
      <c r="BP270" s="592" t="s">
        <v>47</v>
      </c>
      <c r="BQ270" s="592">
        <v>208</v>
      </c>
      <c r="BR270" s="592">
        <v>208</v>
      </c>
      <c r="BS270" s="592">
        <v>208</v>
      </c>
      <c r="BT270" s="592">
        <v>208</v>
      </c>
      <c r="BU270" s="592">
        <v>208</v>
      </c>
      <c r="BV270" s="592">
        <v>208</v>
      </c>
      <c r="BW270" s="592">
        <v>208</v>
      </c>
      <c r="BX270" s="592">
        <v>208</v>
      </c>
      <c r="BY270" s="592">
        <v>208</v>
      </c>
      <c r="BZ270" s="592">
        <v>208</v>
      </c>
      <c r="CA270" s="592">
        <v>208</v>
      </c>
      <c r="CB270" s="592">
        <v>208</v>
      </c>
      <c r="CC270" s="343">
        <v>242</v>
      </c>
      <c r="CD270" s="592">
        <v>242</v>
      </c>
      <c r="CE270" s="592">
        <v>242</v>
      </c>
      <c r="CF270" s="592">
        <v>242</v>
      </c>
      <c r="CG270" s="592">
        <v>242</v>
      </c>
      <c r="CH270" s="592">
        <v>242</v>
      </c>
      <c r="CI270" s="592">
        <v>242</v>
      </c>
      <c r="CJ270" s="592">
        <v>242</v>
      </c>
      <c r="CK270" s="592">
        <v>242</v>
      </c>
      <c r="CL270" s="592">
        <v>242</v>
      </c>
      <c r="CM270" s="592">
        <v>242</v>
      </c>
      <c r="CN270" s="592">
        <v>242</v>
      </c>
    </row>
    <row r="271" spans="1:108" x14ac:dyDescent="0.25">
      <c r="B271" s="117" t="s">
        <v>135</v>
      </c>
      <c r="C271" s="265" t="s">
        <v>47</v>
      </c>
      <c r="D271" s="265" t="s">
        <v>47</v>
      </c>
      <c r="E271" s="265" t="s">
        <v>47</v>
      </c>
      <c r="F271" s="265" t="s">
        <v>47</v>
      </c>
      <c r="G271" s="265" t="s">
        <v>47</v>
      </c>
      <c r="H271" s="266" t="s">
        <v>47</v>
      </c>
      <c r="I271" s="266" t="s">
        <v>47</v>
      </c>
      <c r="J271" s="266" t="s">
        <v>47</v>
      </c>
      <c r="K271" s="266" t="s">
        <v>47</v>
      </c>
      <c r="L271" s="593" t="s">
        <v>47</v>
      </c>
      <c r="M271" s="593" t="s">
        <v>47</v>
      </c>
      <c r="N271" s="593" t="s">
        <v>47</v>
      </c>
      <c r="O271" s="593" t="s">
        <v>47</v>
      </c>
      <c r="P271" s="593" t="s">
        <v>47</v>
      </c>
      <c r="Q271" s="593" t="s">
        <v>47</v>
      </c>
      <c r="R271" s="593" t="s">
        <v>47</v>
      </c>
      <c r="S271" s="593" t="s">
        <v>47</v>
      </c>
      <c r="T271" s="593" t="s">
        <v>47</v>
      </c>
      <c r="U271" s="593" t="s">
        <v>47</v>
      </c>
      <c r="V271" s="593" t="s">
        <v>47</v>
      </c>
      <c r="W271" s="593" t="s">
        <v>47</v>
      </c>
      <c r="X271" s="593" t="s">
        <v>47</v>
      </c>
      <c r="Y271" s="593" t="s">
        <v>47</v>
      </c>
      <c r="Z271" s="593" t="s">
        <v>47</v>
      </c>
      <c r="AA271" s="593" t="s">
        <v>47</v>
      </c>
      <c r="AB271" s="593" t="s">
        <v>47</v>
      </c>
      <c r="AC271" s="593" t="s">
        <v>47</v>
      </c>
      <c r="AD271" s="593" t="s">
        <v>47</v>
      </c>
      <c r="AE271" s="593" t="s">
        <v>47</v>
      </c>
      <c r="AF271" s="592" t="s">
        <v>47</v>
      </c>
      <c r="AG271" s="593" t="s">
        <v>47</v>
      </c>
      <c r="AH271" s="593" t="s">
        <v>47</v>
      </c>
      <c r="AI271" s="593" t="s">
        <v>47</v>
      </c>
      <c r="AJ271" s="348" t="s">
        <v>47</v>
      </c>
      <c r="AK271" s="348" t="s">
        <v>47</v>
      </c>
      <c r="AL271" s="348" t="s">
        <v>47</v>
      </c>
      <c r="AM271" s="348" t="s">
        <v>47</v>
      </c>
      <c r="AN271" s="348" t="s">
        <v>47</v>
      </c>
      <c r="AO271" s="348" t="s">
        <v>47</v>
      </c>
      <c r="AP271" s="348" t="s">
        <v>47</v>
      </c>
      <c r="AQ271" s="348" t="s">
        <v>47</v>
      </c>
      <c r="AR271" s="348" t="s">
        <v>47</v>
      </c>
      <c r="AS271" s="348" t="s">
        <v>47</v>
      </c>
      <c r="AT271" s="348" t="s">
        <v>47</v>
      </c>
      <c r="AU271" s="348" t="s">
        <v>47</v>
      </c>
      <c r="AV271" s="962" t="s">
        <v>47</v>
      </c>
      <c r="AW271" s="348" t="s">
        <v>47</v>
      </c>
      <c r="AX271" s="348" t="s">
        <v>47</v>
      </c>
      <c r="AY271" s="348" t="s">
        <v>47</v>
      </c>
      <c r="AZ271" s="348" t="s">
        <v>47</v>
      </c>
      <c r="BA271" s="348" t="s">
        <v>47</v>
      </c>
      <c r="BB271" s="348" t="s">
        <v>47</v>
      </c>
      <c r="BC271" s="348" t="s">
        <v>47</v>
      </c>
      <c r="BD271" s="348" t="s">
        <v>47</v>
      </c>
      <c r="BE271" s="348" t="s">
        <v>47</v>
      </c>
      <c r="BF271" s="348" t="s">
        <v>47</v>
      </c>
      <c r="BG271" s="348" t="s">
        <v>47</v>
      </c>
      <c r="BH271" s="348" t="s">
        <v>47</v>
      </c>
      <c r="BI271" s="348" t="s">
        <v>47</v>
      </c>
      <c r="BJ271" s="348" t="s">
        <v>47</v>
      </c>
      <c r="BK271" s="348" t="s">
        <v>47</v>
      </c>
      <c r="BL271" s="348" t="s">
        <v>47</v>
      </c>
      <c r="BM271" s="348" t="s">
        <v>47</v>
      </c>
      <c r="BN271" s="348" t="s">
        <v>47</v>
      </c>
      <c r="BO271" s="348" t="s">
        <v>47</v>
      </c>
      <c r="BP271" s="348" t="s">
        <v>47</v>
      </c>
      <c r="BQ271" s="348">
        <v>243</v>
      </c>
      <c r="BR271" s="348">
        <v>243</v>
      </c>
      <c r="BS271" s="348">
        <v>243</v>
      </c>
      <c r="BT271" s="348">
        <v>243</v>
      </c>
      <c r="BU271" s="348">
        <v>243</v>
      </c>
      <c r="BV271" s="348">
        <v>243</v>
      </c>
      <c r="BW271" s="348">
        <v>243</v>
      </c>
      <c r="BX271" s="348">
        <v>243</v>
      </c>
      <c r="BY271" s="348">
        <v>243</v>
      </c>
      <c r="BZ271" s="592">
        <v>243</v>
      </c>
      <c r="CA271" s="592">
        <v>243</v>
      </c>
      <c r="CB271" s="592">
        <v>243</v>
      </c>
      <c r="CC271" s="592">
        <v>243</v>
      </c>
      <c r="CD271" s="592">
        <v>243</v>
      </c>
      <c r="CE271" s="592">
        <v>243</v>
      </c>
      <c r="CF271" s="592">
        <v>243</v>
      </c>
      <c r="CG271" s="592">
        <v>243</v>
      </c>
      <c r="CH271" s="592">
        <v>243</v>
      </c>
      <c r="CI271" s="592">
        <v>243</v>
      </c>
      <c r="CJ271" s="592">
        <v>243</v>
      </c>
      <c r="CK271" s="592">
        <v>243</v>
      </c>
      <c r="CL271" s="592">
        <v>243</v>
      </c>
      <c r="CM271" s="592">
        <v>243</v>
      </c>
      <c r="CN271" s="592">
        <v>243</v>
      </c>
      <c r="CO271"/>
      <c r="CP271"/>
      <c r="CQ271"/>
      <c r="CR271"/>
      <c r="CS271"/>
      <c r="CT271"/>
      <c r="CU271"/>
      <c r="CV271"/>
      <c r="CW271"/>
      <c r="CX271"/>
      <c r="CY271"/>
      <c r="CZ271"/>
      <c r="DA271"/>
      <c r="DB271"/>
      <c r="DC271"/>
      <c r="DD271"/>
    </row>
    <row r="272" spans="1:108" x14ac:dyDescent="0.25">
      <c r="B272" s="117" t="s">
        <v>142</v>
      </c>
      <c r="C272" s="265" t="s">
        <v>47</v>
      </c>
      <c r="D272" s="265" t="s">
        <v>47</v>
      </c>
      <c r="E272" s="265" t="s">
        <v>47</v>
      </c>
      <c r="F272" s="265" t="s">
        <v>47</v>
      </c>
      <c r="G272" s="265" t="s">
        <v>47</v>
      </c>
      <c r="H272" s="265" t="s">
        <v>47</v>
      </c>
      <c r="I272" s="265" t="s">
        <v>47</v>
      </c>
      <c r="J272" s="265" t="s">
        <v>47</v>
      </c>
      <c r="K272" s="265" t="s">
        <v>47</v>
      </c>
      <c r="L272" s="353" t="s">
        <v>47</v>
      </c>
      <c r="M272" s="353" t="s">
        <v>47</v>
      </c>
      <c r="N272" s="353" t="s">
        <v>47</v>
      </c>
      <c r="O272" s="593" t="s">
        <v>47</v>
      </c>
      <c r="P272" s="593" t="s">
        <v>47</v>
      </c>
      <c r="Q272" s="593" t="s">
        <v>47</v>
      </c>
      <c r="R272" s="593" t="s">
        <v>47</v>
      </c>
      <c r="S272" s="593" t="s">
        <v>47</v>
      </c>
      <c r="T272" s="593" t="s">
        <v>47</v>
      </c>
      <c r="U272" s="593" t="s">
        <v>47</v>
      </c>
      <c r="V272" s="593" t="s">
        <v>47</v>
      </c>
      <c r="W272" s="592" t="s">
        <v>47</v>
      </c>
      <c r="X272" s="592" t="s">
        <v>47</v>
      </c>
      <c r="Y272" s="592" t="s">
        <v>47</v>
      </c>
      <c r="Z272" s="592" t="s">
        <v>47</v>
      </c>
      <c r="AA272" s="592" t="s">
        <v>47</v>
      </c>
      <c r="AB272" s="592" t="s">
        <v>47</v>
      </c>
      <c r="AC272" s="592" t="s">
        <v>47</v>
      </c>
      <c r="AD272" s="592" t="s">
        <v>47</v>
      </c>
      <c r="AE272" s="592" t="s">
        <v>47</v>
      </c>
      <c r="AF272" s="592" t="s">
        <v>47</v>
      </c>
      <c r="AG272" s="593" t="s">
        <v>47</v>
      </c>
      <c r="AH272" s="593" t="s">
        <v>47</v>
      </c>
      <c r="AI272" s="593" t="s">
        <v>47</v>
      </c>
      <c r="AJ272" s="348" t="s">
        <v>47</v>
      </c>
      <c r="AK272" s="348" t="s">
        <v>47</v>
      </c>
      <c r="AL272" s="348" t="s">
        <v>47</v>
      </c>
      <c r="AM272" s="348" t="s">
        <v>47</v>
      </c>
      <c r="AN272" s="348" t="s">
        <v>47</v>
      </c>
      <c r="AO272" s="348" t="s">
        <v>47</v>
      </c>
      <c r="AP272" s="348" t="s">
        <v>47</v>
      </c>
      <c r="AQ272" s="348" t="s">
        <v>47</v>
      </c>
      <c r="AR272" s="348" t="s">
        <v>47</v>
      </c>
      <c r="AS272" s="348" t="s">
        <v>47</v>
      </c>
      <c r="AT272" s="348" t="s">
        <v>47</v>
      </c>
      <c r="AU272" s="348" t="s">
        <v>47</v>
      </c>
      <c r="AV272" s="962" t="s">
        <v>47</v>
      </c>
      <c r="AW272" s="350" t="s">
        <v>47</v>
      </c>
      <c r="AX272" s="350" t="s">
        <v>47</v>
      </c>
      <c r="AY272" s="348" t="s">
        <v>47</v>
      </c>
      <c r="AZ272" s="348" t="s">
        <v>47</v>
      </c>
      <c r="BA272" s="348" t="s">
        <v>47</v>
      </c>
      <c r="BB272" s="348" t="s">
        <v>47</v>
      </c>
      <c r="BC272" s="348" t="s">
        <v>47</v>
      </c>
      <c r="BD272" s="348" t="s">
        <v>47</v>
      </c>
      <c r="BE272" s="348" t="s">
        <v>47</v>
      </c>
      <c r="BF272" s="348" t="s">
        <v>47</v>
      </c>
      <c r="BG272" s="348" t="s">
        <v>47</v>
      </c>
      <c r="BH272" s="348" t="s">
        <v>47</v>
      </c>
      <c r="BI272" s="348" t="s">
        <v>47</v>
      </c>
      <c r="BJ272" s="348" t="s">
        <v>47</v>
      </c>
      <c r="BK272" s="348" t="s">
        <v>47</v>
      </c>
      <c r="BL272" s="348" t="s">
        <v>47</v>
      </c>
      <c r="BM272" s="348" t="s">
        <v>47</v>
      </c>
      <c r="BN272" s="348" t="s">
        <v>47</v>
      </c>
      <c r="BO272" s="348" t="s">
        <v>47</v>
      </c>
      <c r="BP272" s="348" t="s">
        <v>47</v>
      </c>
      <c r="BQ272" s="348" t="s">
        <v>47</v>
      </c>
      <c r="BR272" s="348" t="s">
        <v>47</v>
      </c>
      <c r="BS272" s="348" t="s">
        <v>47</v>
      </c>
      <c r="BT272" s="348" t="s">
        <v>47</v>
      </c>
      <c r="BU272" s="348" t="s">
        <v>47</v>
      </c>
      <c r="BV272" s="348" t="s">
        <v>47</v>
      </c>
      <c r="BW272" s="348" t="s">
        <v>47</v>
      </c>
      <c r="BX272" s="348" t="s">
        <v>47</v>
      </c>
      <c r="BY272" s="343">
        <v>290</v>
      </c>
      <c r="BZ272" s="592">
        <v>290</v>
      </c>
      <c r="CA272" s="592">
        <v>290</v>
      </c>
      <c r="CB272" s="592">
        <v>290</v>
      </c>
      <c r="CC272" s="592">
        <v>290</v>
      </c>
      <c r="CD272" s="592">
        <v>290</v>
      </c>
      <c r="CE272" s="592">
        <v>290</v>
      </c>
      <c r="CF272" s="592">
        <v>290</v>
      </c>
      <c r="CG272" s="592">
        <v>290</v>
      </c>
      <c r="CH272" s="592">
        <v>290</v>
      </c>
      <c r="CI272" s="592">
        <v>290</v>
      </c>
      <c r="CJ272" s="592" t="s">
        <v>47</v>
      </c>
      <c r="CK272" s="592" t="s">
        <v>47</v>
      </c>
      <c r="CL272" s="592" t="s">
        <v>47</v>
      </c>
      <c r="CM272" s="592" t="s">
        <v>47</v>
      </c>
      <c r="CN272" s="592" t="s">
        <v>47</v>
      </c>
      <c r="CO272"/>
      <c r="CP272"/>
      <c r="CQ272"/>
      <c r="CR272"/>
      <c r="CS272"/>
      <c r="CT272"/>
      <c r="CU272"/>
      <c r="CV272"/>
      <c r="CW272"/>
      <c r="CX272"/>
      <c r="CY272"/>
      <c r="CZ272"/>
      <c r="DA272"/>
      <c r="DB272"/>
      <c r="DC272"/>
      <c r="DD272"/>
    </row>
    <row r="273" spans="1:108" x14ac:dyDescent="0.25">
      <c r="B273" s="117" t="s">
        <v>136</v>
      </c>
      <c r="C273" s="265" t="s">
        <v>47</v>
      </c>
      <c r="D273" s="265" t="s">
        <v>47</v>
      </c>
      <c r="E273" s="265" t="s">
        <v>47</v>
      </c>
      <c r="F273" s="265" t="s">
        <v>47</v>
      </c>
      <c r="G273" s="266" t="s">
        <v>47</v>
      </c>
      <c r="H273" s="266" t="s">
        <v>47</v>
      </c>
      <c r="I273" s="266" t="s">
        <v>47</v>
      </c>
      <c r="J273" s="266" t="s">
        <v>47</v>
      </c>
      <c r="K273" s="266" t="s">
        <v>47</v>
      </c>
      <c r="L273" s="593" t="s">
        <v>47</v>
      </c>
      <c r="M273" s="593" t="s">
        <v>47</v>
      </c>
      <c r="N273" s="593" t="s">
        <v>47</v>
      </c>
      <c r="O273" s="593" t="s">
        <v>47</v>
      </c>
      <c r="P273" s="593" t="s">
        <v>47</v>
      </c>
      <c r="Q273" s="593" t="s">
        <v>47</v>
      </c>
      <c r="R273" s="593" t="s">
        <v>47</v>
      </c>
      <c r="S273" s="593" t="s">
        <v>47</v>
      </c>
      <c r="T273" s="593" t="s">
        <v>47</v>
      </c>
      <c r="U273" s="593" t="s">
        <v>47</v>
      </c>
      <c r="V273" s="592" t="s">
        <v>47</v>
      </c>
      <c r="W273" s="593" t="s">
        <v>47</v>
      </c>
      <c r="X273" s="593" t="s">
        <v>47</v>
      </c>
      <c r="Y273" s="593" t="s">
        <v>47</v>
      </c>
      <c r="Z273" s="593" t="s">
        <v>47</v>
      </c>
      <c r="AA273" s="593" t="s">
        <v>47</v>
      </c>
      <c r="AB273" s="593" t="s">
        <v>47</v>
      </c>
      <c r="AC273" s="593" t="s">
        <v>47</v>
      </c>
      <c r="AD273" s="592" t="s">
        <v>47</v>
      </c>
      <c r="AE273" s="593" t="s">
        <v>47</v>
      </c>
      <c r="AF273" s="593" t="s">
        <v>47</v>
      </c>
      <c r="AG273" s="593" t="s">
        <v>47</v>
      </c>
      <c r="AH273" s="593" t="s">
        <v>47</v>
      </c>
      <c r="AI273" s="593" t="s">
        <v>47</v>
      </c>
      <c r="AJ273" s="348" t="s">
        <v>47</v>
      </c>
      <c r="AK273" s="348" t="s">
        <v>47</v>
      </c>
      <c r="AL273" s="348" t="s">
        <v>47</v>
      </c>
      <c r="AM273" s="348" t="s">
        <v>47</v>
      </c>
      <c r="AN273" s="348" t="s">
        <v>47</v>
      </c>
      <c r="AO273" s="348" t="s">
        <v>47</v>
      </c>
      <c r="AP273" s="348" t="s">
        <v>47</v>
      </c>
      <c r="AQ273" s="348" t="s">
        <v>47</v>
      </c>
      <c r="AR273" s="348" t="s">
        <v>47</v>
      </c>
      <c r="AS273" s="348" t="s">
        <v>47</v>
      </c>
      <c r="AT273" s="348" t="s">
        <v>47</v>
      </c>
      <c r="AU273" s="348" t="s">
        <v>47</v>
      </c>
      <c r="AV273" s="962" t="s">
        <v>47</v>
      </c>
      <c r="AW273" s="348" t="s">
        <v>47</v>
      </c>
      <c r="AX273" s="348" t="s">
        <v>47</v>
      </c>
      <c r="AY273" s="348" t="s">
        <v>47</v>
      </c>
      <c r="AZ273" s="348" t="s">
        <v>47</v>
      </c>
      <c r="BA273" s="348" t="s">
        <v>47</v>
      </c>
      <c r="BB273" s="348" t="s">
        <v>47</v>
      </c>
      <c r="BC273" s="348" t="s">
        <v>47</v>
      </c>
      <c r="BD273" s="348" t="s">
        <v>47</v>
      </c>
      <c r="BE273" s="348" t="s">
        <v>47</v>
      </c>
      <c r="BF273" s="348" t="s">
        <v>47</v>
      </c>
      <c r="BG273" s="348" t="s">
        <v>47</v>
      </c>
      <c r="BH273" s="348" t="s">
        <v>47</v>
      </c>
      <c r="BI273" s="348" t="s">
        <v>47</v>
      </c>
      <c r="BJ273" s="348" t="s">
        <v>47</v>
      </c>
      <c r="BK273" s="348" t="s">
        <v>47</v>
      </c>
      <c r="BL273" s="348" t="s">
        <v>47</v>
      </c>
      <c r="BM273" s="348" t="s">
        <v>47</v>
      </c>
      <c r="BN273" s="348" t="s">
        <v>47</v>
      </c>
      <c r="BO273" s="348" t="s">
        <v>47</v>
      </c>
      <c r="BP273" s="348" t="s">
        <v>47</v>
      </c>
      <c r="BQ273" s="348">
        <v>217</v>
      </c>
      <c r="BR273" s="348">
        <v>217</v>
      </c>
      <c r="BS273" s="348">
        <v>217</v>
      </c>
      <c r="BT273" s="348">
        <v>217</v>
      </c>
      <c r="BU273" s="348">
        <v>217</v>
      </c>
      <c r="BV273" s="348">
        <v>217</v>
      </c>
      <c r="BW273" s="348">
        <v>217</v>
      </c>
      <c r="BX273" s="348">
        <v>217</v>
      </c>
      <c r="BY273" s="343">
        <v>247</v>
      </c>
      <c r="BZ273" s="592">
        <v>247</v>
      </c>
      <c r="CA273" s="592">
        <v>247</v>
      </c>
      <c r="CB273" s="592">
        <v>247</v>
      </c>
      <c r="CC273" s="592">
        <v>247</v>
      </c>
      <c r="CD273" s="343">
        <v>267.7</v>
      </c>
      <c r="CE273" s="592">
        <v>267.7</v>
      </c>
      <c r="CF273" s="592">
        <v>267.7</v>
      </c>
      <c r="CG273" s="592">
        <v>267.7</v>
      </c>
      <c r="CH273" s="592">
        <v>267.7</v>
      </c>
      <c r="CI273" s="592">
        <v>267.7</v>
      </c>
      <c r="CJ273" s="592">
        <v>267.7</v>
      </c>
      <c r="CK273" s="592">
        <v>267.7</v>
      </c>
      <c r="CL273" s="592">
        <v>267.7</v>
      </c>
      <c r="CM273" s="592">
        <v>267.7</v>
      </c>
      <c r="CN273" s="592">
        <v>267.7</v>
      </c>
      <c r="CO273"/>
      <c r="CP273"/>
      <c r="CQ273"/>
      <c r="CR273"/>
      <c r="CS273"/>
      <c r="CT273"/>
      <c r="CU273"/>
      <c r="CV273"/>
      <c r="CW273"/>
      <c r="CX273"/>
      <c r="CY273"/>
      <c r="CZ273"/>
      <c r="DA273"/>
      <c r="DB273"/>
      <c r="DC273"/>
      <c r="DD273"/>
    </row>
    <row r="274" spans="1:108" x14ac:dyDescent="0.25">
      <c r="B274" s="117" t="s">
        <v>1218</v>
      </c>
      <c r="C274" s="348" t="s">
        <v>47</v>
      </c>
      <c r="D274" s="348" t="s">
        <v>47</v>
      </c>
      <c r="E274" s="348" t="s">
        <v>47</v>
      </c>
      <c r="F274" s="348" t="s">
        <v>47</v>
      </c>
      <c r="G274" s="348" t="s">
        <v>47</v>
      </c>
      <c r="H274" s="348" t="s">
        <v>47</v>
      </c>
      <c r="I274" s="348" t="s">
        <v>47</v>
      </c>
      <c r="J274" s="348" t="s">
        <v>47</v>
      </c>
      <c r="K274" s="348" t="s">
        <v>47</v>
      </c>
      <c r="L274" s="348" t="s">
        <v>47</v>
      </c>
      <c r="M274" s="348" t="s">
        <v>47</v>
      </c>
      <c r="N274" s="348" t="s">
        <v>47</v>
      </c>
      <c r="O274" s="348" t="s">
        <v>47</v>
      </c>
      <c r="P274" s="348" t="s">
        <v>47</v>
      </c>
      <c r="Q274" s="348" t="s">
        <v>47</v>
      </c>
      <c r="R274" s="348" t="s">
        <v>47</v>
      </c>
      <c r="S274" s="348" t="s">
        <v>47</v>
      </c>
      <c r="T274" s="348" t="s">
        <v>47</v>
      </c>
      <c r="U274" s="348" t="s">
        <v>47</v>
      </c>
      <c r="V274" s="348" t="s">
        <v>47</v>
      </c>
      <c r="W274" s="348" t="s">
        <v>47</v>
      </c>
      <c r="X274" s="348" t="s">
        <v>47</v>
      </c>
      <c r="Y274" s="348" t="s">
        <v>47</v>
      </c>
      <c r="Z274" s="348" t="s">
        <v>47</v>
      </c>
      <c r="AA274" s="348" t="s">
        <v>47</v>
      </c>
      <c r="AB274" s="348" t="s">
        <v>47</v>
      </c>
      <c r="AC274" s="348" t="s">
        <v>47</v>
      </c>
      <c r="AD274" s="348" t="s">
        <v>47</v>
      </c>
      <c r="AE274" s="348" t="s">
        <v>47</v>
      </c>
      <c r="AF274" s="348" t="s">
        <v>47</v>
      </c>
      <c r="AG274" s="348" t="s">
        <v>47</v>
      </c>
      <c r="AH274" s="348" t="s">
        <v>47</v>
      </c>
      <c r="AI274" s="348" t="s">
        <v>47</v>
      </c>
      <c r="AJ274" s="348" t="s">
        <v>47</v>
      </c>
      <c r="AK274" s="348" t="s">
        <v>47</v>
      </c>
      <c r="AL274" s="348" t="s">
        <v>47</v>
      </c>
      <c r="AM274" s="348" t="s">
        <v>47</v>
      </c>
      <c r="AN274" s="348" t="s">
        <v>47</v>
      </c>
      <c r="AO274" s="348" t="s">
        <v>47</v>
      </c>
      <c r="AP274" s="348" t="s">
        <v>47</v>
      </c>
      <c r="AQ274" s="348" t="s">
        <v>47</v>
      </c>
      <c r="AR274" s="348" t="s">
        <v>47</v>
      </c>
      <c r="AS274" s="348" t="s">
        <v>47</v>
      </c>
      <c r="AT274" s="348" t="s">
        <v>47</v>
      </c>
      <c r="AU274" s="348" t="s">
        <v>47</v>
      </c>
      <c r="AV274" s="348" t="s">
        <v>47</v>
      </c>
      <c r="AW274" s="348" t="s">
        <v>47</v>
      </c>
      <c r="AX274" s="348" t="s">
        <v>47</v>
      </c>
      <c r="AY274" s="348" t="s">
        <v>47</v>
      </c>
      <c r="AZ274" s="348" t="s">
        <v>47</v>
      </c>
      <c r="BA274" s="348" t="s">
        <v>47</v>
      </c>
      <c r="BB274" s="348" t="s">
        <v>47</v>
      </c>
      <c r="BC274" s="348" t="s">
        <v>47</v>
      </c>
      <c r="BD274" s="348" t="s">
        <v>47</v>
      </c>
      <c r="BE274" s="348" t="s">
        <v>47</v>
      </c>
      <c r="BF274" s="348" t="s">
        <v>47</v>
      </c>
      <c r="BG274" s="348" t="s">
        <v>47</v>
      </c>
      <c r="BH274" s="348" t="s">
        <v>47</v>
      </c>
      <c r="BI274" s="348" t="s">
        <v>47</v>
      </c>
      <c r="BJ274" s="348" t="s">
        <v>47</v>
      </c>
      <c r="BK274" s="348" t="s">
        <v>47</v>
      </c>
      <c r="BL274" s="348" t="s">
        <v>47</v>
      </c>
      <c r="BM274" s="348" t="s">
        <v>47</v>
      </c>
      <c r="BN274" s="348">
        <v>263</v>
      </c>
      <c r="BO274" s="348">
        <v>263</v>
      </c>
      <c r="BP274" s="348">
        <v>263</v>
      </c>
      <c r="BQ274" s="343">
        <v>256</v>
      </c>
      <c r="BR274" s="348">
        <v>256</v>
      </c>
      <c r="BS274" s="348">
        <v>256</v>
      </c>
      <c r="BT274" s="348">
        <v>233</v>
      </c>
      <c r="BU274" s="348">
        <v>233</v>
      </c>
      <c r="BV274" s="348">
        <v>233</v>
      </c>
      <c r="BW274" s="348">
        <v>233</v>
      </c>
      <c r="BX274" s="348">
        <v>233</v>
      </c>
      <c r="BY274" s="348">
        <v>233</v>
      </c>
      <c r="BZ274" s="592">
        <v>233</v>
      </c>
      <c r="CA274" s="592">
        <v>233</v>
      </c>
      <c r="CB274" s="343">
        <v>264</v>
      </c>
      <c r="CC274" s="592">
        <v>264</v>
      </c>
      <c r="CD274" s="592">
        <v>264</v>
      </c>
      <c r="CE274" s="592">
        <v>264</v>
      </c>
      <c r="CF274" s="592">
        <v>264</v>
      </c>
      <c r="CG274" s="592">
        <v>264</v>
      </c>
      <c r="CH274" s="592">
        <v>264</v>
      </c>
      <c r="CI274" s="592" t="s">
        <v>47</v>
      </c>
      <c r="CJ274" s="592" t="s">
        <v>47</v>
      </c>
      <c r="CK274" s="592" t="s">
        <v>47</v>
      </c>
      <c r="CL274" s="592" t="s">
        <v>47</v>
      </c>
      <c r="CM274" s="592" t="s">
        <v>47</v>
      </c>
      <c r="CN274" s="592" t="s">
        <v>47</v>
      </c>
      <c r="CO274"/>
      <c r="CP274"/>
      <c r="CQ274"/>
      <c r="CR274"/>
      <c r="CS274"/>
      <c r="CT274"/>
      <c r="CU274"/>
      <c r="CV274"/>
      <c r="CW274"/>
      <c r="CX274"/>
      <c r="CY274"/>
      <c r="CZ274"/>
      <c r="DA274"/>
      <c r="DB274"/>
      <c r="DC274"/>
      <c r="DD274"/>
    </row>
    <row r="275" spans="1:108" x14ac:dyDescent="0.25">
      <c r="A275"/>
      <c r="B275" s="1117" t="s">
        <v>381</v>
      </c>
      <c r="C275" s="1118" t="str">
        <f t="shared" ref="C275:AH275" si="210">IFERROR(AVERAGE(C270:C274),"-")</f>
        <v>-</v>
      </c>
      <c r="D275" s="1118" t="str">
        <f t="shared" si="210"/>
        <v>-</v>
      </c>
      <c r="E275" s="1118" t="str">
        <f t="shared" si="210"/>
        <v>-</v>
      </c>
      <c r="F275" s="1118" t="str">
        <f t="shared" si="210"/>
        <v>-</v>
      </c>
      <c r="G275" s="1118" t="str">
        <f t="shared" si="210"/>
        <v>-</v>
      </c>
      <c r="H275" s="1118" t="str">
        <f t="shared" si="210"/>
        <v>-</v>
      </c>
      <c r="I275" s="1118" t="str">
        <f t="shared" si="210"/>
        <v>-</v>
      </c>
      <c r="J275" s="1118" t="str">
        <f t="shared" si="210"/>
        <v>-</v>
      </c>
      <c r="K275" s="1118" t="str">
        <f t="shared" si="210"/>
        <v>-</v>
      </c>
      <c r="L275" s="1120" t="str">
        <f t="shared" si="210"/>
        <v>-</v>
      </c>
      <c r="M275" s="1120" t="str">
        <f t="shared" si="210"/>
        <v>-</v>
      </c>
      <c r="N275" s="1120" t="str">
        <f t="shared" si="210"/>
        <v>-</v>
      </c>
      <c r="O275" s="1120" t="str">
        <f t="shared" si="210"/>
        <v>-</v>
      </c>
      <c r="P275" s="1120" t="str">
        <f t="shared" si="210"/>
        <v>-</v>
      </c>
      <c r="Q275" s="1120" t="str">
        <f t="shared" si="210"/>
        <v>-</v>
      </c>
      <c r="R275" s="1120" t="str">
        <f t="shared" si="210"/>
        <v>-</v>
      </c>
      <c r="S275" s="1120" t="str">
        <f t="shared" si="210"/>
        <v>-</v>
      </c>
      <c r="T275" s="1120" t="str">
        <f t="shared" si="210"/>
        <v>-</v>
      </c>
      <c r="U275" s="1120" t="str">
        <f t="shared" si="210"/>
        <v>-</v>
      </c>
      <c r="V275" s="1121" t="str">
        <f t="shared" si="210"/>
        <v>-</v>
      </c>
      <c r="W275" s="1121" t="str">
        <f t="shared" si="210"/>
        <v>-</v>
      </c>
      <c r="X275" s="1121" t="str">
        <f t="shared" si="210"/>
        <v>-</v>
      </c>
      <c r="Y275" s="1121" t="str">
        <f t="shared" si="210"/>
        <v>-</v>
      </c>
      <c r="Z275" s="1121" t="str">
        <f t="shared" si="210"/>
        <v>-</v>
      </c>
      <c r="AA275" s="1121" t="str">
        <f t="shared" si="210"/>
        <v>-</v>
      </c>
      <c r="AB275" s="1121" t="str">
        <f t="shared" si="210"/>
        <v>-</v>
      </c>
      <c r="AC275" s="1121" t="str">
        <f t="shared" si="210"/>
        <v>-</v>
      </c>
      <c r="AD275" s="1121" t="str">
        <f t="shared" si="210"/>
        <v>-</v>
      </c>
      <c r="AE275" s="1121" t="str">
        <f t="shared" si="210"/>
        <v>-</v>
      </c>
      <c r="AF275" s="1121" t="str">
        <f t="shared" si="210"/>
        <v>-</v>
      </c>
      <c r="AG275" s="1121" t="str">
        <f t="shared" si="210"/>
        <v>-</v>
      </c>
      <c r="AH275" s="1121" t="str">
        <f t="shared" si="210"/>
        <v>-</v>
      </c>
      <c r="AI275" s="1121" t="str">
        <f t="shared" ref="AI275:BN275" si="211">IFERROR(AVERAGE(AI270:AI274),"-")</f>
        <v>-</v>
      </c>
      <c r="AJ275" s="1121" t="str">
        <f t="shared" si="211"/>
        <v>-</v>
      </c>
      <c r="AK275" s="1121" t="str">
        <f t="shared" si="211"/>
        <v>-</v>
      </c>
      <c r="AL275" s="1121" t="str">
        <f t="shared" si="211"/>
        <v>-</v>
      </c>
      <c r="AM275" s="1121" t="str">
        <f t="shared" si="211"/>
        <v>-</v>
      </c>
      <c r="AN275" s="1121" t="str">
        <f t="shared" si="211"/>
        <v>-</v>
      </c>
      <c r="AO275" s="1121" t="str">
        <f t="shared" si="211"/>
        <v>-</v>
      </c>
      <c r="AP275" s="1121" t="str">
        <f t="shared" si="211"/>
        <v>-</v>
      </c>
      <c r="AQ275" s="1121" t="str">
        <f t="shared" si="211"/>
        <v>-</v>
      </c>
      <c r="AR275" s="1121" t="str">
        <f t="shared" si="211"/>
        <v>-</v>
      </c>
      <c r="AS275" s="1120" t="str">
        <f t="shared" si="211"/>
        <v>-</v>
      </c>
      <c r="AT275" s="1120" t="str">
        <f t="shared" si="211"/>
        <v>-</v>
      </c>
      <c r="AU275" s="1120" t="str">
        <f t="shared" si="211"/>
        <v>-</v>
      </c>
      <c r="AV275" s="1120" t="str">
        <f t="shared" si="211"/>
        <v>-</v>
      </c>
      <c r="AW275" s="1120" t="str">
        <f t="shared" si="211"/>
        <v>-</v>
      </c>
      <c r="AX275" s="1120" t="str">
        <f t="shared" si="211"/>
        <v>-</v>
      </c>
      <c r="AY275" s="1120" t="str">
        <f t="shared" si="211"/>
        <v>-</v>
      </c>
      <c r="AZ275" s="1120" t="str">
        <f t="shared" si="211"/>
        <v>-</v>
      </c>
      <c r="BA275" s="1120" t="str">
        <f t="shared" si="211"/>
        <v>-</v>
      </c>
      <c r="BB275" s="1120" t="str">
        <f t="shared" si="211"/>
        <v>-</v>
      </c>
      <c r="BC275" s="1120" t="str">
        <f t="shared" si="211"/>
        <v>-</v>
      </c>
      <c r="BD275" s="1120" t="str">
        <f t="shared" si="211"/>
        <v>-</v>
      </c>
      <c r="BE275" s="1120" t="str">
        <f t="shared" si="211"/>
        <v>-</v>
      </c>
      <c r="BF275" s="1120" t="str">
        <f t="shared" si="211"/>
        <v>-</v>
      </c>
      <c r="BG275" s="1120" t="str">
        <f t="shared" si="211"/>
        <v>-</v>
      </c>
      <c r="BH275" s="1120" t="str">
        <f t="shared" si="211"/>
        <v>-</v>
      </c>
      <c r="BI275" s="1120" t="str">
        <f t="shared" si="211"/>
        <v>-</v>
      </c>
      <c r="BJ275" s="1120" t="str">
        <f t="shared" si="211"/>
        <v>-</v>
      </c>
      <c r="BK275" s="1120" t="str">
        <f t="shared" si="211"/>
        <v>-</v>
      </c>
      <c r="BL275" s="1120" t="str">
        <f t="shared" si="211"/>
        <v>-</v>
      </c>
      <c r="BM275" s="1120" t="str">
        <f t="shared" si="211"/>
        <v>-</v>
      </c>
      <c r="BN275" s="1120">
        <f t="shared" si="211"/>
        <v>263</v>
      </c>
      <c r="BO275" s="1120">
        <f t="shared" ref="BO275:CN275" si="212">IFERROR(AVERAGE(BO270:BO274),"-")</f>
        <v>263</v>
      </c>
      <c r="BP275" s="1120">
        <f t="shared" si="212"/>
        <v>263</v>
      </c>
      <c r="BQ275" s="1120">
        <f t="shared" si="212"/>
        <v>231</v>
      </c>
      <c r="BR275" s="1120">
        <f t="shared" si="212"/>
        <v>231</v>
      </c>
      <c r="BS275" s="1120">
        <f t="shared" si="212"/>
        <v>231</v>
      </c>
      <c r="BT275" s="1120">
        <f t="shared" si="212"/>
        <v>225.25</v>
      </c>
      <c r="BU275" s="1120">
        <f t="shared" si="212"/>
        <v>225.25</v>
      </c>
      <c r="BV275" s="1120">
        <f t="shared" si="212"/>
        <v>225.25</v>
      </c>
      <c r="BW275" s="1120">
        <f t="shared" si="212"/>
        <v>225.25</v>
      </c>
      <c r="BX275" s="1120">
        <f t="shared" si="212"/>
        <v>225.25</v>
      </c>
      <c r="BY275" s="1120">
        <f t="shared" si="212"/>
        <v>244.2</v>
      </c>
      <c r="BZ275" s="1120">
        <f t="shared" si="212"/>
        <v>244.2</v>
      </c>
      <c r="CA275" s="1120">
        <f t="shared" si="212"/>
        <v>244.2</v>
      </c>
      <c r="CB275" s="1120">
        <f t="shared" si="212"/>
        <v>250.4</v>
      </c>
      <c r="CC275" s="1120">
        <f t="shared" si="212"/>
        <v>257.2</v>
      </c>
      <c r="CD275" s="1120">
        <f t="shared" si="212"/>
        <v>261.34000000000003</v>
      </c>
      <c r="CE275" s="1120">
        <f t="shared" si="212"/>
        <v>261.34000000000003</v>
      </c>
      <c r="CF275" s="1120">
        <f t="shared" si="212"/>
        <v>261.34000000000003</v>
      </c>
      <c r="CG275" s="1120">
        <f t="shared" si="212"/>
        <v>261.34000000000003</v>
      </c>
      <c r="CH275" s="1120">
        <f t="shared" si="212"/>
        <v>261.34000000000003</v>
      </c>
      <c r="CI275" s="1120">
        <f t="shared" si="212"/>
        <v>260.67500000000001</v>
      </c>
      <c r="CJ275" s="1120">
        <f t="shared" si="212"/>
        <v>250.9</v>
      </c>
      <c r="CK275" s="1120">
        <f t="shared" si="212"/>
        <v>250.9</v>
      </c>
      <c r="CL275" s="1120">
        <f t="shared" si="212"/>
        <v>250.9</v>
      </c>
      <c r="CM275" s="1120">
        <f t="shared" si="212"/>
        <v>250.9</v>
      </c>
      <c r="CN275" s="1120">
        <f t="shared" si="212"/>
        <v>250.9</v>
      </c>
      <c r="CO275"/>
      <c r="CP275"/>
      <c r="CQ275"/>
      <c r="CR275"/>
      <c r="CS275"/>
      <c r="CT275"/>
      <c r="CU275"/>
      <c r="CV275"/>
      <c r="CW275"/>
      <c r="CX275"/>
      <c r="CY275"/>
      <c r="CZ275"/>
      <c r="DA275"/>
      <c r="DB275"/>
      <c r="DC275"/>
      <c r="DD275"/>
    </row>
    <row r="276" spans="1:108" x14ac:dyDescent="0.25">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c r="AS276" s="341"/>
      <c r="AT276" s="833"/>
      <c r="AU276" s="833"/>
      <c r="AV276" s="954"/>
      <c r="AW276" s="833"/>
      <c r="AX276" s="833"/>
      <c r="AY276" s="833"/>
      <c r="AZ276" s="833"/>
      <c r="BA276" s="833"/>
      <c r="BB276" s="833"/>
      <c r="BC276" s="833"/>
      <c r="BD276" s="833"/>
      <c r="BE276" s="833"/>
      <c r="BF276" s="833"/>
      <c r="BG276" s="833"/>
      <c r="BH276" s="833"/>
      <c r="BI276" s="833"/>
      <c r="BJ276" s="833"/>
      <c r="BK276" s="833"/>
      <c r="BL276" s="833"/>
      <c r="BM276" s="833"/>
      <c r="BN276" s="833"/>
      <c r="BO276" s="833"/>
      <c r="BP276" s="833"/>
      <c r="BQ276" s="833"/>
      <c r="BR276" s="833"/>
      <c r="BS276" s="833"/>
      <c r="BT276" s="833"/>
      <c r="BU276" s="833"/>
      <c r="BV276" s="833"/>
      <c r="BW276" s="833"/>
      <c r="BX276" s="833"/>
      <c r="BY276" s="833"/>
      <c r="BZ276" s="833"/>
      <c r="CA276" s="833"/>
      <c r="CB276" s="833"/>
      <c r="CC276" s="833"/>
      <c r="CD276" s="833"/>
      <c r="CE276" s="833"/>
      <c r="CF276" s="833"/>
      <c r="CG276" s="833"/>
      <c r="CH276" s="833"/>
      <c r="CI276" s="833"/>
      <c r="CJ276" s="833"/>
      <c r="CK276" s="833"/>
      <c r="CL276" s="833"/>
      <c r="CM276" s="833"/>
      <c r="CN276" s="833"/>
      <c r="CO276"/>
      <c r="CP276"/>
      <c r="CQ276"/>
      <c r="CR276"/>
      <c r="CS276"/>
      <c r="CT276"/>
      <c r="CU276"/>
      <c r="CV276"/>
      <c r="CW276"/>
      <c r="CX276"/>
      <c r="CY276"/>
      <c r="CZ276"/>
      <c r="DA276"/>
      <c r="DB276"/>
      <c r="DC276"/>
      <c r="DD276"/>
    </row>
    <row r="277" spans="1:108" x14ac:dyDescent="0.25">
      <c r="B277" s="113" t="s">
        <v>1164</v>
      </c>
      <c r="C277" s="264">
        <f>C$4</f>
        <v>42522</v>
      </c>
      <c r="D277" s="264">
        <f t="shared" ref="D277:BO277" si="213">D$4</f>
        <v>42552</v>
      </c>
      <c r="E277" s="264">
        <f t="shared" si="213"/>
        <v>42583</v>
      </c>
      <c r="F277" s="264">
        <f t="shared" si="213"/>
        <v>42614</v>
      </c>
      <c r="G277" s="264">
        <f t="shared" si="213"/>
        <v>42644</v>
      </c>
      <c r="H277" s="264">
        <f t="shared" si="213"/>
        <v>42675</v>
      </c>
      <c r="I277" s="264">
        <f t="shared" si="213"/>
        <v>42705</v>
      </c>
      <c r="J277" s="264">
        <f t="shared" si="213"/>
        <v>42736</v>
      </c>
      <c r="K277" s="264">
        <f t="shared" si="213"/>
        <v>42767</v>
      </c>
      <c r="L277" s="264">
        <f t="shared" si="213"/>
        <v>42795</v>
      </c>
      <c r="M277" s="264">
        <f t="shared" si="213"/>
        <v>42826</v>
      </c>
      <c r="N277" s="264">
        <f t="shared" si="213"/>
        <v>42856</v>
      </c>
      <c r="O277" s="264">
        <f t="shared" si="213"/>
        <v>42887</v>
      </c>
      <c r="P277" s="264">
        <f t="shared" si="213"/>
        <v>42917</v>
      </c>
      <c r="Q277" s="264">
        <f t="shared" si="213"/>
        <v>42948</v>
      </c>
      <c r="R277" s="264">
        <f t="shared" si="213"/>
        <v>42979</v>
      </c>
      <c r="S277" s="264">
        <f t="shared" si="213"/>
        <v>43009</v>
      </c>
      <c r="T277" s="264">
        <f t="shared" si="213"/>
        <v>43040</v>
      </c>
      <c r="U277" s="264">
        <f t="shared" si="213"/>
        <v>43070</v>
      </c>
      <c r="V277" s="264">
        <f t="shared" si="213"/>
        <v>43101</v>
      </c>
      <c r="W277" s="264">
        <f t="shared" si="213"/>
        <v>43132</v>
      </c>
      <c r="X277" s="264">
        <f t="shared" si="213"/>
        <v>43160</v>
      </c>
      <c r="Y277" s="264">
        <f t="shared" si="213"/>
        <v>43191</v>
      </c>
      <c r="Z277" s="264">
        <f t="shared" si="213"/>
        <v>43221</v>
      </c>
      <c r="AA277" s="264">
        <f t="shared" si="213"/>
        <v>43252</v>
      </c>
      <c r="AB277" s="264">
        <f t="shared" si="213"/>
        <v>43283</v>
      </c>
      <c r="AC277" s="264">
        <f t="shared" si="213"/>
        <v>43314</v>
      </c>
      <c r="AD277" s="264">
        <f t="shared" si="213"/>
        <v>43345</v>
      </c>
      <c r="AE277" s="264">
        <f t="shared" si="213"/>
        <v>43376</v>
      </c>
      <c r="AF277" s="264">
        <f t="shared" si="213"/>
        <v>43407</v>
      </c>
      <c r="AG277" s="264">
        <f t="shared" si="213"/>
        <v>43437</v>
      </c>
      <c r="AH277" s="264">
        <f t="shared" si="213"/>
        <v>43468</v>
      </c>
      <c r="AI277" s="264">
        <f t="shared" si="213"/>
        <v>43499</v>
      </c>
      <c r="AJ277" s="264">
        <f t="shared" si="213"/>
        <v>43527</v>
      </c>
      <c r="AK277" s="264">
        <f t="shared" si="213"/>
        <v>43558</v>
      </c>
      <c r="AL277" s="264">
        <f t="shared" si="213"/>
        <v>43587</v>
      </c>
      <c r="AM277" s="264">
        <f t="shared" si="213"/>
        <v>43618</v>
      </c>
      <c r="AN277" s="264">
        <f t="shared" si="213"/>
        <v>43647</v>
      </c>
      <c r="AO277" s="264">
        <f t="shared" si="213"/>
        <v>43678</v>
      </c>
      <c r="AP277" s="264">
        <f t="shared" si="213"/>
        <v>43709</v>
      </c>
      <c r="AQ277" s="264">
        <f t="shared" si="213"/>
        <v>43739</v>
      </c>
      <c r="AR277" s="264">
        <f t="shared" si="213"/>
        <v>43770</v>
      </c>
      <c r="AS277" s="264">
        <f t="shared" si="213"/>
        <v>43800</v>
      </c>
      <c r="AT277" s="264">
        <f t="shared" si="213"/>
        <v>43831</v>
      </c>
      <c r="AU277" s="264">
        <f t="shared" si="213"/>
        <v>43862</v>
      </c>
      <c r="AV277" s="264">
        <f t="shared" si="213"/>
        <v>43891</v>
      </c>
      <c r="AW277" s="264">
        <f t="shared" si="213"/>
        <v>43922</v>
      </c>
      <c r="AX277" s="264">
        <f t="shared" si="213"/>
        <v>43952</v>
      </c>
      <c r="AY277" s="264">
        <f t="shared" si="213"/>
        <v>43983</v>
      </c>
      <c r="AZ277" s="264">
        <f t="shared" si="213"/>
        <v>44013</v>
      </c>
      <c r="BA277" s="264">
        <f t="shared" si="213"/>
        <v>44044</v>
      </c>
      <c r="BB277" s="264">
        <f t="shared" si="213"/>
        <v>44075</v>
      </c>
      <c r="BC277" s="264">
        <f t="shared" si="213"/>
        <v>44105</v>
      </c>
      <c r="BD277" s="264">
        <f t="shared" si="213"/>
        <v>44136</v>
      </c>
      <c r="BE277" s="264">
        <f t="shared" si="213"/>
        <v>44166</v>
      </c>
      <c r="BF277" s="264">
        <f t="shared" si="213"/>
        <v>44197</v>
      </c>
      <c r="BG277" s="264">
        <f t="shared" si="213"/>
        <v>44228</v>
      </c>
      <c r="BH277" s="264">
        <f t="shared" si="213"/>
        <v>44256</v>
      </c>
      <c r="BI277" s="264">
        <f t="shared" si="213"/>
        <v>44287</v>
      </c>
      <c r="BJ277" s="264">
        <f t="shared" si="213"/>
        <v>44317</v>
      </c>
      <c r="BK277" s="264">
        <f t="shared" si="213"/>
        <v>44348</v>
      </c>
      <c r="BL277" s="264">
        <f t="shared" si="213"/>
        <v>44378</v>
      </c>
      <c r="BM277" s="264">
        <f t="shared" si="213"/>
        <v>44409</v>
      </c>
      <c r="BN277" s="264">
        <f t="shared" si="213"/>
        <v>44440</v>
      </c>
      <c r="BO277" s="264">
        <f t="shared" si="213"/>
        <v>44470</v>
      </c>
      <c r="BP277" s="264">
        <f t="shared" ref="BP277:CN277" si="214">BP$4</f>
        <v>44501</v>
      </c>
      <c r="BQ277" s="264">
        <f t="shared" si="214"/>
        <v>44531</v>
      </c>
      <c r="BR277" s="264">
        <f t="shared" si="214"/>
        <v>44562</v>
      </c>
      <c r="BS277" s="264">
        <f t="shared" si="214"/>
        <v>44593</v>
      </c>
      <c r="BT277" s="264">
        <f t="shared" si="214"/>
        <v>44622</v>
      </c>
      <c r="BU277" s="264">
        <f t="shared" si="214"/>
        <v>44654</v>
      </c>
      <c r="BV277" s="264">
        <f t="shared" si="214"/>
        <v>44685</v>
      </c>
      <c r="BW277" s="264">
        <f t="shared" si="214"/>
        <v>44716</v>
      </c>
      <c r="BX277" s="264">
        <f t="shared" si="214"/>
        <v>44746</v>
      </c>
      <c r="BY277" s="264">
        <f t="shared" si="214"/>
        <v>44774</v>
      </c>
      <c r="BZ277" s="264">
        <f t="shared" si="214"/>
        <v>44805</v>
      </c>
      <c r="CA277" s="264">
        <f t="shared" si="214"/>
        <v>44835</v>
      </c>
      <c r="CB277" s="264">
        <f t="shared" si="214"/>
        <v>44866</v>
      </c>
      <c r="CC277" s="264">
        <f t="shared" si="214"/>
        <v>44896</v>
      </c>
      <c r="CD277" s="264">
        <f t="shared" si="214"/>
        <v>44927</v>
      </c>
      <c r="CE277" s="264">
        <f t="shared" si="214"/>
        <v>44958</v>
      </c>
      <c r="CF277" s="264">
        <f t="shared" si="214"/>
        <v>44986</v>
      </c>
      <c r="CG277" s="264">
        <f t="shared" si="214"/>
        <v>45017</v>
      </c>
      <c r="CH277" s="264">
        <f t="shared" si="214"/>
        <v>45047</v>
      </c>
      <c r="CI277" s="264">
        <f t="shared" si="214"/>
        <v>45078</v>
      </c>
      <c r="CJ277" s="264">
        <f t="shared" si="214"/>
        <v>45108</v>
      </c>
      <c r="CK277" s="264">
        <f t="shared" si="214"/>
        <v>45139</v>
      </c>
      <c r="CL277" s="264">
        <f t="shared" si="214"/>
        <v>45170</v>
      </c>
      <c r="CM277" s="264">
        <f t="shared" si="214"/>
        <v>45200</v>
      </c>
      <c r="CN277" s="264">
        <f t="shared" si="214"/>
        <v>45231</v>
      </c>
      <c r="CO277"/>
      <c r="CP277"/>
      <c r="CQ277"/>
      <c r="CR277"/>
      <c r="CS277"/>
      <c r="CT277"/>
      <c r="CU277"/>
      <c r="CV277"/>
      <c r="CW277"/>
      <c r="CX277"/>
      <c r="CY277"/>
      <c r="CZ277"/>
      <c r="DA277"/>
      <c r="DB277"/>
      <c r="DC277"/>
      <c r="DD277"/>
    </row>
    <row r="278" spans="1:108" customFormat="1" x14ac:dyDescent="0.25">
      <c r="A278" s="263"/>
      <c r="B278" s="117" t="s">
        <v>131</v>
      </c>
      <c r="C278" s="265" t="s">
        <v>47</v>
      </c>
      <c r="D278" s="265" t="s">
        <v>47</v>
      </c>
      <c r="E278" s="265" t="s">
        <v>47</v>
      </c>
      <c r="F278" s="266" t="s">
        <v>47</v>
      </c>
      <c r="G278" s="266" t="s">
        <v>47</v>
      </c>
      <c r="H278" s="266" t="s">
        <v>47</v>
      </c>
      <c r="I278" s="266" t="s">
        <v>47</v>
      </c>
      <c r="J278" s="266" t="s">
        <v>47</v>
      </c>
      <c r="K278" s="266" t="s">
        <v>47</v>
      </c>
      <c r="L278" s="593" t="s">
        <v>47</v>
      </c>
      <c r="M278" s="593" t="s">
        <v>47</v>
      </c>
      <c r="N278" s="593" t="s">
        <v>47</v>
      </c>
      <c r="O278" s="593" t="s">
        <v>47</v>
      </c>
      <c r="P278" s="593" t="s">
        <v>47</v>
      </c>
      <c r="Q278" s="593" t="s">
        <v>47</v>
      </c>
      <c r="R278" s="593" t="s">
        <v>47</v>
      </c>
      <c r="S278" s="593" t="s">
        <v>47</v>
      </c>
      <c r="T278" s="593" t="s">
        <v>47</v>
      </c>
      <c r="U278" s="592" t="s">
        <v>47</v>
      </c>
      <c r="V278" s="592" t="s">
        <v>47</v>
      </c>
      <c r="W278" s="592" t="s">
        <v>47</v>
      </c>
      <c r="X278" s="592" t="s">
        <v>47</v>
      </c>
      <c r="Y278" s="592" t="s">
        <v>47</v>
      </c>
      <c r="Z278" s="592" t="s">
        <v>47</v>
      </c>
      <c r="AA278" s="592" t="s">
        <v>47</v>
      </c>
      <c r="AB278" s="592" t="s">
        <v>47</v>
      </c>
      <c r="AC278" s="592" t="s">
        <v>47</v>
      </c>
      <c r="AD278" s="592" t="s">
        <v>47</v>
      </c>
      <c r="AE278" s="592" t="s">
        <v>47</v>
      </c>
      <c r="AF278" s="592" t="s">
        <v>47</v>
      </c>
      <c r="AG278" s="592" t="s">
        <v>47</v>
      </c>
      <c r="AH278" s="592" t="s">
        <v>47</v>
      </c>
      <c r="AI278" s="592" t="s">
        <v>47</v>
      </c>
      <c r="AJ278" s="348" t="s">
        <v>47</v>
      </c>
      <c r="AK278" s="348" t="s">
        <v>47</v>
      </c>
      <c r="AL278" s="348" t="s">
        <v>47</v>
      </c>
      <c r="AM278" s="348" t="s">
        <v>47</v>
      </c>
      <c r="AN278" s="348" t="s">
        <v>47</v>
      </c>
      <c r="AO278" s="348" t="s">
        <v>47</v>
      </c>
      <c r="AP278" s="348" t="s">
        <v>47</v>
      </c>
      <c r="AQ278" s="348" t="s">
        <v>47</v>
      </c>
      <c r="AR278" s="348" t="s">
        <v>47</v>
      </c>
      <c r="AS278" s="348" t="s">
        <v>47</v>
      </c>
      <c r="AT278" s="348" t="s">
        <v>47</v>
      </c>
      <c r="AU278" s="348" t="s">
        <v>47</v>
      </c>
      <c r="AV278" s="962" t="s">
        <v>47</v>
      </c>
      <c r="AW278" s="348" t="s">
        <v>47</v>
      </c>
      <c r="AX278" s="348" t="s">
        <v>47</v>
      </c>
      <c r="AY278" s="348" t="s">
        <v>47</v>
      </c>
      <c r="AZ278" s="348" t="s">
        <v>47</v>
      </c>
      <c r="BA278" s="348" t="s">
        <v>47</v>
      </c>
      <c r="BB278" s="348" t="s">
        <v>47</v>
      </c>
      <c r="BC278" s="348" t="s">
        <v>47</v>
      </c>
      <c r="BD278" s="348" t="s">
        <v>47</v>
      </c>
      <c r="BE278" s="348" t="s">
        <v>47</v>
      </c>
      <c r="BF278" s="592" t="s">
        <v>47</v>
      </c>
      <c r="BG278" s="592" t="s">
        <v>47</v>
      </c>
      <c r="BH278" s="592" t="s">
        <v>47</v>
      </c>
      <c r="BI278" s="592" t="s">
        <v>47</v>
      </c>
      <c r="BJ278" s="592" t="s">
        <v>47</v>
      </c>
      <c r="BK278" s="592" t="s">
        <v>47</v>
      </c>
      <c r="BL278" s="592" t="s">
        <v>47</v>
      </c>
      <c r="BM278" s="592" t="s">
        <v>47</v>
      </c>
      <c r="BN278" s="592" t="s">
        <v>47</v>
      </c>
      <c r="BO278" s="592" t="s">
        <v>47</v>
      </c>
      <c r="BP278" s="592" t="s">
        <v>47</v>
      </c>
      <c r="BQ278" s="592">
        <v>117</v>
      </c>
      <c r="BR278" s="592">
        <v>117</v>
      </c>
      <c r="BS278" s="592">
        <v>117</v>
      </c>
      <c r="BT278" s="592">
        <v>117</v>
      </c>
      <c r="BU278" s="592">
        <v>117</v>
      </c>
      <c r="BV278" s="592">
        <v>117</v>
      </c>
      <c r="BW278" s="592">
        <v>117</v>
      </c>
      <c r="BX278" s="592">
        <v>117</v>
      </c>
      <c r="BY278" s="592">
        <v>117</v>
      </c>
      <c r="BZ278" s="592">
        <v>117</v>
      </c>
      <c r="CA278" s="592">
        <v>117</v>
      </c>
      <c r="CB278" s="592">
        <v>117</v>
      </c>
      <c r="CC278" s="343">
        <v>144</v>
      </c>
      <c r="CD278" s="592">
        <v>144</v>
      </c>
      <c r="CE278" s="592">
        <v>144</v>
      </c>
      <c r="CF278" s="592">
        <v>144</v>
      </c>
      <c r="CG278" s="592">
        <v>144</v>
      </c>
      <c r="CH278" s="592">
        <v>144</v>
      </c>
      <c r="CI278" s="592">
        <v>144</v>
      </c>
      <c r="CJ278" s="592">
        <v>144</v>
      </c>
      <c r="CK278" s="592">
        <v>144</v>
      </c>
      <c r="CL278" s="592">
        <v>144</v>
      </c>
      <c r="CM278" s="592">
        <v>144</v>
      </c>
      <c r="CN278" s="592">
        <v>144</v>
      </c>
    </row>
    <row r="279" spans="1:108" customFormat="1" x14ac:dyDescent="0.25">
      <c r="A279" s="263"/>
      <c r="B279" s="117" t="s">
        <v>135</v>
      </c>
      <c r="C279" s="265" t="s">
        <v>47</v>
      </c>
      <c r="D279" s="265" t="s">
        <v>47</v>
      </c>
      <c r="E279" s="265" t="s">
        <v>47</v>
      </c>
      <c r="F279" s="265" t="s">
        <v>47</v>
      </c>
      <c r="G279" s="265" t="s">
        <v>47</v>
      </c>
      <c r="H279" s="266" t="s">
        <v>47</v>
      </c>
      <c r="I279" s="266" t="s">
        <v>47</v>
      </c>
      <c r="J279" s="266" t="s">
        <v>47</v>
      </c>
      <c r="K279" s="266" t="s">
        <v>47</v>
      </c>
      <c r="L279" s="593" t="s">
        <v>47</v>
      </c>
      <c r="M279" s="593" t="s">
        <v>47</v>
      </c>
      <c r="N279" s="593" t="s">
        <v>47</v>
      </c>
      <c r="O279" s="593" t="s">
        <v>47</v>
      </c>
      <c r="P279" s="593" t="s">
        <v>47</v>
      </c>
      <c r="Q279" s="593" t="s">
        <v>47</v>
      </c>
      <c r="R279" s="593" t="s">
        <v>47</v>
      </c>
      <c r="S279" s="593" t="s">
        <v>47</v>
      </c>
      <c r="T279" s="593" t="s">
        <v>47</v>
      </c>
      <c r="U279" s="593" t="s">
        <v>47</v>
      </c>
      <c r="V279" s="593" t="s">
        <v>47</v>
      </c>
      <c r="W279" s="593" t="s">
        <v>47</v>
      </c>
      <c r="X279" s="593" t="s">
        <v>47</v>
      </c>
      <c r="Y279" s="593" t="s">
        <v>47</v>
      </c>
      <c r="Z279" s="593" t="s">
        <v>47</v>
      </c>
      <c r="AA279" s="593" t="s">
        <v>47</v>
      </c>
      <c r="AB279" s="593" t="s">
        <v>47</v>
      </c>
      <c r="AC279" s="593" t="s">
        <v>47</v>
      </c>
      <c r="AD279" s="593" t="s">
        <v>47</v>
      </c>
      <c r="AE279" s="593" t="s">
        <v>47</v>
      </c>
      <c r="AF279" s="592" t="s">
        <v>47</v>
      </c>
      <c r="AG279" s="592" t="s">
        <v>47</v>
      </c>
      <c r="AH279" s="592" t="s">
        <v>47</v>
      </c>
      <c r="AI279" s="592" t="s">
        <v>47</v>
      </c>
      <c r="AJ279" s="348" t="s">
        <v>47</v>
      </c>
      <c r="AK279" s="348" t="s">
        <v>47</v>
      </c>
      <c r="AL279" s="348" t="s">
        <v>47</v>
      </c>
      <c r="AM279" s="348" t="s">
        <v>47</v>
      </c>
      <c r="AN279" s="348" t="s">
        <v>47</v>
      </c>
      <c r="AO279" s="348" t="s">
        <v>47</v>
      </c>
      <c r="AP279" s="348" t="s">
        <v>47</v>
      </c>
      <c r="AQ279" s="348" t="s">
        <v>47</v>
      </c>
      <c r="AR279" s="348" t="s">
        <v>47</v>
      </c>
      <c r="AS279" s="348" t="s">
        <v>47</v>
      </c>
      <c r="AT279" s="348" t="s">
        <v>47</v>
      </c>
      <c r="AU279" s="348" t="s">
        <v>47</v>
      </c>
      <c r="AV279" s="962" t="s">
        <v>47</v>
      </c>
      <c r="AW279" s="348" t="s">
        <v>47</v>
      </c>
      <c r="AX279" s="348" t="s">
        <v>47</v>
      </c>
      <c r="AY279" s="348" t="s">
        <v>47</v>
      </c>
      <c r="AZ279" s="348" t="s">
        <v>47</v>
      </c>
      <c r="BA279" s="348" t="s">
        <v>47</v>
      </c>
      <c r="BB279" s="348" t="s">
        <v>47</v>
      </c>
      <c r="BC279" s="348" t="s">
        <v>47</v>
      </c>
      <c r="BD279" s="348" t="s">
        <v>47</v>
      </c>
      <c r="BE279" s="348" t="s">
        <v>47</v>
      </c>
      <c r="BF279" s="348" t="s">
        <v>47</v>
      </c>
      <c r="BG279" s="348" t="s">
        <v>47</v>
      </c>
      <c r="BH279" s="348" t="s">
        <v>47</v>
      </c>
      <c r="BI279" s="348" t="s">
        <v>47</v>
      </c>
      <c r="BJ279" s="348" t="s">
        <v>47</v>
      </c>
      <c r="BK279" s="348" t="s">
        <v>47</v>
      </c>
      <c r="BL279" s="348" t="s">
        <v>47</v>
      </c>
      <c r="BM279" s="348" t="s">
        <v>47</v>
      </c>
      <c r="BN279" s="348" t="s">
        <v>47</v>
      </c>
      <c r="BO279" s="348" t="s">
        <v>47</v>
      </c>
      <c r="BP279" s="348" t="s">
        <v>47</v>
      </c>
      <c r="BQ279" s="348">
        <v>147</v>
      </c>
      <c r="BR279" s="348">
        <v>147</v>
      </c>
      <c r="BS279" s="348">
        <v>147</v>
      </c>
      <c r="BT279" s="348">
        <v>147</v>
      </c>
      <c r="BU279" s="348">
        <v>147</v>
      </c>
      <c r="BV279" s="348">
        <v>147</v>
      </c>
      <c r="BW279" s="348">
        <v>147</v>
      </c>
      <c r="BX279" s="348">
        <v>147</v>
      </c>
      <c r="BY279" s="348">
        <v>147</v>
      </c>
      <c r="BZ279" s="592">
        <v>147</v>
      </c>
      <c r="CA279" s="592">
        <v>147</v>
      </c>
      <c r="CB279" s="592">
        <v>147</v>
      </c>
      <c r="CC279" s="592">
        <v>147</v>
      </c>
      <c r="CD279" s="592">
        <v>147</v>
      </c>
      <c r="CE279" s="592">
        <v>147</v>
      </c>
      <c r="CF279" s="592">
        <v>147</v>
      </c>
      <c r="CG279" s="592">
        <v>147</v>
      </c>
      <c r="CH279" s="592">
        <v>147</v>
      </c>
      <c r="CI279" s="592">
        <v>147</v>
      </c>
      <c r="CJ279" s="592">
        <v>147</v>
      </c>
      <c r="CK279" s="592">
        <v>147</v>
      </c>
      <c r="CL279" s="592">
        <v>147</v>
      </c>
      <c r="CM279" s="592">
        <v>147</v>
      </c>
      <c r="CN279" s="592">
        <v>147</v>
      </c>
    </row>
    <row r="280" spans="1:108" x14ac:dyDescent="0.25">
      <c r="B280" s="117" t="s">
        <v>142</v>
      </c>
      <c r="C280" s="265" t="s">
        <v>47</v>
      </c>
      <c r="D280" s="265" t="s">
        <v>47</v>
      </c>
      <c r="E280" s="265" t="s">
        <v>47</v>
      </c>
      <c r="F280" s="265" t="s">
        <v>47</v>
      </c>
      <c r="G280" s="265" t="s">
        <v>47</v>
      </c>
      <c r="H280" s="265" t="s">
        <v>47</v>
      </c>
      <c r="I280" s="265" t="s">
        <v>47</v>
      </c>
      <c r="J280" s="265" t="s">
        <v>47</v>
      </c>
      <c r="K280" s="265" t="s">
        <v>47</v>
      </c>
      <c r="L280" s="353" t="s">
        <v>47</v>
      </c>
      <c r="M280" s="353" t="s">
        <v>47</v>
      </c>
      <c r="N280" s="353" t="s">
        <v>47</v>
      </c>
      <c r="O280" s="593" t="s">
        <v>47</v>
      </c>
      <c r="P280" s="593" t="s">
        <v>47</v>
      </c>
      <c r="Q280" s="593" t="s">
        <v>47</v>
      </c>
      <c r="R280" s="593" t="s">
        <v>47</v>
      </c>
      <c r="S280" s="593" t="s">
        <v>47</v>
      </c>
      <c r="T280" s="593" t="s">
        <v>47</v>
      </c>
      <c r="U280" s="593" t="s">
        <v>47</v>
      </c>
      <c r="V280" s="593" t="s">
        <v>47</v>
      </c>
      <c r="W280" s="592" t="s">
        <v>47</v>
      </c>
      <c r="X280" s="593" t="s">
        <v>47</v>
      </c>
      <c r="Y280" s="593" t="s">
        <v>47</v>
      </c>
      <c r="Z280" s="593" t="s">
        <v>47</v>
      </c>
      <c r="AA280" s="593" t="s">
        <v>47</v>
      </c>
      <c r="AB280" s="593" t="s">
        <v>47</v>
      </c>
      <c r="AC280" s="593" t="s">
        <v>47</v>
      </c>
      <c r="AD280" s="593" t="s">
        <v>47</v>
      </c>
      <c r="AE280" s="593" t="s">
        <v>47</v>
      </c>
      <c r="AF280" s="593" t="s">
        <v>47</v>
      </c>
      <c r="AG280" s="593" t="s">
        <v>47</v>
      </c>
      <c r="AH280" s="593" t="s">
        <v>47</v>
      </c>
      <c r="AI280" s="593" t="s">
        <v>47</v>
      </c>
      <c r="AJ280" s="348" t="s">
        <v>47</v>
      </c>
      <c r="AK280" s="348" t="s">
        <v>47</v>
      </c>
      <c r="AL280" s="348" t="s">
        <v>47</v>
      </c>
      <c r="AM280" s="348" t="s">
        <v>47</v>
      </c>
      <c r="AN280" s="348" t="s">
        <v>47</v>
      </c>
      <c r="AO280" s="348" t="s">
        <v>47</v>
      </c>
      <c r="AP280" s="348" t="s">
        <v>47</v>
      </c>
      <c r="AQ280" s="348" t="s">
        <v>47</v>
      </c>
      <c r="AR280" s="348" t="s">
        <v>47</v>
      </c>
      <c r="AS280" s="348" t="s">
        <v>47</v>
      </c>
      <c r="AT280" s="348" t="s">
        <v>47</v>
      </c>
      <c r="AU280" s="348" t="s">
        <v>47</v>
      </c>
      <c r="AV280" s="962" t="s">
        <v>47</v>
      </c>
      <c r="AW280" s="350" t="s">
        <v>47</v>
      </c>
      <c r="AX280" s="350" t="s">
        <v>47</v>
      </c>
      <c r="AY280" s="348" t="s">
        <v>47</v>
      </c>
      <c r="AZ280" s="348" t="s">
        <v>47</v>
      </c>
      <c r="BA280" s="348" t="s">
        <v>47</v>
      </c>
      <c r="BB280" s="348" t="s">
        <v>47</v>
      </c>
      <c r="BC280" s="348" t="s">
        <v>47</v>
      </c>
      <c r="BD280" s="348" t="s">
        <v>47</v>
      </c>
      <c r="BE280" s="348" t="s">
        <v>47</v>
      </c>
      <c r="BF280" s="348" t="s">
        <v>47</v>
      </c>
      <c r="BG280" s="348" t="s">
        <v>47</v>
      </c>
      <c r="BH280" s="348" t="s">
        <v>47</v>
      </c>
      <c r="BI280" s="348" t="s">
        <v>47</v>
      </c>
      <c r="BJ280" s="348" t="s">
        <v>47</v>
      </c>
      <c r="BK280" s="348" t="s">
        <v>47</v>
      </c>
      <c r="BL280" s="348" t="s">
        <v>47</v>
      </c>
      <c r="BM280" s="348" t="s">
        <v>47</v>
      </c>
      <c r="BN280" s="348" t="s">
        <v>47</v>
      </c>
      <c r="BO280" s="348" t="s">
        <v>47</v>
      </c>
      <c r="BP280" s="348" t="s">
        <v>47</v>
      </c>
      <c r="BQ280" s="348" t="s">
        <v>47</v>
      </c>
      <c r="BR280" s="348" t="s">
        <v>47</v>
      </c>
      <c r="BS280" s="348" t="s">
        <v>47</v>
      </c>
      <c r="BT280" s="348" t="s">
        <v>47</v>
      </c>
      <c r="BU280" s="348" t="s">
        <v>47</v>
      </c>
      <c r="BV280" s="348" t="s">
        <v>47</v>
      </c>
      <c r="BW280" s="348" t="s">
        <v>47</v>
      </c>
      <c r="BX280" s="348" t="s">
        <v>47</v>
      </c>
      <c r="BY280" s="343">
        <v>205</v>
      </c>
      <c r="BZ280" s="592">
        <v>205</v>
      </c>
      <c r="CA280" s="592">
        <v>205</v>
      </c>
      <c r="CB280" s="592">
        <v>205</v>
      </c>
      <c r="CC280" s="592">
        <v>205</v>
      </c>
      <c r="CD280" s="592">
        <v>205</v>
      </c>
      <c r="CE280" s="592">
        <v>205</v>
      </c>
      <c r="CF280" s="592">
        <v>205</v>
      </c>
      <c r="CG280" s="592">
        <v>205</v>
      </c>
      <c r="CH280" s="592">
        <v>205</v>
      </c>
      <c r="CI280" s="592">
        <v>205</v>
      </c>
      <c r="CJ280" s="592" t="s">
        <v>47</v>
      </c>
      <c r="CK280" s="592" t="s">
        <v>47</v>
      </c>
      <c r="CL280" s="592" t="s">
        <v>47</v>
      </c>
      <c r="CM280" s="592" t="s">
        <v>47</v>
      </c>
      <c r="CN280" s="592" t="s">
        <v>47</v>
      </c>
      <c r="CO280"/>
      <c r="CP280"/>
      <c r="CQ280"/>
      <c r="CR280"/>
      <c r="CS280"/>
      <c r="CT280"/>
      <c r="CU280"/>
      <c r="CV280"/>
      <c r="CW280"/>
      <c r="CX280"/>
      <c r="CY280"/>
      <c r="CZ280"/>
      <c r="DA280"/>
      <c r="DB280"/>
      <c r="DC280"/>
      <c r="DD280"/>
    </row>
    <row r="281" spans="1:108" x14ac:dyDescent="0.25">
      <c r="B281" s="117" t="s">
        <v>136</v>
      </c>
      <c r="C281" s="265" t="s">
        <v>47</v>
      </c>
      <c r="D281" s="265" t="s">
        <v>47</v>
      </c>
      <c r="E281" s="265" t="s">
        <v>47</v>
      </c>
      <c r="F281" s="265" t="s">
        <v>47</v>
      </c>
      <c r="G281" s="266" t="s">
        <v>47</v>
      </c>
      <c r="H281" s="266" t="s">
        <v>47</v>
      </c>
      <c r="I281" s="266" t="s">
        <v>47</v>
      </c>
      <c r="J281" s="266" t="s">
        <v>47</v>
      </c>
      <c r="K281" s="266" t="s">
        <v>47</v>
      </c>
      <c r="L281" s="593" t="s">
        <v>47</v>
      </c>
      <c r="M281" s="593" t="s">
        <v>47</v>
      </c>
      <c r="N281" s="593" t="s">
        <v>47</v>
      </c>
      <c r="O281" s="593" t="s">
        <v>47</v>
      </c>
      <c r="P281" s="593" t="s">
        <v>47</v>
      </c>
      <c r="Q281" s="592" t="s">
        <v>47</v>
      </c>
      <c r="R281" s="592" t="s">
        <v>47</v>
      </c>
      <c r="S281" s="592" t="s">
        <v>47</v>
      </c>
      <c r="T281" s="592" t="s">
        <v>47</v>
      </c>
      <c r="U281" s="592" t="s">
        <v>47</v>
      </c>
      <c r="V281" s="592" t="s">
        <v>47</v>
      </c>
      <c r="W281" s="592" t="s">
        <v>47</v>
      </c>
      <c r="X281" s="592" t="s">
        <v>47</v>
      </c>
      <c r="Y281" s="592" t="s">
        <v>47</v>
      </c>
      <c r="Z281" s="592" t="s">
        <v>47</v>
      </c>
      <c r="AA281" s="592" t="s">
        <v>47</v>
      </c>
      <c r="AB281" s="592" t="s">
        <v>47</v>
      </c>
      <c r="AC281" s="592" t="s">
        <v>47</v>
      </c>
      <c r="AD281" s="592" t="s">
        <v>47</v>
      </c>
      <c r="AE281" s="592" t="s">
        <v>47</v>
      </c>
      <c r="AF281" s="592" t="s">
        <v>47</v>
      </c>
      <c r="AG281" s="592" t="s">
        <v>47</v>
      </c>
      <c r="AH281" s="592" t="s">
        <v>47</v>
      </c>
      <c r="AI281" s="592" t="s">
        <v>47</v>
      </c>
      <c r="AJ281" s="348" t="s">
        <v>47</v>
      </c>
      <c r="AK281" s="348" t="s">
        <v>47</v>
      </c>
      <c r="AL281" s="348" t="s">
        <v>47</v>
      </c>
      <c r="AM281" s="348" t="s">
        <v>47</v>
      </c>
      <c r="AN281" s="348" t="s">
        <v>47</v>
      </c>
      <c r="AO281" s="348" t="s">
        <v>47</v>
      </c>
      <c r="AP281" s="348" t="s">
        <v>47</v>
      </c>
      <c r="AQ281" s="348" t="s">
        <v>47</v>
      </c>
      <c r="AR281" s="348" t="s">
        <v>47</v>
      </c>
      <c r="AS281" s="348" t="s">
        <v>47</v>
      </c>
      <c r="AT281" s="348" t="s">
        <v>47</v>
      </c>
      <c r="AU281" s="348" t="s">
        <v>47</v>
      </c>
      <c r="AV281" s="962" t="s">
        <v>47</v>
      </c>
      <c r="AW281" s="348" t="s">
        <v>47</v>
      </c>
      <c r="AX281" s="348" t="s">
        <v>47</v>
      </c>
      <c r="AY281" s="348" t="s">
        <v>47</v>
      </c>
      <c r="AZ281" s="348" t="s">
        <v>47</v>
      </c>
      <c r="BA281" s="348" t="s">
        <v>47</v>
      </c>
      <c r="BB281" s="348" t="s">
        <v>47</v>
      </c>
      <c r="BC281" s="348" t="s">
        <v>47</v>
      </c>
      <c r="BD281" s="348" t="s">
        <v>47</v>
      </c>
      <c r="BE281" s="348" t="s">
        <v>47</v>
      </c>
      <c r="BF281" s="348" t="s">
        <v>47</v>
      </c>
      <c r="BG281" s="348" t="s">
        <v>47</v>
      </c>
      <c r="BH281" s="348" t="s">
        <v>47</v>
      </c>
      <c r="BI281" s="348" t="s">
        <v>47</v>
      </c>
      <c r="BJ281" s="348" t="s">
        <v>47</v>
      </c>
      <c r="BK281" s="348" t="s">
        <v>47</v>
      </c>
      <c r="BL281" s="348" t="s">
        <v>47</v>
      </c>
      <c r="BM281" s="348" t="s">
        <v>47</v>
      </c>
      <c r="BN281" s="348" t="s">
        <v>47</v>
      </c>
      <c r="BO281" s="348" t="s">
        <v>47</v>
      </c>
      <c r="BP281" s="348">
        <v>128</v>
      </c>
      <c r="BQ281" s="348">
        <v>128</v>
      </c>
      <c r="BR281" s="348">
        <v>128</v>
      </c>
      <c r="BS281" s="348">
        <v>128</v>
      </c>
      <c r="BT281" s="348">
        <v>128</v>
      </c>
      <c r="BU281" s="348">
        <v>129</v>
      </c>
      <c r="BV281" s="348">
        <v>129</v>
      </c>
      <c r="BW281" s="348">
        <v>129</v>
      </c>
      <c r="BX281" s="348">
        <v>129</v>
      </c>
      <c r="BY281" s="343">
        <v>153</v>
      </c>
      <c r="BZ281" s="592">
        <v>153</v>
      </c>
      <c r="CA281" s="592">
        <v>153</v>
      </c>
      <c r="CB281" s="592">
        <v>153</v>
      </c>
      <c r="CC281" s="592">
        <v>153</v>
      </c>
      <c r="CD281" s="343">
        <v>174.3</v>
      </c>
      <c r="CE281" s="592">
        <v>174.3</v>
      </c>
      <c r="CF281" s="592">
        <v>174.3</v>
      </c>
      <c r="CG281" s="592">
        <v>174.3</v>
      </c>
      <c r="CH281" s="592">
        <v>174.3</v>
      </c>
      <c r="CI281" s="592">
        <v>174.3</v>
      </c>
      <c r="CJ281" s="592">
        <v>174.3</v>
      </c>
      <c r="CK281" s="592">
        <v>174.3</v>
      </c>
      <c r="CL281" s="592">
        <v>174.3</v>
      </c>
      <c r="CM281" s="592">
        <v>174.3</v>
      </c>
      <c r="CN281" s="592">
        <v>174.3</v>
      </c>
      <c r="CO281"/>
      <c r="CP281"/>
      <c r="CQ281"/>
      <c r="CR281"/>
      <c r="CS281"/>
      <c r="CT281"/>
      <c r="CU281"/>
      <c r="CV281"/>
      <c r="CW281"/>
      <c r="CX281"/>
      <c r="CY281"/>
      <c r="CZ281"/>
      <c r="DA281"/>
      <c r="DB281"/>
      <c r="DC281"/>
      <c r="DD281"/>
    </row>
    <row r="282" spans="1:108" x14ac:dyDescent="0.25">
      <c r="B282" s="117" t="s">
        <v>1218</v>
      </c>
      <c r="C282" s="348" t="s">
        <v>47</v>
      </c>
      <c r="D282" s="348" t="s">
        <v>47</v>
      </c>
      <c r="E282" s="348" t="s">
        <v>47</v>
      </c>
      <c r="F282" s="348" t="s">
        <v>47</v>
      </c>
      <c r="G282" s="348" t="s">
        <v>47</v>
      </c>
      <c r="H282" s="348" t="s">
        <v>47</v>
      </c>
      <c r="I282" s="348" t="s">
        <v>47</v>
      </c>
      <c r="J282" s="348" t="s">
        <v>47</v>
      </c>
      <c r="K282" s="348" t="s">
        <v>47</v>
      </c>
      <c r="L282" s="348" t="s">
        <v>47</v>
      </c>
      <c r="M282" s="348" t="s">
        <v>47</v>
      </c>
      <c r="N282" s="348" t="s">
        <v>47</v>
      </c>
      <c r="O282" s="348" t="s">
        <v>47</v>
      </c>
      <c r="P282" s="348" t="s">
        <v>47</v>
      </c>
      <c r="Q282" s="348" t="s">
        <v>47</v>
      </c>
      <c r="R282" s="348" t="s">
        <v>47</v>
      </c>
      <c r="S282" s="348" t="s">
        <v>47</v>
      </c>
      <c r="T282" s="348" t="s">
        <v>47</v>
      </c>
      <c r="U282" s="348" t="s">
        <v>47</v>
      </c>
      <c r="V282" s="348" t="s">
        <v>47</v>
      </c>
      <c r="W282" s="348" t="s">
        <v>47</v>
      </c>
      <c r="X282" s="348" t="s">
        <v>47</v>
      </c>
      <c r="Y282" s="348" t="s">
        <v>47</v>
      </c>
      <c r="Z282" s="348" t="s">
        <v>47</v>
      </c>
      <c r="AA282" s="348" t="s">
        <v>47</v>
      </c>
      <c r="AB282" s="348" t="s">
        <v>47</v>
      </c>
      <c r="AC282" s="348" t="s">
        <v>47</v>
      </c>
      <c r="AD282" s="348" t="s">
        <v>47</v>
      </c>
      <c r="AE282" s="348" t="s">
        <v>47</v>
      </c>
      <c r="AF282" s="348" t="s">
        <v>47</v>
      </c>
      <c r="AG282" s="348" t="s">
        <v>47</v>
      </c>
      <c r="AH282" s="348" t="s">
        <v>47</v>
      </c>
      <c r="AI282" s="348" t="s">
        <v>47</v>
      </c>
      <c r="AJ282" s="348" t="s">
        <v>47</v>
      </c>
      <c r="AK282" s="348" t="s">
        <v>47</v>
      </c>
      <c r="AL282" s="348" t="s">
        <v>47</v>
      </c>
      <c r="AM282" s="348" t="s">
        <v>47</v>
      </c>
      <c r="AN282" s="348" t="s">
        <v>47</v>
      </c>
      <c r="AO282" s="348" t="s">
        <v>47</v>
      </c>
      <c r="AP282" s="348" t="s">
        <v>47</v>
      </c>
      <c r="AQ282" s="348" t="s">
        <v>47</v>
      </c>
      <c r="AR282" s="348" t="s">
        <v>47</v>
      </c>
      <c r="AS282" s="348" t="s">
        <v>47</v>
      </c>
      <c r="AT282" s="348" t="s">
        <v>47</v>
      </c>
      <c r="AU282" s="348" t="s">
        <v>47</v>
      </c>
      <c r="AV282" s="348" t="s">
        <v>47</v>
      </c>
      <c r="AW282" s="348" t="s">
        <v>47</v>
      </c>
      <c r="AX282" s="348" t="s">
        <v>47</v>
      </c>
      <c r="AY282" s="348" t="s">
        <v>47</v>
      </c>
      <c r="AZ282" s="348" t="s">
        <v>47</v>
      </c>
      <c r="BA282" s="348" t="s">
        <v>47</v>
      </c>
      <c r="BB282" s="348" t="s">
        <v>47</v>
      </c>
      <c r="BC282" s="348" t="s">
        <v>47</v>
      </c>
      <c r="BD282" s="348" t="s">
        <v>47</v>
      </c>
      <c r="BE282" s="348" t="s">
        <v>47</v>
      </c>
      <c r="BF282" s="348" t="s">
        <v>47</v>
      </c>
      <c r="BG282" s="348" t="s">
        <v>47</v>
      </c>
      <c r="BH282" s="348" t="s">
        <v>47</v>
      </c>
      <c r="BI282" s="348" t="s">
        <v>47</v>
      </c>
      <c r="BJ282" s="348" t="s">
        <v>47</v>
      </c>
      <c r="BK282" s="348" t="s">
        <v>47</v>
      </c>
      <c r="BL282" s="348" t="s">
        <v>47</v>
      </c>
      <c r="BM282" s="348" t="s">
        <v>47</v>
      </c>
      <c r="BN282" s="348">
        <v>179</v>
      </c>
      <c r="BO282" s="348">
        <v>179</v>
      </c>
      <c r="BP282" s="348">
        <v>179</v>
      </c>
      <c r="BQ282" s="343">
        <v>174</v>
      </c>
      <c r="BR282" s="348">
        <v>174</v>
      </c>
      <c r="BS282" s="348">
        <v>174</v>
      </c>
      <c r="BT282" s="348">
        <v>150</v>
      </c>
      <c r="BU282" s="348">
        <v>150</v>
      </c>
      <c r="BV282" s="348">
        <v>150</v>
      </c>
      <c r="BW282" s="348">
        <v>150</v>
      </c>
      <c r="BX282" s="348">
        <v>150</v>
      </c>
      <c r="BY282" s="348">
        <v>150</v>
      </c>
      <c r="BZ282" s="592">
        <v>150</v>
      </c>
      <c r="CA282" s="592">
        <v>150</v>
      </c>
      <c r="CB282" s="343">
        <v>169</v>
      </c>
      <c r="CC282" s="592">
        <v>169</v>
      </c>
      <c r="CD282" s="592">
        <v>169</v>
      </c>
      <c r="CE282" s="592">
        <v>169</v>
      </c>
      <c r="CF282" s="592">
        <v>169</v>
      </c>
      <c r="CG282" s="592">
        <v>169</v>
      </c>
      <c r="CH282" s="592">
        <v>169</v>
      </c>
      <c r="CI282" s="592" t="s">
        <v>47</v>
      </c>
      <c r="CJ282" s="592" t="s">
        <v>47</v>
      </c>
      <c r="CK282" s="592" t="s">
        <v>47</v>
      </c>
      <c r="CL282" s="592" t="s">
        <v>47</v>
      </c>
      <c r="CM282" s="592" t="s">
        <v>47</v>
      </c>
      <c r="CN282" s="592" t="s">
        <v>47</v>
      </c>
      <c r="CO282"/>
      <c r="CP282"/>
      <c r="CQ282"/>
      <c r="CR282"/>
      <c r="CS282"/>
      <c r="CT282"/>
      <c r="CU282"/>
      <c r="CV282"/>
      <c r="CW282"/>
      <c r="CX282"/>
      <c r="CY282"/>
      <c r="CZ282"/>
      <c r="DA282"/>
      <c r="DB282"/>
      <c r="DC282"/>
      <c r="DD282"/>
    </row>
    <row r="283" spans="1:108" x14ac:dyDescent="0.25">
      <c r="A283"/>
      <c r="B283" s="1117" t="s">
        <v>381</v>
      </c>
      <c r="C283" s="1120" t="str">
        <f t="shared" ref="C283:AH283" si="215">IFERROR(AVERAGE(C278:C282),"-")</f>
        <v>-</v>
      </c>
      <c r="D283" s="1120" t="str">
        <f t="shared" si="215"/>
        <v>-</v>
      </c>
      <c r="E283" s="1120" t="str">
        <f t="shared" si="215"/>
        <v>-</v>
      </c>
      <c r="F283" s="1120" t="str">
        <f t="shared" si="215"/>
        <v>-</v>
      </c>
      <c r="G283" s="1120" t="str">
        <f t="shared" si="215"/>
        <v>-</v>
      </c>
      <c r="H283" s="1120" t="str">
        <f t="shared" si="215"/>
        <v>-</v>
      </c>
      <c r="I283" s="1120" t="str">
        <f t="shared" si="215"/>
        <v>-</v>
      </c>
      <c r="J283" s="1120" t="str">
        <f t="shared" si="215"/>
        <v>-</v>
      </c>
      <c r="K283" s="1120" t="str">
        <f t="shared" si="215"/>
        <v>-</v>
      </c>
      <c r="L283" s="1120" t="str">
        <f t="shared" si="215"/>
        <v>-</v>
      </c>
      <c r="M283" s="1120" t="str">
        <f t="shared" si="215"/>
        <v>-</v>
      </c>
      <c r="N283" s="1120" t="str">
        <f t="shared" si="215"/>
        <v>-</v>
      </c>
      <c r="O283" s="1120" t="str">
        <f t="shared" si="215"/>
        <v>-</v>
      </c>
      <c r="P283" s="1120" t="str">
        <f t="shared" si="215"/>
        <v>-</v>
      </c>
      <c r="Q283" s="1120" t="str">
        <f t="shared" si="215"/>
        <v>-</v>
      </c>
      <c r="R283" s="1120" t="str">
        <f t="shared" si="215"/>
        <v>-</v>
      </c>
      <c r="S283" s="1120" t="str">
        <f t="shared" si="215"/>
        <v>-</v>
      </c>
      <c r="T283" s="1120" t="str">
        <f t="shared" si="215"/>
        <v>-</v>
      </c>
      <c r="U283" s="1120" t="str">
        <f t="shared" si="215"/>
        <v>-</v>
      </c>
      <c r="V283" s="1120" t="str">
        <f t="shared" si="215"/>
        <v>-</v>
      </c>
      <c r="W283" s="1120" t="str">
        <f t="shared" si="215"/>
        <v>-</v>
      </c>
      <c r="X283" s="1120" t="str">
        <f t="shared" si="215"/>
        <v>-</v>
      </c>
      <c r="Y283" s="1120" t="str">
        <f t="shared" si="215"/>
        <v>-</v>
      </c>
      <c r="Z283" s="1120" t="str">
        <f t="shared" si="215"/>
        <v>-</v>
      </c>
      <c r="AA283" s="1120" t="str">
        <f t="shared" si="215"/>
        <v>-</v>
      </c>
      <c r="AB283" s="1120" t="str">
        <f t="shared" si="215"/>
        <v>-</v>
      </c>
      <c r="AC283" s="1120" t="str">
        <f t="shared" si="215"/>
        <v>-</v>
      </c>
      <c r="AD283" s="1120" t="str">
        <f t="shared" si="215"/>
        <v>-</v>
      </c>
      <c r="AE283" s="1120" t="str">
        <f t="shared" si="215"/>
        <v>-</v>
      </c>
      <c r="AF283" s="1120" t="str">
        <f t="shared" si="215"/>
        <v>-</v>
      </c>
      <c r="AG283" s="1120" t="str">
        <f t="shared" si="215"/>
        <v>-</v>
      </c>
      <c r="AH283" s="1120" t="str">
        <f t="shared" si="215"/>
        <v>-</v>
      </c>
      <c r="AI283" s="1120" t="str">
        <f t="shared" ref="AI283:BN283" si="216">IFERROR(AVERAGE(AI278:AI282),"-")</f>
        <v>-</v>
      </c>
      <c r="AJ283" s="1120" t="str">
        <f t="shared" si="216"/>
        <v>-</v>
      </c>
      <c r="AK283" s="1120" t="str">
        <f t="shared" si="216"/>
        <v>-</v>
      </c>
      <c r="AL283" s="1120" t="str">
        <f t="shared" si="216"/>
        <v>-</v>
      </c>
      <c r="AM283" s="1120" t="str">
        <f t="shared" si="216"/>
        <v>-</v>
      </c>
      <c r="AN283" s="1120" t="str">
        <f t="shared" si="216"/>
        <v>-</v>
      </c>
      <c r="AO283" s="1120" t="str">
        <f t="shared" si="216"/>
        <v>-</v>
      </c>
      <c r="AP283" s="1120" t="str">
        <f t="shared" si="216"/>
        <v>-</v>
      </c>
      <c r="AQ283" s="1120" t="str">
        <f t="shared" si="216"/>
        <v>-</v>
      </c>
      <c r="AR283" s="1120" t="str">
        <f t="shared" si="216"/>
        <v>-</v>
      </c>
      <c r="AS283" s="1120" t="str">
        <f t="shared" si="216"/>
        <v>-</v>
      </c>
      <c r="AT283" s="1120" t="str">
        <f t="shared" si="216"/>
        <v>-</v>
      </c>
      <c r="AU283" s="1120" t="str">
        <f t="shared" si="216"/>
        <v>-</v>
      </c>
      <c r="AV283" s="1120" t="str">
        <f t="shared" si="216"/>
        <v>-</v>
      </c>
      <c r="AW283" s="1120" t="str">
        <f t="shared" si="216"/>
        <v>-</v>
      </c>
      <c r="AX283" s="1120" t="str">
        <f t="shared" si="216"/>
        <v>-</v>
      </c>
      <c r="AY283" s="1120" t="str">
        <f t="shared" si="216"/>
        <v>-</v>
      </c>
      <c r="AZ283" s="1120" t="str">
        <f t="shared" si="216"/>
        <v>-</v>
      </c>
      <c r="BA283" s="1120" t="str">
        <f t="shared" si="216"/>
        <v>-</v>
      </c>
      <c r="BB283" s="1120" t="str">
        <f t="shared" si="216"/>
        <v>-</v>
      </c>
      <c r="BC283" s="1120" t="str">
        <f t="shared" si="216"/>
        <v>-</v>
      </c>
      <c r="BD283" s="1120" t="str">
        <f t="shared" si="216"/>
        <v>-</v>
      </c>
      <c r="BE283" s="1120" t="str">
        <f t="shared" si="216"/>
        <v>-</v>
      </c>
      <c r="BF283" s="1120" t="str">
        <f t="shared" si="216"/>
        <v>-</v>
      </c>
      <c r="BG283" s="1120" t="str">
        <f t="shared" si="216"/>
        <v>-</v>
      </c>
      <c r="BH283" s="1120" t="str">
        <f t="shared" si="216"/>
        <v>-</v>
      </c>
      <c r="BI283" s="1120" t="str">
        <f t="shared" si="216"/>
        <v>-</v>
      </c>
      <c r="BJ283" s="1120" t="str">
        <f t="shared" si="216"/>
        <v>-</v>
      </c>
      <c r="BK283" s="1120" t="str">
        <f t="shared" si="216"/>
        <v>-</v>
      </c>
      <c r="BL283" s="1120" t="str">
        <f t="shared" si="216"/>
        <v>-</v>
      </c>
      <c r="BM283" s="1120" t="str">
        <f t="shared" si="216"/>
        <v>-</v>
      </c>
      <c r="BN283" s="1120">
        <f t="shared" si="216"/>
        <v>179</v>
      </c>
      <c r="BO283" s="1120">
        <f t="shared" ref="BO283:CN283" si="217">IFERROR(AVERAGE(BO278:BO282),"-")</f>
        <v>179</v>
      </c>
      <c r="BP283" s="1120">
        <f t="shared" si="217"/>
        <v>153.5</v>
      </c>
      <c r="BQ283" s="1120">
        <f t="shared" si="217"/>
        <v>141.5</v>
      </c>
      <c r="BR283" s="1120">
        <f t="shared" si="217"/>
        <v>141.5</v>
      </c>
      <c r="BS283" s="1120">
        <f t="shared" si="217"/>
        <v>141.5</v>
      </c>
      <c r="BT283" s="1120">
        <f t="shared" si="217"/>
        <v>135.5</v>
      </c>
      <c r="BU283" s="1120">
        <f t="shared" si="217"/>
        <v>135.75</v>
      </c>
      <c r="BV283" s="1120">
        <f t="shared" si="217"/>
        <v>135.75</v>
      </c>
      <c r="BW283" s="1120">
        <f t="shared" si="217"/>
        <v>135.75</v>
      </c>
      <c r="BX283" s="1120">
        <f t="shared" si="217"/>
        <v>135.75</v>
      </c>
      <c r="BY283" s="1120">
        <f t="shared" si="217"/>
        <v>154.4</v>
      </c>
      <c r="BZ283" s="1120">
        <f t="shared" si="217"/>
        <v>154.4</v>
      </c>
      <c r="CA283" s="1120">
        <f t="shared" si="217"/>
        <v>154.4</v>
      </c>
      <c r="CB283" s="1120">
        <f t="shared" si="217"/>
        <v>158.19999999999999</v>
      </c>
      <c r="CC283" s="1120">
        <f t="shared" si="217"/>
        <v>163.6</v>
      </c>
      <c r="CD283" s="1120">
        <f t="shared" si="217"/>
        <v>167.85999999999999</v>
      </c>
      <c r="CE283" s="1120">
        <f t="shared" si="217"/>
        <v>167.85999999999999</v>
      </c>
      <c r="CF283" s="1120">
        <f t="shared" si="217"/>
        <v>167.85999999999999</v>
      </c>
      <c r="CG283" s="1120">
        <f t="shared" si="217"/>
        <v>167.85999999999999</v>
      </c>
      <c r="CH283" s="1120">
        <f t="shared" si="217"/>
        <v>167.85999999999999</v>
      </c>
      <c r="CI283" s="1120">
        <f t="shared" si="217"/>
        <v>167.57499999999999</v>
      </c>
      <c r="CJ283" s="1120">
        <f t="shared" si="217"/>
        <v>155.1</v>
      </c>
      <c r="CK283" s="1120">
        <f t="shared" si="217"/>
        <v>155.1</v>
      </c>
      <c r="CL283" s="1120">
        <f t="shared" si="217"/>
        <v>155.1</v>
      </c>
      <c r="CM283" s="1120">
        <f t="shared" si="217"/>
        <v>155.1</v>
      </c>
      <c r="CN283" s="1120">
        <f t="shared" si="217"/>
        <v>155.1</v>
      </c>
      <c r="CO283"/>
      <c r="CP283"/>
      <c r="CQ283"/>
      <c r="CR283"/>
      <c r="CS283"/>
      <c r="CT283"/>
      <c r="CU283"/>
      <c r="CV283"/>
      <c r="CW283"/>
      <c r="CX283"/>
      <c r="CY283"/>
      <c r="CZ283"/>
      <c r="DA283"/>
      <c r="DB283"/>
      <c r="DC283"/>
      <c r="DD283"/>
    </row>
    <row r="284" spans="1:108" x14ac:dyDescent="0.25">
      <c r="X284" s="341"/>
      <c r="Y284" s="341"/>
      <c r="Z284" s="341"/>
      <c r="AA284" s="341"/>
      <c r="AB284" s="341"/>
      <c r="AC284" s="341"/>
      <c r="AD284" s="341"/>
      <c r="AE284" s="341"/>
      <c r="AF284" s="341"/>
      <c r="AG284" s="341"/>
      <c r="AH284" s="341"/>
      <c r="AI284" s="341"/>
      <c r="AJ284" s="341"/>
      <c r="AK284" s="341"/>
      <c r="AL284" s="341"/>
      <c r="AM284" s="341"/>
      <c r="AN284" s="341"/>
      <c r="AO284" s="341"/>
      <c r="AP284" s="341"/>
      <c r="AQ284" s="341"/>
      <c r="AR284" s="341"/>
      <c r="AS284" s="341"/>
      <c r="AT284" s="787"/>
      <c r="AV284" s="945"/>
      <c r="BZ284" s="787"/>
      <c r="CA284" s="787"/>
      <c r="CB284" s="787"/>
      <c r="CC284" s="787"/>
      <c r="CD284" s="787"/>
      <c r="CE284" s="787"/>
      <c r="CF284" s="787"/>
      <c r="CG284" s="787"/>
      <c r="CH284" s="787"/>
      <c r="CI284" s="787"/>
      <c r="CJ284" s="787"/>
      <c r="CK284" s="787"/>
      <c r="CL284" s="787"/>
      <c r="CM284" s="787"/>
      <c r="CN284" s="787"/>
      <c r="CO284"/>
      <c r="CP284"/>
      <c r="CQ284"/>
      <c r="CR284"/>
      <c r="CS284"/>
      <c r="CT284"/>
      <c r="CU284"/>
      <c r="CV284"/>
      <c r="CW284"/>
      <c r="CX284"/>
      <c r="CY284"/>
      <c r="CZ284"/>
      <c r="DA284"/>
      <c r="DB284"/>
      <c r="DC284"/>
      <c r="DD284"/>
    </row>
    <row r="285" spans="1:108" x14ac:dyDescent="0.25">
      <c r="X285" s="341"/>
      <c r="Y285" s="341"/>
      <c r="Z285" s="341"/>
      <c r="AA285" s="341"/>
      <c r="AB285" s="341"/>
      <c r="AC285" s="341"/>
      <c r="AD285" s="341"/>
      <c r="AE285" s="341"/>
      <c r="AF285" s="341"/>
      <c r="AG285" s="341"/>
      <c r="AH285" s="341"/>
      <c r="AI285" s="341"/>
      <c r="AJ285" s="341"/>
      <c r="AK285" s="341"/>
      <c r="AL285" s="341"/>
      <c r="AM285" s="341"/>
      <c r="AN285" s="341"/>
      <c r="AO285" s="341"/>
      <c r="AP285" s="341"/>
      <c r="AQ285" s="341"/>
      <c r="AR285" s="341"/>
      <c r="AS285" s="341"/>
      <c r="AT285" s="787"/>
    </row>
    <row r="286" spans="1:108" x14ac:dyDescent="0.25">
      <c r="X286" s="341"/>
      <c r="Y286" s="341"/>
      <c r="Z286" s="341"/>
      <c r="AA286" s="341"/>
      <c r="AB286" s="341"/>
      <c r="AC286" s="341"/>
      <c r="AD286" s="341"/>
      <c r="AE286" s="341"/>
      <c r="AF286" s="341"/>
      <c r="AG286" s="341"/>
      <c r="AH286" s="341"/>
      <c r="AI286" s="341"/>
      <c r="AJ286" s="341"/>
      <c r="AK286" s="341"/>
      <c r="AL286" s="341"/>
      <c r="AM286" s="341"/>
      <c r="AN286" s="341"/>
      <c r="AO286" s="341"/>
      <c r="AP286" s="341"/>
      <c r="AQ286" s="341"/>
      <c r="AR286" s="341"/>
      <c r="AS286" s="341"/>
      <c r="AT286" s="787"/>
    </row>
    <row r="287" spans="1:108" x14ac:dyDescent="0.25">
      <c r="X287" s="341"/>
      <c r="Y287" s="341"/>
      <c r="Z287" s="341"/>
      <c r="AA287" s="341"/>
      <c r="AB287" s="341"/>
      <c r="AC287" s="341"/>
      <c r="AD287" s="341"/>
      <c r="AE287" s="341"/>
      <c r="AF287" s="341"/>
      <c r="AG287" s="341"/>
      <c r="AH287" s="341"/>
      <c r="AI287" s="341"/>
      <c r="AJ287" s="341"/>
      <c r="AK287" s="341"/>
      <c r="AL287" s="341"/>
      <c r="AM287" s="341"/>
      <c r="AN287" s="341"/>
      <c r="AO287" s="341"/>
      <c r="AP287" s="341"/>
      <c r="AQ287" s="341"/>
      <c r="AR287" s="341"/>
      <c r="AS287" s="341"/>
      <c r="AT287" s="787"/>
    </row>
    <row r="288" spans="1:108" x14ac:dyDescent="0.25">
      <c r="X288" s="341"/>
      <c r="Y288" s="341"/>
      <c r="Z288" s="341"/>
      <c r="AA288" s="341"/>
      <c r="AB288" s="341"/>
      <c r="AC288" s="341"/>
      <c r="AD288" s="341"/>
      <c r="AE288" s="341"/>
      <c r="AF288" s="341"/>
      <c r="AG288" s="341"/>
      <c r="AH288" s="341"/>
      <c r="AI288" s="341"/>
      <c r="AJ288" s="341"/>
      <c r="AK288" s="341"/>
      <c r="AL288" s="341"/>
      <c r="AM288" s="341"/>
      <c r="AN288" s="341"/>
      <c r="AO288" s="341"/>
      <c r="AP288" s="341"/>
      <c r="AQ288" s="341"/>
      <c r="AR288" s="341"/>
      <c r="AS288" s="341"/>
      <c r="AT288" s="787"/>
    </row>
    <row r="289" spans="24:46" x14ac:dyDescent="0.25">
      <c r="X289" s="341"/>
      <c r="Y289" s="341"/>
      <c r="Z289" s="341"/>
      <c r="AA289" s="341"/>
      <c r="AB289" s="341"/>
      <c r="AC289" s="341"/>
      <c r="AD289" s="341"/>
      <c r="AE289" s="341"/>
      <c r="AF289" s="341"/>
      <c r="AG289" s="341"/>
      <c r="AH289" s="341"/>
      <c r="AI289" s="341"/>
      <c r="AJ289" s="341"/>
      <c r="AK289" s="341"/>
      <c r="AL289" s="341"/>
      <c r="AM289" s="341"/>
      <c r="AN289" s="341"/>
      <c r="AO289" s="341"/>
      <c r="AP289" s="341"/>
      <c r="AQ289" s="341"/>
      <c r="AR289" s="341"/>
      <c r="AS289" s="341"/>
      <c r="AT289" s="787"/>
    </row>
    <row r="290" spans="24:46" x14ac:dyDescent="0.25">
      <c r="X290" s="341"/>
      <c r="Y290" s="341"/>
      <c r="Z290" s="341"/>
      <c r="AA290" s="341"/>
      <c r="AB290" s="341"/>
      <c r="AC290" s="341"/>
      <c r="AD290" s="341"/>
      <c r="AE290" s="341"/>
      <c r="AF290" s="341"/>
      <c r="AG290" s="341"/>
      <c r="AH290" s="341"/>
      <c r="AI290" s="341"/>
      <c r="AJ290" s="341"/>
      <c r="AK290" s="341"/>
      <c r="AL290" s="341"/>
      <c r="AM290" s="341"/>
      <c r="AN290" s="341"/>
      <c r="AO290" s="341"/>
      <c r="AP290" s="341"/>
      <c r="AQ290" s="341"/>
      <c r="AR290" s="341"/>
      <c r="AS290" s="341"/>
      <c r="AT290" s="787"/>
    </row>
    <row r="291" spans="24:46" x14ac:dyDescent="0.25">
      <c r="X291" s="341"/>
      <c r="Y291" s="341"/>
      <c r="Z291" s="341"/>
      <c r="AA291" s="341"/>
      <c r="AB291" s="341"/>
      <c r="AC291" s="341"/>
      <c r="AD291" s="341"/>
      <c r="AE291" s="341"/>
      <c r="AF291" s="341"/>
      <c r="AG291" s="341"/>
      <c r="AH291" s="341"/>
      <c r="AI291" s="341"/>
      <c r="AJ291" s="341"/>
      <c r="AK291" s="341"/>
      <c r="AL291" s="341"/>
      <c r="AM291" s="341"/>
      <c r="AN291" s="341"/>
      <c r="AO291" s="341"/>
      <c r="AP291" s="341"/>
      <c r="AQ291" s="341"/>
      <c r="AR291" s="341"/>
      <c r="AS291" s="341"/>
      <c r="AT291" s="787"/>
    </row>
    <row r="292" spans="24:46" x14ac:dyDescent="0.25">
      <c r="X292" s="341"/>
      <c r="Y292" s="341"/>
      <c r="Z292" s="341"/>
      <c r="AA292" s="341"/>
      <c r="AB292" s="341"/>
      <c r="AC292" s="341"/>
      <c r="AD292" s="341"/>
      <c r="AE292" s="341"/>
      <c r="AF292" s="341"/>
      <c r="AG292" s="341"/>
      <c r="AH292" s="341"/>
      <c r="AI292" s="341"/>
      <c r="AJ292" s="341"/>
      <c r="AK292" s="341"/>
      <c r="AL292" s="341"/>
      <c r="AM292" s="341"/>
      <c r="AN292" s="341"/>
      <c r="AO292" s="341"/>
      <c r="AP292" s="341"/>
      <c r="AQ292" s="341"/>
      <c r="AR292" s="341"/>
      <c r="AS292" s="341"/>
      <c r="AT292" s="787"/>
    </row>
    <row r="293" spans="24:46" x14ac:dyDescent="0.25">
      <c r="X293" s="341"/>
      <c r="Y293" s="341"/>
      <c r="Z293" s="341"/>
      <c r="AA293" s="341"/>
      <c r="AB293" s="341"/>
      <c r="AC293" s="341"/>
      <c r="AD293" s="341"/>
      <c r="AE293" s="341"/>
      <c r="AF293" s="341"/>
      <c r="AG293" s="341"/>
      <c r="AH293" s="341"/>
      <c r="AI293" s="341"/>
      <c r="AJ293" s="341"/>
      <c r="AK293" s="341"/>
      <c r="AL293" s="341"/>
      <c r="AM293" s="341"/>
      <c r="AN293" s="341"/>
      <c r="AO293" s="341"/>
      <c r="AP293" s="341"/>
      <c r="AQ293" s="341"/>
      <c r="AR293" s="341"/>
      <c r="AS293" s="341"/>
      <c r="AT293" s="787"/>
    </row>
    <row r="294" spans="24:46" x14ac:dyDescent="0.25">
      <c r="X294" s="341"/>
      <c r="Y294" s="341"/>
      <c r="Z294" s="341"/>
      <c r="AA294" s="341"/>
      <c r="AB294" s="341"/>
      <c r="AC294" s="341"/>
      <c r="AD294" s="341"/>
      <c r="AE294" s="341"/>
      <c r="AF294" s="341"/>
      <c r="AG294" s="341"/>
      <c r="AH294" s="341"/>
      <c r="AI294" s="341"/>
      <c r="AJ294" s="341"/>
      <c r="AK294" s="341"/>
      <c r="AL294" s="341"/>
      <c r="AM294" s="341"/>
      <c r="AN294" s="341"/>
      <c r="AO294" s="341"/>
      <c r="AP294" s="341"/>
      <c r="AQ294" s="341"/>
      <c r="AR294" s="341"/>
      <c r="AS294" s="341"/>
      <c r="AT294" s="787"/>
    </row>
    <row r="295" spans="24:46" x14ac:dyDescent="0.25">
      <c r="X295" s="341"/>
      <c r="Y295" s="341"/>
      <c r="Z295" s="341"/>
      <c r="AA295" s="341"/>
      <c r="AB295" s="341"/>
      <c r="AC295" s="341"/>
      <c r="AD295" s="341"/>
      <c r="AE295" s="341"/>
      <c r="AF295" s="341"/>
      <c r="AG295" s="341"/>
      <c r="AH295" s="341"/>
      <c r="AI295" s="341"/>
      <c r="AJ295" s="341"/>
      <c r="AK295" s="341"/>
      <c r="AL295" s="341"/>
      <c r="AM295" s="341"/>
      <c r="AN295" s="341"/>
      <c r="AO295" s="341"/>
      <c r="AP295" s="341"/>
      <c r="AQ295" s="341"/>
      <c r="AR295" s="341"/>
      <c r="AS295" s="341"/>
      <c r="AT295" s="787"/>
    </row>
    <row r="296" spans="24:46" x14ac:dyDescent="0.25">
      <c r="X296" s="341"/>
      <c r="Y296" s="341"/>
      <c r="Z296" s="341"/>
      <c r="AA296" s="341"/>
      <c r="AB296" s="341"/>
      <c r="AC296" s="341"/>
      <c r="AD296" s="341"/>
      <c r="AE296" s="341"/>
      <c r="AF296" s="341"/>
      <c r="AG296" s="341"/>
      <c r="AH296" s="341"/>
      <c r="AI296" s="341"/>
      <c r="AJ296" s="341"/>
      <c r="AK296" s="341"/>
      <c r="AL296" s="341"/>
      <c r="AM296" s="341"/>
      <c r="AN296" s="341"/>
      <c r="AO296" s="341"/>
      <c r="AP296" s="341"/>
      <c r="AQ296" s="341"/>
      <c r="AR296" s="341"/>
      <c r="AS296" s="341"/>
      <c r="AT296" s="787"/>
    </row>
    <row r="297" spans="24:46" x14ac:dyDescent="0.25">
      <c r="X297" s="341"/>
      <c r="Y297" s="341"/>
      <c r="Z297" s="341"/>
      <c r="AA297" s="341"/>
      <c r="AB297" s="341"/>
      <c r="AC297" s="341"/>
      <c r="AD297" s="341"/>
      <c r="AE297" s="341"/>
      <c r="AF297" s="341"/>
      <c r="AG297" s="341"/>
      <c r="AH297" s="341"/>
      <c r="AI297" s="341"/>
      <c r="AJ297" s="341"/>
      <c r="AK297" s="341"/>
      <c r="AL297" s="341"/>
      <c r="AM297" s="341"/>
      <c r="AN297" s="341"/>
      <c r="AO297" s="341"/>
      <c r="AP297" s="341"/>
      <c r="AQ297" s="341"/>
      <c r="AR297" s="341"/>
      <c r="AS297" s="341"/>
      <c r="AT297" s="787"/>
    </row>
    <row r="298" spans="24:46" x14ac:dyDescent="0.25">
      <c r="X298" s="341"/>
      <c r="Y298" s="341"/>
      <c r="Z298" s="341"/>
      <c r="AA298" s="341"/>
      <c r="AB298" s="341"/>
      <c r="AC298" s="341"/>
      <c r="AD298" s="341"/>
      <c r="AE298" s="341"/>
      <c r="AF298" s="341"/>
      <c r="AG298" s="341"/>
      <c r="AH298" s="341"/>
      <c r="AI298" s="341"/>
      <c r="AJ298" s="341"/>
      <c r="AK298" s="341"/>
      <c r="AL298" s="341"/>
      <c r="AM298" s="341"/>
      <c r="AN298" s="341"/>
      <c r="AO298" s="341"/>
      <c r="AP298" s="341"/>
      <c r="AQ298" s="341"/>
      <c r="AR298" s="341"/>
      <c r="AS298" s="341"/>
      <c r="AT298" s="787"/>
    </row>
    <row r="299" spans="24:46" x14ac:dyDescent="0.25">
      <c r="X299" s="341"/>
      <c r="Y299" s="341"/>
      <c r="Z299" s="341"/>
      <c r="AA299" s="341"/>
      <c r="AB299" s="341"/>
      <c r="AC299" s="341"/>
      <c r="AD299" s="341"/>
      <c r="AE299" s="341"/>
      <c r="AF299" s="341"/>
      <c r="AG299" s="341"/>
      <c r="AH299" s="341"/>
      <c r="AI299" s="341"/>
      <c r="AJ299" s="341"/>
      <c r="AK299" s="341"/>
      <c r="AL299" s="341"/>
      <c r="AM299" s="341"/>
      <c r="AN299" s="341"/>
      <c r="AO299" s="341"/>
      <c r="AP299" s="341"/>
      <c r="AQ299" s="341"/>
      <c r="AR299" s="341"/>
      <c r="AS299" s="341"/>
      <c r="AT299" s="787"/>
    </row>
    <row r="300" spans="24:46" x14ac:dyDescent="0.25">
      <c r="X300" s="341"/>
      <c r="Y300" s="341"/>
      <c r="Z300" s="341"/>
      <c r="AA300" s="341"/>
      <c r="AB300" s="341"/>
      <c r="AC300" s="341"/>
      <c r="AD300" s="341"/>
      <c r="AE300" s="341"/>
      <c r="AF300" s="341"/>
      <c r="AG300" s="341"/>
      <c r="AH300" s="341"/>
      <c r="AI300" s="341"/>
      <c r="AJ300" s="341"/>
      <c r="AK300" s="341"/>
      <c r="AL300" s="341"/>
      <c r="AM300" s="341"/>
      <c r="AN300" s="341"/>
      <c r="AO300" s="341"/>
      <c r="AP300" s="341"/>
      <c r="AQ300" s="341"/>
      <c r="AR300" s="341"/>
      <c r="AS300" s="341"/>
      <c r="AT300" s="787"/>
    </row>
    <row r="301" spans="24:46" x14ac:dyDescent="0.25">
      <c r="X301" s="341"/>
      <c r="Y301" s="341"/>
      <c r="Z301" s="341"/>
      <c r="AA301" s="341"/>
      <c r="AB301" s="341"/>
      <c r="AC301" s="341"/>
      <c r="AD301" s="341"/>
      <c r="AE301" s="341"/>
      <c r="AF301" s="341"/>
      <c r="AG301" s="341"/>
      <c r="AH301" s="341"/>
      <c r="AI301" s="341"/>
      <c r="AJ301" s="341"/>
      <c r="AK301" s="341"/>
      <c r="AL301" s="341"/>
      <c r="AM301" s="341"/>
      <c r="AN301" s="341"/>
      <c r="AO301" s="341"/>
      <c r="AP301" s="341"/>
      <c r="AQ301" s="341"/>
      <c r="AR301" s="341"/>
      <c r="AS301" s="341"/>
      <c r="AT301" s="787"/>
    </row>
    <row r="302" spans="24:46" x14ac:dyDescent="0.25">
      <c r="X302" s="341"/>
      <c r="Y302" s="341"/>
      <c r="Z302" s="341"/>
      <c r="AA302" s="341"/>
      <c r="AB302" s="341"/>
      <c r="AC302" s="341"/>
      <c r="AD302" s="341"/>
      <c r="AE302" s="341"/>
      <c r="AF302" s="341"/>
      <c r="AG302" s="341"/>
      <c r="AH302" s="341"/>
      <c r="AI302" s="341"/>
      <c r="AJ302" s="341"/>
      <c r="AK302" s="341"/>
      <c r="AL302" s="341"/>
      <c r="AM302" s="341"/>
      <c r="AN302" s="341"/>
      <c r="AO302" s="341"/>
      <c r="AP302" s="341"/>
      <c r="AQ302" s="341"/>
      <c r="AR302" s="341"/>
      <c r="AS302" s="341"/>
      <c r="AT302" s="787"/>
    </row>
    <row r="303" spans="24:46" x14ac:dyDescent="0.25">
      <c r="X303" s="341"/>
      <c r="Y303" s="341"/>
      <c r="Z303" s="341"/>
      <c r="AA303" s="341"/>
      <c r="AB303" s="341"/>
      <c r="AC303" s="341"/>
      <c r="AD303" s="341"/>
      <c r="AE303" s="341"/>
      <c r="AF303" s="341"/>
      <c r="AG303" s="341"/>
      <c r="AH303" s="341"/>
      <c r="AI303" s="341"/>
      <c r="AJ303" s="341"/>
      <c r="AK303" s="341"/>
      <c r="AL303" s="341"/>
      <c r="AM303" s="341"/>
      <c r="AN303" s="341"/>
      <c r="AO303" s="341"/>
      <c r="AP303" s="341"/>
      <c r="AQ303" s="341"/>
      <c r="AR303" s="341"/>
      <c r="AS303" s="341"/>
      <c r="AT303" s="787"/>
    </row>
    <row r="304" spans="24:46" x14ac:dyDescent="0.25">
      <c r="X304" s="341"/>
      <c r="Y304" s="341"/>
      <c r="Z304" s="341"/>
      <c r="AA304" s="341"/>
      <c r="AB304" s="341"/>
      <c r="AC304" s="341"/>
      <c r="AD304" s="341"/>
      <c r="AE304" s="341"/>
      <c r="AF304" s="341"/>
      <c r="AG304" s="341"/>
      <c r="AH304" s="341"/>
      <c r="AI304" s="341"/>
      <c r="AJ304" s="341"/>
      <c r="AK304" s="341"/>
      <c r="AL304" s="341"/>
      <c r="AM304" s="341"/>
      <c r="AN304" s="341"/>
      <c r="AO304" s="341"/>
      <c r="AP304" s="341"/>
      <c r="AQ304" s="341"/>
      <c r="AR304" s="341"/>
      <c r="AS304" s="341"/>
      <c r="AT304" s="787"/>
    </row>
    <row r="305" spans="24:46" x14ac:dyDescent="0.25">
      <c r="X305" s="341"/>
      <c r="Y305" s="341"/>
      <c r="Z305" s="341"/>
      <c r="AA305" s="341"/>
      <c r="AB305" s="341"/>
      <c r="AC305" s="341"/>
      <c r="AD305" s="341"/>
      <c r="AE305" s="341"/>
      <c r="AF305" s="341"/>
      <c r="AG305" s="341"/>
      <c r="AH305" s="341"/>
      <c r="AI305" s="341"/>
      <c r="AJ305" s="341"/>
      <c r="AK305" s="341"/>
      <c r="AL305" s="341"/>
      <c r="AM305" s="341"/>
      <c r="AN305" s="341"/>
      <c r="AO305" s="341"/>
      <c r="AP305" s="341"/>
      <c r="AQ305" s="341"/>
      <c r="AR305" s="341"/>
      <c r="AS305" s="341"/>
      <c r="AT305" s="787"/>
    </row>
    <row r="306" spans="24:46" x14ac:dyDescent="0.25">
      <c r="X306" s="341"/>
      <c r="Y306" s="341"/>
      <c r="Z306" s="341"/>
      <c r="AA306" s="341"/>
      <c r="AB306" s="341"/>
      <c r="AC306" s="341"/>
      <c r="AD306" s="341"/>
      <c r="AE306" s="341"/>
      <c r="AF306" s="341"/>
      <c r="AG306" s="341"/>
      <c r="AH306" s="341"/>
      <c r="AI306" s="341"/>
      <c r="AJ306" s="341"/>
      <c r="AK306" s="341"/>
      <c r="AL306" s="341"/>
      <c r="AM306" s="341"/>
      <c r="AN306" s="341"/>
      <c r="AO306" s="341"/>
      <c r="AP306" s="341"/>
      <c r="AQ306" s="341"/>
      <c r="AR306" s="341"/>
      <c r="AS306" s="341"/>
      <c r="AT306" s="787"/>
    </row>
    <row r="307" spans="24:46" x14ac:dyDescent="0.25">
      <c r="X307" s="341"/>
      <c r="Y307" s="341"/>
      <c r="Z307" s="341"/>
      <c r="AA307" s="341"/>
      <c r="AB307" s="341"/>
      <c r="AC307" s="341"/>
      <c r="AD307" s="341"/>
      <c r="AE307" s="341"/>
      <c r="AF307" s="341"/>
      <c r="AG307" s="341"/>
      <c r="AH307" s="341"/>
      <c r="AI307" s="341"/>
      <c r="AJ307" s="341"/>
      <c r="AK307" s="341"/>
      <c r="AL307" s="341"/>
      <c r="AM307" s="341"/>
      <c r="AN307" s="341"/>
      <c r="AO307" s="341"/>
      <c r="AP307" s="341"/>
      <c r="AQ307" s="341"/>
      <c r="AR307" s="341"/>
      <c r="AS307" s="341"/>
      <c r="AT307" s="787"/>
    </row>
    <row r="308" spans="24:46" x14ac:dyDescent="0.25">
      <c r="X308" s="341"/>
      <c r="Y308" s="341"/>
      <c r="Z308" s="341"/>
      <c r="AA308" s="341"/>
      <c r="AB308" s="341"/>
      <c r="AC308" s="341"/>
      <c r="AD308" s="341"/>
      <c r="AE308" s="341"/>
      <c r="AF308" s="341"/>
      <c r="AG308" s="341"/>
      <c r="AH308" s="341"/>
      <c r="AI308" s="341"/>
      <c r="AJ308" s="341"/>
      <c r="AK308" s="341"/>
      <c r="AL308" s="341"/>
      <c r="AM308" s="341"/>
      <c r="AN308" s="341"/>
      <c r="AO308" s="341"/>
      <c r="AP308" s="341"/>
      <c r="AQ308" s="341"/>
      <c r="AR308" s="341"/>
      <c r="AS308" s="341"/>
      <c r="AT308" s="787"/>
    </row>
    <row r="309" spans="24:46" x14ac:dyDescent="0.25">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787"/>
    </row>
    <row r="310" spans="24:46" x14ac:dyDescent="0.25">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787"/>
    </row>
    <row r="311" spans="24:46" x14ac:dyDescent="0.25">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787"/>
    </row>
    <row r="312" spans="24:46" x14ac:dyDescent="0.25">
      <c r="X312" s="341"/>
      <c r="Y312" s="341"/>
      <c r="Z312" s="341"/>
      <c r="AA312" s="341"/>
      <c r="AB312" s="341"/>
      <c r="AC312" s="341"/>
      <c r="AD312" s="341"/>
      <c r="AE312" s="341"/>
      <c r="AF312" s="341"/>
      <c r="AG312" s="341"/>
      <c r="AH312" s="341"/>
      <c r="AI312" s="341"/>
      <c r="AJ312" s="341"/>
      <c r="AK312" s="341"/>
      <c r="AL312" s="341"/>
      <c r="AM312" s="341"/>
      <c r="AN312" s="341"/>
      <c r="AO312" s="341"/>
      <c r="AP312" s="341"/>
      <c r="AQ312" s="341"/>
      <c r="AR312" s="341"/>
      <c r="AS312" s="341"/>
      <c r="AT312" s="787"/>
    </row>
    <row r="313" spans="24:46" x14ac:dyDescent="0.25">
      <c r="X313" s="341"/>
      <c r="Y313" s="341"/>
      <c r="Z313" s="341"/>
      <c r="AA313" s="341"/>
      <c r="AB313" s="341"/>
      <c r="AC313" s="341"/>
      <c r="AD313" s="341"/>
      <c r="AE313" s="341"/>
      <c r="AF313" s="341"/>
      <c r="AG313" s="341"/>
      <c r="AH313" s="341"/>
      <c r="AI313" s="341"/>
      <c r="AJ313" s="341"/>
      <c r="AK313" s="341"/>
      <c r="AL313" s="341"/>
      <c r="AM313" s="341"/>
      <c r="AN313" s="341"/>
      <c r="AO313" s="341"/>
      <c r="AP313" s="341"/>
      <c r="AQ313" s="341"/>
      <c r="AR313" s="341"/>
      <c r="AS313" s="341"/>
      <c r="AT313" s="787"/>
    </row>
    <row r="314" spans="24:46" x14ac:dyDescent="0.25">
      <c r="X314" s="341"/>
      <c r="Y314" s="341"/>
      <c r="Z314" s="341"/>
      <c r="AA314" s="341"/>
      <c r="AB314" s="341"/>
      <c r="AC314" s="341"/>
      <c r="AD314" s="341"/>
      <c r="AE314" s="341"/>
      <c r="AF314" s="341"/>
      <c r="AG314" s="341"/>
      <c r="AH314" s="341"/>
      <c r="AI314" s="341"/>
      <c r="AJ314" s="341"/>
      <c r="AK314" s="341"/>
      <c r="AL314" s="341"/>
      <c r="AM314" s="341"/>
      <c r="AN314" s="341"/>
      <c r="AO314" s="341"/>
      <c r="AP314" s="341"/>
      <c r="AQ314" s="341"/>
      <c r="AR314" s="341"/>
      <c r="AS314" s="341"/>
      <c r="AT314" s="787"/>
    </row>
    <row r="315" spans="24:46" x14ac:dyDescent="0.25">
      <c r="X315" s="341"/>
      <c r="Y315" s="341"/>
      <c r="Z315" s="341"/>
      <c r="AA315" s="341"/>
      <c r="AB315" s="341"/>
      <c r="AC315" s="341"/>
      <c r="AD315" s="341"/>
      <c r="AE315" s="341"/>
      <c r="AF315" s="341"/>
      <c r="AG315" s="341"/>
      <c r="AH315" s="341"/>
      <c r="AI315" s="341"/>
      <c r="AJ315" s="341"/>
      <c r="AK315" s="341"/>
      <c r="AL315" s="341"/>
      <c r="AM315" s="341"/>
      <c r="AN315" s="341"/>
      <c r="AO315" s="341"/>
      <c r="AP315" s="341"/>
      <c r="AQ315" s="341"/>
      <c r="AR315" s="341"/>
      <c r="AS315" s="341"/>
      <c r="AT315" s="787"/>
    </row>
    <row r="316" spans="24:46" x14ac:dyDescent="0.25">
      <c r="X316" s="341"/>
      <c r="Y316" s="341"/>
      <c r="Z316" s="341"/>
      <c r="AA316" s="341"/>
      <c r="AB316" s="341"/>
      <c r="AC316" s="341"/>
      <c r="AD316" s="341"/>
      <c r="AE316" s="341"/>
      <c r="AF316" s="341"/>
      <c r="AG316" s="341"/>
      <c r="AH316" s="341"/>
      <c r="AI316" s="341"/>
      <c r="AJ316" s="341"/>
      <c r="AK316" s="341"/>
      <c r="AL316" s="341"/>
      <c r="AM316" s="341"/>
      <c r="AN316" s="341"/>
      <c r="AO316" s="341"/>
      <c r="AP316" s="341"/>
      <c r="AQ316" s="341"/>
      <c r="AR316" s="341"/>
      <c r="AS316" s="341"/>
      <c r="AT316" s="787"/>
    </row>
    <row r="317" spans="24:46" x14ac:dyDescent="0.25">
      <c r="X317" s="341"/>
      <c r="Y317" s="341"/>
      <c r="Z317" s="341"/>
      <c r="AA317" s="341"/>
      <c r="AB317" s="341"/>
      <c r="AC317" s="341"/>
      <c r="AD317" s="341"/>
      <c r="AE317" s="341"/>
      <c r="AF317" s="341"/>
      <c r="AG317" s="341"/>
      <c r="AH317" s="341"/>
      <c r="AI317" s="341"/>
      <c r="AJ317" s="341"/>
      <c r="AK317" s="341"/>
      <c r="AL317" s="341"/>
      <c r="AM317" s="341"/>
      <c r="AN317" s="341"/>
      <c r="AO317" s="341"/>
      <c r="AP317" s="341"/>
      <c r="AQ317" s="341"/>
      <c r="AR317" s="341"/>
      <c r="AS317" s="341"/>
      <c r="AT317" s="787"/>
    </row>
    <row r="318" spans="24:46" x14ac:dyDescent="0.25">
      <c r="X318" s="341"/>
      <c r="Y318" s="341"/>
      <c r="Z318" s="341"/>
      <c r="AA318" s="341"/>
      <c r="AB318" s="341"/>
      <c r="AC318" s="341"/>
      <c r="AD318" s="341"/>
      <c r="AE318" s="341"/>
      <c r="AF318" s="341"/>
      <c r="AG318" s="341"/>
      <c r="AH318" s="341"/>
      <c r="AI318" s="341"/>
      <c r="AJ318" s="341"/>
      <c r="AK318" s="341"/>
      <c r="AL318" s="341"/>
      <c r="AM318" s="341"/>
      <c r="AN318" s="341"/>
      <c r="AO318" s="341"/>
      <c r="AP318" s="341"/>
      <c r="AQ318" s="341"/>
      <c r="AR318" s="341"/>
      <c r="AS318" s="341"/>
      <c r="AT318" s="787"/>
    </row>
    <row r="319" spans="24:46" x14ac:dyDescent="0.25">
      <c r="X319" s="341"/>
      <c r="Y319" s="341"/>
      <c r="Z319" s="341"/>
      <c r="AA319" s="341"/>
      <c r="AB319" s="341"/>
      <c r="AC319" s="341"/>
      <c r="AD319" s="341"/>
      <c r="AE319" s="341"/>
      <c r="AF319" s="341"/>
      <c r="AG319" s="341"/>
      <c r="AH319" s="341"/>
      <c r="AI319" s="341"/>
      <c r="AJ319" s="341"/>
      <c r="AK319" s="341"/>
      <c r="AL319" s="341"/>
      <c r="AM319" s="341"/>
      <c r="AN319" s="341"/>
      <c r="AO319" s="341"/>
      <c r="AP319" s="341"/>
      <c r="AQ319" s="341"/>
      <c r="AR319" s="341"/>
      <c r="AS319" s="341"/>
      <c r="AT319" s="787"/>
    </row>
    <row r="320" spans="24:46" x14ac:dyDescent="0.25">
      <c r="X320" s="341"/>
      <c r="Y320" s="341"/>
      <c r="Z320" s="341"/>
      <c r="AA320" s="341"/>
      <c r="AB320" s="341"/>
      <c r="AC320" s="341"/>
      <c r="AD320" s="341"/>
      <c r="AE320" s="341"/>
      <c r="AF320" s="341"/>
      <c r="AG320" s="341"/>
      <c r="AH320" s="341"/>
      <c r="AI320" s="341"/>
      <c r="AJ320" s="341"/>
      <c r="AK320" s="341"/>
      <c r="AL320" s="341"/>
      <c r="AM320" s="341"/>
      <c r="AN320" s="341"/>
      <c r="AO320" s="341"/>
      <c r="AP320" s="341"/>
      <c r="AQ320" s="341"/>
      <c r="AR320" s="341"/>
      <c r="AS320" s="341"/>
      <c r="AT320" s="787"/>
    </row>
    <row r="321" spans="24:46" x14ac:dyDescent="0.25">
      <c r="X321" s="341"/>
      <c r="Y321" s="341"/>
      <c r="Z321" s="341"/>
      <c r="AA321" s="341"/>
      <c r="AB321" s="341"/>
      <c r="AC321" s="341"/>
      <c r="AD321" s="341"/>
      <c r="AE321" s="341"/>
      <c r="AF321" s="341"/>
      <c r="AG321" s="341"/>
      <c r="AH321" s="341"/>
      <c r="AI321" s="341"/>
      <c r="AJ321" s="341"/>
      <c r="AK321" s="341"/>
      <c r="AL321" s="341"/>
      <c r="AM321" s="341"/>
      <c r="AN321" s="341"/>
      <c r="AO321" s="341"/>
      <c r="AP321" s="341"/>
      <c r="AQ321" s="341"/>
      <c r="AR321" s="341"/>
      <c r="AS321" s="341"/>
      <c r="AT321" s="787"/>
    </row>
    <row r="322" spans="24:46" x14ac:dyDescent="0.25">
      <c r="X322" s="341"/>
      <c r="Y322" s="341"/>
      <c r="Z322" s="341"/>
      <c r="AA322" s="341"/>
      <c r="AB322" s="341"/>
      <c r="AC322" s="341"/>
      <c r="AD322" s="341"/>
      <c r="AE322" s="341"/>
      <c r="AF322" s="341"/>
      <c r="AG322" s="341"/>
      <c r="AH322" s="341"/>
      <c r="AI322" s="341"/>
      <c r="AJ322" s="341"/>
      <c r="AK322" s="341"/>
      <c r="AL322" s="341"/>
      <c r="AM322" s="341"/>
      <c r="AN322" s="341"/>
      <c r="AO322" s="341"/>
      <c r="AP322" s="341"/>
      <c r="AQ322" s="341"/>
      <c r="AR322" s="341"/>
      <c r="AS322" s="341"/>
      <c r="AT322" s="787"/>
    </row>
    <row r="323" spans="24:46" x14ac:dyDescent="0.25">
      <c r="X323" s="341"/>
      <c r="Y323" s="341"/>
      <c r="Z323" s="341"/>
      <c r="AA323" s="341"/>
      <c r="AB323" s="341"/>
      <c r="AC323" s="341"/>
      <c r="AD323" s="341"/>
      <c r="AE323" s="341"/>
      <c r="AF323" s="341"/>
      <c r="AG323" s="341"/>
      <c r="AH323" s="341"/>
      <c r="AI323" s="341"/>
      <c r="AJ323" s="341"/>
      <c r="AK323" s="341"/>
      <c r="AL323" s="341"/>
      <c r="AM323" s="341"/>
      <c r="AN323" s="341"/>
      <c r="AO323" s="341"/>
      <c r="AP323" s="341"/>
      <c r="AQ323" s="341"/>
      <c r="AR323" s="341"/>
      <c r="AS323" s="341"/>
      <c r="AT323" s="787"/>
    </row>
    <row r="324" spans="24:46" x14ac:dyDescent="0.25">
      <c r="X324" s="341"/>
      <c r="Y324" s="341"/>
      <c r="Z324" s="341"/>
      <c r="AA324" s="341"/>
      <c r="AB324" s="341"/>
      <c r="AC324" s="341"/>
      <c r="AD324" s="341"/>
      <c r="AE324" s="341"/>
      <c r="AF324" s="341"/>
      <c r="AG324" s="341"/>
      <c r="AH324" s="341"/>
      <c r="AI324" s="341"/>
      <c r="AJ324" s="341"/>
      <c r="AK324" s="341"/>
      <c r="AL324" s="341"/>
      <c r="AM324" s="341"/>
      <c r="AN324" s="341"/>
      <c r="AO324" s="341"/>
      <c r="AP324" s="341"/>
      <c r="AQ324" s="341"/>
      <c r="AR324" s="341"/>
      <c r="AS324" s="341"/>
      <c r="AT324" s="787"/>
    </row>
    <row r="325" spans="24:46" x14ac:dyDescent="0.25">
      <c r="X325" s="341"/>
      <c r="Y325" s="341"/>
      <c r="Z325" s="341"/>
      <c r="AA325" s="341"/>
      <c r="AB325" s="341"/>
      <c r="AC325" s="341"/>
      <c r="AD325" s="341"/>
      <c r="AE325" s="341"/>
      <c r="AF325" s="341"/>
      <c r="AG325" s="341"/>
      <c r="AH325" s="341"/>
      <c r="AI325" s="341"/>
      <c r="AJ325" s="341"/>
      <c r="AK325" s="341"/>
      <c r="AL325" s="341"/>
      <c r="AM325" s="341"/>
      <c r="AN325" s="341"/>
      <c r="AO325" s="341"/>
      <c r="AP325" s="341"/>
      <c r="AQ325" s="341"/>
      <c r="AR325" s="341"/>
      <c r="AS325" s="341"/>
      <c r="AT325" s="787"/>
    </row>
    <row r="326" spans="24:46" x14ac:dyDescent="0.25">
      <c r="X326" s="341"/>
      <c r="Y326" s="341"/>
      <c r="Z326" s="341"/>
      <c r="AA326" s="341"/>
      <c r="AB326" s="341"/>
      <c r="AC326" s="341"/>
      <c r="AD326" s="341"/>
      <c r="AE326" s="341"/>
      <c r="AF326" s="341"/>
      <c r="AG326" s="341"/>
      <c r="AH326" s="341"/>
      <c r="AI326" s="341"/>
      <c r="AJ326" s="341"/>
      <c r="AK326" s="341"/>
      <c r="AL326" s="341"/>
      <c r="AM326" s="341"/>
      <c r="AN326" s="341"/>
      <c r="AO326" s="341"/>
      <c r="AP326" s="341"/>
      <c r="AQ326" s="341"/>
      <c r="AR326" s="341"/>
      <c r="AS326" s="341"/>
      <c r="AT326" s="787"/>
    </row>
    <row r="327" spans="24:46" x14ac:dyDescent="0.25">
      <c r="X327" s="341"/>
      <c r="Y327" s="341"/>
      <c r="Z327" s="341"/>
      <c r="AA327" s="341"/>
      <c r="AB327" s="341"/>
      <c r="AC327" s="341"/>
      <c r="AD327" s="341"/>
      <c r="AE327" s="341"/>
      <c r="AF327" s="341"/>
      <c r="AG327" s="341"/>
      <c r="AH327" s="341"/>
      <c r="AI327" s="341"/>
      <c r="AJ327" s="341"/>
      <c r="AK327" s="341"/>
      <c r="AL327" s="341"/>
      <c r="AM327" s="341"/>
      <c r="AN327" s="341"/>
      <c r="AO327" s="341"/>
      <c r="AP327" s="341"/>
      <c r="AQ327" s="341"/>
      <c r="AR327" s="341"/>
      <c r="AS327" s="341"/>
      <c r="AT327" s="787"/>
    </row>
    <row r="328" spans="24:46" x14ac:dyDescent="0.25">
      <c r="X328" s="341"/>
      <c r="Y328" s="341"/>
      <c r="Z328" s="341"/>
      <c r="AA328" s="341"/>
      <c r="AB328" s="341"/>
      <c r="AC328" s="341"/>
      <c r="AD328" s="341"/>
      <c r="AE328" s="341"/>
      <c r="AF328" s="341"/>
      <c r="AG328" s="341"/>
      <c r="AH328" s="341"/>
      <c r="AI328" s="341"/>
      <c r="AJ328" s="341"/>
      <c r="AK328" s="341"/>
      <c r="AL328" s="341"/>
      <c r="AM328" s="341"/>
      <c r="AN328" s="341"/>
      <c r="AO328" s="341"/>
      <c r="AP328" s="341"/>
      <c r="AQ328" s="341"/>
      <c r="AR328" s="341"/>
      <c r="AS328" s="341"/>
      <c r="AT328" s="787"/>
    </row>
    <row r="329" spans="24:46" x14ac:dyDescent="0.25">
      <c r="X329" s="341"/>
      <c r="Y329" s="341"/>
      <c r="Z329" s="341"/>
      <c r="AA329" s="341"/>
      <c r="AB329" s="341"/>
      <c r="AC329" s="341"/>
      <c r="AD329" s="341"/>
      <c r="AE329" s="341"/>
      <c r="AF329" s="341"/>
      <c r="AG329" s="341"/>
      <c r="AH329" s="341"/>
      <c r="AI329" s="341"/>
      <c r="AJ329" s="341"/>
      <c r="AK329" s="341"/>
      <c r="AL329" s="341"/>
      <c r="AM329" s="341"/>
      <c r="AN329" s="341"/>
      <c r="AO329" s="341"/>
      <c r="AP329" s="341"/>
      <c r="AQ329" s="341"/>
      <c r="AR329" s="341"/>
      <c r="AS329" s="341"/>
      <c r="AT329" s="787"/>
    </row>
    <row r="330" spans="24:46" x14ac:dyDescent="0.25">
      <c r="X330" s="341"/>
      <c r="Y330" s="341"/>
      <c r="Z330" s="341"/>
      <c r="AA330" s="341"/>
      <c r="AB330" s="341"/>
      <c r="AC330" s="341"/>
      <c r="AD330" s="341"/>
      <c r="AE330" s="341"/>
      <c r="AF330" s="341"/>
      <c r="AG330" s="341"/>
      <c r="AH330" s="341"/>
      <c r="AI330" s="341"/>
      <c r="AJ330" s="341"/>
      <c r="AK330" s="341"/>
      <c r="AL330" s="341"/>
      <c r="AM330" s="341"/>
      <c r="AN330" s="341"/>
      <c r="AO330" s="341"/>
      <c r="AP330" s="341"/>
      <c r="AQ330" s="341"/>
      <c r="AR330" s="341"/>
      <c r="AS330" s="341"/>
      <c r="AT330" s="787"/>
    </row>
    <row r="331" spans="24:46" x14ac:dyDescent="0.25">
      <c r="X331" s="341"/>
      <c r="Y331" s="341"/>
      <c r="Z331" s="341"/>
      <c r="AA331" s="341"/>
      <c r="AB331" s="341"/>
      <c r="AC331" s="341"/>
      <c r="AD331" s="341"/>
      <c r="AE331" s="341"/>
      <c r="AF331" s="341"/>
      <c r="AG331" s="341"/>
      <c r="AH331" s="341"/>
      <c r="AI331" s="341"/>
      <c r="AJ331" s="341"/>
      <c r="AK331" s="341"/>
      <c r="AL331" s="341"/>
      <c r="AM331" s="341"/>
      <c r="AN331" s="341"/>
      <c r="AO331" s="341"/>
      <c r="AP331" s="341"/>
      <c r="AQ331" s="341"/>
      <c r="AR331" s="341"/>
      <c r="AS331" s="341"/>
      <c r="AT331" s="787"/>
    </row>
    <row r="332" spans="24:46" x14ac:dyDescent="0.25">
      <c r="X332" s="341"/>
      <c r="Y332" s="341"/>
      <c r="Z332" s="341"/>
      <c r="AA332" s="341"/>
      <c r="AB332" s="341"/>
      <c r="AC332" s="341"/>
      <c r="AD332" s="341"/>
      <c r="AE332" s="341"/>
      <c r="AF332" s="341"/>
      <c r="AG332" s="341"/>
      <c r="AH332" s="341"/>
      <c r="AI332" s="341"/>
      <c r="AJ332" s="341"/>
      <c r="AK332" s="341"/>
      <c r="AL332" s="341"/>
      <c r="AM332" s="341"/>
      <c r="AN332" s="341"/>
      <c r="AO332" s="341"/>
      <c r="AP332" s="341"/>
      <c r="AQ332" s="341"/>
      <c r="AR332" s="341"/>
      <c r="AS332" s="341"/>
      <c r="AT332" s="787"/>
    </row>
    <row r="333" spans="24:46" x14ac:dyDescent="0.25">
      <c r="X333" s="341"/>
      <c r="Y333" s="341"/>
      <c r="Z333" s="341"/>
      <c r="AA333" s="341"/>
      <c r="AB333" s="341"/>
      <c r="AC333" s="341"/>
      <c r="AD333" s="341"/>
      <c r="AE333" s="341"/>
      <c r="AF333" s="341"/>
      <c r="AG333" s="341"/>
      <c r="AH333" s="341"/>
      <c r="AI333" s="341"/>
      <c r="AJ333" s="341"/>
      <c r="AK333" s="341"/>
      <c r="AL333" s="341"/>
      <c r="AM333" s="341"/>
      <c r="AN333" s="341"/>
      <c r="AO333" s="341"/>
      <c r="AP333" s="341"/>
      <c r="AQ333" s="341"/>
      <c r="AR333" s="341"/>
      <c r="AS333" s="341"/>
      <c r="AT333" s="787"/>
    </row>
    <row r="334" spans="24:46" x14ac:dyDescent="0.25">
      <c r="X334" s="341"/>
      <c r="Y334" s="341"/>
      <c r="Z334" s="341"/>
      <c r="AA334" s="341"/>
      <c r="AB334" s="341"/>
      <c r="AC334" s="341"/>
      <c r="AD334" s="341"/>
      <c r="AE334" s="341"/>
      <c r="AF334" s="341"/>
      <c r="AG334" s="341"/>
      <c r="AH334" s="341"/>
      <c r="AI334" s="341"/>
      <c r="AJ334" s="341"/>
      <c r="AK334" s="341"/>
      <c r="AL334" s="341"/>
      <c r="AM334" s="341"/>
      <c r="AN334" s="341"/>
      <c r="AO334" s="341"/>
      <c r="AP334" s="341"/>
      <c r="AQ334" s="341"/>
      <c r="AR334" s="341"/>
      <c r="AS334" s="341"/>
      <c r="AT334" s="787"/>
    </row>
    <row r="335" spans="24:46" x14ac:dyDescent="0.25">
      <c r="X335" s="341"/>
      <c r="Y335" s="341"/>
      <c r="Z335" s="341"/>
      <c r="AA335" s="341"/>
      <c r="AB335" s="341"/>
      <c r="AC335" s="341"/>
      <c r="AD335" s="341"/>
      <c r="AE335" s="341"/>
      <c r="AF335" s="341"/>
      <c r="AG335" s="341"/>
      <c r="AH335" s="341"/>
      <c r="AI335" s="341"/>
      <c r="AJ335" s="341"/>
      <c r="AK335" s="341"/>
      <c r="AL335" s="341"/>
      <c r="AM335" s="341"/>
      <c r="AN335" s="341"/>
      <c r="AO335" s="341"/>
      <c r="AP335" s="341"/>
      <c r="AQ335" s="341"/>
      <c r="AR335" s="341"/>
      <c r="AS335" s="341"/>
      <c r="AT335" s="787"/>
    </row>
    <row r="336" spans="24:46" x14ac:dyDescent="0.25">
      <c r="X336" s="341"/>
      <c r="Y336" s="341"/>
      <c r="Z336" s="341"/>
      <c r="AA336" s="341"/>
      <c r="AB336" s="341"/>
      <c r="AC336" s="341"/>
      <c r="AD336" s="341"/>
      <c r="AE336" s="341"/>
      <c r="AF336" s="341"/>
      <c r="AG336" s="341"/>
      <c r="AH336" s="341"/>
      <c r="AI336" s="341"/>
      <c r="AJ336" s="341"/>
      <c r="AK336" s="341"/>
      <c r="AL336" s="341"/>
      <c r="AM336" s="341"/>
      <c r="AN336" s="341"/>
      <c r="AO336" s="341"/>
      <c r="AP336" s="341"/>
      <c r="AQ336" s="341"/>
      <c r="AR336" s="341"/>
      <c r="AS336" s="341"/>
      <c r="AT336" s="787"/>
    </row>
    <row r="337" spans="2:108" x14ac:dyDescent="0.25">
      <c r="Q337" s="263"/>
      <c r="R337" s="263"/>
      <c r="S337" s="263"/>
      <c r="T337" s="263"/>
      <c r="U337" s="263"/>
      <c r="V337" s="263"/>
      <c r="W337" s="263"/>
      <c r="BF337" s="1146" t="str">
        <f>+IncS!AR5</f>
        <v>1Q21</v>
      </c>
      <c r="BN337" s="1146"/>
      <c r="BO337" s="1146"/>
      <c r="BP337" s="1146"/>
      <c r="BQ337" s="1146"/>
      <c r="BR337" s="1146"/>
      <c r="BS337" s="1146"/>
      <c r="BT337" s="1146"/>
    </row>
    <row r="338" spans="2:108" s="999" customFormat="1" x14ac:dyDescent="0.25">
      <c r="C338" s="1108"/>
      <c r="D338" s="1108" t="str">
        <f t="shared" ref="D338:BO338" si="218">SUBSTITUTE(D339,"T","Q")</f>
        <v>3Q16</v>
      </c>
      <c r="E338" s="1108" t="str">
        <f t="shared" si="218"/>
        <v>3Q16</v>
      </c>
      <c r="F338" s="1108" t="str">
        <f t="shared" si="218"/>
        <v>3Q16</v>
      </c>
      <c r="G338" s="1108" t="str">
        <f t="shared" si="218"/>
        <v>4Q16</v>
      </c>
      <c r="H338" s="1108" t="str">
        <f t="shared" si="218"/>
        <v>4Q16</v>
      </c>
      <c r="I338" s="1108" t="str">
        <f t="shared" si="218"/>
        <v>4Q16</v>
      </c>
      <c r="J338" s="1108" t="str">
        <f t="shared" si="218"/>
        <v>1Q17</v>
      </c>
      <c r="K338" s="1108" t="str">
        <f t="shared" si="218"/>
        <v>1Q17</v>
      </c>
      <c r="L338" s="1108" t="str">
        <f t="shared" si="218"/>
        <v>1Q17</v>
      </c>
      <c r="M338" s="1108" t="str">
        <f t="shared" si="218"/>
        <v>2Q17</v>
      </c>
      <c r="N338" s="1108" t="str">
        <f t="shared" si="218"/>
        <v>2Q17</v>
      </c>
      <c r="O338" s="1108" t="str">
        <f t="shared" si="218"/>
        <v>2Q17</v>
      </c>
      <c r="P338" s="1108" t="str">
        <f t="shared" si="218"/>
        <v>3Q17</v>
      </c>
      <c r="Q338" s="1108" t="str">
        <f t="shared" si="218"/>
        <v>3Q17</v>
      </c>
      <c r="R338" s="1108" t="str">
        <f t="shared" si="218"/>
        <v>3Q17</v>
      </c>
      <c r="S338" s="1108" t="str">
        <f t="shared" si="218"/>
        <v>4Q17</v>
      </c>
      <c r="T338" s="1108" t="str">
        <f t="shared" si="218"/>
        <v>4Q17</v>
      </c>
      <c r="U338" s="1108" t="str">
        <f t="shared" si="218"/>
        <v>4Q17</v>
      </c>
      <c r="V338" s="1108" t="str">
        <f t="shared" si="218"/>
        <v>1Q18</v>
      </c>
      <c r="W338" s="1108" t="str">
        <f t="shared" si="218"/>
        <v>1Q18</v>
      </c>
      <c r="X338" s="1108" t="str">
        <f t="shared" si="218"/>
        <v>1Q18</v>
      </c>
      <c r="Y338" s="1108" t="str">
        <f t="shared" si="218"/>
        <v>2Q18</v>
      </c>
      <c r="Z338" s="1108" t="str">
        <f t="shared" si="218"/>
        <v>2Q18</v>
      </c>
      <c r="AA338" s="1108" t="str">
        <f t="shared" si="218"/>
        <v>2Q18</v>
      </c>
      <c r="AB338" s="1108" t="str">
        <f t="shared" si="218"/>
        <v>3Q18</v>
      </c>
      <c r="AC338" s="1108" t="str">
        <f t="shared" si="218"/>
        <v>3Q18</v>
      </c>
      <c r="AD338" s="1108" t="str">
        <f t="shared" si="218"/>
        <v>3Q18</v>
      </c>
      <c r="AE338" s="1108" t="str">
        <f t="shared" si="218"/>
        <v>4Q18</v>
      </c>
      <c r="AF338" s="1108" t="str">
        <f t="shared" si="218"/>
        <v>4Q18</v>
      </c>
      <c r="AG338" s="1108" t="str">
        <f t="shared" si="218"/>
        <v>4Q18</v>
      </c>
      <c r="AH338" s="1108" t="str">
        <f t="shared" si="218"/>
        <v>1Q19</v>
      </c>
      <c r="AI338" s="1108" t="str">
        <f t="shared" si="218"/>
        <v>1Q19</v>
      </c>
      <c r="AJ338" s="1108" t="str">
        <f t="shared" si="218"/>
        <v>1Q19</v>
      </c>
      <c r="AK338" s="1108" t="str">
        <f t="shared" si="218"/>
        <v>2Q19</v>
      </c>
      <c r="AL338" s="1108" t="str">
        <f t="shared" si="218"/>
        <v>2Q19</v>
      </c>
      <c r="AM338" s="1108" t="str">
        <f t="shared" si="218"/>
        <v>2Q19</v>
      </c>
      <c r="AN338" s="1108" t="str">
        <f t="shared" si="218"/>
        <v>3Q19</v>
      </c>
      <c r="AO338" s="1108" t="str">
        <f t="shared" si="218"/>
        <v>3Q19</v>
      </c>
      <c r="AP338" s="1108" t="str">
        <f t="shared" si="218"/>
        <v>3Q19</v>
      </c>
      <c r="AQ338" s="1108" t="str">
        <f t="shared" si="218"/>
        <v>4Q19</v>
      </c>
      <c r="AR338" s="1108" t="str">
        <f t="shared" si="218"/>
        <v>4Q19</v>
      </c>
      <c r="AS338" s="1108" t="str">
        <f t="shared" si="218"/>
        <v>4Q19</v>
      </c>
      <c r="AT338" s="1108" t="str">
        <f t="shared" si="218"/>
        <v>1Q20</v>
      </c>
      <c r="AU338" s="1108" t="str">
        <f t="shared" si="218"/>
        <v>1Q20</v>
      </c>
      <c r="AV338" s="1108" t="str">
        <f t="shared" si="218"/>
        <v>1Q20</v>
      </c>
      <c r="AW338" s="1108" t="str">
        <f t="shared" si="218"/>
        <v>2Q20</v>
      </c>
      <c r="AX338" s="1108" t="str">
        <f t="shared" si="218"/>
        <v>2Q20</v>
      </c>
      <c r="AY338" s="1108" t="str">
        <f t="shared" si="218"/>
        <v>2Q20</v>
      </c>
      <c r="AZ338" s="1108" t="str">
        <f t="shared" si="218"/>
        <v>3Q20</v>
      </c>
      <c r="BA338" s="1108" t="str">
        <f t="shared" si="218"/>
        <v>3Q20</v>
      </c>
      <c r="BB338" s="1108" t="str">
        <f t="shared" si="218"/>
        <v>3Q20</v>
      </c>
      <c r="BC338" s="1108" t="str">
        <f t="shared" si="218"/>
        <v>4Q20</v>
      </c>
      <c r="BD338" s="1108" t="str">
        <f t="shared" si="218"/>
        <v>4Q20</v>
      </c>
      <c r="BE338" s="1108" t="str">
        <f t="shared" si="218"/>
        <v>4Q20</v>
      </c>
      <c r="BF338" s="1108" t="str">
        <f t="shared" si="218"/>
        <v>1Q21</v>
      </c>
      <c r="BG338" s="1108" t="str">
        <f t="shared" si="218"/>
        <v>1Q21</v>
      </c>
      <c r="BH338" s="1108" t="str">
        <f t="shared" si="218"/>
        <v>1Q21</v>
      </c>
      <c r="BI338" s="1108" t="str">
        <f t="shared" si="218"/>
        <v>2Q21</v>
      </c>
      <c r="BJ338" s="1108" t="str">
        <f t="shared" si="218"/>
        <v>2Q21</v>
      </c>
      <c r="BK338" s="1108" t="str">
        <f t="shared" si="218"/>
        <v>2Q21</v>
      </c>
      <c r="BL338" s="1108" t="str">
        <f t="shared" si="218"/>
        <v>3Q21</v>
      </c>
      <c r="BM338" s="1108" t="str">
        <f t="shared" si="218"/>
        <v>3Q21</v>
      </c>
      <c r="BN338" s="1108" t="str">
        <f t="shared" si="218"/>
        <v>3Q21</v>
      </c>
      <c r="BO338" s="1108" t="str">
        <f t="shared" si="218"/>
        <v>4Q21</v>
      </c>
      <c r="BP338" s="1108" t="str">
        <f t="shared" ref="BP338:DD338" si="219">SUBSTITUTE(BP339,"T","Q")</f>
        <v>4Q21</v>
      </c>
      <c r="BQ338" s="1108" t="str">
        <f t="shared" si="219"/>
        <v>4Q21</v>
      </c>
      <c r="BR338" s="1108" t="str">
        <f t="shared" si="219"/>
        <v>1Q22</v>
      </c>
      <c r="BS338" s="1108" t="str">
        <f t="shared" si="219"/>
        <v>1Q22</v>
      </c>
      <c r="BT338" s="1108" t="str">
        <f t="shared" si="219"/>
        <v>1Q22</v>
      </c>
      <c r="BU338" s="1108" t="str">
        <f t="shared" si="219"/>
        <v>2Q22</v>
      </c>
      <c r="BV338" s="1108" t="str">
        <f t="shared" si="219"/>
        <v>2Q22</v>
      </c>
      <c r="BW338" s="1108" t="str">
        <f t="shared" si="219"/>
        <v>2Q22</v>
      </c>
      <c r="BX338" s="1108" t="str">
        <f t="shared" si="219"/>
        <v>3Q22</v>
      </c>
      <c r="BY338" s="1108" t="str">
        <f t="shared" si="219"/>
        <v>3Q22</v>
      </c>
      <c r="BZ338" s="1108" t="str">
        <f t="shared" si="219"/>
        <v>3Q22</v>
      </c>
      <c r="CA338" s="1108" t="str">
        <f t="shared" si="219"/>
        <v>4Q22</v>
      </c>
      <c r="CB338" s="1108" t="str">
        <f t="shared" si="219"/>
        <v>4Q22</v>
      </c>
      <c r="CC338" s="1108" t="str">
        <f t="shared" si="219"/>
        <v>4Q22</v>
      </c>
      <c r="CD338" s="1108" t="str">
        <f t="shared" si="219"/>
        <v>1Q23</v>
      </c>
      <c r="CE338" s="1108" t="str">
        <f t="shared" si="219"/>
        <v>1Q23</v>
      </c>
      <c r="CF338" s="1108" t="str">
        <f t="shared" si="219"/>
        <v>1Q23</v>
      </c>
      <c r="CG338" s="1108" t="str">
        <f t="shared" si="219"/>
        <v>2Q23</v>
      </c>
      <c r="CH338" s="1108" t="str">
        <f t="shared" si="219"/>
        <v>2Q23</v>
      </c>
      <c r="CI338" s="1108" t="str">
        <f t="shared" si="219"/>
        <v>2Q23</v>
      </c>
      <c r="CJ338" s="1108" t="str">
        <f t="shared" si="219"/>
        <v>3Q23</v>
      </c>
      <c r="CK338" s="1108" t="str">
        <f t="shared" si="219"/>
        <v>3Q23</v>
      </c>
      <c r="CL338" s="1108" t="str">
        <f t="shared" si="219"/>
        <v>3Q23</v>
      </c>
      <c r="CM338" s="1108" t="str">
        <f t="shared" si="219"/>
        <v>4Q23</v>
      </c>
      <c r="CN338" s="1108" t="str">
        <f t="shared" si="219"/>
        <v>4Q23</v>
      </c>
      <c r="CO338" s="1108" t="str">
        <f t="shared" si="219"/>
        <v>4Q23</v>
      </c>
      <c r="CP338" s="1108" t="str">
        <f t="shared" si="219"/>
        <v>1Q24</v>
      </c>
      <c r="CQ338" s="1108" t="str">
        <f t="shared" si="219"/>
        <v>1Q24</v>
      </c>
      <c r="CR338" s="1108" t="str">
        <f t="shared" si="219"/>
        <v>1Q24</v>
      </c>
      <c r="CS338" s="1108" t="str">
        <f t="shared" si="219"/>
        <v>2Q24</v>
      </c>
      <c r="CT338" s="1108" t="str">
        <f t="shared" si="219"/>
        <v>2Q24</v>
      </c>
      <c r="CU338" s="1108" t="str">
        <f t="shared" si="219"/>
        <v>2Q24</v>
      </c>
      <c r="CV338" s="1108" t="str">
        <f t="shared" si="219"/>
        <v>3Q24</v>
      </c>
      <c r="CW338" s="1108" t="str">
        <f t="shared" si="219"/>
        <v>3Q24</v>
      </c>
      <c r="CX338" s="1108" t="str">
        <f t="shared" si="219"/>
        <v>3Q24</v>
      </c>
      <c r="CY338" s="1108" t="str">
        <f>SUBSTITUTE(CY339,"T","Q")</f>
        <v>4Q24</v>
      </c>
      <c r="CZ338" s="1108" t="str">
        <f t="shared" si="219"/>
        <v>4Q24</v>
      </c>
      <c r="DA338" s="1108" t="str">
        <f t="shared" si="219"/>
        <v>4Q24</v>
      </c>
      <c r="DB338" s="1108" t="str">
        <f t="shared" si="219"/>
        <v>1Q25</v>
      </c>
      <c r="DC338" s="1108" t="str">
        <f t="shared" si="219"/>
        <v>1Q25</v>
      </c>
      <c r="DD338" s="1108" t="str">
        <f t="shared" si="219"/>
        <v>1Q25</v>
      </c>
    </row>
    <row r="339" spans="2:108" s="999" customFormat="1" x14ac:dyDescent="0.25">
      <c r="C339" s="1108"/>
      <c r="D339" s="1147" t="s">
        <v>372</v>
      </c>
      <c r="E339" s="1108" t="str">
        <f>+D339</f>
        <v>3Q16</v>
      </c>
      <c r="F339" s="1108" t="str">
        <f>+E339</f>
        <v>3Q16</v>
      </c>
      <c r="G339" s="1108" t="str">
        <f>IF(LEFT(F339,1)="4","1T"&amp;RIGHT(F339,2)+1,LEFT(F339,1)+1&amp;RIGHT(F339,3))</f>
        <v>4Q16</v>
      </c>
      <c r="H339" s="1108" t="str">
        <f>+G339</f>
        <v>4Q16</v>
      </c>
      <c r="I339" s="1108" t="str">
        <f>+H339</f>
        <v>4Q16</v>
      </c>
      <c r="J339" s="1108" t="str">
        <f>IF(LEFT(I339,1)="4","1T"&amp;RIGHT(I339,2)+1,LEFT(I339,1)+1&amp;RIGHT(I339,3))</f>
        <v>1T17</v>
      </c>
      <c r="K339" s="1108" t="str">
        <f>+J339</f>
        <v>1T17</v>
      </c>
      <c r="L339" s="1108" t="str">
        <f>+K339</f>
        <v>1T17</v>
      </c>
      <c r="M339" s="1108" t="str">
        <f>IF(LEFT(L339,1)="4","1T"&amp;RIGHT(L339,2)+1,LEFT(L339,1)+1&amp;RIGHT(L339,3))</f>
        <v>2T17</v>
      </c>
      <c r="N339" s="1108" t="str">
        <f>+M339</f>
        <v>2T17</v>
      </c>
      <c r="O339" s="1108" t="str">
        <f>+N339</f>
        <v>2T17</v>
      </c>
      <c r="P339" s="1108" t="str">
        <f>IF(LEFT(O339,1)="4","1T"&amp;RIGHT(O339,2)+1,LEFT(O339,1)+1&amp;RIGHT(O339,3))</f>
        <v>3T17</v>
      </c>
      <c r="Q339" s="1108" t="str">
        <f>+P339</f>
        <v>3T17</v>
      </c>
      <c r="R339" s="1108" t="str">
        <f>+Q339</f>
        <v>3T17</v>
      </c>
      <c r="S339" s="1108" t="str">
        <f>IF(LEFT(R339,1)="4","1T"&amp;RIGHT(R339,2)+1,LEFT(R339,1)+1&amp;RIGHT(R339,3))</f>
        <v>4T17</v>
      </c>
      <c r="T339" s="1108" t="str">
        <f>+S339</f>
        <v>4T17</v>
      </c>
      <c r="U339" s="1108" t="str">
        <f>+T339</f>
        <v>4T17</v>
      </c>
      <c r="V339" s="1108" t="str">
        <f>IF(LEFT(U339,1)="4","1T"&amp;RIGHT(U339,2)+1,LEFT(U339,1)+1&amp;RIGHT(U339,3))</f>
        <v>1T18</v>
      </c>
      <c r="W339" s="1108" t="str">
        <f>+V339</f>
        <v>1T18</v>
      </c>
      <c r="X339" s="1108" t="str">
        <f>+W339</f>
        <v>1T18</v>
      </c>
      <c r="Y339" s="1108" t="str">
        <f>IF(LEFT(X339,1)="4","1T"&amp;RIGHT(X339,2)+1,LEFT(X339,1)+1&amp;RIGHT(X339,3))</f>
        <v>2T18</v>
      </c>
      <c r="Z339" s="1108" t="str">
        <f>+Y339</f>
        <v>2T18</v>
      </c>
      <c r="AA339" s="1108" t="str">
        <f>+Z339</f>
        <v>2T18</v>
      </c>
      <c r="AB339" s="1108" t="str">
        <f>IF(LEFT(AA339,1)="4","1T"&amp;RIGHT(AA339,2)+1,LEFT(AA339,1)+1&amp;RIGHT(AA339,3))</f>
        <v>3T18</v>
      </c>
      <c r="AC339" s="1108" t="str">
        <f>+AB339</f>
        <v>3T18</v>
      </c>
      <c r="AD339" s="1108" t="str">
        <f>+AC339</f>
        <v>3T18</v>
      </c>
      <c r="AE339" s="1108" t="str">
        <f>IF(LEFT(AD339,1)="4","1T"&amp;RIGHT(AD339,2)+1,LEFT(AD339,1)+1&amp;RIGHT(AD339,3))</f>
        <v>4T18</v>
      </c>
      <c r="AF339" s="1108" t="str">
        <f>+AE339</f>
        <v>4T18</v>
      </c>
      <c r="AG339" s="1108" t="str">
        <f>+AF339</f>
        <v>4T18</v>
      </c>
      <c r="AH339" s="1108" t="str">
        <f>IF(LEFT(AG339,1)="4","1T"&amp;RIGHT(AG339,2)+1,LEFT(AG339,1)+1&amp;RIGHT(AG339,3))</f>
        <v>1T19</v>
      </c>
      <c r="AI339" s="1108" t="str">
        <f>+AH339</f>
        <v>1T19</v>
      </c>
      <c r="AJ339" s="1108" t="str">
        <f>+AI339</f>
        <v>1T19</v>
      </c>
      <c r="AK339" s="1108" t="str">
        <f>IF(LEFT(AJ339,1)="4","1T"&amp;RIGHT(AJ339,2)+1,LEFT(AJ339,1)+1&amp;RIGHT(AJ339,3))</f>
        <v>2T19</v>
      </c>
      <c r="AL339" s="1108" t="str">
        <f>+AK339</f>
        <v>2T19</v>
      </c>
      <c r="AM339" s="1108" t="str">
        <f>+AL339</f>
        <v>2T19</v>
      </c>
      <c r="AN339" s="1108" t="str">
        <f>IF(LEFT(AM339,1)="4","1T"&amp;RIGHT(AM339,2)+1,LEFT(AM339,1)+1&amp;RIGHT(AM339,3))</f>
        <v>3T19</v>
      </c>
      <c r="AO339" s="1108" t="str">
        <f>+AN339</f>
        <v>3T19</v>
      </c>
      <c r="AP339" s="1108" t="str">
        <f>+AO339</f>
        <v>3T19</v>
      </c>
      <c r="AQ339" s="1108" t="str">
        <f>IF(LEFT(AP339,1)="4","1T"&amp;RIGHT(AP339,2)+1,LEFT(AP339,1)+1&amp;RIGHT(AP339,3))</f>
        <v>4T19</v>
      </c>
      <c r="AR339" s="1108" t="str">
        <f>+AQ339</f>
        <v>4T19</v>
      </c>
      <c r="AS339" s="1108" t="str">
        <f>+AR339</f>
        <v>4T19</v>
      </c>
      <c r="AT339" s="1108" t="str">
        <f>IF(LEFT(AS339,1)="4","1T"&amp;RIGHT(AS339,2)+1,LEFT(AS339,1)+1&amp;RIGHT(AS339,3))</f>
        <v>1T20</v>
      </c>
      <c r="AU339" s="1108" t="str">
        <f>+AT339</f>
        <v>1T20</v>
      </c>
      <c r="AV339" s="1108" t="str">
        <f>+AU339</f>
        <v>1T20</v>
      </c>
      <c r="AW339" s="1108" t="str">
        <f>IF(LEFT(AV339,1)="4","1T"&amp;RIGHT(AV339,2)+1,LEFT(AV339,1)+1&amp;RIGHT(AV339,3))</f>
        <v>2T20</v>
      </c>
      <c r="AX339" s="1108" t="str">
        <f>+AW339</f>
        <v>2T20</v>
      </c>
      <c r="AY339" s="1108" t="str">
        <f>+AX339</f>
        <v>2T20</v>
      </c>
      <c r="AZ339" s="1108" t="str">
        <f>IF(LEFT(AY339,1)="4","1T"&amp;RIGHT(AY339,2)+1,LEFT(AY339,1)+1&amp;RIGHT(AY339,3))</f>
        <v>3T20</v>
      </c>
      <c r="BA339" s="1108" t="str">
        <f>+AZ339</f>
        <v>3T20</v>
      </c>
      <c r="BB339" s="1108" t="str">
        <f>+BA339</f>
        <v>3T20</v>
      </c>
      <c r="BC339" s="1108" t="str">
        <f>IF(LEFT(BB339,1)="4","1T"&amp;RIGHT(BB339,2)+1,LEFT(BB339,1)+1&amp;RIGHT(BB339,3))</f>
        <v>4T20</v>
      </c>
      <c r="BD339" s="1108" t="str">
        <f t="shared" ref="BD339:BE341" si="220">+BC339</f>
        <v>4T20</v>
      </c>
      <c r="BE339" s="1108" t="str">
        <f t="shared" si="220"/>
        <v>4T20</v>
      </c>
      <c r="BF339" s="1108" t="str">
        <f>IF(LEFT(BE339,1)="4","1T"&amp;RIGHT(BE339,2)+1,LEFT(BE339,1)+1&amp;RIGHT(BE339,3))</f>
        <v>1T21</v>
      </c>
      <c r="BG339" s="1108" t="str">
        <f>+BF339</f>
        <v>1T21</v>
      </c>
      <c r="BH339" s="1108" t="str">
        <f>+BG339</f>
        <v>1T21</v>
      </c>
      <c r="BI339" s="1108" t="str">
        <f>IF(LEFT(BH339,1)="4","1T"&amp;RIGHT(BH339,2)+1,LEFT(BH339,1)+1&amp;RIGHT(BH339,3))</f>
        <v>2T21</v>
      </c>
      <c r="BJ339" s="1108" t="str">
        <f>+BI339</f>
        <v>2T21</v>
      </c>
      <c r="BK339" s="1108" t="str">
        <f>+BJ339</f>
        <v>2T21</v>
      </c>
      <c r="BL339" s="1108" t="str">
        <f>IF(LEFT(BK339,1)="4","1T"&amp;RIGHT(BK339,2)+1,LEFT(BK339,1)+1&amp;RIGHT(BK339,3))</f>
        <v>3T21</v>
      </c>
      <c r="BM339" s="1108" t="str">
        <f>+BL339</f>
        <v>3T21</v>
      </c>
      <c r="BN339" s="1108" t="str">
        <f>+BM339</f>
        <v>3T21</v>
      </c>
      <c r="BO339" s="1108" t="str">
        <f>IF(LEFT(BN339,1)="4","1T"&amp;RIGHT(BN339,2)+1,LEFT(BN339,1)+1&amp;RIGHT(BN339,3))</f>
        <v>4T21</v>
      </c>
      <c r="BP339" s="1108" t="str">
        <f t="shared" ref="BP339:BQ341" si="221">+BO339</f>
        <v>4T21</v>
      </c>
      <c r="BQ339" s="1108" t="str">
        <f t="shared" si="221"/>
        <v>4T21</v>
      </c>
      <c r="BR339" s="1108" t="str">
        <f>IF(LEFT(BQ339,1)="4","1T"&amp;RIGHT(BQ339,2)+1,LEFT(BQ339,1)+1&amp;RIGHT(BQ339,3))</f>
        <v>1T22</v>
      </c>
      <c r="BS339" s="1108" t="str">
        <f>+BR339</f>
        <v>1T22</v>
      </c>
      <c r="BT339" s="1108" t="str">
        <f>+BS339</f>
        <v>1T22</v>
      </c>
      <c r="BU339" s="1108" t="str">
        <f>IF(LEFT(BT339,1)="4","1T"&amp;RIGHT(BT339,2)+1,LEFT(BT339,1)+1&amp;RIGHT(BT339,3))</f>
        <v>2T22</v>
      </c>
      <c r="BV339" s="1108" t="str">
        <f>+BU339</f>
        <v>2T22</v>
      </c>
      <c r="BW339" s="1108" t="str">
        <f>+BV339</f>
        <v>2T22</v>
      </c>
      <c r="BX339" s="1108" t="str">
        <f>IF(LEFT(BW339,1)="4","1T"&amp;RIGHT(BW339,2)+1,LEFT(BW339,1)+1&amp;RIGHT(BW339,3))</f>
        <v>3T22</v>
      </c>
      <c r="BY339" s="1108" t="str">
        <f>+BX339</f>
        <v>3T22</v>
      </c>
      <c r="BZ339" s="1108" t="str">
        <f>+BY339</f>
        <v>3T22</v>
      </c>
      <c r="CA339" s="1108" t="str">
        <f>IF(LEFT(BZ339,1)="4","1T"&amp;RIGHT(BZ339,2)+1,LEFT(BZ339,1)+1&amp;RIGHT(BZ339,3))</f>
        <v>4T22</v>
      </c>
      <c r="CB339" s="1108" t="str">
        <f>+CA339</f>
        <v>4T22</v>
      </c>
      <c r="CC339" s="1108" t="str">
        <f>+CB339</f>
        <v>4T22</v>
      </c>
      <c r="CD339" s="1108" t="str">
        <f>IF(LEFT(CC339,1)="4","1T"&amp;RIGHT(CC339,2)+1,LEFT(CC339,1)+1&amp;RIGHT(CC339,3))</f>
        <v>1T23</v>
      </c>
      <c r="CE339" s="1108" t="str">
        <f>+CD339</f>
        <v>1T23</v>
      </c>
      <c r="CF339" s="1108" t="str">
        <f>+CE339</f>
        <v>1T23</v>
      </c>
      <c r="CG339" s="1108" t="str">
        <f>IF(LEFT(CF339,1)="4","1T"&amp;RIGHT(CF339,2)+1,LEFT(CF339,1)+1&amp;RIGHT(CF339,3))</f>
        <v>2T23</v>
      </c>
      <c r="CH339" s="1108" t="str">
        <f>+CG339</f>
        <v>2T23</v>
      </c>
      <c r="CI339" s="1108" t="str">
        <f>+CH339</f>
        <v>2T23</v>
      </c>
      <c r="CJ339" s="1108" t="str">
        <f>IF(LEFT(CI339,1)="4","1T"&amp;RIGHT(CI339,2)+1,LEFT(CI339,1)+1&amp;RIGHT(CI339,3))</f>
        <v>3T23</v>
      </c>
      <c r="CK339" s="1108" t="str">
        <f>+CJ339</f>
        <v>3T23</v>
      </c>
      <c r="CL339" s="1108" t="str">
        <f>+CK339</f>
        <v>3T23</v>
      </c>
      <c r="CM339" s="1108" t="str">
        <f>IF(LEFT(CL339,1)="4","1T"&amp;RIGHT(CL339,2)+1,LEFT(CL339,1)+1&amp;RIGHT(CL339,3))</f>
        <v>4T23</v>
      </c>
      <c r="CN339" s="1108" t="str">
        <f>+CM339</f>
        <v>4T23</v>
      </c>
      <c r="CO339" s="1108" t="str">
        <f>+CN339</f>
        <v>4T23</v>
      </c>
      <c r="CP339" s="1108" t="str">
        <f>IF(LEFT(CO339,1)="4","1T"&amp;RIGHT(CO339,2)+1,LEFT(CO339,1)+1&amp;RIGHT(CO339,3))</f>
        <v>1T24</v>
      </c>
      <c r="CQ339" s="1108" t="str">
        <f>+CP339</f>
        <v>1T24</v>
      </c>
      <c r="CR339" s="1108" t="str">
        <f>+CQ339</f>
        <v>1T24</v>
      </c>
      <c r="CS339" s="1108" t="str">
        <f>IF(LEFT(CR339,1)="4","1T"&amp;RIGHT(CR339,2)+1,LEFT(CR339,1)+1&amp;RIGHT(CR339,3))</f>
        <v>2T24</v>
      </c>
      <c r="CT339" s="1108" t="str">
        <f>+CS339</f>
        <v>2T24</v>
      </c>
      <c r="CU339" s="1108" t="str">
        <f>+CT339</f>
        <v>2T24</v>
      </c>
      <c r="CV339" s="1108" t="str">
        <f>IF(LEFT(CU339,1)="4","1T"&amp;RIGHT(CU339,2)+1,LEFT(CU339,1)+1&amp;RIGHT(CU339,3))</f>
        <v>3T24</v>
      </c>
      <c r="CW339" s="1108" t="str">
        <f>+CV339</f>
        <v>3T24</v>
      </c>
      <c r="CX339" s="1108" t="str">
        <f>+CW339</f>
        <v>3T24</v>
      </c>
      <c r="CY339" s="1108" t="str">
        <f>IF(LEFT(CX339,1)="4","1T"&amp;RIGHT(CX339,2)+1,LEFT(CX339,1)+1&amp;RIGHT(CX339,3))</f>
        <v>4T24</v>
      </c>
      <c r="CZ339" s="1108" t="str">
        <f>+CY339</f>
        <v>4T24</v>
      </c>
      <c r="DA339" s="1108" t="str">
        <f>+CZ339</f>
        <v>4T24</v>
      </c>
      <c r="DB339" s="1108" t="str">
        <f>IF(LEFT(DA339,1)="4","1T"&amp;RIGHT(DA339,2)+1,LEFT(DA339,1)+1&amp;RIGHT(DA339,3))</f>
        <v>1T25</v>
      </c>
      <c r="DC339" s="1108" t="str">
        <f>+DB339</f>
        <v>1T25</v>
      </c>
      <c r="DD339" s="1108" t="str">
        <f>+DC339</f>
        <v>1T25</v>
      </c>
    </row>
    <row r="340" spans="2:108" s="999" customFormat="1" x14ac:dyDescent="0.25">
      <c r="C340" s="1108">
        <f t="shared" ref="C340:BN340" si="222">+C338</f>
        <v>0</v>
      </c>
      <c r="D340" s="1108" t="str">
        <f t="shared" si="222"/>
        <v>3Q16</v>
      </c>
      <c r="E340" s="1108" t="str">
        <f t="shared" si="222"/>
        <v>3Q16</v>
      </c>
      <c r="F340" s="1108" t="str">
        <f t="shared" si="222"/>
        <v>3Q16</v>
      </c>
      <c r="G340" s="1108" t="str">
        <f t="shared" si="222"/>
        <v>4Q16</v>
      </c>
      <c r="H340" s="1108" t="str">
        <f t="shared" si="222"/>
        <v>4Q16</v>
      </c>
      <c r="I340" s="1108" t="str">
        <f t="shared" si="222"/>
        <v>4Q16</v>
      </c>
      <c r="J340" s="1108" t="str">
        <f t="shared" si="222"/>
        <v>1Q17</v>
      </c>
      <c r="K340" s="1108" t="str">
        <f t="shared" si="222"/>
        <v>1Q17</v>
      </c>
      <c r="L340" s="1108" t="str">
        <f t="shared" si="222"/>
        <v>1Q17</v>
      </c>
      <c r="M340" s="1108" t="str">
        <f t="shared" si="222"/>
        <v>2Q17</v>
      </c>
      <c r="N340" s="1108" t="str">
        <f t="shared" si="222"/>
        <v>2Q17</v>
      </c>
      <c r="O340" s="1108" t="str">
        <f t="shared" si="222"/>
        <v>2Q17</v>
      </c>
      <c r="P340" s="1108" t="str">
        <f t="shared" si="222"/>
        <v>3Q17</v>
      </c>
      <c r="Q340" s="1108" t="str">
        <f t="shared" si="222"/>
        <v>3Q17</v>
      </c>
      <c r="R340" s="1108" t="str">
        <f t="shared" si="222"/>
        <v>3Q17</v>
      </c>
      <c r="S340" s="1108" t="str">
        <f t="shared" si="222"/>
        <v>4Q17</v>
      </c>
      <c r="T340" s="1108" t="str">
        <f t="shared" si="222"/>
        <v>4Q17</v>
      </c>
      <c r="U340" s="1108" t="str">
        <f t="shared" si="222"/>
        <v>4Q17</v>
      </c>
      <c r="V340" s="1108" t="str">
        <f t="shared" si="222"/>
        <v>1Q18</v>
      </c>
      <c r="W340" s="1108" t="str">
        <f t="shared" si="222"/>
        <v>1Q18</v>
      </c>
      <c r="X340" s="1108" t="str">
        <f t="shared" si="222"/>
        <v>1Q18</v>
      </c>
      <c r="Y340" s="1108" t="str">
        <f t="shared" si="222"/>
        <v>2Q18</v>
      </c>
      <c r="Z340" s="1108" t="str">
        <f t="shared" si="222"/>
        <v>2Q18</v>
      </c>
      <c r="AA340" s="1108" t="str">
        <f t="shared" si="222"/>
        <v>2Q18</v>
      </c>
      <c r="AB340" s="1108" t="str">
        <f t="shared" si="222"/>
        <v>3Q18</v>
      </c>
      <c r="AC340" s="1108" t="str">
        <f t="shared" si="222"/>
        <v>3Q18</v>
      </c>
      <c r="AD340" s="1108" t="str">
        <f t="shared" si="222"/>
        <v>3Q18</v>
      </c>
      <c r="AE340" s="1108" t="str">
        <f t="shared" si="222"/>
        <v>4Q18</v>
      </c>
      <c r="AF340" s="1108" t="str">
        <f t="shared" si="222"/>
        <v>4Q18</v>
      </c>
      <c r="AG340" s="1108" t="str">
        <f t="shared" si="222"/>
        <v>4Q18</v>
      </c>
      <c r="AH340" s="1108" t="str">
        <f t="shared" si="222"/>
        <v>1Q19</v>
      </c>
      <c r="AI340" s="1108" t="str">
        <f t="shared" si="222"/>
        <v>1Q19</v>
      </c>
      <c r="AJ340" s="1108" t="str">
        <f t="shared" si="222"/>
        <v>1Q19</v>
      </c>
      <c r="AK340" s="1108" t="str">
        <f t="shared" si="222"/>
        <v>2Q19</v>
      </c>
      <c r="AL340" s="1108" t="str">
        <f t="shared" si="222"/>
        <v>2Q19</v>
      </c>
      <c r="AM340" s="1108" t="str">
        <f t="shared" si="222"/>
        <v>2Q19</v>
      </c>
      <c r="AN340" s="1108" t="str">
        <f t="shared" si="222"/>
        <v>3Q19</v>
      </c>
      <c r="AO340" s="1108" t="str">
        <f t="shared" si="222"/>
        <v>3Q19</v>
      </c>
      <c r="AP340" s="1108" t="str">
        <f t="shared" si="222"/>
        <v>3Q19</v>
      </c>
      <c r="AQ340" s="1108" t="str">
        <f t="shared" si="222"/>
        <v>4Q19</v>
      </c>
      <c r="AR340" s="1108" t="str">
        <f t="shared" si="222"/>
        <v>4Q19</v>
      </c>
      <c r="AS340" s="1108" t="str">
        <f t="shared" si="222"/>
        <v>4Q19</v>
      </c>
      <c r="AT340" s="1108" t="str">
        <f t="shared" si="222"/>
        <v>1Q20</v>
      </c>
      <c r="AU340" s="1108" t="str">
        <f t="shared" si="222"/>
        <v>1Q20</v>
      </c>
      <c r="AV340" s="1108" t="str">
        <f t="shared" si="222"/>
        <v>1Q20</v>
      </c>
      <c r="AW340" s="1108" t="str">
        <f t="shared" si="222"/>
        <v>2Q20</v>
      </c>
      <c r="AX340" s="1108" t="str">
        <f t="shared" si="222"/>
        <v>2Q20</v>
      </c>
      <c r="AY340" s="1108" t="str">
        <f t="shared" si="222"/>
        <v>2Q20</v>
      </c>
      <c r="AZ340" s="1108" t="str">
        <f t="shared" si="222"/>
        <v>3Q20</v>
      </c>
      <c r="BA340" s="1108" t="str">
        <f t="shared" si="222"/>
        <v>3Q20</v>
      </c>
      <c r="BB340" s="1108" t="str">
        <f t="shared" si="222"/>
        <v>3Q20</v>
      </c>
      <c r="BC340" s="1108" t="str">
        <f t="shared" si="222"/>
        <v>4Q20</v>
      </c>
      <c r="BD340" s="1108" t="str">
        <f t="shared" si="222"/>
        <v>4Q20</v>
      </c>
      <c r="BE340" s="1108" t="str">
        <f t="shared" si="222"/>
        <v>4Q20</v>
      </c>
      <c r="BF340" s="1108" t="str">
        <f t="shared" si="222"/>
        <v>1Q21</v>
      </c>
      <c r="BG340" s="1108" t="str">
        <f t="shared" si="222"/>
        <v>1Q21</v>
      </c>
      <c r="BH340" s="1108" t="str">
        <f t="shared" si="222"/>
        <v>1Q21</v>
      </c>
      <c r="BI340" s="1108" t="str">
        <f t="shared" si="222"/>
        <v>2Q21</v>
      </c>
      <c r="BJ340" s="1108" t="str">
        <f t="shared" si="222"/>
        <v>2Q21</v>
      </c>
      <c r="BK340" s="1108" t="str">
        <f t="shared" si="222"/>
        <v>2Q21</v>
      </c>
      <c r="BL340" s="1108" t="str">
        <f t="shared" si="222"/>
        <v>3Q21</v>
      </c>
      <c r="BM340" s="1108" t="str">
        <f t="shared" si="222"/>
        <v>3Q21</v>
      </c>
      <c r="BN340" s="1108" t="str">
        <f t="shared" si="222"/>
        <v>3Q21</v>
      </c>
      <c r="BO340" s="1108" t="str">
        <f t="shared" ref="BO340:CX340" si="223">+BO338</f>
        <v>4Q21</v>
      </c>
      <c r="BP340" s="1108" t="str">
        <f t="shared" si="223"/>
        <v>4Q21</v>
      </c>
      <c r="BQ340" s="1108" t="str">
        <f t="shared" si="223"/>
        <v>4Q21</v>
      </c>
      <c r="BR340" s="1108" t="str">
        <f t="shared" si="223"/>
        <v>1Q22</v>
      </c>
      <c r="BS340" s="1108" t="str">
        <f t="shared" si="223"/>
        <v>1Q22</v>
      </c>
      <c r="BT340" s="1108" t="str">
        <f t="shared" si="223"/>
        <v>1Q22</v>
      </c>
      <c r="BU340" s="1108" t="str">
        <f t="shared" si="223"/>
        <v>2Q22</v>
      </c>
      <c r="BV340" s="1108" t="str">
        <f t="shared" si="223"/>
        <v>2Q22</v>
      </c>
      <c r="BW340" s="1108" t="str">
        <f t="shared" si="223"/>
        <v>2Q22</v>
      </c>
      <c r="BX340" s="1108" t="str">
        <f t="shared" si="223"/>
        <v>3Q22</v>
      </c>
      <c r="BY340" s="1108" t="str">
        <f t="shared" si="223"/>
        <v>3Q22</v>
      </c>
      <c r="BZ340" s="1108" t="str">
        <f t="shared" si="223"/>
        <v>3Q22</v>
      </c>
      <c r="CA340" s="1108" t="str">
        <f t="shared" si="223"/>
        <v>4Q22</v>
      </c>
      <c r="CB340" s="1108" t="str">
        <f t="shared" si="223"/>
        <v>4Q22</v>
      </c>
      <c r="CC340" s="1108" t="str">
        <f t="shared" si="223"/>
        <v>4Q22</v>
      </c>
      <c r="CD340" s="1108" t="str">
        <f t="shared" si="223"/>
        <v>1Q23</v>
      </c>
      <c r="CE340" s="1108" t="str">
        <f t="shared" si="223"/>
        <v>1Q23</v>
      </c>
      <c r="CF340" s="1108" t="str">
        <f t="shared" si="223"/>
        <v>1Q23</v>
      </c>
      <c r="CG340" s="1108" t="str">
        <f t="shared" si="223"/>
        <v>2Q23</v>
      </c>
      <c r="CH340" s="1108" t="str">
        <f t="shared" si="223"/>
        <v>2Q23</v>
      </c>
      <c r="CI340" s="1108" t="str">
        <f t="shared" si="223"/>
        <v>2Q23</v>
      </c>
      <c r="CJ340" s="1108" t="str">
        <f t="shared" si="223"/>
        <v>3Q23</v>
      </c>
      <c r="CK340" s="1108" t="str">
        <f t="shared" si="223"/>
        <v>3Q23</v>
      </c>
      <c r="CL340" s="1108" t="str">
        <f t="shared" si="223"/>
        <v>3Q23</v>
      </c>
      <c r="CM340" s="1108" t="str">
        <f t="shared" si="223"/>
        <v>4Q23</v>
      </c>
      <c r="CN340" s="1108" t="str">
        <f t="shared" si="223"/>
        <v>4Q23</v>
      </c>
      <c r="CO340" s="1108" t="str">
        <f t="shared" si="223"/>
        <v>4Q23</v>
      </c>
      <c r="CP340" s="1108" t="str">
        <f t="shared" si="223"/>
        <v>1Q24</v>
      </c>
      <c r="CQ340" s="1108" t="str">
        <f t="shared" si="223"/>
        <v>1Q24</v>
      </c>
      <c r="CR340" s="1108" t="str">
        <f t="shared" si="223"/>
        <v>1Q24</v>
      </c>
      <c r="CS340" s="1108" t="str">
        <f t="shared" si="223"/>
        <v>2Q24</v>
      </c>
      <c r="CT340" s="1108" t="str">
        <f t="shared" si="223"/>
        <v>2Q24</v>
      </c>
      <c r="CU340" s="1108" t="str">
        <f t="shared" si="223"/>
        <v>2Q24</v>
      </c>
      <c r="CV340" s="1108" t="str">
        <f t="shared" si="223"/>
        <v>3Q24</v>
      </c>
      <c r="CW340" s="1108" t="str">
        <f t="shared" si="223"/>
        <v>3Q24</v>
      </c>
      <c r="CX340" s="1108" t="str">
        <f t="shared" si="223"/>
        <v>3Q24</v>
      </c>
      <c r="CY340" s="1108" t="str">
        <f>+CY338</f>
        <v>4Q24</v>
      </c>
      <c r="CZ340" s="1108" t="str">
        <f t="shared" ref="CZ340:DA340" si="224">+CZ338</f>
        <v>4Q24</v>
      </c>
      <c r="DA340" s="1108" t="str">
        <f t="shared" si="224"/>
        <v>4Q24</v>
      </c>
      <c r="DB340" s="1108" t="str">
        <f t="shared" ref="DB340" si="225">+DB338</f>
        <v>1Q25</v>
      </c>
      <c r="DC340" s="1108" t="str">
        <f t="shared" ref="DC340:DD340" si="226">+DC338</f>
        <v>1Q25</v>
      </c>
      <c r="DD340" s="1108" t="str">
        <f t="shared" si="226"/>
        <v>1Q25</v>
      </c>
    </row>
    <row r="341" spans="2:108" s="833" customFormat="1" x14ac:dyDescent="0.25">
      <c r="C341" s="1107">
        <v>2016</v>
      </c>
      <c r="D341" s="1107">
        <v>2016</v>
      </c>
      <c r="E341" s="1107">
        <v>2016</v>
      </c>
      <c r="F341" s="1107">
        <v>2016</v>
      </c>
      <c r="G341" s="1107">
        <v>2016</v>
      </c>
      <c r="H341" s="1107">
        <v>2016</v>
      </c>
      <c r="I341" s="1107">
        <v>2016</v>
      </c>
      <c r="J341" s="1107">
        <f>+I341+1</f>
        <v>2017</v>
      </c>
      <c r="K341" s="1107">
        <f t="shared" ref="K341:U341" si="227">+J341</f>
        <v>2017</v>
      </c>
      <c r="L341" s="1107">
        <f t="shared" si="227"/>
        <v>2017</v>
      </c>
      <c r="M341" s="1107">
        <f t="shared" si="227"/>
        <v>2017</v>
      </c>
      <c r="N341" s="1107">
        <f t="shared" si="227"/>
        <v>2017</v>
      </c>
      <c r="O341" s="1107">
        <f t="shared" si="227"/>
        <v>2017</v>
      </c>
      <c r="P341" s="1107">
        <f t="shared" si="227"/>
        <v>2017</v>
      </c>
      <c r="Q341" s="1107">
        <f t="shared" si="227"/>
        <v>2017</v>
      </c>
      <c r="R341" s="1107">
        <f t="shared" si="227"/>
        <v>2017</v>
      </c>
      <c r="S341" s="1107">
        <f t="shared" si="227"/>
        <v>2017</v>
      </c>
      <c r="T341" s="1107">
        <f t="shared" si="227"/>
        <v>2017</v>
      </c>
      <c r="U341" s="1107">
        <f t="shared" si="227"/>
        <v>2017</v>
      </c>
      <c r="V341" s="1107">
        <f>+U341+1</f>
        <v>2018</v>
      </c>
      <c r="W341" s="1107">
        <f t="shared" ref="W341:AG341" si="228">+V341</f>
        <v>2018</v>
      </c>
      <c r="X341" s="1107">
        <f t="shared" si="228"/>
        <v>2018</v>
      </c>
      <c r="Y341" s="1107">
        <f t="shared" si="228"/>
        <v>2018</v>
      </c>
      <c r="Z341" s="1107">
        <f t="shared" si="228"/>
        <v>2018</v>
      </c>
      <c r="AA341" s="1107">
        <f t="shared" si="228"/>
        <v>2018</v>
      </c>
      <c r="AB341" s="1107">
        <f t="shared" si="228"/>
        <v>2018</v>
      </c>
      <c r="AC341" s="1107">
        <f t="shared" si="228"/>
        <v>2018</v>
      </c>
      <c r="AD341" s="1107">
        <f t="shared" si="228"/>
        <v>2018</v>
      </c>
      <c r="AE341" s="1107">
        <f t="shared" si="228"/>
        <v>2018</v>
      </c>
      <c r="AF341" s="1107">
        <f t="shared" si="228"/>
        <v>2018</v>
      </c>
      <c r="AG341" s="1107">
        <f t="shared" si="228"/>
        <v>2018</v>
      </c>
      <c r="AH341" s="1107">
        <f>+AG341+1</f>
        <v>2019</v>
      </c>
      <c r="AI341" s="1107">
        <f t="shared" ref="AI341:AS341" si="229">+AH341</f>
        <v>2019</v>
      </c>
      <c r="AJ341" s="1107">
        <f t="shared" si="229"/>
        <v>2019</v>
      </c>
      <c r="AK341" s="1107">
        <f t="shared" si="229"/>
        <v>2019</v>
      </c>
      <c r="AL341" s="1107">
        <f t="shared" si="229"/>
        <v>2019</v>
      </c>
      <c r="AM341" s="1107">
        <f t="shared" si="229"/>
        <v>2019</v>
      </c>
      <c r="AN341" s="1107">
        <f t="shared" si="229"/>
        <v>2019</v>
      </c>
      <c r="AO341" s="1107">
        <f t="shared" si="229"/>
        <v>2019</v>
      </c>
      <c r="AP341" s="1107">
        <f t="shared" si="229"/>
        <v>2019</v>
      </c>
      <c r="AQ341" s="1107">
        <f t="shared" si="229"/>
        <v>2019</v>
      </c>
      <c r="AR341" s="1107">
        <f t="shared" si="229"/>
        <v>2019</v>
      </c>
      <c r="AS341" s="1107">
        <f t="shared" si="229"/>
        <v>2019</v>
      </c>
      <c r="AT341" s="1107">
        <f>+AS341+1</f>
        <v>2020</v>
      </c>
      <c r="AU341" s="1107">
        <f t="shared" ref="AU341:BC341" si="230">+AT341</f>
        <v>2020</v>
      </c>
      <c r="AV341" s="1107">
        <f t="shared" si="230"/>
        <v>2020</v>
      </c>
      <c r="AW341" s="1107">
        <f t="shared" si="230"/>
        <v>2020</v>
      </c>
      <c r="AX341" s="1107">
        <f t="shared" si="230"/>
        <v>2020</v>
      </c>
      <c r="AY341" s="1107">
        <f t="shared" si="230"/>
        <v>2020</v>
      </c>
      <c r="AZ341" s="1107">
        <f t="shared" si="230"/>
        <v>2020</v>
      </c>
      <c r="BA341" s="1107">
        <f t="shared" si="230"/>
        <v>2020</v>
      </c>
      <c r="BB341" s="1107">
        <f t="shared" si="230"/>
        <v>2020</v>
      </c>
      <c r="BC341" s="1107">
        <f t="shared" si="230"/>
        <v>2020</v>
      </c>
      <c r="BD341" s="1107">
        <f t="shared" si="220"/>
        <v>2020</v>
      </c>
      <c r="BE341" s="1107">
        <f t="shared" si="220"/>
        <v>2020</v>
      </c>
      <c r="BF341" s="1107">
        <f>+BE341+1</f>
        <v>2021</v>
      </c>
      <c r="BG341" s="1107">
        <f t="shared" ref="BG341:BL341" si="231">+BF341</f>
        <v>2021</v>
      </c>
      <c r="BH341" s="1107">
        <f t="shared" si="231"/>
        <v>2021</v>
      </c>
      <c r="BI341" s="1107">
        <f t="shared" si="231"/>
        <v>2021</v>
      </c>
      <c r="BJ341" s="1107">
        <f t="shared" si="231"/>
        <v>2021</v>
      </c>
      <c r="BK341" s="1107">
        <f t="shared" si="231"/>
        <v>2021</v>
      </c>
      <c r="BL341" s="1107">
        <f t="shared" si="231"/>
        <v>2021</v>
      </c>
      <c r="BM341" s="1107">
        <f>+BL341</f>
        <v>2021</v>
      </c>
      <c r="BN341" s="1107">
        <f>+BM341</f>
        <v>2021</v>
      </c>
      <c r="BO341" s="1107">
        <f>+BN341</f>
        <v>2021</v>
      </c>
      <c r="BP341" s="1107">
        <f t="shared" si="221"/>
        <v>2021</v>
      </c>
      <c r="BQ341" s="1107">
        <f t="shared" si="221"/>
        <v>2021</v>
      </c>
      <c r="BR341" s="1107">
        <v>2022</v>
      </c>
      <c r="BS341" s="1107">
        <v>2022</v>
      </c>
      <c r="BT341" s="1107">
        <v>2022</v>
      </c>
      <c r="BU341" s="1107">
        <v>2022</v>
      </c>
      <c r="BV341" s="1107">
        <v>2022</v>
      </c>
      <c r="BW341" s="1107">
        <v>2022</v>
      </c>
      <c r="BX341" s="1107">
        <v>2022</v>
      </c>
      <c r="BY341" s="1107">
        <v>2022</v>
      </c>
      <c r="BZ341" s="1107">
        <v>2022</v>
      </c>
      <c r="CA341" s="1107">
        <v>2022</v>
      </c>
      <c r="CB341" s="1107">
        <v>2022</v>
      </c>
      <c r="CC341" s="1107">
        <v>2022</v>
      </c>
      <c r="CD341" s="1107">
        <v>2023</v>
      </c>
      <c r="CE341" s="1107">
        <v>2023</v>
      </c>
      <c r="CF341" s="1107">
        <v>2023</v>
      </c>
      <c r="CG341" s="1107">
        <v>2023</v>
      </c>
      <c r="CH341" s="1107">
        <v>2023</v>
      </c>
      <c r="CI341" s="1107">
        <v>2023</v>
      </c>
      <c r="CJ341" s="1107">
        <v>2023</v>
      </c>
      <c r="CK341" s="1107">
        <v>2023</v>
      </c>
      <c r="CL341" s="1107">
        <v>2023</v>
      </c>
      <c r="CM341" s="1107">
        <v>2023</v>
      </c>
      <c r="CN341" s="1107">
        <v>2023</v>
      </c>
      <c r="CO341" s="1107">
        <v>2023</v>
      </c>
      <c r="CP341" s="1107">
        <v>2024</v>
      </c>
      <c r="CQ341" s="1107">
        <v>2024</v>
      </c>
      <c r="CR341" s="1107">
        <v>2024</v>
      </c>
      <c r="CS341" s="1107">
        <v>2024</v>
      </c>
      <c r="CT341" s="1107">
        <v>2024</v>
      </c>
      <c r="CU341" s="1107">
        <v>2024</v>
      </c>
      <c r="CV341" s="1107">
        <v>2024</v>
      </c>
      <c r="CW341" s="1107">
        <v>2024</v>
      </c>
      <c r="CX341" s="1107">
        <v>2024</v>
      </c>
      <c r="CY341" s="1107">
        <v>2024</v>
      </c>
      <c r="CZ341" s="1107">
        <v>2024</v>
      </c>
      <c r="DA341" s="1107">
        <v>2024</v>
      </c>
      <c r="DB341" s="1107">
        <v>2025</v>
      </c>
      <c r="DC341" s="1107">
        <v>2025</v>
      </c>
      <c r="DD341" s="1107">
        <v>2025</v>
      </c>
    </row>
    <row r="342" spans="2:108" s="787" customFormat="1" x14ac:dyDescent="0.25">
      <c r="Q342" s="833"/>
      <c r="R342" s="833"/>
      <c r="S342" s="833"/>
      <c r="T342" s="833"/>
      <c r="U342" s="833"/>
      <c r="V342" s="833"/>
      <c r="W342" s="833"/>
    </row>
    <row r="343" spans="2:108" s="787" customFormat="1" x14ac:dyDescent="0.25"/>
    <row r="344" spans="2:108" s="1113" customFormat="1" x14ac:dyDescent="0.25">
      <c r="B344" s="1113" t="s">
        <v>8</v>
      </c>
      <c r="L344" s="1114"/>
      <c r="M344" s="1114"/>
      <c r="N344" s="1114"/>
      <c r="O344" s="1114"/>
      <c r="P344" s="1114"/>
      <c r="Q344" s="1115">
        <f t="shared" ref="Q344:AB344" si="232">+Q137</f>
        <v>160.33333333333334</v>
      </c>
      <c r="R344" s="1115">
        <f t="shared" si="232"/>
        <v>160.33333333333334</v>
      </c>
      <c r="S344" s="1115">
        <f t="shared" si="232"/>
        <v>160.33333333333334</v>
      </c>
      <c r="T344" s="1115">
        <f t="shared" si="232"/>
        <v>170.5</v>
      </c>
      <c r="U344" s="1115">
        <f t="shared" si="232"/>
        <v>182.25</v>
      </c>
      <c r="V344" s="1115">
        <f t="shared" si="232"/>
        <v>189.5</v>
      </c>
      <c r="W344" s="1115">
        <f t="shared" si="232"/>
        <v>197.66</v>
      </c>
      <c r="X344" s="1115">
        <f t="shared" si="232"/>
        <v>197.66</v>
      </c>
      <c r="Y344" s="1115">
        <f t="shared" si="232"/>
        <v>197.66</v>
      </c>
      <c r="Z344" s="1115">
        <f t="shared" si="232"/>
        <v>197.06</v>
      </c>
      <c r="AA344" s="1115">
        <f t="shared" si="232"/>
        <v>197.06</v>
      </c>
      <c r="AB344" s="1115">
        <f t="shared" si="232"/>
        <v>197.06</v>
      </c>
      <c r="AC344" s="1115">
        <f>+AC137</f>
        <v>197.06</v>
      </c>
      <c r="AD344" s="1115">
        <f t="shared" ref="AD344:AN344" si="233">+AD137</f>
        <v>198.66</v>
      </c>
      <c r="AE344" s="1115">
        <f t="shared" si="233"/>
        <v>198.66</v>
      </c>
      <c r="AF344" s="1115">
        <f t="shared" si="233"/>
        <v>206.06</v>
      </c>
      <c r="AG344" s="1115">
        <f t="shared" si="233"/>
        <v>212.85999999999999</v>
      </c>
      <c r="AH344" s="1115">
        <f t="shared" si="233"/>
        <v>212.85999999999999</v>
      </c>
      <c r="AI344" s="1115">
        <f t="shared" si="233"/>
        <v>217.07499999999999</v>
      </c>
      <c r="AJ344" s="1115">
        <f t="shared" si="233"/>
        <v>224.82499999999999</v>
      </c>
      <c r="AK344" s="1115">
        <f t="shared" si="233"/>
        <v>230.77500000000001</v>
      </c>
      <c r="AL344" s="1115">
        <f t="shared" si="233"/>
        <v>233.27500000000001</v>
      </c>
      <c r="AM344" s="1115">
        <f t="shared" si="233"/>
        <v>233.27500000000001</v>
      </c>
      <c r="AN344" s="1115">
        <f t="shared" si="233"/>
        <v>235.66666666666666</v>
      </c>
      <c r="AO344" s="1114">
        <f>+AO169</f>
        <v>268.33333333333331</v>
      </c>
      <c r="AP344" s="1114">
        <f>+AP169</f>
        <v>264.75</v>
      </c>
      <c r="AQ344" s="1114">
        <f>+AQ169</f>
        <v>263.2</v>
      </c>
      <c r="AR344" s="1114">
        <f>+AR169</f>
        <v>263.2</v>
      </c>
      <c r="AS344" s="1114">
        <f>+AS169</f>
        <v>261.2</v>
      </c>
      <c r="AT344" s="1114">
        <f t="shared" ref="AT344:AZ344" si="234">+AT193</f>
        <v>284.60000000000002</v>
      </c>
      <c r="AU344" s="1114">
        <f t="shared" si="234"/>
        <v>284.60000000000002</v>
      </c>
      <c r="AV344" s="1114">
        <f t="shared" si="234"/>
        <v>284.60000000000002</v>
      </c>
      <c r="AW344" s="1114">
        <f t="shared" si="234"/>
        <v>208.65946703377631</v>
      </c>
      <c r="AX344" s="1114">
        <f t="shared" si="234"/>
        <v>208.65946703377631</v>
      </c>
      <c r="AY344" s="1114">
        <f t="shared" si="234"/>
        <v>197.55315567792545</v>
      </c>
      <c r="AZ344" s="1114">
        <f t="shared" si="234"/>
        <v>197.55315567792545</v>
      </c>
      <c r="BA344" s="1114">
        <f t="shared" ref="BA344:BL344" si="235">+BA193</f>
        <v>197.55315567792545</v>
      </c>
      <c r="BB344" s="1114">
        <f t="shared" si="235"/>
        <v>197.55315567792545</v>
      </c>
      <c r="BC344" s="1114">
        <f t="shared" si="235"/>
        <v>206.91486675844408</v>
      </c>
      <c r="BD344" s="1114">
        <f t="shared" si="235"/>
        <v>221.75</v>
      </c>
      <c r="BE344" s="1114">
        <f t="shared" si="235"/>
        <v>250.7</v>
      </c>
      <c r="BF344" s="1114">
        <f t="shared" si="235"/>
        <v>250.7</v>
      </c>
      <c r="BG344" s="1114">
        <f t="shared" si="235"/>
        <v>250.7</v>
      </c>
      <c r="BH344" s="1114">
        <f t="shared" si="235"/>
        <v>250.7</v>
      </c>
      <c r="BI344" s="1114">
        <f t="shared" si="235"/>
        <v>250.7</v>
      </c>
      <c r="BJ344" s="1114">
        <f t="shared" si="235"/>
        <v>250.7</v>
      </c>
      <c r="BK344" s="1114">
        <f t="shared" si="235"/>
        <v>250.95</v>
      </c>
      <c r="BL344" s="1114">
        <f t="shared" si="235"/>
        <v>250.95</v>
      </c>
      <c r="BM344" s="1114">
        <f t="shared" ref="BM344:BX344" si="236">+BM227</f>
        <v>266.93333333333334</v>
      </c>
      <c r="BN344" s="1114">
        <f t="shared" si="236"/>
        <v>209</v>
      </c>
      <c r="BO344" s="1114">
        <f t="shared" si="236"/>
        <v>209</v>
      </c>
      <c r="BP344" s="1114">
        <f t="shared" si="236"/>
        <v>209</v>
      </c>
      <c r="BQ344" s="1114">
        <f t="shared" si="236"/>
        <v>190.6</v>
      </c>
      <c r="BR344" s="1114">
        <f t="shared" si="236"/>
        <v>192</v>
      </c>
      <c r="BS344" s="1114">
        <f t="shared" si="236"/>
        <v>192</v>
      </c>
      <c r="BT344" s="1114">
        <f t="shared" si="236"/>
        <v>187.75</v>
      </c>
      <c r="BU344" s="1114">
        <f t="shared" si="236"/>
        <v>188</v>
      </c>
      <c r="BV344" s="1114">
        <f t="shared" si="236"/>
        <v>188</v>
      </c>
      <c r="BW344" s="1114">
        <f t="shared" si="236"/>
        <v>188</v>
      </c>
      <c r="BX344" s="1114">
        <f t="shared" si="236"/>
        <v>188</v>
      </c>
      <c r="BY344" s="1114">
        <f t="shared" ref="BY344:CJ344" si="237">+BY275</f>
        <v>244.2</v>
      </c>
      <c r="BZ344" s="1114">
        <f t="shared" si="237"/>
        <v>244.2</v>
      </c>
      <c r="CA344" s="1114">
        <f t="shared" si="237"/>
        <v>244.2</v>
      </c>
      <c r="CB344" s="1114">
        <f t="shared" si="237"/>
        <v>250.4</v>
      </c>
      <c r="CC344" s="1114">
        <f t="shared" si="237"/>
        <v>257.2</v>
      </c>
      <c r="CD344" s="1114">
        <f t="shared" si="237"/>
        <v>261.34000000000003</v>
      </c>
      <c r="CE344" s="1114">
        <f t="shared" si="237"/>
        <v>261.34000000000003</v>
      </c>
      <c r="CF344" s="1114">
        <f t="shared" si="237"/>
        <v>261.34000000000003</v>
      </c>
      <c r="CG344" s="1114">
        <f t="shared" si="237"/>
        <v>261.34000000000003</v>
      </c>
      <c r="CH344" s="1114">
        <f t="shared" si="237"/>
        <v>261.34000000000003</v>
      </c>
      <c r="CI344" s="1114">
        <f t="shared" si="237"/>
        <v>260.67500000000001</v>
      </c>
      <c r="CJ344" s="1114">
        <f t="shared" si="237"/>
        <v>250.9</v>
      </c>
      <c r="CK344" s="1114">
        <f t="shared" ref="CK344:CX344" si="238">+CK33</f>
        <v>275.60000000000002</v>
      </c>
      <c r="CL344" s="1114">
        <f t="shared" si="238"/>
        <v>275.60000000000002</v>
      </c>
      <c r="CM344" s="1114">
        <f t="shared" si="238"/>
        <v>275.60000000000002</v>
      </c>
      <c r="CN344" s="1114">
        <f t="shared" si="238"/>
        <v>275.60000000000002</v>
      </c>
      <c r="CO344" s="1114">
        <f t="shared" si="238"/>
        <v>282</v>
      </c>
      <c r="CP344" s="1114">
        <f t="shared" si="238"/>
        <v>288.5</v>
      </c>
      <c r="CQ344" s="1114">
        <f t="shared" si="238"/>
        <v>288.5</v>
      </c>
      <c r="CR344" s="1114">
        <f t="shared" si="238"/>
        <v>288.5</v>
      </c>
      <c r="CS344" s="1114">
        <f t="shared" si="238"/>
        <v>288.5</v>
      </c>
      <c r="CT344" s="1114">
        <f t="shared" si="238"/>
        <v>288.5</v>
      </c>
      <c r="CU344" s="1114">
        <f t="shared" si="238"/>
        <v>288.5</v>
      </c>
      <c r="CV344" s="1114">
        <f t="shared" si="238"/>
        <v>288.5</v>
      </c>
      <c r="CW344" s="1114">
        <f t="shared" si="238"/>
        <v>288.5</v>
      </c>
      <c r="CX344" s="1114">
        <f t="shared" si="238"/>
        <v>288.5</v>
      </c>
      <c r="CY344" s="1114">
        <f t="shared" ref="CY344:DD344" si="239">+CY53</f>
        <v>378</v>
      </c>
      <c r="CZ344" s="1114">
        <f t="shared" si="239"/>
        <v>378</v>
      </c>
      <c r="DA344" s="1114">
        <f t="shared" si="239"/>
        <v>378</v>
      </c>
      <c r="DB344" s="1114">
        <f t="shared" si="239"/>
        <v>443</v>
      </c>
      <c r="DC344" s="1114">
        <f t="shared" si="239"/>
        <v>443</v>
      </c>
      <c r="DD344" s="1114">
        <f t="shared" si="239"/>
        <v>443</v>
      </c>
    </row>
    <row r="345" spans="2:108" s="1113" customFormat="1" x14ac:dyDescent="0.25">
      <c r="B345" s="1113" t="s">
        <v>1212</v>
      </c>
      <c r="L345" s="1114"/>
      <c r="M345" s="1114"/>
      <c r="N345" s="1114"/>
      <c r="O345" s="1114"/>
      <c r="P345" s="1114"/>
      <c r="Q345" s="1115">
        <f>+Q113</f>
        <v>57.8</v>
      </c>
      <c r="R345" s="1115">
        <f>+R113</f>
        <v>60.4</v>
      </c>
      <c r="S345" s="1115">
        <f>+S113</f>
        <v>60.4</v>
      </c>
      <c r="T345" s="1115">
        <f>+T113</f>
        <v>67.400000000000006</v>
      </c>
      <c r="U345" s="1115">
        <f>+U113</f>
        <v>72.599999999999994</v>
      </c>
      <c r="V345" s="1115">
        <f t="shared" ref="V345:AB345" si="240">+V145</f>
        <v>96.5</v>
      </c>
      <c r="W345" s="1115">
        <f t="shared" si="240"/>
        <v>101.2</v>
      </c>
      <c r="X345" s="1115">
        <f t="shared" si="240"/>
        <v>101.2</v>
      </c>
      <c r="Y345" s="1115">
        <f t="shared" si="240"/>
        <v>101.2</v>
      </c>
      <c r="Z345" s="1115">
        <f t="shared" si="240"/>
        <v>101.4</v>
      </c>
      <c r="AA345" s="1115">
        <f t="shared" si="240"/>
        <v>101.4</v>
      </c>
      <c r="AB345" s="1115">
        <f t="shared" si="240"/>
        <v>101.4</v>
      </c>
      <c r="AC345" s="1115">
        <f>+AC145</f>
        <v>101.4</v>
      </c>
      <c r="AD345" s="1115">
        <f t="shared" ref="AD345:AN345" si="241">+AD145</f>
        <v>105.6</v>
      </c>
      <c r="AE345" s="1115">
        <f t="shared" si="241"/>
        <v>105.6</v>
      </c>
      <c r="AF345" s="1115">
        <f t="shared" si="241"/>
        <v>111.4</v>
      </c>
      <c r="AG345" s="1115">
        <f t="shared" si="241"/>
        <v>118</v>
      </c>
      <c r="AH345" s="1115">
        <f t="shared" si="241"/>
        <v>118</v>
      </c>
      <c r="AI345" s="1115">
        <f t="shared" si="241"/>
        <v>117.5</v>
      </c>
      <c r="AJ345" s="1115">
        <f t="shared" si="241"/>
        <v>122.5</v>
      </c>
      <c r="AK345" s="1115">
        <f t="shared" si="241"/>
        <v>133.25</v>
      </c>
      <c r="AL345" s="1115">
        <f t="shared" si="241"/>
        <v>136.5</v>
      </c>
      <c r="AM345" s="1115">
        <f t="shared" si="241"/>
        <v>136.5</v>
      </c>
      <c r="AN345" s="1115">
        <f t="shared" si="241"/>
        <v>136</v>
      </c>
      <c r="AO345" s="1114">
        <f>+AO177</f>
        <v>151</v>
      </c>
      <c r="AP345" s="1114">
        <f>+AP177</f>
        <v>153</v>
      </c>
      <c r="AQ345" s="1114">
        <f>+AQ177</f>
        <v>157.19999999999999</v>
      </c>
      <c r="AR345" s="1114">
        <f>+AR177</f>
        <v>157.19999999999999</v>
      </c>
      <c r="AS345" s="1114">
        <f>+AS177</f>
        <v>163</v>
      </c>
      <c r="AT345" s="1116">
        <f t="shared" ref="AT345:AZ345" si="242">+AT201</f>
        <v>177.6</v>
      </c>
      <c r="AU345" s="1116">
        <f t="shared" si="242"/>
        <v>177.6</v>
      </c>
      <c r="AV345" s="1116">
        <f t="shared" si="242"/>
        <v>177.6</v>
      </c>
      <c r="AW345" s="1116">
        <f t="shared" si="242"/>
        <v>98.526928375997514</v>
      </c>
      <c r="AX345" s="1116">
        <f t="shared" si="242"/>
        <v>98.526928375997514</v>
      </c>
      <c r="AY345" s="1116">
        <f t="shared" si="242"/>
        <v>101.5089761253325</v>
      </c>
      <c r="AZ345" s="1116">
        <f t="shared" si="242"/>
        <v>101.5089761253325</v>
      </c>
      <c r="BA345" s="1116">
        <f t="shared" ref="BA345:BL345" si="243">+BA201</f>
        <v>101.5089761253325</v>
      </c>
      <c r="BB345" s="1116">
        <f t="shared" si="243"/>
        <v>101.5089761253325</v>
      </c>
      <c r="BC345" s="1116">
        <f t="shared" si="243"/>
        <v>104.88173209399937</v>
      </c>
      <c r="BD345" s="1116">
        <f t="shared" si="243"/>
        <v>120</v>
      </c>
      <c r="BE345" s="1116">
        <f t="shared" si="243"/>
        <v>143.92500000000001</v>
      </c>
      <c r="BF345" s="1116">
        <f t="shared" si="243"/>
        <v>143.92500000000001</v>
      </c>
      <c r="BG345" s="1116">
        <f t="shared" si="243"/>
        <v>143.92500000000001</v>
      </c>
      <c r="BH345" s="1116">
        <f t="shared" si="243"/>
        <v>143.92500000000001</v>
      </c>
      <c r="BI345" s="1116">
        <f t="shared" si="243"/>
        <v>143.92500000000001</v>
      </c>
      <c r="BJ345" s="1116">
        <f t="shared" si="243"/>
        <v>143.92500000000001</v>
      </c>
      <c r="BK345" s="1116">
        <f t="shared" si="243"/>
        <v>144.17500000000001</v>
      </c>
      <c r="BL345" s="1116">
        <f t="shared" si="243"/>
        <v>144.17500000000001</v>
      </c>
      <c r="BM345" s="1114">
        <f t="shared" ref="BM345:BX345" si="244">+BM236</f>
        <v>150.4</v>
      </c>
      <c r="BN345" s="1114">
        <f t="shared" si="244"/>
        <v>118.5</v>
      </c>
      <c r="BO345" s="1114">
        <f t="shared" si="244"/>
        <v>118.5</v>
      </c>
      <c r="BP345" s="1114">
        <f t="shared" si="244"/>
        <v>118.5</v>
      </c>
      <c r="BQ345" s="1114">
        <f t="shared" si="244"/>
        <v>106.4</v>
      </c>
      <c r="BR345" s="1114">
        <f t="shared" si="244"/>
        <v>107.6</v>
      </c>
      <c r="BS345" s="1114">
        <f t="shared" si="244"/>
        <v>107.6</v>
      </c>
      <c r="BT345" s="1114">
        <f t="shared" si="244"/>
        <v>106</v>
      </c>
      <c r="BU345" s="1114">
        <f t="shared" si="244"/>
        <v>106</v>
      </c>
      <c r="BV345" s="1114">
        <f t="shared" si="244"/>
        <v>106</v>
      </c>
      <c r="BW345" s="1114">
        <f t="shared" si="244"/>
        <v>106</v>
      </c>
      <c r="BX345" s="1114">
        <f t="shared" si="244"/>
        <v>106</v>
      </c>
      <c r="BY345" s="1114">
        <f t="shared" ref="BY345:CJ345" si="245">+BY283</f>
        <v>154.4</v>
      </c>
      <c r="BZ345" s="1114">
        <f t="shared" si="245"/>
        <v>154.4</v>
      </c>
      <c r="CA345" s="1114">
        <f t="shared" si="245"/>
        <v>154.4</v>
      </c>
      <c r="CB345" s="1114">
        <f t="shared" si="245"/>
        <v>158.19999999999999</v>
      </c>
      <c r="CC345" s="1114">
        <f t="shared" si="245"/>
        <v>163.6</v>
      </c>
      <c r="CD345" s="1114">
        <f t="shared" si="245"/>
        <v>167.85999999999999</v>
      </c>
      <c r="CE345" s="1114">
        <f t="shared" si="245"/>
        <v>167.85999999999999</v>
      </c>
      <c r="CF345" s="1114">
        <f t="shared" si="245"/>
        <v>167.85999999999999</v>
      </c>
      <c r="CG345" s="1114">
        <f t="shared" si="245"/>
        <v>167.85999999999999</v>
      </c>
      <c r="CH345" s="1114">
        <f t="shared" si="245"/>
        <v>167.85999999999999</v>
      </c>
      <c r="CI345" s="1114">
        <f t="shared" si="245"/>
        <v>167.57499999999999</v>
      </c>
      <c r="CJ345" s="1114">
        <f t="shared" si="245"/>
        <v>155.1</v>
      </c>
      <c r="CK345" s="1114">
        <f t="shared" ref="CK345:CP345" si="246">+CK41</f>
        <v>174.55</v>
      </c>
      <c r="CL345" s="1114">
        <f t="shared" si="246"/>
        <v>174.55</v>
      </c>
      <c r="CM345" s="1114">
        <f t="shared" si="246"/>
        <v>174.55</v>
      </c>
      <c r="CN345" s="1114">
        <f t="shared" si="246"/>
        <v>174.55</v>
      </c>
      <c r="CO345" s="1114">
        <f t="shared" si="246"/>
        <v>184</v>
      </c>
      <c r="CP345" s="1114">
        <f t="shared" si="246"/>
        <v>191.5</v>
      </c>
      <c r="CQ345" s="1114">
        <f t="shared" ref="CQ345:CV345" si="247">+CQ41</f>
        <v>191.5</v>
      </c>
      <c r="CR345" s="1114">
        <f t="shared" si="247"/>
        <v>191.5</v>
      </c>
      <c r="CS345" s="1114">
        <f t="shared" si="247"/>
        <v>191.5</v>
      </c>
      <c r="CT345" s="1114">
        <f t="shared" si="247"/>
        <v>191.5</v>
      </c>
      <c r="CU345" s="1114">
        <f t="shared" si="247"/>
        <v>191.5</v>
      </c>
      <c r="CV345" s="1114">
        <f t="shared" si="247"/>
        <v>191.5</v>
      </c>
      <c r="CW345" s="1114">
        <f>+CW41</f>
        <v>191.5</v>
      </c>
      <c r="CX345" s="1114">
        <f>+CX41</f>
        <v>191.5</v>
      </c>
      <c r="CY345" s="1114">
        <f t="shared" ref="CY345:DD345" si="248">+CY59</f>
        <v>270</v>
      </c>
      <c r="CZ345" s="1114">
        <f t="shared" si="248"/>
        <v>270</v>
      </c>
      <c r="DA345" s="1114">
        <f t="shared" si="248"/>
        <v>270</v>
      </c>
      <c r="DB345" s="1114">
        <f t="shared" si="248"/>
        <v>303</v>
      </c>
      <c r="DC345" s="1114">
        <f t="shared" si="248"/>
        <v>303</v>
      </c>
      <c r="DD345" s="1114">
        <f t="shared" si="248"/>
        <v>303</v>
      </c>
    </row>
    <row r="346" spans="2:108" s="1113" customFormat="1" x14ac:dyDescent="0.25">
      <c r="B346" s="1113" t="s">
        <v>1213</v>
      </c>
      <c r="Q346" s="1113">
        <f t="shared" ref="Q346:AQ346" si="249">+MONTH(Q1)</f>
        <v>1</v>
      </c>
      <c r="R346" s="1113">
        <f t="shared" si="249"/>
        <v>1</v>
      </c>
      <c r="S346" s="1113">
        <f t="shared" si="249"/>
        <v>1</v>
      </c>
      <c r="T346" s="1113">
        <f t="shared" si="249"/>
        <v>1</v>
      </c>
      <c r="U346" s="1113">
        <f t="shared" si="249"/>
        <v>1</v>
      </c>
      <c r="V346" s="1113">
        <f t="shared" si="249"/>
        <v>1</v>
      </c>
      <c r="W346" s="1113">
        <f t="shared" si="249"/>
        <v>1</v>
      </c>
      <c r="X346" s="1113">
        <f t="shared" si="249"/>
        <v>1</v>
      </c>
      <c r="Y346" s="1113">
        <f t="shared" si="249"/>
        <v>1</v>
      </c>
      <c r="Z346" s="1113">
        <f t="shared" si="249"/>
        <v>1</v>
      </c>
      <c r="AA346" s="1113">
        <f t="shared" si="249"/>
        <v>1</v>
      </c>
      <c r="AB346" s="1113">
        <f t="shared" si="249"/>
        <v>1</v>
      </c>
      <c r="AC346" s="1113">
        <f t="shared" si="249"/>
        <v>1</v>
      </c>
      <c r="AD346" s="1113">
        <f t="shared" si="249"/>
        <v>1</v>
      </c>
      <c r="AE346" s="1113">
        <f t="shared" si="249"/>
        <v>1</v>
      </c>
      <c r="AF346" s="1113">
        <f t="shared" si="249"/>
        <v>1</v>
      </c>
      <c r="AG346" s="1113">
        <f t="shared" si="249"/>
        <v>1</v>
      </c>
      <c r="AH346" s="1113">
        <f t="shared" si="249"/>
        <v>1</v>
      </c>
      <c r="AI346" s="1113">
        <f t="shared" si="249"/>
        <v>1</v>
      </c>
      <c r="AJ346" s="1113">
        <f t="shared" si="249"/>
        <v>1</v>
      </c>
      <c r="AK346" s="1113">
        <f t="shared" si="249"/>
        <v>1</v>
      </c>
      <c r="AL346" s="1113">
        <f t="shared" si="249"/>
        <v>1</v>
      </c>
      <c r="AM346" s="1113">
        <f t="shared" si="249"/>
        <v>1</v>
      </c>
      <c r="AN346" s="1113">
        <f t="shared" si="249"/>
        <v>1</v>
      </c>
      <c r="AO346" s="1113">
        <f t="shared" si="249"/>
        <v>1</v>
      </c>
      <c r="AP346" s="1113">
        <f t="shared" si="249"/>
        <v>1</v>
      </c>
      <c r="AQ346" s="1113">
        <f t="shared" si="249"/>
        <v>1</v>
      </c>
      <c r="AR346" s="1113">
        <f t="shared" ref="AR346:BW346" si="250">+MONTH(AR1)</f>
        <v>1</v>
      </c>
      <c r="AS346" s="1113">
        <f t="shared" si="250"/>
        <v>1</v>
      </c>
      <c r="AT346" s="1113">
        <f t="shared" si="250"/>
        <v>1</v>
      </c>
      <c r="AU346" s="1113">
        <f t="shared" si="250"/>
        <v>1</v>
      </c>
      <c r="AV346" s="1113">
        <f t="shared" si="250"/>
        <v>1</v>
      </c>
      <c r="AW346" s="1113">
        <f t="shared" si="250"/>
        <v>1</v>
      </c>
      <c r="AX346" s="1113">
        <f t="shared" si="250"/>
        <v>1</v>
      </c>
      <c r="AY346" s="1113">
        <f t="shared" si="250"/>
        <v>1</v>
      </c>
      <c r="AZ346" s="1113">
        <f t="shared" si="250"/>
        <v>1</v>
      </c>
      <c r="BA346" s="1113">
        <f t="shared" si="250"/>
        <v>1</v>
      </c>
      <c r="BB346" s="1113">
        <f t="shared" si="250"/>
        <v>1</v>
      </c>
      <c r="BC346" s="1113">
        <f t="shared" si="250"/>
        <v>1</v>
      </c>
      <c r="BD346" s="1113">
        <f t="shared" si="250"/>
        <v>1</v>
      </c>
      <c r="BE346" s="1113">
        <f t="shared" si="250"/>
        <v>1</v>
      </c>
      <c r="BF346" s="1113">
        <f t="shared" si="250"/>
        <v>1</v>
      </c>
      <c r="BG346" s="1113">
        <f t="shared" si="250"/>
        <v>1</v>
      </c>
      <c r="BH346" s="1113">
        <f t="shared" si="250"/>
        <v>1</v>
      </c>
      <c r="BI346" s="1113">
        <f t="shared" si="250"/>
        <v>1</v>
      </c>
      <c r="BJ346" s="1113">
        <f t="shared" si="250"/>
        <v>1</v>
      </c>
      <c r="BK346" s="1113">
        <f t="shared" si="250"/>
        <v>1</v>
      </c>
      <c r="BL346" s="1113">
        <f t="shared" si="250"/>
        <v>1</v>
      </c>
      <c r="BM346" s="1113">
        <f t="shared" si="250"/>
        <v>1</v>
      </c>
      <c r="BN346" s="1113">
        <f t="shared" si="250"/>
        <v>1</v>
      </c>
      <c r="BO346" s="1113">
        <f t="shared" si="250"/>
        <v>1</v>
      </c>
      <c r="BP346" s="1113">
        <f t="shared" si="250"/>
        <v>1</v>
      </c>
      <c r="BQ346" s="1113">
        <f t="shared" si="250"/>
        <v>1</v>
      </c>
      <c r="BR346" s="1113">
        <f t="shared" si="250"/>
        <v>1</v>
      </c>
      <c r="BS346" s="1113">
        <f t="shared" si="250"/>
        <v>1</v>
      </c>
      <c r="BT346" s="1113">
        <f t="shared" si="250"/>
        <v>1</v>
      </c>
      <c r="BU346" s="1113">
        <f t="shared" si="250"/>
        <v>1</v>
      </c>
      <c r="BV346" s="1113">
        <f t="shared" si="250"/>
        <v>1</v>
      </c>
      <c r="BW346" s="1113">
        <f t="shared" si="250"/>
        <v>1</v>
      </c>
      <c r="BX346" s="1113">
        <f t="shared" ref="BX346:CC346" si="251">+MONTH(BX1)</f>
        <v>1</v>
      </c>
      <c r="BY346" s="1113">
        <f t="shared" si="251"/>
        <v>1</v>
      </c>
      <c r="BZ346" s="1113">
        <f t="shared" si="251"/>
        <v>1</v>
      </c>
      <c r="CA346" s="1113">
        <f t="shared" si="251"/>
        <v>1</v>
      </c>
      <c r="CB346" s="1113">
        <f t="shared" si="251"/>
        <v>1</v>
      </c>
      <c r="CC346" s="1113">
        <f t="shared" si="251"/>
        <v>1</v>
      </c>
      <c r="CD346" s="1113">
        <f t="shared" ref="CD346:CV346" si="252">+MONTH(CD1)</f>
        <v>1</v>
      </c>
      <c r="CE346" s="1113">
        <f t="shared" si="252"/>
        <v>1</v>
      </c>
      <c r="CF346" s="1113">
        <f t="shared" si="252"/>
        <v>1</v>
      </c>
      <c r="CG346" s="1113">
        <f t="shared" si="252"/>
        <v>1</v>
      </c>
      <c r="CH346" s="1113">
        <f t="shared" si="252"/>
        <v>1</v>
      </c>
      <c r="CI346" s="1113">
        <f t="shared" si="252"/>
        <v>1</v>
      </c>
      <c r="CJ346" s="1113">
        <f t="shared" si="252"/>
        <v>1</v>
      </c>
      <c r="CK346" s="1113">
        <f t="shared" si="252"/>
        <v>1</v>
      </c>
      <c r="CL346" s="1113">
        <f t="shared" si="252"/>
        <v>1</v>
      </c>
      <c r="CM346" s="1113">
        <f t="shared" si="252"/>
        <v>1</v>
      </c>
      <c r="CN346" s="1113">
        <f t="shared" si="252"/>
        <v>1</v>
      </c>
      <c r="CO346" s="1113">
        <f t="shared" si="252"/>
        <v>1</v>
      </c>
      <c r="CP346" s="1113">
        <f t="shared" si="252"/>
        <v>1</v>
      </c>
      <c r="CQ346" s="1113">
        <f t="shared" si="252"/>
        <v>1</v>
      </c>
      <c r="CR346" s="1113">
        <f t="shared" si="252"/>
        <v>1</v>
      </c>
      <c r="CS346" s="1113">
        <f t="shared" si="252"/>
        <v>1</v>
      </c>
      <c r="CT346" s="1113">
        <f t="shared" si="252"/>
        <v>1</v>
      </c>
      <c r="CU346" s="1113">
        <f t="shared" si="252"/>
        <v>1</v>
      </c>
      <c r="CV346" s="1113">
        <f t="shared" si="252"/>
        <v>1</v>
      </c>
      <c r="CW346" s="1113">
        <f>+MONTH(CW1)</f>
        <v>1</v>
      </c>
      <c r="CX346" s="1113">
        <f>+MONTH(CX1)</f>
        <v>1</v>
      </c>
      <c r="CY346" s="1113">
        <v>10</v>
      </c>
      <c r="CZ346" s="1113">
        <v>11</v>
      </c>
      <c r="DA346" s="1113">
        <v>12</v>
      </c>
      <c r="DB346" s="1113">
        <v>1</v>
      </c>
      <c r="DC346" s="1113">
        <f>DB346+1</f>
        <v>2</v>
      </c>
      <c r="DD346" s="1113">
        <f>DC346+1</f>
        <v>3</v>
      </c>
    </row>
    <row r="347" spans="2:108" s="1113" customFormat="1" x14ac:dyDescent="0.25">
      <c r="B347" s="1113" t="s">
        <v>1214</v>
      </c>
      <c r="Q347" s="1113">
        <f t="shared" ref="Q347:AQ347" si="253">+YEAR(Q1)</f>
        <v>1900</v>
      </c>
      <c r="R347" s="1113">
        <f t="shared" si="253"/>
        <v>1900</v>
      </c>
      <c r="S347" s="1113">
        <f t="shared" si="253"/>
        <v>1900</v>
      </c>
      <c r="T347" s="1113">
        <f t="shared" si="253"/>
        <v>1900</v>
      </c>
      <c r="U347" s="1113">
        <f t="shared" si="253"/>
        <v>1900</v>
      </c>
      <c r="V347" s="1113">
        <f t="shared" si="253"/>
        <v>1900</v>
      </c>
      <c r="W347" s="1113">
        <f t="shared" si="253"/>
        <v>1900</v>
      </c>
      <c r="X347" s="1113">
        <f t="shared" si="253"/>
        <v>1900</v>
      </c>
      <c r="Y347" s="1113">
        <f t="shared" si="253"/>
        <v>1900</v>
      </c>
      <c r="Z347" s="1113">
        <f t="shared" si="253"/>
        <v>1900</v>
      </c>
      <c r="AA347" s="1113">
        <f t="shared" si="253"/>
        <v>1900</v>
      </c>
      <c r="AB347" s="1113">
        <f t="shared" si="253"/>
        <v>1900</v>
      </c>
      <c r="AC347" s="1113">
        <f t="shared" si="253"/>
        <v>1900</v>
      </c>
      <c r="AD347" s="1113">
        <f t="shared" si="253"/>
        <v>1900</v>
      </c>
      <c r="AE347" s="1113">
        <f t="shared" si="253"/>
        <v>1900</v>
      </c>
      <c r="AF347" s="1113">
        <f t="shared" si="253"/>
        <v>1900</v>
      </c>
      <c r="AG347" s="1113">
        <f t="shared" si="253"/>
        <v>1900</v>
      </c>
      <c r="AH347" s="1113">
        <f t="shared" si="253"/>
        <v>1900</v>
      </c>
      <c r="AI347" s="1113">
        <f t="shared" si="253"/>
        <v>1900</v>
      </c>
      <c r="AJ347" s="1113">
        <f t="shared" si="253"/>
        <v>1900</v>
      </c>
      <c r="AK347" s="1113">
        <f t="shared" si="253"/>
        <v>1900</v>
      </c>
      <c r="AL347" s="1113">
        <f t="shared" si="253"/>
        <v>1900</v>
      </c>
      <c r="AM347" s="1113">
        <f t="shared" si="253"/>
        <v>1900</v>
      </c>
      <c r="AN347" s="1113">
        <f t="shared" si="253"/>
        <v>1900</v>
      </c>
      <c r="AO347" s="1113">
        <f t="shared" si="253"/>
        <v>1900</v>
      </c>
      <c r="AP347" s="1113">
        <f t="shared" si="253"/>
        <v>1900</v>
      </c>
      <c r="AQ347" s="1113">
        <f t="shared" si="253"/>
        <v>1900</v>
      </c>
      <c r="AR347" s="1113">
        <f t="shared" ref="AR347:BW347" si="254">+YEAR(AR1)</f>
        <v>1900</v>
      </c>
      <c r="AS347" s="1113">
        <f t="shared" si="254"/>
        <v>1900</v>
      </c>
      <c r="AT347" s="1113">
        <f t="shared" si="254"/>
        <v>1900</v>
      </c>
      <c r="AU347" s="1113">
        <f t="shared" si="254"/>
        <v>1900</v>
      </c>
      <c r="AV347" s="1113">
        <f t="shared" si="254"/>
        <v>1900</v>
      </c>
      <c r="AW347" s="1113">
        <f t="shared" si="254"/>
        <v>1900</v>
      </c>
      <c r="AX347" s="1113">
        <f t="shared" si="254"/>
        <v>1900</v>
      </c>
      <c r="AY347" s="1113">
        <f t="shared" si="254"/>
        <v>1900</v>
      </c>
      <c r="AZ347" s="1113">
        <f t="shared" si="254"/>
        <v>1900</v>
      </c>
      <c r="BA347" s="1113">
        <f t="shared" si="254"/>
        <v>1900</v>
      </c>
      <c r="BB347" s="1113">
        <f t="shared" si="254"/>
        <v>1900</v>
      </c>
      <c r="BC347" s="1113">
        <f t="shared" si="254"/>
        <v>1900</v>
      </c>
      <c r="BD347" s="1113">
        <f t="shared" si="254"/>
        <v>1900</v>
      </c>
      <c r="BE347" s="1113">
        <f t="shared" si="254"/>
        <v>1900</v>
      </c>
      <c r="BF347" s="1113">
        <f t="shared" si="254"/>
        <v>1900</v>
      </c>
      <c r="BG347" s="1113">
        <f t="shared" si="254"/>
        <v>1900</v>
      </c>
      <c r="BH347" s="1113">
        <f t="shared" si="254"/>
        <v>1900</v>
      </c>
      <c r="BI347" s="1113">
        <f t="shared" si="254"/>
        <v>1900</v>
      </c>
      <c r="BJ347" s="1113">
        <f t="shared" si="254"/>
        <v>1900</v>
      </c>
      <c r="BK347" s="1113">
        <f t="shared" si="254"/>
        <v>1900</v>
      </c>
      <c r="BL347" s="1113">
        <f t="shared" si="254"/>
        <v>1900</v>
      </c>
      <c r="BM347" s="1113">
        <f t="shared" si="254"/>
        <v>1900</v>
      </c>
      <c r="BN347" s="1113">
        <f t="shared" si="254"/>
        <v>1900</v>
      </c>
      <c r="BO347" s="1113">
        <f t="shared" si="254"/>
        <v>1900</v>
      </c>
      <c r="BP347" s="1113">
        <f t="shared" si="254"/>
        <v>1900</v>
      </c>
      <c r="BQ347" s="1113">
        <f t="shared" si="254"/>
        <v>1900</v>
      </c>
      <c r="BR347" s="1113">
        <f t="shared" si="254"/>
        <v>1900</v>
      </c>
      <c r="BS347" s="1113">
        <f t="shared" si="254"/>
        <v>1900</v>
      </c>
      <c r="BT347" s="1113">
        <f t="shared" si="254"/>
        <v>1900</v>
      </c>
      <c r="BU347" s="1113">
        <f t="shared" si="254"/>
        <v>1900</v>
      </c>
      <c r="BV347" s="1113">
        <f t="shared" si="254"/>
        <v>1900</v>
      </c>
      <c r="BW347" s="1113">
        <f t="shared" si="254"/>
        <v>1900</v>
      </c>
      <c r="BX347" s="1113">
        <f t="shared" ref="BX347:CC347" si="255">+YEAR(BX1)</f>
        <v>1900</v>
      </c>
      <c r="BY347" s="1113">
        <f t="shared" si="255"/>
        <v>1900</v>
      </c>
      <c r="BZ347" s="1113">
        <f t="shared" si="255"/>
        <v>1900</v>
      </c>
      <c r="CA347" s="1113">
        <f t="shared" si="255"/>
        <v>1900</v>
      </c>
      <c r="CB347" s="1113">
        <f t="shared" si="255"/>
        <v>1900</v>
      </c>
      <c r="CC347" s="1113">
        <f t="shared" si="255"/>
        <v>1900</v>
      </c>
      <c r="CD347" s="1113">
        <f t="shared" ref="CD347:CV347" si="256">+YEAR(CD1)</f>
        <v>1900</v>
      </c>
      <c r="CE347" s="1113">
        <f t="shared" si="256"/>
        <v>1900</v>
      </c>
      <c r="CF347" s="1113">
        <f t="shared" si="256"/>
        <v>1900</v>
      </c>
      <c r="CG347" s="1113">
        <f t="shared" si="256"/>
        <v>1900</v>
      </c>
      <c r="CH347" s="1113">
        <f t="shared" si="256"/>
        <v>1900</v>
      </c>
      <c r="CI347" s="1113">
        <f t="shared" si="256"/>
        <v>1900</v>
      </c>
      <c r="CJ347" s="1113">
        <f t="shared" si="256"/>
        <v>1900</v>
      </c>
      <c r="CK347" s="1113">
        <f t="shared" si="256"/>
        <v>1900</v>
      </c>
      <c r="CL347" s="1113">
        <f t="shared" si="256"/>
        <v>1900</v>
      </c>
      <c r="CM347" s="1113">
        <f t="shared" si="256"/>
        <v>1900</v>
      </c>
      <c r="CN347" s="1113">
        <f t="shared" si="256"/>
        <v>1900</v>
      </c>
      <c r="CO347" s="1113">
        <f t="shared" si="256"/>
        <v>1900</v>
      </c>
      <c r="CP347" s="1113">
        <f t="shared" si="256"/>
        <v>1900</v>
      </c>
      <c r="CQ347" s="1113">
        <f t="shared" si="256"/>
        <v>1900</v>
      </c>
      <c r="CR347" s="1113">
        <f t="shared" si="256"/>
        <v>1900</v>
      </c>
      <c r="CS347" s="1113">
        <f t="shared" si="256"/>
        <v>1900</v>
      </c>
      <c r="CT347" s="1113">
        <f t="shared" si="256"/>
        <v>1900</v>
      </c>
      <c r="CU347" s="1113">
        <f t="shared" si="256"/>
        <v>1900</v>
      </c>
      <c r="CV347" s="1113">
        <f t="shared" si="256"/>
        <v>1900</v>
      </c>
      <c r="CW347" s="1113">
        <f t="shared" ref="CW347:DB347" si="257">+YEAR(CW1)</f>
        <v>1900</v>
      </c>
      <c r="CX347" s="1113">
        <f t="shared" si="257"/>
        <v>1900</v>
      </c>
      <c r="CY347" s="1113">
        <f t="shared" si="257"/>
        <v>1900</v>
      </c>
      <c r="CZ347" s="1113">
        <f t="shared" si="257"/>
        <v>1900</v>
      </c>
      <c r="DA347" s="1113">
        <f t="shared" si="257"/>
        <v>1900</v>
      </c>
      <c r="DB347" s="1113">
        <f t="shared" si="257"/>
        <v>1900</v>
      </c>
      <c r="DC347" s="1113">
        <f t="shared" ref="DC347:DD347" si="258">+YEAR(DC1)</f>
        <v>1900</v>
      </c>
      <c r="DD347" s="1113">
        <f t="shared" si="258"/>
        <v>1900</v>
      </c>
    </row>
  </sheetData>
  <conditionalFormatting sqref="C79:AS79">
    <cfRule type="expression" dxfId="12" priority="2712">
      <formula>"[RENAME.xlsm]RENAME!$H$3=1"</formula>
    </cfRule>
  </conditionalFormatting>
  <conditionalFormatting sqref="C115:AS115">
    <cfRule type="expression" dxfId="11" priority="2705">
      <formula>"[RENAME.xlsm]RENAME!$H$3=1"</formula>
    </cfRule>
  </conditionalFormatting>
  <conditionalFormatting sqref="C147:BD147">
    <cfRule type="expression" dxfId="10" priority="2587">
      <formula>"[RENAME.xlsm]RENAME!$H$3=1"</formula>
    </cfRule>
  </conditionalFormatting>
  <conditionalFormatting sqref="C203:BQ203">
    <cfRule type="expression" dxfId="9" priority="2298">
      <formula>"[RENAME.xlsm]RENAME!$H$3=1"</formula>
    </cfRule>
  </conditionalFormatting>
  <conditionalFormatting sqref="C238:CD238">
    <cfRule type="expression" dxfId="8" priority="1851">
      <formula>"[RENAME.xlsm]RENAME!$H$3=1"</formula>
    </cfRule>
  </conditionalFormatting>
  <conditionalFormatting sqref="C253:CN253">
    <cfRule type="expression" dxfId="7" priority="12">
      <formula>"[RENAME.xlsm]RENAME!$H$3=1"</formula>
    </cfRule>
  </conditionalFormatting>
  <conditionalFormatting sqref="C261:CN261">
    <cfRule type="expression" dxfId="6" priority="9">
      <formula>"[RENAME.xlsm]RENAME!$H$3=1"</formula>
    </cfRule>
  </conditionalFormatting>
  <conditionalFormatting sqref="C269:CN269">
    <cfRule type="expression" dxfId="5" priority="8">
      <formula>"[RENAME.xlsm]RENAME!$H$3=1"</formula>
    </cfRule>
  </conditionalFormatting>
  <conditionalFormatting sqref="C277:CN277">
    <cfRule type="expression" dxfId="4" priority="7">
      <formula>"[RENAME.xlsm]RENAME!$H$3=1"</formula>
    </cfRule>
  </conditionalFormatting>
  <conditionalFormatting sqref="C4:DD4">
    <cfRule type="expression" dxfId="3" priority="4">
      <formula>"[RENAME.xlsm]RENAME!$H$3=1"</formula>
    </cfRule>
  </conditionalFormatting>
  <conditionalFormatting sqref="C6:DD6">
    <cfRule type="expression" dxfId="2" priority="1">
      <formula>"[RENAME.xlsm]RENAME!$H$3=1"</formula>
    </cfRule>
  </conditionalFormatting>
  <conditionalFormatting sqref="C12:DD12">
    <cfRule type="expression" dxfId="1" priority="3">
      <formula>"[RENAME.xlsm]RENAME!$H$3=1"</formula>
    </cfRule>
  </conditionalFormatting>
  <conditionalFormatting sqref="C247:DD247">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3">
    <tabColor theme="8"/>
    <pageSetUpPr autoPageBreaks="0"/>
  </sheetPr>
  <dimension ref="A1:BF273"/>
  <sheetViews>
    <sheetView showGridLines="0" topLeftCell="A3" zoomScaleNormal="100" workbookViewId="0">
      <pane xSplit="2" ySplit="2" topLeftCell="C183" activePane="bottomRight" state="frozen"/>
      <selection activeCell="D3" sqref="D3"/>
      <selection pane="topRight" activeCell="E3" sqref="E3"/>
      <selection pane="bottomLeft" activeCell="D5" sqref="D5"/>
      <selection pane="bottomRight" activeCell="C199" sqref="C199"/>
    </sheetView>
  </sheetViews>
  <sheetFormatPr defaultColWidth="38" defaultRowHeight="12.75" customHeight="1" outlineLevelRow="1" x14ac:dyDescent="0.2"/>
  <cols>
    <col min="1" max="1" width="4.7109375" style="365" hidden="1" customWidth="1"/>
    <col min="2" max="2" width="9.5703125" style="366" customWidth="1"/>
    <col min="3" max="3" width="8.7109375" style="434" bestFit="1" customWidth="1"/>
    <col min="4" max="4" width="9.7109375" style="365" customWidth="1"/>
    <col min="5" max="5" width="11.28515625" style="365" bestFit="1" customWidth="1"/>
    <col min="6" max="6" width="3.42578125" style="365" customWidth="1"/>
    <col min="7" max="7" width="7.7109375" style="434" bestFit="1" customWidth="1"/>
    <col min="8" max="8" width="8.28515625" style="365" bestFit="1" customWidth="1"/>
    <col min="9" max="9" width="8.7109375" style="365" bestFit="1" customWidth="1"/>
    <col min="10" max="10" width="3.42578125" style="365" customWidth="1"/>
    <col min="11" max="11" width="7.7109375" style="365" bestFit="1" customWidth="1"/>
    <col min="12" max="12" width="10.42578125" style="365" customWidth="1"/>
    <col min="13" max="13" width="4.28515625" style="365" customWidth="1"/>
    <col min="14" max="15" width="7.7109375" style="365" bestFit="1" customWidth="1"/>
    <col min="16" max="16" width="4.28515625" style="365" customWidth="1"/>
    <col min="17" max="17" width="8.7109375" style="365" bestFit="1" customWidth="1"/>
    <col min="18" max="18" width="7.5703125" style="365" bestFit="1" customWidth="1"/>
    <col min="19" max="19" width="3.42578125" style="365" customWidth="1"/>
    <col min="20" max="28" width="10" style="365" customWidth="1"/>
    <col min="29" max="29" width="2.28515625" style="365" customWidth="1"/>
    <col min="30" max="30" width="6.28515625" style="366" bestFit="1" customWidth="1"/>
    <col min="31" max="39" width="9.7109375" style="438" customWidth="1"/>
    <col min="40" max="40" width="3.42578125" style="365" customWidth="1"/>
    <col min="41" max="41" width="7" style="365" bestFit="1" customWidth="1"/>
    <col min="42" max="42" width="8" style="365" bestFit="1" customWidth="1"/>
    <col min="43" max="43" width="10.5703125" style="365" bestFit="1" customWidth="1"/>
    <col min="44" max="45" width="7.7109375" style="365" bestFit="1" customWidth="1"/>
    <col min="46" max="46" width="3.42578125" style="365" customWidth="1"/>
    <col min="47" max="47" width="5.5703125" style="365" bestFit="1" customWidth="1"/>
    <col min="48" max="48" width="8" style="365" bestFit="1" customWidth="1"/>
    <col min="49" max="49" width="6.5703125" style="365" bestFit="1" customWidth="1"/>
    <col min="50" max="50" width="7.28515625" style="365" bestFit="1" customWidth="1"/>
    <col min="51" max="51" width="6.5703125" style="365" bestFit="1" customWidth="1"/>
    <col min="52" max="52" width="3.42578125" style="365" customWidth="1"/>
    <col min="53" max="53" width="10" style="365" customWidth="1"/>
    <col min="54" max="54" width="10.28515625" style="365" bestFit="1" customWidth="1"/>
    <col min="55" max="55" width="3.42578125" style="365" customWidth="1"/>
    <col min="56" max="56" width="33.5703125" style="365" customWidth="1"/>
    <col min="57" max="57" width="4.7109375" style="981" bestFit="1" customWidth="1"/>
    <col min="58" max="58" width="4.7109375" style="981" customWidth="1"/>
    <col min="59" max="16384" width="38" style="365"/>
  </cols>
  <sheetData>
    <row r="1" spans="1:58" ht="12.75" hidden="1" customHeight="1" x14ac:dyDescent="0.2">
      <c r="C1" s="433"/>
      <c r="E1" s="435"/>
      <c r="G1" s="433"/>
      <c r="I1" s="435"/>
      <c r="K1" s="436"/>
      <c r="N1" s="436"/>
      <c r="O1" s="435"/>
      <c r="Q1" s="436"/>
      <c r="R1" s="435"/>
      <c r="T1" s="436"/>
      <c r="AB1" s="435"/>
      <c r="AE1" s="437"/>
      <c r="AM1" s="435"/>
      <c r="AO1" s="436"/>
      <c r="AS1" s="435"/>
      <c r="AU1" s="436"/>
      <c r="AY1" s="435"/>
      <c r="BA1" s="436"/>
      <c r="BB1" s="435"/>
    </row>
    <row r="2" spans="1:58" ht="12.75" hidden="1" customHeight="1" x14ac:dyDescent="0.2">
      <c r="C2" s="433"/>
      <c r="E2" s="435"/>
      <c r="G2" s="433"/>
      <c r="I2" s="435"/>
      <c r="K2" s="436"/>
      <c r="N2" s="436"/>
      <c r="O2" s="435"/>
      <c r="Q2" s="436"/>
      <c r="R2" s="435"/>
      <c r="T2" s="436"/>
      <c r="AB2" s="435"/>
      <c r="AE2" s="437"/>
      <c r="AM2" s="439"/>
      <c r="AO2" s="436"/>
      <c r="AS2" s="435"/>
      <c r="AU2" s="436"/>
      <c r="AY2" s="435"/>
      <c r="BA2" s="436"/>
      <c r="BB2" s="435"/>
    </row>
    <row r="3" spans="1:58" s="355" customFormat="1" ht="38.25" customHeight="1" x14ac:dyDescent="0.25">
      <c r="B3" s="356"/>
      <c r="C3" s="1257" t="s">
        <v>1628</v>
      </c>
      <c r="D3" s="1258"/>
      <c r="E3" s="1259"/>
      <c r="G3" s="1257" t="s">
        <v>1629</v>
      </c>
      <c r="H3" s="1258"/>
      <c r="I3" s="1259"/>
      <c r="K3" s="1257" t="s">
        <v>1630</v>
      </c>
      <c r="L3" s="1259"/>
      <c r="N3" s="1257" t="s">
        <v>1631</v>
      </c>
      <c r="O3" s="1259"/>
      <c r="Q3" s="1257" t="s">
        <v>1632</v>
      </c>
      <c r="R3" s="1259"/>
      <c r="T3" s="1189" t="s">
        <v>1633</v>
      </c>
      <c r="U3" s="1190"/>
      <c r="V3" s="1190"/>
      <c r="W3" s="1190"/>
      <c r="X3" s="1190"/>
      <c r="Y3" s="1190"/>
      <c r="Z3" s="1190"/>
      <c r="AA3" s="1190"/>
      <c r="AB3" s="1191"/>
      <c r="AD3" s="356"/>
      <c r="AE3" s="1186" t="s">
        <v>1634</v>
      </c>
      <c r="AF3" s="1187"/>
      <c r="AG3" s="1187"/>
      <c r="AH3" s="1187"/>
      <c r="AI3" s="1187"/>
      <c r="AJ3" s="1187"/>
      <c r="AK3" s="1187"/>
      <c r="AL3" s="1187"/>
      <c r="AM3" s="1188"/>
      <c r="AO3" s="1257" t="s">
        <v>1635</v>
      </c>
      <c r="AP3" s="1258"/>
      <c r="AQ3" s="1258"/>
      <c r="AR3" s="1258"/>
      <c r="AS3" s="1259"/>
      <c r="AU3" s="1257" t="s">
        <v>1636</v>
      </c>
      <c r="AV3" s="1258"/>
      <c r="AW3" s="1258"/>
      <c r="AX3" s="1258"/>
      <c r="AY3" s="1259"/>
      <c r="BA3" s="1260" t="s">
        <v>1637</v>
      </c>
      <c r="BB3" s="1261"/>
      <c r="BE3" s="982"/>
      <c r="BF3" s="982"/>
    </row>
    <row r="4" spans="1:58" s="357" customFormat="1" ht="51" x14ac:dyDescent="0.2">
      <c r="B4" s="358" t="s">
        <v>606</v>
      </c>
      <c r="C4" s="359" t="s">
        <v>36</v>
      </c>
      <c r="D4" s="357" t="s">
        <v>608</v>
      </c>
      <c r="E4" s="360" t="s">
        <v>609</v>
      </c>
      <c r="G4" s="359" t="s">
        <v>610</v>
      </c>
      <c r="H4" s="357" t="s">
        <v>611</v>
      </c>
      <c r="I4" s="360" t="s">
        <v>612</v>
      </c>
      <c r="K4" s="361" t="s">
        <v>1337</v>
      </c>
      <c r="L4" s="360" t="s">
        <v>1338</v>
      </c>
      <c r="N4" s="361" t="s">
        <v>852</v>
      </c>
      <c r="O4" s="360" t="s">
        <v>1336</v>
      </c>
      <c r="Q4" s="361" t="s">
        <v>1335</v>
      </c>
      <c r="R4" s="360" t="s">
        <v>613</v>
      </c>
      <c r="T4" s="361" t="s">
        <v>111</v>
      </c>
      <c r="U4" s="357" t="s">
        <v>112</v>
      </c>
      <c r="V4" s="357" t="s">
        <v>149</v>
      </c>
      <c r="W4" s="357" t="s">
        <v>113</v>
      </c>
      <c r="X4" s="357" t="s">
        <v>114</v>
      </c>
      <c r="Y4" s="357" t="s">
        <v>116</v>
      </c>
      <c r="Z4" s="357" t="s">
        <v>115</v>
      </c>
      <c r="AA4" s="357" t="s">
        <v>1334</v>
      </c>
      <c r="AB4" s="360" t="s">
        <v>1339</v>
      </c>
      <c r="AD4" s="358"/>
      <c r="AE4" s="362" t="s">
        <v>111</v>
      </c>
      <c r="AF4" s="363" t="s">
        <v>112</v>
      </c>
      <c r="AG4" s="363" t="s">
        <v>149</v>
      </c>
      <c r="AH4" s="363" t="s">
        <v>113</v>
      </c>
      <c r="AI4" s="363" t="s">
        <v>114</v>
      </c>
      <c r="AJ4" s="363" t="s">
        <v>116</v>
      </c>
      <c r="AK4" s="363" t="s">
        <v>115</v>
      </c>
      <c r="AL4" s="363" t="s">
        <v>1334</v>
      </c>
      <c r="AM4" s="364" t="s">
        <v>1339</v>
      </c>
      <c r="AO4" s="361" t="s">
        <v>614</v>
      </c>
      <c r="AP4" s="357" t="s">
        <v>615</v>
      </c>
      <c r="AQ4" s="357" t="s">
        <v>616</v>
      </c>
      <c r="AR4" s="357" t="s">
        <v>617</v>
      </c>
      <c r="AS4" s="360" t="s">
        <v>618</v>
      </c>
      <c r="AU4" s="361" t="s">
        <v>614</v>
      </c>
      <c r="AV4" s="357" t="s">
        <v>615</v>
      </c>
      <c r="AW4" s="357" t="s">
        <v>616</v>
      </c>
      <c r="AX4" s="357" t="s">
        <v>617</v>
      </c>
      <c r="AY4" s="360" t="s">
        <v>618</v>
      </c>
      <c r="BA4" s="361" t="s">
        <v>619</v>
      </c>
      <c r="BB4" s="360" t="s">
        <v>620</v>
      </c>
      <c r="BE4" s="983"/>
      <c r="BF4" s="983"/>
    </row>
    <row r="5" spans="1:58" ht="12.75" customHeight="1" outlineLevel="1" x14ac:dyDescent="0.2">
      <c r="A5" s="365" t="s">
        <v>1011</v>
      </c>
      <c r="B5" s="366">
        <v>39814</v>
      </c>
      <c r="C5" s="367">
        <f t="shared" ref="C5:C68" si="0">+D5+E5</f>
        <v>233012</v>
      </c>
      <c r="D5" s="368">
        <v>189722</v>
      </c>
      <c r="E5" s="370">
        <v>43290</v>
      </c>
      <c r="F5" s="368"/>
      <c r="G5" s="367" t="s">
        <v>47</v>
      </c>
      <c r="H5" s="369" t="s">
        <v>47</v>
      </c>
      <c r="I5" s="371" t="s">
        <v>47</v>
      </c>
      <c r="J5" s="368"/>
      <c r="K5" s="372" t="s">
        <v>47</v>
      </c>
      <c r="L5" s="370" t="s">
        <v>47</v>
      </c>
      <c r="M5" s="368"/>
      <c r="N5" s="372" t="s">
        <v>47</v>
      </c>
      <c r="O5" s="370" t="s">
        <v>47</v>
      </c>
      <c r="P5" s="368"/>
      <c r="Q5" s="372" t="s">
        <v>47</v>
      </c>
      <c r="R5" s="370" t="s">
        <v>47</v>
      </c>
      <c r="S5" s="368"/>
      <c r="T5" s="372" t="s">
        <v>47</v>
      </c>
      <c r="U5" s="368" t="s">
        <v>47</v>
      </c>
      <c r="V5" s="368" t="s">
        <v>47</v>
      </c>
      <c r="W5" s="368" t="s">
        <v>47</v>
      </c>
      <c r="X5" s="368" t="s">
        <v>47</v>
      </c>
      <c r="Y5" s="368" t="s">
        <v>47</v>
      </c>
      <c r="Z5" s="368" t="s">
        <v>47</v>
      </c>
      <c r="AA5" s="368" t="s">
        <v>47</v>
      </c>
      <c r="AB5" s="370" t="s">
        <v>47</v>
      </c>
      <c r="AC5" s="368"/>
      <c r="AD5" s="366">
        <f t="shared" ref="AD5:AD36" si="1">+B5</f>
        <v>39814</v>
      </c>
      <c r="AE5" s="373"/>
      <c r="AF5" s="374"/>
      <c r="AG5" s="374"/>
      <c r="AH5" s="374"/>
      <c r="AI5" s="374"/>
      <c r="AJ5" s="374"/>
      <c r="AK5" s="374"/>
      <c r="AL5" s="374"/>
      <c r="AM5" s="375"/>
      <c r="AN5" s="368"/>
      <c r="AO5" s="372"/>
      <c r="AP5" s="368"/>
      <c r="AQ5" s="368"/>
      <c r="AR5" s="368"/>
      <c r="AS5" s="370"/>
      <c r="AT5" s="368"/>
      <c r="AU5" s="372"/>
      <c r="AV5" s="368"/>
      <c r="AW5" s="368"/>
      <c r="AX5" s="368"/>
      <c r="AY5" s="370"/>
      <c r="AZ5" s="368"/>
      <c r="BA5" s="372"/>
      <c r="BB5" s="370"/>
      <c r="BC5" s="368"/>
      <c r="BE5" s="981" t="s">
        <v>150</v>
      </c>
      <c r="BF5" s="981" t="s">
        <v>1011</v>
      </c>
    </row>
    <row r="6" spans="1:58" ht="12.75" customHeight="1" outlineLevel="1" x14ac:dyDescent="0.2">
      <c r="A6" s="365" t="s">
        <v>1011</v>
      </c>
      <c r="B6" s="366">
        <v>39845</v>
      </c>
      <c r="C6" s="367">
        <f t="shared" si="0"/>
        <v>232071</v>
      </c>
      <c r="D6" s="368">
        <v>191352</v>
      </c>
      <c r="E6" s="370">
        <v>40719</v>
      </c>
      <c r="F6" s="368"/>
      <c r="G6" s="367" t="s">
        <v>47</v>
      </c>
      <c r="H6" s="369" t="s">
        <v>47</v>
      </c>
      <c r="I6" s="371" t="s">
        <v>47</v>
      </c>
      <c r="J6" s="368"/>
      <c r="K6" s="372" t="s">
        <v>47</v>
      </c>
      <c r="L6" s="370" t="s">
        <v>47</v>
      </c>
      <c r="M6" s="368"/>
      <c r="N6" s="372" t="s">
        <v>47</v>
      </c>
      <c r="O6" s="370" t="s">
        <v>47</v>
      </c>
      <c r="P6" s="368"/>
      <c r="Q6" s="372" t="s">
        <v>47</v>
      </c>
      <c r="R6" s="370" t="s">
        <v>47</v>
      </c>
      <c r="S6" s="368"/>
      <c r="T6" s="372" t="s">
        <v>47</v>
      </c>
      <c r="U6" s="368" t="s">
        <v>47</v>
      </c>
      <c r="V6" s="368" t="s">
        <v>47</v>
      </c>
      <c r="W6" s="368" t="s">
        <v>47</v>
      </c>
      <c r="X6" s="368" t="s">
        <v>47</v>
      </c>
      <c r="Y6" s="368" t="s">
        <v>47</v>
      </c>
      <c r="Z6" s="368" t="s">
        <v>47</v>
      </c>
      <c r="AA6" s="368" t="s">
        <v>47</v>
      </c>
      <c r="AB6" s="370" t="s">
        <v>47</v>
      </c>
      <c r="AC6" s="368"/>
      <c r="AD6" s="366">
        <f t="shared" si="1"/>
        <v>39845</v>
      </c>
      <c r="AE6" s="373"/>
      <c r="AF6" s="374"/>
      <c r="AG6" s="374"/>
      <c r="AH6" s="374"/>
      <c r="AI6" s="374"/>
      <c r="AJ6" s="374"/>
      <c r="AK6" s="374"/>
      <c r="AL6" s="374"/>
      <c r="AM6" s="375"/>
      <c r="AN6" s="368"/>
      <c r="AO6" s="372"/>
      <c r="AP6" s="368"/>
      <c r="AQ6" s="368"/>
      <c r="AR6" s="368"/>
      <c r="AS6" s="370"/>
      <c r="AT6" s="368"/>
      <c r="AU6" s="372"/>
      <c r="AV6" s="368"/>
      <c r="AW6" s="368"/>
      <c r="AX6" s="368"/>
      <c r="AY6" s="370"/>
      <c r="AZ6" s="368"/>
      <c r="BA6" s="372"/>
      <c r="BB6" s="370"/>
      <c r="BC6" s="368"/>
      <c r="BE6" s="981" t="s">
        <v>150</v>
      </c>
      <c r="BF6" s="981" t="s">
        <v>1011</v>
      </c>
    </row>
    <row r="7" spans="1:58" ht="12.75" customHeight="1" outlineLevel="1" x14ac:dyDescent="0.2">
      <c r="A7" s="365" t="s">
        <v>1011</v>
      </c>
      <c r="B7" s="366">
        <v>39873</v>
      </c>
      <c r="C7" s="367">
        <f t="shared" si="0"/>
        <v>306862</v>
      </c>
      <c r="D7" s="368">
        <v>260929</v>
      </c>
      <c r="E7" s="370">
        <v>45933</v>
      </c>
      <c r="F7" s="368"/>
      <c r="G7" s="367" t="s">
        <v>47</v>
      </c>
      <c r="H7" s="369" t="s">
        <v>47</v>
      </c>
      <c r="I7" s="371" t="s">
        <v>47</v>
      </c>
      <c r="J7" s="368"/>
      <c r="K7" s="372" t="s">
        <v>47</v>
      </c>
      <c r="L7" s="370" t="s">
        <v>47</v>
      </c>
      <c r="M7" s="368"/>
      <c r="N7" s="372" t="s">
        <v>47</v>
      </c>
      <c r="O7" s="370" t="s">
        <v>47</v>
      </c>
      <c r="P7" s="368"/>
      <c r="Q7" s="372" t="s">
        <v>47</v>
      </c>
      <c r="R7" s="370" t="s">
        <v>47</v>
      </c>
      <c r="S7" s="368"/>
      <c r="T7" s="372" t="s">
        <v>47</v>
      </c>
      <c r="U7" s="368" t="s">
        <v>47</v>
      </c>
      <c r="V7" s="368" t="s">
        <v>47</v>
      </c>
      <c r="W7" s="368" t="s">
        <v>47</v>
      </c>
      <c r="X7" s="368" t="s">
        <v>47</v>
      </c>
      <c r="Y7" s="368" t="s">
        <v>47</v>
      </c>
      <c r="Z7" s="368" t="s">
        <v>47</v>
      </c>
      <c r="AA7" s="368" t="s">
        <v>47</v>
      </c>
      <c r="AB7" s="370" t="s">
        <v>47</v>
      </c>
      <c r="AC7" s="368"/>
      <c r="AD7" s="366">
        <f t="shared" si="1"/>
        <v>39873</v>
      </c>
      <c r="AE7" s="373"/>
      <c r="AF7" s="374"/>
      <c r="AG7" s="374"/>
      <c r="AH7" s="374"/>
      <c r="AI7" s="374"/>
      <c r="AJ7" s="374"/>
      <c r="AK7" s="374"/>
      <c r="AL7" s="374"/>
      <c r="AM7" s="375"/>
      <c r="AN7" s="368"/>
      <c r="AO7" s="372"/>
      <c r="AP7" s="368"/>
      <c r="AQ7" s="368"/>
      <c r="AR7" s="368"/>
      <c r="AS7" s="370"/>
      <c r="AT7" s="368"/>
      <c r="AU7" s="372"/>
      <c r="AV7" s="368"/>
      <c r="AW7" s="368"/>
      <c r="AX7" s="368"/>
      <c r="AY7" s="370"/>
      <c r="AZ7" s="368"/>
      <c r="BA7" s="372"/>
      <c r="BB7" s="370"/>
      <c r="BC7" s="368"/>
      <c r="BE7" s="981" t="s">
        <v>150</v>
      </c>
      <c r="BF7" s="981" t="s">
        <v>1011</v>
      </c>
    </row>
    <row r="8" spans="1:58" ht="12.75" customHeight="1" outlineLevel="1" x14ac:dyDescent="0.2">
      <c r="A8" s="365" t="s">
        <v>1012</v>
      </c>
      <c r="B8" s="366">
        <v>39904</v>
      </c>
      <c r="C8" s="367">
        <f t="shared" si="0"/>
        <v>269608</v>
      </c>
      <c r="D8" s="368">
        <v>224385</v>
      </c>
      <c r="E8" s="370">
        <v>45223</v>
      </c>
      <c r="F8" s="368"/>
      <c r="G8" s="367" t="s">
        <v>47</v>
      </c>
      <c r="H8" s="369" t="s">
        <v>47</v>
      </c>
      <c r="I8" s="371" t="s">
        <v>47</v>
      </c>
      <c r="J8" s="368"/>
      <c r="K8" s="372" t="s">
        <v>47</v>
      </c>
      <c r="L8" s="370" t="s">
        <v>47</v>
      </c>
      <c r="M8" s="368"/>
      <c r="N8" s="372" t="s">
        <v>47</v>
      </c>
      <c r="O8" s="370" t="s">
        <v>47</v>
      </c>
      <c r="P8" s="368"/>
      <c r="Q8" s="372" t="s">
        <v>47</v>
      </c>
      <c r="R8" s="370" t="s">
        <v>47</v>
      </c>
      <c r="S8" s="368"/>
      <c r="T8" s="372" t="s">
        <v>47</v>
      </c>
      <c r="U8" s="368" t="s">
        <v>47</v>
      </c>
      <c r="V8" s="368" t="s">
        <v>47</v>
      </c>
      <c r="W8" s="368" t="s">
        <v>47</v>
      </c>
      <c r="X8" s="368" t="s">
        <v>47</v>
      </c>
      <c r="Y8" s="368" t="s">
        <v>47</v>
      </c>
      <c r="Z8" s="368" t="s">
        <v>47</v>
      </c>
      <c r="AA8" s="368" t="s">
        <v>47</v>
      </c>
      <c r="AB8" s="370" t="s">
        <v>47</v>
      </c>
      <c r="AC8" s="368"/>
      <c r="AD8" s="366">
        <f t="shared" si="1"/>
        <v>39904</v>
      </c>
      <c r="AE8" s="373"/>
      <c r="AF8" s="374"/>
      <c r="AG8" s="374"/>
      <c r="AH8" s="374"/>
      <c r="AI8" s="374"/>
      <c r="AJ8" s="374"/>
      <c r="AK8" s="374"/>
      <c r="AL8" s="374"/>
      <c r="AM8" s="375"/>
      <c r="AN8" s="368"/>
      <c r="AO8" s="372"/>
      <c r="AP8" s="368"/>
      <c r="AQ8" s="368"/>
      <c r="AR8" s="368"/>
      <c r="AS8" s="370"/>
      <c r="AT8" s="368"/>
      <c r="AU8" s="372"/>
      <c r="AV8" s="368"/>
      <c r="AW8" s="368"/>
      <c r="AX8" s="368"/>
      <c r="AY8" s="370"/>
      <c r="AZ8" s="368"/>
      <c r="BA8" s="372"/>
      <c r="BB8" s="370"/>
      <c r="BC8" s="368"/>
      <c r="BE8" s="981" t="s">
        <v>151</v>
      </c>
      <c r="BF8" s="981" t="s">
        <v>1012</v>
      </c>
    </row>
    <row r="9" spans="1:58" ht="12.75" customHeight="1" outlineLevel="1" x14ac:dyDescent="0.2">
      <c r="A9" s="365" t="s">
        <v>1012</v>
      </c>
      <c r="B9" s="366">
        <v>39934</v>
      </c>
      <c r="C9" s="367">
        <f t="shared" si="0"/>
        <v>276850</v>
      </c>
      <c r="D9" s="368">
        <v>237394</v>
      </c>
      <c r="E9" s="370">
        <v>39456</v>
      </c>
      <c r="F9" s="368"/>
      <c r="G9" s="367" t="s">
        <v>47</v>
      </c>
      <c r="H9" s="369" t="s">
        <v>47</v>
      </c>
      <c r="I9" s="371" t="s">
        <v>47</v>
      </c>
      <c r="J9" s="368"/>
      <c r="K9" s="372" t="s">
        <v>47</v>
      </c>
      <c r="L9" s="370" t="s">
        <v>47</v>
      </c>
      <c r="M9" s="368"/>
      <c r="N9" s="372" t="s">
        <v>47</v>
      </c>
      <c r="O9" s="370" t="s">
        <v>47</v>
      </c>
      <c r="P9" s="368"/>
      <c r="Q9" s="372" t="s">
        <v>47</v>
      </c>
      <c r="R9" s="370" t="s">
        <v>47</v>
      </c>
      <c r="S9" s="368"/>
      <c r="T9" s="372" t="s">
        <v>47</v>
      </c>
      <c r="U9" s="368" t="s">
        <v>47</v>
      </c>
      <c r="V9" s="368" t="s">
        <v>47</v>
      </c>
      <c r="W9" s="368" t="s">
        <v>47</v>
      </c>
      <c r="X9" s="368" t="s">
        <v>47</v>
      </c>
      <c r="Y9" s="368" t="s">
        <v>47</v>
      </c>
      <c r="Z9" s="368" t="s">
        <v>47</v>
      </c>
      <c r="AA9" s="368" t="s">
        <v>47</v>
      </c>
      <c r="AB9" s="370" t="s">
        <v>47</v>
      </c>
      <c r="AC9" s="368"/>
      <c r="AD9" s="366">
        <f t="shared" si="1"/>
        <v>39934</v>
      </c>
      <c r="AE9" s="373"/>
      <c r="AF9" s="374"/>
      <c r="AG9" s="374"/>
      <c r="AH9" s="374"/>
      <c r="AI9" s="374"/>
      <c r="AJ9" s="374"/>
      <c r="AK9" s="374"/>
      <c r="AL9" s="374"/>
      <c r="AM9" s="375"/>
      <c r="AN9" s="368"/>
      <c r="AO9" s="372"/>
      <c r="AP9" s="368"/>
      <c r="AQ9" s="368"/>
      <c r="AR9" s="368"/>
      <c r="AS9" s="370"/>
      <c r="AT9" s="368"/>
      <c r="AU9" s="372"/>
      <c r="AV9" s="368"/>
      <c r="AW9" s="368"/>
      <c r="AX9" s="368"/>
      <c r="AY9" s="370"/>
      <c r="AZ9" s="368"/>
      <c r="BA9" s="372"/>
      <c r="BB9" s="370"/>
      <c r="BC9" s="368"/>
      <c r="BE9" s="981" t="s">
        <v>151</v>
      </c>
      <c r="BF9" s="981" t="s">
        <v>1012</v>
      </c>
    </row>
    <row r="10" spans="1:58" ht="12.75" customHeight="1" outlineLevel="1" x14ac:dyDescent="0.2">
      <c r="A10" s="365" t="s">
        <v>1012</v>
      </c>
      <c r="B10" s="366">
        <v>39965</v>
      </c>
      <c r="C10" s="367">
        <f t="shared" si="0"/>
        <v>341440</v>
      </c>
      <c r="D10" s="368">
        <v>289788</v>
      </c>
      <c r="E10" s="370">
        <v>51652</v>
      </c>
      <c r="F10" s="368"/>
      <c r="G10" s="367" t="s">
        <v>47</v>
      </c>
      <c r="H10" s="369" t="s">
        <v>47</v>
      </c>
      <c r="I10" s="371" t="s">
        <v>47</v>
      </c>
      <c r="J10" s="368"/>
      <c r="K10" s="372" t="s">
        <v>47</v>
      </c>
      <c r="L10" s="370" t="s">
        <v>47</v>
      </c>
      <c r="M10" s="368"/>
      <c r="N10" s="372" t="s">
        <v>47</v>
      </c>
      <c r="O10" s="370" t="s">
        <v>47</v>
      </c>
      <c r="P10" s="368"/>
      <c r="Q10" s="372" t="s">
        <v>47</v>
      </c>
      <c r="R10" s="370" t="s">
        <v>47</v>
      </c>
      <c r="S10" s="368"/>
      <c r="T10" s="372" t="s">
        <v>47</v>
      </c>
      <c r="U10" s="368" t="s">
        <v>47</v>
      </c>
      <c r="V10" s="368" t="s">
        <v>47</v>
      </c>
      <c r="W10" s="368" t="s">
        <v>47</v>
      </c>
      <c r="X10" s="368" t="s">
        <v>47</v>
      </c>
      <c r="Y10" s="368" t="s">
        <v>47</v>
      </c>
      <c r="Z10" s="368" t="s">
        <v>47</v>
      </c>
      <c r="AA10" s="368" t="s">
        <v>47</v>
      </c>
      <c r="AB10" s="370" t="s">
        <v>47</v>
      </c>
      <c r="AC10" s="368"/>
      <c r="AD10" s="366">
        <f t="shared" si="1"/>
        <v>39965</v>
      </c>
      <c r="AE10" s="373"/>
      <c r="AF10" s="374"/>
      <c r="AG10" s="374"/>
      <c r="AH10" s="374"/>
      <c r="AI10" s="374"/>
      <c r="AJ10" s="374"/>
      <c r="AK10" s="374"/>
      <c r="AL10" s="374"/>
      <c r="AM10" s="375"/>
      <c r="AN10" s="368"/>
      <c r="AO10" s="372"/>
      <c r="AP10" s="368"/>
      <c r="AQ10" s="368"/>
      <c r="AR10" s="368"/>
      <c r="AS10" s="370"/>
      <c r="AT10" s="368"/>
      <c r="AU10" s="372"/>
      <c r="AV10" s="368"/>
      <c r="AW10" s="368"/>
      <c r="AX10" s="368"/>
      <c r="AY10" s="370"/>
      <c r="AZ10" s="368"/>
      <c r="BA10" s="372"/>
      <c r="BB10" s="370"/>
      <c r="BC10" s="368"/>
      <c r="BE10" s="981" t="s">
        <v>151</v>
      </c>
      <c r="BF10" s="981" t="s">
        <v>1012</v>
      </c>
    </row>
    <row r="11" spans="1:58" ht="12.75" customHeight="1" outlineLevel="1" x14ac:dyDescent="0.2">
      <c r="A11" s="365" t="s">
        <v>1013</v>
      </c>
      <c r="B11" s="366">
        <v>39995</v>
      </c>
      <c r="C11" s="367">
        <f t="shared" si="0"/>
        <v>320236</v>
      </c>
      <c r="D11" s="368">
        <v>273597</v>
      </c>
      <c r="E11" s="370">
        <v>46639</v>
      </c>
      <c r="F11" s="368"/>
      <c r="G11" s="367" t="s">
        <v>47</v>
      </c>
      <c r="H11" s="369" t="s">
        <v>47</v>
      </c>
      <c r="I11" s="371" t="s">
        <v>47</v>
      </c>
      <c r="J11" s="368"/>
      <c r="K11" s="372" t="s">
        <v>47</v>
      </c>
      <c r="L11" s="370" t="s">
        <v>47</v>
      </c>
      <c r="M11" s="368"/>
      <c r="N11" s="372" t="s">
        <v>47</v>
      </c>
      <c r="O11" s="370" t="s">
        <v>47</v>
      </c>
      <c r="P11" s="368"/>
      <c r="Q11" s="372" t="s">
        <v>47</v>
      </c>
      <c r="R11" s="370" t="s">
        <v>47</v>
      </c>
      <c r="S11" s="368"/>
      <c r="T11" s="372" t="s">
        <v>47</v>
      </c>
      <c r="U11" s="368" t="s">
        <v>47</v>
      </c>
      <c r="V11" s="368" t="s">
        <v>47</v>
      </c>
      <c r="W11" s="368" t="s">
        <v>47</v>
      </c>
      <c r="X11" s="368" t="s">
        <v>47</v>
      </c>
      <c r="Y11" s="368" t="s">
        <v>47</v>
      </c>
      <c r="Z11" s="368" t="s">
        <v>47</v>
      </c>
      <c r="AA11" s="368" t="s">
        <v>47</v>
      </c>
      <c r="AB11" s="370" t="s">
        <v>47</v>
      </c>
      <c r="AC11" s="368"/>
      <c r="AD11" s="366">
        <f t="shared" si="1"/>
        <v>39995</v>
      </c>
      <c r="AE11" s="373"/>
      <c r="AF11" s="374"/>
      <c r="AG11" s="374"/>
      <c r="AH11" s="374"/>
      <c r="AI11" s="374"/>
      <c r="AJ11" s="374"/>
      <c r="AK11" s="374"/>
      <c r="AL11" s="374"/>
      <c r="AM11" s="375"/>
      <c r="AN11" s="368"/>
      <c r="AO11" s="372"/>
      <c r="AP11" s="368"/>
      <c r="AQ11" s="368"/>
      <c r="AR11" s="368"/>
      <c r="AS11" s="370"/>
      <c r="AT11" s="368"/>
      <c r="AU11" s="372"/>
      <c r="AV11" s="368"/>
      <c r="AW11" s="368"/>
      <c r="AX11" s="368"/>
      <c r="AY11" s="370"/>
      <c r="AZ11" s="368"/>
      <c r="BA11" s="372"/>
      <c r="BB11" s="370"/>
      <c r="BC11" s="368"/>
      <c r="BE11" s="981" t="s">
        <v>152</v>
      </c>
      <c r="BF11" s="981" t="s">
        <v>1013</v>
      </c>
    </row>
    <row r="12" spans="1:58" ht="12.75" customHeight="1" outlineLevel="1" x14ac:dyDescent="0.2">
      <c r="A12" s="365" t="s">
        <v>1013</v>
      </c>
      <c r="B12" s="366">
        <v>40026</v>
      </c>
      <c r="C12" s="367">
        <f t="shared" si="0"/>
        <v>295373</v>
      </c>
      <c r="D12" s="368">
        <v>247514</v>
      </c>
      <c r="E12" s="370">
        <v>47859</v>
      </c>
      <c r="F12" s="368"/>
      <c r="G12" s="367" t="s">
        <v>47</v>
      </c>
      <c r="H12" s="369" t="s">
        <v>47</v>
      </c>
      <c r="I12" s="371" t="s">
        <v>47</v>
      </c>
      <c r="J12" s="368"/>
      <c r="K12" s="372" t="s">
        <v>47</v>
      </c>
      <c r="L12" s="370" t="s">
        <v>47</v>
      </c>
      <c r="M12" s="368"/>
      <c r="N12" s="372" t="s">
        <v>47</v>
      </c>
      <c r="O12" s="370" t="s">
        <v>47</v>
      </c>
      <c r="P12" s="368"/>
      <c r="Q12" s="372" t="s">
        <v>47</v>
      </c>
      <c r="R12" s="370" t="s">
        <v>47</v>
      </c>
      <c r="S12" s="368"/>
      <c r="T12" s="372" t="s">
        <v>47</v>
      </c>
      <c r="U12" s="368" t="s">
        <v>47</v>
      </c>
      <c r="V12" s="368" t="s">
        <v>47</v>
      </c>
      <c r="W12" s="368" t="s">
        <v>47</v>
      </c>
      <c r="X12" s="368" t="s">
        <v>47</v>
      </c>
      <c r="Y12" s="368" t="s">
        <v>47</v>
      </c>
      <c r="Z12" s="368" t="s">
        <v>47</v>
      </c>
      <c r="AA12" s="368" t="s">
        <v>47</v>
      </c>
      <c r="AB12" s="370" t="s">
        <v>47</v>
      </c>
      <c r="AC12" s="368"/>
      <c r="AD12" s="366">
        <f t="shared" si="1"/>
        <v>40026</v>
      </c>
      <c r="AE12" s="373"/>
      <c r="AF12" s="374"/>
      <c r="AG12" s="374"/>
      <c r="AH12" s="374"/>
      <c r="AI12" s="374"/>
      <c r="AJ12" s="374"/>
      <c r="AK12" s="374"/>
      <c r="AL12" s="374"/>
      <c r="AM12" s="375"/>
      <c r="AN12" s="368"/>
      <c r="AO12" s="372"/>
      <c r="AP12" s="368"/>
      <c r="AQ12" s="368"/>
      <c r="AR12" s="368"/>
      <c r="AS12" s="370"/>
      <c r="AT12" s="368"/>
      <c r="AU12" s="372"/>
      <c r="AV12" s="368"/>
      <c r="AW12" s="368"/>
      <c r="AX12" s="368"/>
      <c r="AY12" s="370"/>
      <c r="AZ12" s="368"/>
      <c r="BA12" s="372"/>
      <c r="BB12" s="370"/>
      <c r="BC12" s="368"/>
      <c r="BE12" s="981" t="s">
        <v>152</v>
      </c>
      <c r="BF12" s="981" t="s">
        <v>1013</v>
      </c>
    </row>
    <row r="13" spans="1:58" ht="12.75" customHeight="1" outlineLevel="1" x14ac:dyDescent="0.2">
      <c r="A13" s="365" t="s">
        <v>1013</v>
      </c>
      <c r="B13" s="366">
        <v>40057</v>
      </c>
      <c r="C13" s="367">
        <f t="shared" si="0"/>
        <v>340295</v>
      </c>
      <c r="D13" s="368">
        <v>296661</v>
      </c>
      <c r="E13" s="370">
        <v>43634</v>
      </c>
      <c r="F13" s="368"/>
      <c r="G13" s="367" t="s">
        <v>47</v>
      </c>
      <c r="H13" s="369" t="s">
        <v>47</v>
      </c>
      <c r="I13" s="371" t="s">
        <v>47</v>
      </c>
      <c r="J13" s="368"/>
      <c r="K13" s="372" t="s">
        <v>47</v>
      </c>
      <c r="L13" s="370" t="s">
        <v>47</v>
      </c>
      <c r="M13" s="368"/>
      <c r="N13" s="372" t="s">
        <v>47</v>
      </c>
      <c r="O13" s="370" t="s">
        <v>47</v>
      </c>
      <c r="P13" s="368"/>
      <c r="Q13" s="372" t="s">
        <v>47</v>
      </c>
      <c r="R13" s="370" t="s">
        <v>47</v>
      </c>
      <c r="S13" s="368"/>
      <c r="T13" s="372" t="s">
        <v>47</v>
      </c>
      <c r="U13" s="368" t="s">
        <v>47</v>
      </c>
      <c r="V13" s="368" t="s">
        <v>47</v>
      </c>
      <c r="W13" s="368" t="s">
        <v>47</v>
      </c>
      <c r="X13" s="368" t="s">
        <v>47</v>
      </c>
      <c r="Y13" s="368" t="s">
        <v>47</v>
      </c>
      <c r="Z13" s="368" t="s">
        <v>47</v>
      </c>
      <c r="AA13" s="368" t="s">
        <v>47</v>
      </c>
      <c r="AB13" s="370" t="s">
        <v>47</v>
      </c>
      <c r="AC13" s="368"/>
      <c r="AD13" s="366">
        <f t="shared" si="1"/>
        <v>40057</v>
      </c>
      <c r="AE13" s="373"/>
      <c r="AF13" s="374"/>
      <c r="AG13" s="374"/>
      <c r="AH13" s="374"/>
      <c r="AI13" s="374"/>
      <c r="AJ13" s="374"/>
      <c r="AK13" s="374"/>
      <c r="AL13" s="374"/>
      <c r="AM13" s="375"/>
      <c r="AN13" s="368"/>
      <c r="AO13" s="372"/>
      <c r="AP13" s="368"/>
      <c r="AQ13" s="368"/>
      <c r="AR13" s="368"/>
      <c r="AS13" s="370"/>
      <c r="AT13" s="368"/>
      <c r="AU13" s="372"/>
      <c r="AV13" s="368"/>
      <c r="AW13" s="368"/>
      <c r="AX13" s="368"/>
      <c r="AY13" s="370"/>
      <c r="AZ13" s="368"/>
      <c r="BA13" s="372"/>
      <c r="BB13" s="370"/>
      <c r="BC13" s="368"/>
      <c r="BE13" s="981" t="s">
        <v>152</v>
      </c>
      <c r="BF13" s="981" t="s">
        <v>1013</v>
      </c>
    </row>
    <row r="14" spans="1:58" ht="12.75" customHeight="1" outlineLevel="1" x14ac:dyDescent="0.2">
      <c r="A14" s="365" t="s">
        <v>1014</v>
      </c>
      <c r="B14" s="366">
        <v>40087</v>
      </c>
      <c r="C14" s="367">
        <f t="shared" si="0"/>
        <v>327884</v>
      </c>
      <c r="D14" s="368">
        <v>281279</v>
      </c>
      <c r="E14" s="370">
        <v>46605</v>
      </c>
      <c r="F14" s="368"/>
      <c r="G14" s="367" t="s">
        <v>47</v>
      </c>
      <c r="H14" s="369" t="s">
        <v>47</v>
      </c>
      <c r="I14" s="371" t="s">
        <v>47</v>
      </c>
      <c r="J14" s="368"/>
      <c r="K14" s="372" t="s">
        <v>47</v>
      </c>
      <c r="L14" s="370" t="s">
        <v>47</v>
      </c>
      <c r="M14" s="368"/>
      <c r="N14" s="372" t="s">
        <v>47</v>
      </c>
      <c r="O14" s="370" t="s">
        <v>47</v>
      </c>
      <c r="P14" s="368"/>
      <c r="Q14" s="372" t="s">
        <v>47</v>
      </c>
      <c r="R14" s="370" t="s">
        <v>47</v>
      </c>
      <c r="S14" s="368"/>
      <c r="T14" s="372" t="s">
        <v>47</v>
      </c>
      <c r="U14" s="368" t="s">
        <v>47</v>
      </c>
      <c r="V14" s="368" t="s">
        <v>47</v>
      </c>
      <c r="W14" s="368" t="s">
        <v>47</v>
      </c>
      <c r="X14" s="368" t="s">
        <v>47</v>
      </c>
      <c r="Y14" s="368" t="s">
        <v>47</v>
      </c>
      <c r="Z14" s="368" t="s">
        <v>47</v>
      </c>
      <c r="AA14" s="368" t="s">
        <v>47</v>
      </c>
      <c r="AB14" s="370" t="s">
        <v>47</v>
      </c>
      <c r="AC14" s="368"/>
      <c r="AD14" s="366">
        <f t="shared" si="1"/>
        <v>40087</v>
      </c>
      <c r="AE14" s="373"/>
      <c r="AF14" s="374"/>
      <c r="AG14" s="374"/>
      <c r="AH14" s="374"/>
      <c r="AI14" s="374"/>
      <c r="AJ14" s="374"/>
      <c r="AK14" s="374"/>
      <c r="AL14" s="374"/>
      <c r="AM14" s="375"/>
      <c r="AN14" s="368"/>
      <c r="AO14" s="372"/>
      <c r="AP14" s="368"/>
      <c r="AQ14" s="368"/>
      <c r="AR14" s="368"/>
      <c r="AS14" s="370"/>
      <c r="AT14" s="368"/>
      <c r="AU14" s="372"/>
      <c r="AV14" s="368"/>
      <c r="AW14" s="368"/>
      <c r="AX14" s="368"/>
      <c r="AY14" s="370"/>
      <c r="AZ14" s="368"/>
      <c r="BA14" s="372"/>
      <c r="BB14" s="370"/>
      <c r="BC14" s="368"/>
      <c r="BE14" s="981" t="s">
        <v>153</v>
      </c>
      <c r="BF14" s="981" t="s">
        <v>1014</v>
      </c>
    </row>
    <row r="15" spans="1:58" ht="12.75" customHeight="1" outlineLevel="1" x14ac:dyDescent="0.2">
      <c r="A15" s="365" t="s">
        <v>1014</v>
      </c>
      <c r="B15" s="366">
        <v>40118</v>
      </c>
      <c r="C15" s="367">
        <f t="shared" si="0"/>
        <v>275505</v>
      </c>
      <c r="D15" s="368">
        <v>238424</v>
      </c>
      <c r="E15" s="370">
        <v>37081</v>
      </c>
      <c r="F15" s="368"/>
      <c r="G15" s="367" t="s">
        <v>47</v>
      </c>
      <c r="H15" s="369" t="s">
        <v>47</v>
      </c>
      <c r="I15" s="371" t="s">
        <v>47</v>
      </c>
      <c r="J15" s="368"/>
      <c r="K15" s="372" t="s">
        <v>47</v>
      </c>
      <c r="L15" s="370" t="s">
        <v>47</v>
      </c>
      <c r="M15" s="368"/>
      <c r="N15" s="372" t="s">
        <v>47</v>
      </c>
      <c r="O15" s="370" t="s">
        <v>47</v>
      </c>
      <c r="P15" s="368"/>
      <c r="Q15" s="372" t="s">
        <v>47</v>
      </c>
      <c r="R15" s="370" t="s">
        <v>47</v>
      </c>
      <c r="S15" s="368"/>
      <c r="T15" s="372" t="s">
        <v>47</v>
      </c>
      <c r="U15" s="368" t="s">
        <v>47</v>
      </c>
      <c r="V15" s="368" t="s">
        <v>47</v>
      </c>
      <c r="W15" s="368" t="s">
        <v>47</v>
      </c>
      <c r="X15" s="368" t="s">
        <v>47</v>
      </c>
      <c r="Y15" s="368" t="s">
        <v>47</v>
      </c>
      <c r="Z15" s="368" t="s">
        <v>47</v>
      </c>
      <c r="AA15" s="368" t="s">
        <v>47</v>
      </c>
      <c r="AB15" s="370" t="s">
        <v>47</v>
      </c>
      <c r="AC15" s="368"/>
      <c r="AD15" s="366">
        <f t="shared" si="1"/>
        <v>40118</v>
      </c>
      <c r="AE15" s="373"/>
      <c r="AF15" s="374"/>
      <c r="AG15" s="374"/>
      <c r="AH15" s="374"/>
      <c r="AI15" s="374"/>
      <c r="AJ15" s="374"/>
      <c r="AK15" s="374"/>
      <c r="AL15" s="374"/>
      <c r="AM15" s="375"/>
      <c r="AN15" s="368"/>
      <c r="AO15" s="372"/>
      <c r="AP15" s="368"/>
      <c r="AQ15" s="368"/>
      <c r="AR15" s="368"/>
      <c r="AS15" s="370"/>
      <c r="AT15" s="368"/>
      <c r="AU15" s="372"/>
      <c r="AV15" s="368"/>
      <c r="AW15" s="368"/>
      <c r="AX15" s="368"/>
      <c r="AY15" s="370"/>
      <c r="AZ15" s="368"/>
      <c r="BA15" s="372"/>
      <c r="BB15" s="370"/>
      <c r="BC15" s="368"/>
      <c r="BE15" s="981" t="s">
        <v>153</v>
      </c>
      <c r="BF15" s="981" t="s">
        <v>1014</v>
      </c>
    </row>
    <row r="16" spans="1:58" ht="12.75" customHeight="1" outlineLevel="1" x14ac:dyDescent="0.2">
      <c r="A16" s="365" t="s">
        <v>1014</v>
      </c>
      <c r="B16" s="366">
        <v>40148</v>
      </c>
      <c r="C16" s="367">
        <f t="shared" si="0"/>
        <v>313765</v>
      </c>
      <c r="D16" s="368">
        <v>277822</v>
      </c>
      <c r="E16" s="370">
        <v>35943</v>
      </c>
      <c r="F16" s="368"/>
      <c r="G16" s="367" t="s">
        <v>47</v>
      </c>
      <c r="H16" s="369" t="s">
        <v>47</v>
      </c>
      <c r="I16" s="371" t="s">
        <v>47</v>
      </c>
      <c r="J16" s="368"/>
      <c r="K16" s="372" t="s">
        <v>47</v>
      </c>
      <c r="L16" s="370" t="s">
        <v>47</v>
      </c>
      <c r="M16" s="368"/>
      <c r="N16" s="372" t="s">
        <v>47</v>
      </c>
      <c r="O16" s="370" t="s">
        <v>47</v>
      </c>
      <c r="P16" s="368"/>
      <c r="Q16" s="372" t="s">
        <v>47</v>
      </c>
      <c r="R16" s="370" t="s">
        <v>47</v>
      </c>
      <c r="S16" s="368"/>
      <c r="T16" s="372" t="s">
        <v>47</v>
      </c>
      <c r="U16" s="368" t="s">
        <v>47</v>
      </c>
      <c r="V16" s="368" t="s">
        <v>47</v>
      </c>
      <c r="W16" s="368" t="s">
        <v>47</v>
      </c>
      <c r="X16" s="368" t="s">
        <v>47</v>
      </c>
      <c r="Y16" s="368" t="s">
        <v>47</v>
      </c>
      <c r="Z16" s="368" t="s">
        <v>47</v>
      </c>
      <c r="AA16" s="368" t="s">
        <v>47</v>
      </c>
      <c r="AB16" s="370" t="s">
        <v>47</v>
      </c>
      <c r="AC16" s="368"/>
      <c r="AD16" s="366">
        <f t="shared" si="1"/>
        <v>40148</v>
      </c>
      <c r="AE16" s="373"/>
      <c r="AF16" s="374"/>
      <c r="AG16" s="374"/>
      <c r="AH16" s="374"/>
      <c r="AI16" s="374"/>
      <c r="AJ16" s="374"/>
      <c r="AK16" s="374"/>
      <c r="AL16" s="374"/>
      <c r="AM16" s="375"/>
      <c r="AN16" s="368"/>
      <c r="AO16" s="372"/>
      <c r="AP16" s="368"/>
      <c r="AQ16" s="368"/>
      <c r="AR16" s="368"/>
      <c r="AS16" s="370"/>
      <c r="AT16" s="368"/>
      <c r="AU16" s="372"/>
      <c r="AV16" s="368"/>
      <c r="AW16" s="368"/>
      <c r="AX16" s="368"/>
      <c r="AY16" s="370"/>
      <c r="AZ16" s="368"/>
      <c r="BA16" s="372"/>
      <c r="BB16" s="370"/>
      <c r="BC16" s="368"/>
      <c r="BE16" s="981" t="s">
        <v>153</v>
      </c>
      <c r="BF16" s="981" t="s">
        <v>1014</v>
      </c>
    </row>
    <row r="17" spans="1:58" ht="12.75" customHeight="1" outlineLevel="1" x14ac:dyDescent="0.2">
      <c r="A17" s="365" t="s">
        <v>1015</v>
      </c>
      <c r="B17" s="366">
        <v>40179</v>
      </c>
      <c r="C17" s="367">
        <f t="shared" si="0"/>
        <v>218346</v>
      </c>
      <c r="D17" s="368">
        <v>201709</v>
      </c>
      <c r="E17" s="370">
        <v>16637</v>
      </c>
      <c r="F17" s="368"/>
      <c r="G17" s="367" t="s">
        <v>47</v>
      </c>
      <c r="H17" s="369" t="s">
        <v>47</v>
      </c>
      <c r="I17" s="371" t="s">
        <v>47</v>
      </c>
      <c r="J17" s="368"/>
      <c r="K17" s="372">
        <v>218952</v>
      </c>
      <c r="L17" s="370"/>
      <c r="M17" s="368"/>
      <c r="N17" s="372" t="s">
        <v>47</v>
      </c>
      <c r="O17" s="370" t="s">
        <v>47</v>
      </c>
      <c r="P17" s="368"/>
      <c r="Q17" s="372" t="s">
        <v>47</v>
      </c>
      <c r="R17" s="370" t="s">
        <v>47</v>
      </c>
      <c r="S17" s="368"/>
      <c r="T17" s="372" t="s">
        <v>47</v>
      </c>
      <c r="U17" s="368" t="s">
        <v>47</v>
      </c>
      <c r="V17" s="368" t="s">
        <v>47</v>
      </c>
      <c r="W17" s="368" t="s">
        <v>47</v>
      </c>
      <c r="X17" s="368" t="s">
        <v>47</v>
      </c>
      <c r="Y17" s="368" t="s">
        <v>47</v>
      </c>
      <c r="Z17" s="368" t="s">
        <v>47</v>
      </c>
      <c r="AA17" s="368" t="s">
        <v>47</v>
      </c>
      <c r="AB17" s="370" t="s">
        <v>47</v>
      </c>
      <c r="AC17" s="368"/>
      <c r="AD17" s="366">
        <f t="shared" si="1"/>
        <v>40179</v>
      </c>
      <c r="AE17" s="373"/>
      <c r="AF17" s="374"/>
      <c r="AG17" s="374"/>
      <c r="AH17" s="374"/>
      <c r="AI17" s="374"/>
      <c r="AJ17" s="374"/>
      <c r="AK17" s="374"/>
      <c r="AL17" s="374"/>
      <c r="AM17" s="375"/>
      <c r="AN17" s="368"/>
      <c r="AO17" s="372"/>
      <c r="AP17" s="368"/>
      <c r="AQ17" s="368"/>
      <c r="AR17" s="368"/>
      <c r="AS17" s="370"/>
      <c r="AT17" s="368"/>
      <c r="AU17" s="372"/>
      <c r="AV17" s="368"/>
      <c r="AW17" s="368"/>
      <c r="AX17" s="368"/>
      <c r="AY17" s="370"/>
      <c r="AZ17" s="368"/>
      <c r="BA17" s="372"/>
      <c r="BB17" s="370"/>
      <c r="BC17" s="368"/>
      <c r="BE17" s="981" t="s">
        <v>154</v>
      </c>
      <c r="BF17" s="981" t="s">
        <v>1015</v>
      </c>
    </row>
    <row r="18" spans="1:58" ht="12.75" customHeight="1" outlineLevel="1" x14ac:dyDescent="0.2">
      <c r="A18" s="365" t="s">
        <v>1015</v>
      </c>
      <c r="B18" s="366">
        <v>40210</v>
      </c>
      <c r="C18" s="367">
        <f t="shared" si="0"/>
        <v>232812</v>
      </c>
      <c r="D18" s="368">
        <v>211358</v>
      </c>
      <c r="E18" s="370">
        <v>21454</v>
      </c>
      <c r="F18" s="368"/>
      <c r="G18" s="367" t="s">
        <v>47</v>
      </c>
      <c r="H18" s="369" t="s">
        <v>47</v>
      </c>
      <c r="I18" s="371" t="s">
        <v>47</v>
      </c>
      <c r="J18" s="368"/>
      <c r="K18" s="372">
        <v>220416</v>
      </c>
      <c r="L18" s="370"/>
      <c r="M18" s="368"/>
      <c r="N18" s="372" t="s">
        <v>47</v>
      </c>
      <c r="O18" s="370" t="s">
        <v>47</v>
      </c>
      <c r="P18" s="368"/>
      <c r="Q18" s="372" t="s">
        <v>47</v>
      </c>
      <c r="R18" s="370" t="s">
        <v>47</v>
      </c>
      <c r="S18" s="368"/>
      <c r="T18" s="372" t="s">
        <v>47</v>
      </c>
      <c r="U18" s="368" t="s">
        <v>47</v>
      </c>
      <c r="V18" s="368" t="s">
        <v>47</v>
      </c>
      <c r="W18" s="368" t="s">
        <v>47</v>
      </c>
      <c r="X18" s="368" t="s">
        <v>47</v>
      </c>
      <c r="Y18" s="368" t="s">
        <v>47</v>
      </c>
      <c r="Z18" s="368" t="s">
        <v>47</v>
      </c>
      <c r="AA18" s="368" t="s">
        <v>47</v>
      </c>
      <c r="AB18" s="370" t="s">
        <v>47</v>
      </c>
      <c r="AC18" s="368"/>
      <c r="AD18" s="366">
        <f t="shared" si="1"/>
        <v>40210</v>
      </c>
      <c r="AE18" s="373"/>
      <c r="AF18" s="374"/>
      <c r="AG18" s="374"/>
      <c r="AH18" s="374"/>
      <c r="AI18" s="374"/>
      <c r="AJ18" s="374"/>
      <c r="AK18" s="374"/>
      <c r="AL18" s="374"/>
      <c r="AM18" s="375"/>
      <c r="AN18" s="368"/>
      <c r="AO18" s="372"/>
      <c r="AP18" s="368"/>
      <c r="AQ18" s="368"/>
      <c r="AR18" s="368"/>
      <c r="AS18" s="370"/>
      <c r="AT18" s="368"/>
      <c r="AU18" s="372"/>
      <c r="AV18" s="368"/>
      <c r="AW18" s="368"/>
      <c r="AX18" s="368"/>
      <c r="AY18" s="370"/>
      <c r="AZ18" s="368"/>
      <c r="BA18" s="372"/>
      <c r="BB18" s="370"/>
      <c r="BC18" s="368"/>
      <c r="BE18" s="981" t="s">
        <v>154</v>
      </c>
      <c r="BF18" s="981" t="s">
        <v>1015</v>
      </c>
    </row>
    <row r="19" spans="1:58" ht="12.75" customHeight="1" outlineLevel="1" x14ac:dyDescent="0.2">
      <c r="A19" s="365" t="s">
        <v>1015</v>
      </c>
      <c r="B19" s="366">
        <v>40238</v>
      </c>
      <c r="C19" s="367">
        <f t="shared" si="0"/>
        <v>362171</v>
      </c>
      <c r="D19" s="368">
        <v>337352</v>
      </c>
      <c r="E19" s="370">
        <v>24819</v>
      </c>
      <c r="F19" s="368"/>
      <c r="G19" s="367" t="s">
        <v>47</v>
      </c>
      <c r="H19" s="369" t="s">
        <v>47</v>
      </c>
      <c r="I19" s="371" t="s">
        <v>47</v>
      </c>
      <c r="J19" s="368"/>
      <c r="K19" s="372">
        <v>297384</v>
      </c>
      <c r="L19" s="370"/>
      <c r="M19" s="368"/>
      <c r="N19" s="372" t="s">
        <v>47</v>
      </c>
      <c r="O19" s="370" t="s">
        <v>47</v>
      </c>
      <c r="P19" s="368"/>
      <c r="Q19" s="372" t="s">
        <v>47</v>
      </c>
      <c r="R19" s="370" t="s">
        <v>47</v>
      </c>
      <c r="S19" s="368"/>
      <c r="T19" s="372" t="s">
        <v>47</v>
      </c>
      <c r="U19" s="368" t="s">
        <v>47</v>
      </c>
      <c r="V19" s="368" t="s">
        <v>47</v>
      </c>
      <c r="W19" s="368" t="s">
        <v>47</v>
      </c>
      <c r="X19" s="368" t="s">
        <v>47</v>
      </c>
      <c r="Y19" s="368" t="s">
        <v>47</v>
      </c>
      <c r="Z19" s="368" t="s">
        <v>47</v>
      </c>
      <c r="AA19" s="368" t="s">
        <v>47</v>
      </c>
      <c r="AB19" s="370" t="s">
        <v>47</v>
      </c>
      <c r="AC19" s="368"/>
      <c r="AD19" s="366">
        <f t="shared" si="1"/>
        <v>40238</v>
      </c>
      <c r="AE19" s="373"/>
      <c r="AF19" s="374"/>
      <c r="AG19" s="374"/>
      <c r="AH19" s="374"/>
      <c r="AI19" s="374"/>
      <c r="AJ19" s="374"/>
      <c r="AK19" s="374"/>
      <c r="AL19" s="374"/>
      <c r="AM19" s="375"/>
      <c r="AN19" s="368"/>
      <c r="AO19" s="372"/>
      <c r="AP19" s="368"/>
      <c r="AQ19" s="368"/>
      <c r="AR19" s="368"/>
      <c r="AS19" s="370"/>
      <c r="AT19" s="368"/>
      <c r="AU19" s="372"/>
      <c r="AV19" s="368"/>
      <c r="AW19" s="368"/>
      <c r="AX19" s="368"/>
      <c r="AY19" s="370"/>
      <c r="AZ19" s="368"/>
      <c r="BA19" s="372"/>
      <c r="BB19" s="370"/>
      <c r="BC19" s="368"/>
      <c r="BE19" s="981" t="s">
        <v>154</v>
      </c>
      <c r="BF19" s="981" t="s">
        <v>1015</v>
      </c>
    </row>
    <row r="20" spans="1:58" ht="12.75" customHeight="1" outlineLevel="1" x14ac:dyDescent="0.2">
      <c r="A20" s="365" t="s">
        <v>1016</v>
      </c>
      <c r="B20" s="366">
        <v>40269</v>
      </c>
      <c r="C20" s="367">
        <f t="shared" si="0"/>
        <v>286518</v>
      </c>
      <c r="D20" s="368">
        <v>261877</v>
      </c>
      <c r="E20" s="370">
        <v>24641</v>
      </c>
      <c r="F20" s="368"/>
      <c r="G20" s="367" t="s">
        <v>47</v>
      </c>
      <c r="H20" s="369" t="s">
        <v>47</v>
      </c>
      <c r="I20" s="371" t="s">
        <v>47</v>
      </c>
      <c r="J20" s="368"/>
      <c r="K20" s="372">
        <v>255727</v>
      </c>
      <c r="L20" s="370"/>
      <c r="M20" s="368"/>
      <c r="N20" s="372" t="s">
        <v>47</v>
      </c>
      <c r="O20" s="370" t="s">
        <v>47</v>
      </c>
      <c r="P20" s="368"/>
      <c r="Q20" s="372" t="s">
        <v>47</v>
      </c>
      <c r="R20" s="370" t="s">
        <v>47</v>
      </c>
      <c r="S20" s="368"/>
      <c r="T20" s="372" t="s">
        <v>47</v>
      </c>
      <c r="U20" s="368" t="s">
        <v>47</v>
      </c>
      <c r="V20" s="368" t="s">
        <v>47</v>
      </c>
      <c r="W20" s="368" t="s">
        <v>47</v>
      </c>
      <c r="X20" s="368" t="s">
        <v>47</v>
      </c>
      <c r="Y20" s="368" t="s">
        <v>47</v>
      </c>
      <c r="Z20" s="368" t="s">
        <v>47</v>
      </c>
      <c r="AA20" s="368" t="s">
        <v>47</v>
      </c>
      <c r="AB20" s="370" t="s">
        <v>47</v>
      </c>
      <c r="AC20" s="368"/>
      <c r="AD20" s="366">
        <f t="shared" si="1"/>
        <v>40269</v>
      </c>
      <c r="AE20" s="373"/>
      <c r="AF20" s="374"/>
      <c r="AG20" s="374"/>
      <c r="AH20" s="374"/>
      <c r="AI20" s="374"/>
      <c r="AJ20" s="374"/>
      <c r="AK20" s="374"/>
      <c r="AL20" s="374"/>
      <c r="AM20" s="375"/>
      <c r="AN20" s="368"/>
      <c r="AO20" s="372"/>
      <c r="AP20" s="368"/>
      <c r="AQ20" s="368"/>
      <c r="AR20" s="368"/>
      <c r="AS20" s="370"/>
      <c r="AT20" s="368"/>
      <c r="AU20" s="372"/>
      <c r="AV20" s="368"/>
      <c r="AW20" s="368"/>
      <c r="AX20" s="368"/>
      <c r="AY20" s="370"/>
      <c r="AZ20" s="368"/>
      <c r="BA20" s="372"/>
      <c r="BB20" s="370"/>
      <c r="BC20" s="368"/>
      <c r="BE20" s="981" t="s">
        <v>155</v>
      </c>
      <c r="BF20" s="981" t="s">
        <v>1016</v>
      </c>
    </row>
    <row r="21" spans="1:58" ht="12.75" customHeight="1" outlineLevel="1" x14ac:dyDescent="0.2">
      <c r="A21" s="365" t="s">
        <v>1016</v>
      </c>
      <c r="B21" s="366">
        <v>40299</v>
      </c>
      <c r="C21" s="367">
        <f t="shared" si="0"/>
        <v>267235</v>
      </c>
      <c r="D21" s="368">
        <v>235743</v>
      </c>
      <c r="E21" s="370">
        <v>31492</v>
      </c>
      <c r="F21" s="368"/>
      <c r="G21" s="367" t="s">
        <v>47</v>
      </c>
      <c r="H21" s="369" t="s">
        <v>47</v>
      </c>
      <c r="I21" s="371" t="s">
        <v>47</v>
      </c>
      <c r="J21" s="368"/>
      <c r="K21" s="372">
        <v>277885</v>
      </c>
      <c r="L21" s="370"/>
      <c r="M21" s="368"/>
      <c r="N21" s="372" t="s">
        <v>47</v>
      </c>
      <c r="O21" s="370" t="s">
        <v>47</v>
      </c>
      <c r="P21" s="368"/>
      <c r="Q21" s="372" t="s">
        <v>47</v>
      </c>
      <c r="R21" s="370" t="s">
        <v>47</v>
      </c>
      <c r="S21" s="368"/>
      <c r="T21" s="372" t="s">
        <v>47</v>
      </c>
      <c r="U21" s="368" t="s">
        <v>47</v>
      </c>
      <c r="V21" s="368" t="s">
        <v>47</v>
      </c>
      <c r="W21" s="368" t="s">
        <v>47</v>
      </c>
      <c r="X21" s="368" t="s">
        <v>47</v>
      </c>
      <c r="Y21" s="368" t="s">
        <v>47</v>
      </c>
      <c r="Z21" s="368" t="s">
        <v>47</v>
      </c>
      <c r="AA21" s="368" t="s">
        <v>47</v>
      </c>
      <c r="AB21" s="370" t="s">
        <v>47</v>
      </c>
      <c r="AC21" s="368"/>
      <c r="AD21" s="366">
        <f t="shared" si="1"/>
        <v>40299</v>
      </c>
      <c r="AE21" s="373"/>
      <c r="AF21" s="374"/>
      <c r="AG21" s="374"/>
      <c r="AH21" s="374"/>
      <c r="AI21" s="374"/>
      <c r="AJ21" s="374"/>
      <c r="AK21" s="374"/>
      <c r="AL21" s="374"/>
      <c r="AM21" s="375"/>
      <c r="AN21" s="368"/>
      <c r="AO21" s="372"/>
      <c r="AP21" s="368"/>
      <c r="AQ21" s="368"/>
      <c r="AR21" s="368"/>
      <c r="AS21" s="370"/>
      <c r="AT21" s="368"/>
      <c r="AU21" s="372"/>
      <c r="AV21" s="368"/>
      <c r="AW21" s="368"/>
      <c r="AX21" s="368"/>
      <c r="AY21" s="370"/>
      <c r="AZ21" s="368"/>
      <c r="BA21" s="372"/>
      <c r="BB21" s="370"/>
      <c r="BC21" s="368"/>
      <c r="BE21" s="981" t="s">
        <v>155</v>
      </c>
      <c r="BF21" s="981" t="s">
        <v>1016</v>
      </c>
    </row>
    <row r="22" spans="1:58" ht="12.75" customHeight="1" outlineLevel="1" x14ac:dyDescent="0.2">
      <c r="A22" s="365" t="s">
        <v>1016</v>
      </c>
      <c r="B22" s="366">
        <v>40330</v>
      </c>
      <c r="C22" s="367">
        <f t="shared" si="0"/>
        <v>277620</v>
      </c>
      <c r="D22" s="368">
        <v>247489</v>
      </c>
      <c r="E22" s="370">
        <v>30131</v>
      </c>
      <c r="F22" s="368"/>
      <c r="G22" s="367" t="s">
        <v>47</v>
      </c>
      <c r="H22" s="369" t="s">
        <v>47</v>
      </c>
      <c r="I22" s="371" t="s">
        <v>47</v>
      </c>
      <c r="J22" s="368"/>
      <c r="K22" s="372">
        <v>264028</v>
      </c>
      <c r="L22" s="370"/>
      <c r="M22" s="368"/>
      <c r="N22" s="372" t="s">
        <v>47</v>
      </c>
      <c r="O22" s="370" t="s">
        <v>47</v>
      </c>
      <c r="P22" s="368"/>
      <c r="Q22" s="372" t="s">
        <v>47</v>
      </c>
      <c r="R22" s="370" t="s">
        <v>47</v>
      </c>
      <c r="S22" s="368"/>
      <c r="T22" s="372" t="s">
        <v>47</v>
      </c>
      <c r="U22" s="368" t="s">
        <v>47</v>
      </c>
      <c r="V22" s="368" t="s">
        <v>47</v>
      </c>
      <c r="W22" s="368" t="s">
        <v>47</v>
      </c>
      <c r="X22" s="368" t="s">
        <v>47</v>
      </c>
      <c r="Y22" s="368" t="s">
        <v>47</v>
      </c>
      <c r="Z22" s="368" t="s">
        <v>47</v>
      </c>
      <c r="AA22" s="368" t="s">
        <v>47</v>
      </c>
      <c r="AB22" s="370" t="s">
        <v>47</v>
      </c>
      <c r="AC22" s="368"/>
      <c r="AD22" s="366">
        <f t="shared" si="1"/>
        <v>40330</v>
      </c>
      <c r="AE22" s="373"/>
      <c r="AF22" s="374"/>
      <c r="AG22" s="374"/>
      <c r="AH22" s="374"/>
      <c r="AI22" s="374"/>
      <c r="AJ22" s="374"/>
      <c r="AK22" s="374"/>
      <c r="AL22" s="374"/>
      <c r="AM22" s="375"/>
      <c r="AN22" s="368"/>
      <c r="AO22" s="372"/>
      <c r="AP22" s="368"/>
      <c r="AQ22" s="368"/>
      <c r="AR22" s="368"/>
      <c r="AS22" s="370"/>
      <c r="AT22" s="368"/>
      <c r="AU22" s="372"/>
      <c r="AV22" s="368"/>
      <c r="AW22" s="368"/>
      <c r="AX22" s="368"/>
      <c r="AY22" s="370"/>
      <c r="AZ22" s="368"/>
      <c r="BA22" s="372"/>
      <c r="BB22" s="370"/>
      <c r="BC22" s="368"/>
      <c r="BE22" s="981" t="s">
        <v>155</v>
      </c>
      <c r="BF22" s="981" t="s">
        <v>1016</v>
      </c>
    </row>
    <row r="23" spans="1:58" ht="12.75" customHeight="1" outlineLevel="1" x14ac:dyDescent="0.2">
      <c r="A23" s="365" t="s">
        <v>1017</v>
      </c>
      <c r="B23" s="366">
        <v>40360</v>
      </c>
      <c r="C23" s="367">
        <f t="shared" si="0"/>
        <v>309363</v>
      </c>
      <c r="D23" s="368">
        <v>285224</v>
      </c>
      <c r="E23" s="370">
        <v>24139</v>
      </c>
      <c r="F23" s="368"/>
      <c r="G23" s="367" t="s">
        <v>47</v>
      </c>
      <c r="H23" s="369" t="s">
        <v>47</v>
      </c>
      <c r="I23" s="371" t="s">
        <v>47</v>
      </c>
      <c r="J23" s="368"/>
      <c r="K23" s="372">
        <v>269833</v>
      </c>
      <c r="L23" s="370"/>
      <c r="M23" s="368"/>
      <c r="N23" s="372" t="s">
        <v>47</v>
      </c>
      <c r="O23" s="370" t="s">
        <v>47</v>
      </c>
      <c r="P23" s="368"/>
      <c r="Q23" s="372" t="s">
        <v>47</v>
      </c>
      <c r="R23" s="370" t="s">
        <v>47</v>
      </c>
      <c r="S23" s="368"/>
      <c r="T23" s="372" t="s">
        <v>47</v>
      </c>
      <c r="U23" s="368" t="s">
        <v>47</v>
      </c>
      <c r="V23" s="368" t="s">
        <v>47</v>
      </c>
      <c r="W23" s="368" t="s">
        <v>47</v>
      </c>
      <c r="X23" s="368" t="s">
        <v>47</v>
      </c>
      <c r="Y23" s="368" t="s">
        <v>47</v>
      </c>
      <c r="Z23" s="368" t="s">
        <v>47</v>
      </c>
      <c r="AA23" s="368" t="s">
        <v>47</v>
      </c>
      <c r="AB23" s="370" t="s">
        <v>47</v>
      </c>
      <c r="AC23" s="368"/>
      <c r="AD23" s="366">
        <f t="shared" si="1"/>
        <v>40360</v>
      </c>
      <c r="AE23" s="373"/>
      <c r="AF23" s="374"/>
      <c r="AG23" s="374"/>
      <c r="AH23" s="374"/>
      <c r="AI23" s="374"/>
      <c r="AJ23" s="374"/>
      <c r="AK23" s="374"/>
      <c r="AL23" s="374"/>
      <c r="AM23" s="375"/>
      <c r="AN23" s="368"/>
      <c r="AO23" s="372"/>
      <c r="AP23" s="368"/>
      <c r="AQ23" s="368"/>
      <c r="AR23" s="368"/>
      <c r="AS23" s="370"/>
      <c r="AT23" s="368"/>
      <c r="AU23" s="372"/>
      <c r="AV23" s="368"/>
      <c r="AW23" s="368"/>
      <c r="AX23" s="368"/>
      <c r="AY23" s="370"/>
      <c r="AZ23" s="368"/>
      <c r="BA23" s="372"/>
      <c r="BB23" s="370"/>
      <c r="BC23" s="368"/>
      <c r="BE23" s="981" t="s">
        <v>156</v>
      </c>
      <c r="BF23" s="981" t="s">
        <v>1017</v>
      </c>
    </row>
    <row r="24" spans="1:58" ht="12.75" customHeight="1" outlineLevel="1" x14ac:dyDescent="0.2">
      <c r="A24" s="365" t="s">
        <v>1017</v>
      </c>
      <c r="B24" s="366">
        <v>40391</v>
      </c>
      <c r="C24" s="367">
        <f t="shared" si="0"/>
        <v>330850</v>
      </c>
      <c r="D24" s="368">
        <v>296605</v>
      </c>
      <c r="E24" s="370">
        <v>34245</v>
      </c>
      <c r="F24" s="368"/>
      <c r="G24" s="367" t="s">
        <v>47</v>
      </c>
      <c r="H24" s="369" t="s">
        <v>47</v>
      </c>
      <c r="I24" s="371" t="s">
        <v>47</v>
      </c>
      <c r="J24" s="368"/>
      <c r="K24" s="372">
        <v>286241</v>
      </c>
      <c r="L24" s="370"/>
      <c r="M24" s="368"/>
      <c r="N24" s="372" t="s">
        <v>47</v>
      </c>
      <c r="O24" s="370" t="s">
        <v>47</v>
      </c>
      <c r="P24" s="368"/>
      <c r="Q24" s="372" t="s">
        <v>47</v>
      </c>
      <c r="R24" s="370" t="s">
        <v>47</v>
      </c>
      <c r="S24" s="368"/>
      <c r="T24" s="372" t="s">
        <v>47</v>
      </c>
      <c r="U24" s="368" t="s">
        <v>47</v>
      </c>
      <c r="V24" s="368" t="s">
        <v>47</v>
      </c>
      <c r="W24" s="368" t="s">
        <v>47</v>
      </c>
      <c r="X24" s="368" t="s">
        <v>47</v>
      </c>
      <c r="Y24" s="368" t="s">
        <v>47</v>
      </c>
      <c r="Z24" s="368" t="s">
        <v>47</v>
      </c>
      <c r="AA24" s="368" t="s">
        <v>47</v>
      </c>
      <c r="AB24" s="370" t="s">
        <v>47</v>
      </c>
      <c r="AC24" s="368"/>
      <c r="AD24" s="366">
        <f t="shared" si="1"/>
        <v>40391</v>
      </c>
      <c r="AE24" s="373"/>
      <c r="AF24" s="374"/>
      <c r="AG24" s="374"/>
      <c r="AH24" s="374"/>
      <c r="AI24" s="374"/>
      <c r="AJ24" s="374"/>
      <c r="AK24" s="374"/>
      <c r="AL24" s="374"/>
      <c r="AM24" s="375"/>
      <c r="AN24" s="368"/>
      <c r="AO24" s="372"/>
      <c r="AP24" s="368"/>
      <c r="AQ24" s="368"/>
      <c r="AR24" s="368"/>
      <c r="AS24" s="370"/>
      <c r="AT24" s="368"/>
      <c r="AU24" s="372"/>
      <c r="AV24" s="368"/>
      <c r="AW24" s="368"/>
      <c r="AX24" s="368"/>
      <c r="AY24" s="370"/>
      <c r="AZ24" s="368"/>
      <c r="BA24" s="372"/>
      <c r="BB24" s="370"/>
      <c r="BC24" s="368"/>
      <c r="BE24" s="981" t="s">
        <v>156</v>
      </c>
      <c r="BF24" s="981" t="s">
        <v>1017</v>
      </c>
    </row>
    <row r="25" spans="1:58" ht="12.75" customHeight="1" outlineLevel="1" x14ac:dyDescent="0.2">
      <c r="A25" s="365" t="s">
        <v>1017</v>
      </c>
      <c r="B25" s="366">
        <v>40422</v>
      </c>
      <c r="C25" s="367">
        <f t="shared" si="0"/>
        <v>320854</v>
      </c>
      <c r="D25" s="368">
        <v>291436</v>
      </c>
      <c r="E25" s="370">
        <v>29418</v>
      </c>
      <c r="F25" s="368"/>
      <c r="G25" s="367" t="s">
        <v>47</v>
      </c>
      <c r="H25" s="369" t="s">
        <v>47</v>
      </c>
      <c r="I25" s="371" t="s">
        <v>47</v>
      </c>
      <c r="J25" s="368"/>
      <c r="K25" s="372">
        <v>258473</v>
      </c>
      <c r="L25" s="370"/>
      <c r="M25" s="368"/>
      <c r="N25" s="372" t="s">
        <v>47</v>
      </c>
      <c r="O25" s="370" t="s">
        <v>47</v>
      </c>
      <c r="P25" s="368"/>
      <c r="Q25" s="372" t="s">
        <v>47</v>
      </c>
      <c r="R25" s="370" t="s">
        <v>47</v>
      </c>
      <c r="S25" s="368"/>
      <c r="T25" s="372" t="s">
        <v>47</v>
      </c>
      <c r="U25" s="368" t="s">
        <v>47</v>
      </c>
      <c r="V25" s="368" t="s">
        <v>47</v>
      </c>
      <c r="W25" s="368" t="s">
        <v>47</v>
      </c>
      <c r="X25" s="368" t="s">
        <v>47</v>
      </c>
      <c r="Y25" s="368" t="s">
        <v>47</v>
      </c>
      <c r="Z25" s="368" t="s">
        <v>47</v>
      </c>
      <c r="AA25" s="368" t="s">
        <v>47</v>
      </c>
      <c r="AB25" s="370" t="s">
        <v>47</v>
      </c>
      <c r="AC25" s="368"/>
      <c r="AD25" s="366">
        <f t="shared" si="1"/>
        <v>40422</v>
      </c>
      <c r="AE25" s="373"/>
      <c r="AF25" s="374"/>
      <c r="AG25" s="374"/>
      <c r="AH25" s="374"/>
      <c r="AI25" s="374"/>
      <c r="AJ25" s="374"/>
      <c r="AK25" s="374"/>
      <c r="AL25" s="374"/>
      <c r="AM25" s="375"/>
      <c r="AN25" s="368"/>
      <c r="AO25" s="372"/>
      <c r="AP25" s="368"/>
      <c r="AQ25" s="368"/>
      <c r="AR25" s="368"/>
      <c r="AS25" s="370"/>
      <c r="AT25" s="368"/>
      <c r="AU25" s="372"/>
      <c r="AV25" s="368"/>
      <c r="AW25" s="368"/>
      <c r="AX25" s="368"/>
      <c r="AY25" s="370"/>
      <c r="AZ25" s="368"/>
      <c r="BA25" s="372"/>
      <c r="BB25" s="370"/>
      <c r="BC25" s="368"/>
      <c r="BE25" s="981" t="s">
        <v>156</v>
      </c>
      <c r="BF25" s="981" t="s">
        <v>1017</v>
      </c>
    </row>
    <row r="26" spans="1:58" ht="12.75" customHeight="1" outlineLevel="1" x14ac:dyDescent="0.2">
      <c r="A26" s="365" t="s">
        <v>1018</v>
      </c>
      <c r="B26" s="366">
        <v>40452</v>
      </c>
      <c r="C26" s="367">
        <f t="shared" si="0"/>
        <v>323489</v>
      </c>
      <c r="D26" s="368">
        <v>287596</v>
      </c>
      <c r="E26" s="370">
        <v>35893</v>
      </c>
      <c r="F26" s="368"/>
      <c r="G26" s="367" t="s">
        <v>47</v>
      </c>
      <c r="H26" s="369" t="s">
        <v>47</v>
      </c>
      <c r="I26" s="371" t="s">
        <v>47</v>
      </c>
      <c r="J26" s="368"/>
      <c r="K26" s="372">
        <v>273487</v>
      </c>
      <c r="L26" s="370"/>
      <c r="M26" s="368"/>
      <c r="N26" s="372" t="s">
        <v>47</v>
      </c>
      <c r="O26" s="370" t="s">
        <v>47</v>
      </c>
      <c r="P26" s="368"/>
      <c r="Q26" s="372" t="s">
        <v>47</v>
      </c>
      <c r="R26" s="370" t="s">
        <v>47</v>
      </c>
      <c r="S26" s="368"/>
      <c r="T26" s="372" t="s">
        <v>47</v>
      </c>
      <c r="U26" s="368" t="s">
        <v>47</v>
      </c>
      <c r="V26" s="368" t="s">
        <v>47</v>
      </c>
      <c r="W26" s="368" t="s">
        <v>47</v>
      </c>
      <c r="X26" s="368" t="s">
        <v>47</v>
      </c>
      <c r="Y26" s="368" t="s">
        <v>47</v>
      </c>
      <c r="Z26" s="368" t="s">
        <v>47</v>
      </c>
      <c r="AA26" s="368" t="s">
        <v>47</v>
      </c>
      <c r="AB26" s="370" t="s">
        <v>47</v>
      </c>
      <c r="AC26" s="368"/>
      <c r="AD26" s="366">
        <f t="shared" si="1"/>
        <v>40452</v>
      </c>
      <c r="AE26" s="373"/>
      <c r="AF26" s="374"/>
      <c r="AG26" s="374"/>
      <c r="AH26" s="374"/>
      <c r="AI26" s="374"/>
      <c r="AJ26" s="374"/>
      <c r="AK26" s="374"/>
      <c r="AL26" s="374"/>
      <c r="AM26" s="375"/>
      <c r="AN26" s="368"/>
      <c r="AO26" s="372"/>
      <c r="AP26" s="368"/>
      <c r="AQ26" s="368"/>
      <c r="AR26" s="368"/>
      <c r="AS26" s="370"/>
      <c r="AT26" s="368"/>
      <c r="AU26" s="372"/>
      <c r="AV26" s="368"/>
      <c r="AW26" s="368"/>
      <c r="AX26" s="368"/>
      <c r="AY26" s="370"/>
      <c r="AZ26" s="368"/>
      <c r="BA26" s="372"/>
      <c r="BB26" s="370"/>
      <c r="BC26" s="368"/>
      <c r="BE26" s="981" t="s">
        <v>157</v>
      </c>
      <c r="BF26" s="981" t="s">
        <v>1018</v>
      </c>
    </row>
    <row r="27" spans="1:58" ht="12.75" customHeight="1" outlineLevel="1" x14ac:dyDescent="0.2">
      <c r="A27" s="365" t="s">
        <v>1018</v>
      </c>
      <c r="B27" s="366">
        <v>40483</v>
      </c>
      <c r="C27" s="367">
        <f t="shared" si="0"/>
        <v>350243</v>
      </c>
      <c r="D27" s="368">
        <v>311407</v>
      </c>
      <c r="E27" s="370">
        <v>38836</v>
      </c>
      <c r="F27" s="368"/>
      <c r="G27" s="367" t="s">
        <v>47</v>
      </c>
      <c r="H27" s="369" t="s">
        <v>47</v>
      </c>
      <c r="I27" s="371" t="s">
        <v>47</v>
      </c>
      <c r="J27" s="368"/>
      <c r="K27" s="372">
        <v>282002</v>
      </c>
      <c r="L27" s="370"/>
      <c r="M27" s="368"/>
      <c r="N27" s="372" t="s">
        <v>47</v>
      </c>
      <c r="O27" s="370" t="s">
        <v>47</v>
      </c>
      <c r="P27" s="368"/>
      <c r="Q27" s="372" t="s">
        <v>47</v>
      </c>
      <c r="R27" s="370" t="s">
        <v>47</v>
      </c>
      <c r="S27" s="368"/>
      <c r="T27" s="372" t="s">
        <v>47</v>
      </c>
      <c r="U27" s="368" t="s">
        <v>47</v>
      </c>
      <c r="V27" s="368" t="s">
        <v>47</v>
      </c>
      <c r="W27" s="368" t="s">
        <v>47</v>
      </c>
      <c r="X27" s="368" t="s">
        <v>47</v>
      </c>
      <c r="Y27" s="368" t="s">
        <v>47</v>
      </c>
      <c r="Z27" s="368" t="s">
        <v>47</v>
      </c>
      <c r="AA27" s="368" t="s">
        <v>47</v>
      </c>
      <c r="AB27" s="370" t="s">
        <v>47</v>
      </c>
      <c r="AC27" s="368"/>
      <c r="AD27" s="366">
        <f t="shared" si="1"/>
        <v>40483</v>
      </c>
      <c r="AE27" s="373"/>
      <c r="AF27" s="374"/>
      <c r="AG27" s="374"/>
      <c r="AH27" s="374"/>
      <c r="AI27" s="374"/>
      <c r="AJ27" s="374"/>
      <c r="AK27" s="374"/>
      <c r="AL27" s="374"/>
      <c r="AM27" s="375"/>
      <c r="AN27" s="368"/>
      <c r="AO27" s="372"/>
      <c r="AP27" s="368"/>
      <c r="AQ27" s="368"/>
      <c r="AR27" s="368"/>
      <c r="AS27" s="370"/>
      <c r="AT27" s="368"/>
      <c r="AU27" s="372"/>
      <c r="AV27" s="368"/>
      <c r="AW27" s="368"/>
      <c r="AX27" s="368"/>
      <c r="AY27" s="370"/>
      <c r="AZ27" s="368"/>
      <c r="BA27" s="372"/>
      <c r="BB27" s="370"/>
      <c r="BC27" s="368"/>
      <c r="BE27" s="981" t="s">
        <v>157</v>
      </c>
      <c r="BF27" s="981" t="s">
        <v>1018</v>
      </c>
    </row>
    <row r="28" spans="1:58" ht="12.75" customHeight="1" outlineLevel="1" x14ac:dyDescent="0.2">
      <c r="A28" s="365" t="s">
        <v>1018</v>
      </c>
      <c r="B28" s="366">
        <v>40513</v>
      </c>
      <c r="C28" s="367">
        <f t="shared" si="0"/>
        <v>401172</v>
      </c>
      <c r="D28" s="368">
        <v>361233</v>
      </c>
      <c r="E28" s="370">
        <v>39939</v>
      </c>
      <c r="F28" s="368"/>
      <c r="G28" s="367" t="s">
        <v>47</v>
      </c>
      <c r="H28" s="369" t="s">
        <v>47</v>
      </c>
      <c r="I28" s="371" t="s">
        <v>47</v>
      </c>
      <c r="J28" s="368"/>
      <c r="K28" s="372">
        <v>247243</v>
      </c>
      <c r="L28" s="370"/>
      <c r="M28" s="368"/>
      <c r="N28" s="372" t="s">
        <v>47</v>
      </c>
      <c r="O28" s="370" t="s">
        <v>47</v>
      </c>
      <c r="P28" s="368"/>
      <c r="Q28" s="372" t="s">
        <v>47</v>
      </c>
      <c r="R28" s="370" t="s">
        <v>47</v>
      </c>
      <c r="S28" s="368"/>
      <c r="T28" s="372" t="s">
        <v>47</v>
      </c>
      <c r="U28" s="368" t="s">
        <v>47</v>
      </c>
      <c r="V28" s="368" t="s">
        <v>47</v>
      </c>
      <c r="W28" s="368" t="s">
        <v>47</v>
      </c>
      <c r="X28" s="368" t="s">
        <v>47</v>
      </c>
      <c r="Y28" s="368" t="s">
        <v>47</v>
      </c>
      <c r="Z28" s="368" t="s">
        <v>47</v>
      </c>
      <c r="AA28" s="368" t="s">
        <v>47</v>
      </c>
      <c r="AB28" s="370" t="s">
        <v>47</v>
      </c>
      <c r="AC28" s="368"/>
      <c r="AD28" s="366">
        <f t="shared" si="1"/>
        <v>40513</v>
      </c>
      <c r="AE28" s="373"/>
      <c r="AF28" s="374"/>
      <c r="AG28" s="374"/>
      <c r="AH28" s="374"/>
      <c r="AI28" s="374"/>
      <c r="AJ28" s="374"/>
      <c r="AK28" s="374"/>
      <c r="AL28" s="374"/>
      <c r="AM28" s="375"/>
      <c r="AN28" s="368"/>
      <c r="AO28" s="372"/>
      <c r="AP28" s="368"/>
      <c r="AQ28" s="368"/>
      <c r="AR28" s="368"/>
      <c r="AS28" s="370"/>
      <c r="AT28" s="368"/>
      <c r="AU28" s="372"/>
      <c r="AV28" s="368"/>
      <c r="AW28" s="368"/>
      <c r="AX28" s="368"/>
      <c r="AY28" s="370"/>
      <c r="AZ28" s="368"/>
      <c r="BA28" s="372"/>
      <c r="BB28" s="370"/>
      <c r="BC28" s="368"/>
      <c r="BE28" s="981" t="s">
        <v>157</v>
      </c>
      <c r="BF28" s="981" t="s">
        <v>1018</v>
      </c>
    </row>
    <row r="29" spans="1:58" ht="12.75" customHeight="1" outlineLevel="1" x14ac:dyDescent="0.2">
      <c r="A29" s="365" t="s">
        <v>1019</v>
      </c>
      <c r="B29" s="366">
        <v>40544</v>
      </c>
      <c r="C29" s="367">
        <f t="shared" si="0"/>
        <v>264499</v>
      </c>
      <c r="D29" s="368">
        <v>230162</v>
      </c>
      <c r="E29" s="370">
        <v>34337</v>
      </c>
      <c r="F29" s="368"/>
      <c r="G29" s="367" t="s">
        <v>47</v>
      </c>
      <c r="H29" s="369" t="s">
        <v>47</v>
      </c>
      <c r="I29" s="371" t="s">
        <v>47</v>
      </c>
      <c r="J29" s="368"/>
      <c r="K29" s="372">
        <v>222634</v>
      </c>
      <c r="L29" s="370">
        <v>57319</v>
      </c>
      <c r="M29" s="368"/>
      <c r="N29" s="372" t="s">
        <v>47</v>
      </c>
      <c r="O29" s="370" t="s">
        <v>47</v>
      </c>
      <c r="P29" s="368"/>
      <c r="Q29" s="372" t="s">
        <v>47</v>
      </c>
      <c r="R29" s="370" t="s">
        <v>47</v>
      </c>
      <c r="S29" s="368"/>
      <c r="T29" s="372" t="s">
        <v>47</v>
      </c>
      <c r="U29" s="368" t="s">
        <v>47</v>
      </c>
      <c r="V29" s="368" t="s">
        <v>47</v>
      </c>
      <c r="W29" s="368" t="s">
        <v>47</v>
      </c>
      <c r="X29" s="368" t="s">
        <v>47</v>
      </c>
      <c r="Y29" s="368" t="s">
        <v>47</v>
      </c>
      <c r="Z29" s="368" t="s">
        <v>47</v>
      </c>
      <c r="AA29" s="368" t="s">
        <v>47</v>
      </c>
      <c r="AB29" s="370" t="s">
        <v>47</v>
      </c>
      <c r="AC29" s="368"/>
      <c r="AD29" s="366">
        <f t="shared" si="1"/>
        <v>40544</v>
      </c>
      <c r="AE29" s="373"/>
      <c r="AF29" s="374"/>
      <c r="AG29" s="374"/>
      <c r="AH29" s="374"/>
      <c r="AI29" s="374"/>
      <c r="AJ29" s="374"/>
      <c r="AK29" s="374"/>
      <c r="AL29" s="374"/>
      <c r="AM29" s="375"/>
      <c r="AN29" s="368"/>
      <c r="AO29" s="372"/>
      <c r="AP29" s="368"/>
      <c r="AQ29" s="368"/>
      <c r="AR29" s="368"/>
      <c r="AS29" s="370"/>
      <c r="AT29" s="368"/>
      <c r="AU29" s="372"/>
      <c r="AV29" s="368"/>
      <c r="AW29" s="368"/>
      <c r="AX29" s="368"/>
      <c r="AY29" s="370"/>
      <c r="AZ29" s="368"/>
      <c r="BA29" s="372"/>
      <c r="BB29" s="370"/>
      <c r="BC29" s="368"/>
      <c r="BE29" s="981" t="s">
        <v>16</v>
      </c>
      <c r="BF29" s="981" t="s">
        <v>1019</v>
      </c>
    </row>
    <row r="30" spans="1:58" ht="12.75" customHeight="1" outlineLevel="1" x14ac:dyDescent="0.2">
      <c r="A30" s="365" t="s">
        <v>1019</v>
      </c>
      <c r="B30" s="366">
        <v>40575</v>
      </c>
      <c r="C30" s="367">
        <f t="shared" si="0"/>
        <v>295918</v>
      </c>
      <c r="D30" s="368">
        <v>258813</v>
      </c>
      <c r="E30" s="370">
        <v>37105</v>
      </c>
      <c r="F30" s="368"/>
      <c r="G30" s="367" t="s">
        <v>47</v>
      </c>
      <c r="H30" s="369" t="s">
        <v>47</v>
      </c>
      <c r="I30" s="371" t="s">
        <v>47</v>
      </c>
      <c r="J30" s="368"/>
      <c r="K30" s="372">
        <v>274486</v>
      </c>
      <c r="L30" s="370">
        <v>61704</v>
      </c>
      <c r="M30" s="368"/>
      <c r="N30" s="372" t="s">
        <v>47</v>
      </c>
      <c r="O30" s="370" t="s">
        <v>47</v>
      </c>
      <c r="P30" s="368"/>
      <c r="Q30" s="372" t="s">
        <v>47</v>
      </c>
      <c r="R30" s="370" t="s">
        <v>47</v>
      </c>
      <c r="S30" s="368"/>
      <c r="T30" s="372" t="s">
        <v>47</v>
      </c>
      <c r="U30" s="368" t="s">
        <v>47</v>
      </c>
      <c r="V30" s="368" t="s">
        <v>47</v>
      </c>
      <c r="W30" s="368" t="s">
        <v>47</v>
      </c>
      <c r="X30" s="368" t="s">
        <v>47</v>
      </c>
      <c r="Y30" s="368" t="s">
        <v>47</v>
      </c>
      <c r="Z30" s="368" t="s">
        <v>47</v>
      </c>
      <c r="AA30" s="368" t="s">
        <v>47</v>
      </c>
      <c r="AB30" s="370" t="s">
        <v>47</v>
      </c>
      <c r="AC30" s="368"/>
      <c r="AD30" s="366">
        <f t="shared" si="1"/>
        <v>40575</v>
      </c>
      <c r="AE30" s="373"/>
      <c r="AF30" s="374"/>
      <c r="AG30" s="374"/>
      <c r="AH30" s="374"/>
      <c r="AI30" s="374"/>
      <c r="AJ30" s="374"/>
      <c r="AK30" s="374"/>
      <c r="AL30" s="374"/>
      <c r="AM30" s="375"/>
      <c r="AN30" s="368"/>
      <c r="AO30" s="372"/>
      <c r="AP30" s="368"/>
      <c r="AQ30" s="368"/>
      <c r="AR30" s="368"/>
      <c r="AS30" s="370"/>
      <c r="AT30" s="368"/>
      <c r="AU30" s="372"/>
      <c r="AV30" s="368"/>
      <c r="AW30" s="368"/>
      <c r="AX30" s="368"/>
      <c r="AY30" s="370"/>
      <c r="AZ30" s="368"/>
      <c r="BA30" s="372"/>
      <c r="BB30" s="370"/>
      <c r="BC30" s="368"/>
      <c r="BE30" s="981" t="s">
        <v>16</v>
      </c>
      <c r="BF30" s="981" t="s">
        <v>1019</v>
      </c>
    </row>
    <row r="31" spans="1:58" ht="12.75" customHeight="1" outlineLevel="1" x14ac:dyDescent="0.2">
      <c r="A31" s="365" t="s">
        <v>1019</v>
      </c>
      <c r="B31" s="366">
        <v>40603</v>
      </c>
      <c r="C31" s="367">
        <f t="shared" si="0"/>
        <v>333290</v>
      </c>
      <c r="D31" s="368">
        <v>288733</v>
      </c>
      <c r="E31" s="370">
        <v>44557</v>
      </c>
      <c r="F31" s="368"/>
      <c r="G31" s="367" t="s">
        <v>47</v>
      </c>
      <c r="H31" s="369" t="s">
        <v>47</v>
      </c>
      <c r="I31" s="371" t="s">
        <v>47</v>
      </c>
      <c r="J31" s="368"/>
      <c r="K31" s="372">
        <v>275588</v>
      </c>
      <c r="L31" s="370">
        <v>61983</v>
      </c>
      <c r="M31" s="368"/>
      <c r="N31" s="372" t="s">
        <v>47</v>
      </c>
      <c r="O31" s="370" t="s">
        <v>47</v>
      </c>
      <c r="P31" s="368"/>
      <c r="Q31" s="372" t="s">
        <v>47</v>
      </c>
      <c r="R31" s="370" t="s">
        <v>47</v>
      </c>
      <c r="S31" s="368"/>
      <c r="T31" s="372" t="s">
        <v>47</v>
      </c>
      <c r="U31" s="368" t="s">
        <v>47</v>
      </c>
      <c r="V31" s="368" t="s">
        <v>47</v>
      </c>
      <c r="W31" s="368" t="s">
        <v>47</v>
      </c>
      <c r="X31" s="368" t="s">
        <v>47</v>
      </c>
      <c r="Y31" s="368" t="s">
        <v>47</v>
      </c>
      <c r="Z31" s="368" t="s">
        <v>47</v>
      </c>
      <c r="AA31" s="368" t="s">
        <v>47</v>
      </c>
      <c r="AB31" s="370" t="s">
        <v>47</v>
      </c>
      <c r="AC31" s="368"/>
      <c r="AD31" s="366">
        <f t="shared" si="1"/>
        <v>40603</v>
      </c>
      <c r="AE31" s="373"/>
      <c r="AF31" s="374"/>
      <c r="AG31" s="374"/>
      <c r="AH31" s="374"/>
      <c r="AI31" s="374"/>
      <c r="AJ31" s="374"/>
      <c r="AK31" s="374"/>
      <c r="AL31" s="374"/>
      <c r="AM31" s="375"/>
      <c r="AN31" s="368"/>
      <c r="AO31" s="372"/>
      <c r="AP31" s="368"/>
      <c r="AQ31" s="368"/>
      <c r="AR31" s="368"/>
      <c r="AS31" s="370"/>
      <c r="AT31" s="368"/>
      <c r="AU31" s="372"/>
      <c r="AV31" s="368"/>
      <c r="AW31" s="368"/>
      <c r="AX31" s="368"/>
      <c r="AY31" s="370"/>
      <c r="AZ31" s="368"/>
      <c r="BA31" s="372"/>
      <c r="BB31" s="370"/>
      <c r="BC31" s="368"/>
      <c r="BE31" s="981" t="s">
        <v>16</v>
      </c>
      <c r="BF31" s="981" t="s">
        <v>1019</v>
      </c>
    </row>
    <row r="32" spans="1:58" ht="12.75" customHeight="1" outlineLevel="1" x14ac:dyDescent="0.2">
      <c r="A32" s="365" t="s">
        <v>1020</v>
      </c>
      <c r="B32" s="366">
        <v>40634</v>
      </c>
      <c r="C32" s="367">
        <f t="shared" si="0"/>
        <v>303253</v>
      </c>
      <c r="D32" s="368">
        <v>272916</v>
      </c>
      <c r="E32" s="370">
        <v>30337</v>
      </c>
      <c r="F32" s="368"/>
      <c r="G32" s="367" t="s">
        <v>47</v>
      </c>
      <c r="H32" s="369" t="s">
        <v>47</v>
      </c>
      <c r="I32" s="371" t="s">
        <v>47</v>
      </c>
      <c r="J32" s="368"/>
      <c r="K32" s="372">
        <v>263292</v>
      </c>
      <c r="L32" s="370">
        <v>63795</v>
      </c>
      <c r="M32" s="368"/>
      <c r="N32" s="372" t="s">
        <v>47</v>
      </c>
      <c r="O32" s="370" t="s">
        <v>47</v>
      </c>
      <c r="P32" s="368"/>
      <c r="Q32" s="372" t="s">
        <v>47</v>
      </c>
      <c r="R32" s="370" t="s">
        <v>47</v>
      </c>
      <c r="S32" s="368"/>
      <c r="T32" s="372" t="s">
        <v>47</v>
      </c>
      <c r="U32" s="368" t="s">
        <v>47</v>
      </c>
      <c r="V32" s="368" t="s">
        <v>47</v>
      </c>
      <c r="W32" s="368" t="s">
        <v>47</v>
      </c>
      <c r="X32" s="368" t="s">
        <v>47</v>
      </c>
      <c r="Y32" s="368" t="s">
        <v>47</v>
      </c>
      <c r="Z32" s="368" t="s">
        <v>47</v>
      </c>
      <c r="AA32" s="368" t="s">
        <v>47</v>
      </c>
      <c r="AB32" s="370" t="s">
        <v>47</v>
      </c>
      <c r="AC32" s="368"/>
      <c r="AD32" s="366">
        <f t="shared" si="1"/>
        <v>40634</v>
      </c>
      <c r="AE32" s="373"/>
      <c r="AF32" s="374"/>
      <c r="AG32" s="374"/>
      <c r="AH32" s="374"/>
      <c r="AI32" s="374"/>
      <c r="AJ32" s="374"/>
      <c r="AK32" s="374"/>
      <c r="AL32" s="374"/>
      <c r="AM32" s="375"/>
      <c r="AN32" s="368"/>
      <c r="AO32" s="372"/>
      <c r="AP32" s="368"/>
      <c r="AQ32" s="368"/>
      <c r="AR32" s="368"/>
      <c r="AS32" s="370"/>
      <c r="AT32" s="368"/>
      <c r="AU32" s="372"/>
      <c r="AV32" s="368"/>
      <c r="AW32" s="368"/>
      <c r="AX32" s="368"/>
      <c r="AY32" s="370"/>
      <c r="AZ32" s="368"/>
      <c r="BA32" s="372"/>
      <c r="BB32" s="370"/>
      <c r="BC32" s="368"/>
      <c r="BE32" s="981" t="s">
        <v>17</v>
      </c>
      <c r="BF32" s="981" t="s">
        <v>1020</v>
      </c>
    </row>
    <row r="33" spans="1:58" ht="12.75" customHeight="1" outlineLevel="1" x14ac:dyDescent="0.2">
      <c r="A33" s="365" t="s">
        <v>1020</v>
      </c>
      <c r="B33" s="366">
        <v>40664</v>
      </c>
      <c r="C33" s="367">
        <f t="shared" si="0"/>
        <v>345134</v>
      </c>
      <c r="D33" s="368">
        <v>300529</v>
      </c>
      <c r="E33" s="370">
        <v>44605</v>
      </c>
      <c r="F33" s="368"/>
      <c r="G33" s="367" t="s">
        <v>47</v>
      </c>
      <c r="H33" s="369" t="s">
        <v>47</v>
      </c>
      <c r="I33" s="371" t="s">
        <v>47</v>
      </c>
      <c r="J33" s="368"/>
      <c r="K33" s="372">
        <v>280536</v>
      </c>
      <c r="L33" s="370">
        <v>74490</v>
      </c>
      <c r="M33" s="368"/>
      <c r="N33" s="372" t="s">
        <v>47</v>
      </c>
      <c r="O33" s="370" t="s">
        <v>47</v>
      </c>
      <c r="P33" s="368"/>
      <c r="Q33" s="372" t="s">
        <v>47</v>
      </c>
      <c r="R33" s="370" t="s">
        <v>47</v>
      </c>
      <c r="S33" s="368"/>
      <c r="T33" s="372" t="s">
        <v>47</v>
      </c>
      <c r="U33" s="368" t="s">
        <v>47</v>
      </c>
      <c r="V33" s="368" t="s">
        <v>47</v>
      </c>
      <c r="W33" s="368" t="s">
        <v>47</v>
      </c>
      <c r="X33" s="368" t="s">
        <v>47</v>
      </c>
      <c r="Y33" s="368" t="s">
        <v>47</v>
      </c>
      <c r="Z33" s="368" t="s">
        <v>47</v>
      </c>
      <c r="AA33" s="368" t="s">
        <v>47</v>
      </c>
      <c r="AB33" s="370" t="s">
        <v>47</v>
      </c>
      <c r="AC33" s="368"/>
      <c r="AD33" s="366">
        <f t="shared" si="1"/>
        <v>40664</v>
      </c>
      <c r="AE33" s="373"/>
      <c r="AF33" s="374"/>
      <c r="AG33" s="374"/>
      <c r="AH33" s="374"/>
      <c r="AI33" s="374"/>
      <c r="AJ33" s="374"/>
      <c r="AK33" s="374"/>
      <c r="AL33" s="374"/>
      <c r="AM33" s="375"/>
      <c r="AN33" s="368"/>
      <c r="AO33" s="372"/>
      <c r="AP33" s="368"/>
      <c r="AQ33" s="368"/>
      <c r="AR33" s="368"/>
      <c r="AS33" s="370"/>
      <c r="AT33" s="368"/>
      <c r="AU33" s="372"/>
      <c r="AV33" s="368"/>
      <c r="AW33" s="368"/>
      <c r="AX33" s="368"/>
      <c r="AY33" s="370"/>
      <c r="AZ33" s="368"/>
      <c r="BA33" s="372"/>
      <c r="BB33" s="370"/>
      <c r="BC33" s="368"/>
      <c r="BE33" s="981" t="s">
        <v>17</v>
      </c>
      <c r="BF33" s="981" t="s">
        <v>1020</v>
      </c>
    </row>
    <row r="34" spans="1:58" ht="12.75" customHeight="1" outlineLevel="1" x14ac:dyDescent="0.2">
      <c r="A34" s="365" t="s">
        <v>1020</v>
      </c>
      <c r="B34" s="366">
        <v>40695</v>
      </c>
      <c r="C34" s="367">
        <f t="shared" si="0"/>
        <v>325590</v>
      </c>
      <c r="D34" s="368">
        <v>286924</v>
      </c>
      <c r="E34" s="370">
        <v>38666</v>
      </c>
      <c r="F34" s="368"/>
      <c r="G34" s="367" t="s">
        <v>47</v>
      </c>
      <c r="H34" s="369" t="s">
        <v>47</v>
      </c>
      <c r="I34" s="371" t="s">
        <v>47</v>
      </c>
      <c r="J34" s="368"/>
      <c r="K34" s="372">
        <v>272103</v>
      </c>
      <c r="L34" s="370">
        <v>69022</v>
      </c>
      <c r="M34" s="368"/>
      <c r="N34" s="372" t="s">
        <v>47</v>
      </c>
      <c r="O34" s="370" t="s">
        <v>47</v>
      </c>
      <c r="P34" s="368"/>
      <c r="Q34" s="372" t="s">
        <v>47</v>
      </c>
      <c r="R34" s="370" t="s">
        <v>47</v>
      </c>
      <c r="S34" s="368"/>
      <c r="T34" s="372" t="s">
        <v>47</v>
      </c>
      <c r="U34" s="368" t="s">
        <v>47</v>
      </c>
      <c r="V34" s="368" t="s">
        <v>47</v>
      </c>
      <c r="W34" s="368" t="s">
        <v>47</v>
      </c>
      <c r="X34" s="368" t="s">
        <v>47</v>
      </c>
      <c r="Y34" s="368" t="s">
        <v>47</v>
      </c>
      <c r="Z34" s="368" t="s">
        <v>47</v>
      </c>
      <c r="AA34" s="368" t="s">
        <v>47</v>
      </c>
      <c r="AB34" s="370" t="s">
        <v>47</v>
      </c>
      <c r="AC34" s="368"/>
      <c r="AD34" s="366">
        <f t="shared" si="1"/>
        <v>40695</v>
      </c>
      <c r="AE34" s="373"/>
      <c r="AF34" s="374"/>
      <c r="AG34" s="374"/>
      <c r="AH34" s="374"/>
      <c r="AI34" s="374"/>
      <c r="AJ34" s="374"/>
      <c r="AK34" s="374"/>
      <c r="AL34" s="374"/>
      <c r="AM34" s="375"/>
      <c r="AN34" s="368"/>
      <c r="AO34" s="372"/>
      <c r="AP34" s="368"/>
      <c r="AQ34" s="368"/>
      <c r="AR34" s="368"/>
      <c r="AS34" s="370"/>
      <c r="AT34" s="368"/>
      <c r="AU34" s="372"/>
      <c r="AV34" s="368"/>
      <c r="AW34" s="368"/>
      <c r="AX34" s="368"/>
      <c r="AY34" s="370"/>
      <c r="AZ34" s="368"/>
      <c r="BA34" s="372"/>
      <c r="BB34" s="370"/>
      <c r="BC34" s="368"/>
      <c r="BE34" s="981" t="s">
        <v>17</v>
      </c>
      <c r="BF34" s="981" t="s">
        <v>1020</v>
      </c>
    </row>
    <row r="35" spans="1:58" ht="12.75" customHeight="1" outlineLevel="1" x14ac:dyDescent="0.2">
      <c r="A35" s="365" t="s">
        <v>1021</v>
      </c>
      <c r="B35" s="366">
        <v>40725</v>
      </c>
      <c r="C35" s="367">
        <f t="shared" si="0"/>
        <v>323210</v>
      </c>
      <c r="D35" s="368">
        <v>287966</v>
      </c>
      <c r="E35" s="370">
        <v>35244</v>
      </c>
      <c r="F35" s="368"/>
      <c r="G35" s="367" t="s">
        <v>47</v>
      </c>
      <c r="H35" s="369" t="s">
        <v>47</v>
      </c>
      <c r="I35" s="371" t="s">
        <v>47</v>
      </c>
      <c r="J35" s="368"/>
      <c r="K35" s="372">
        <v>284585</v>
      </c>
      <c r="L35" s="370">
        <v>67060</v>
      </c>
      <c r="M35" s="368"/>
      <c r="N35" s="372" t="s">
        <v>47</v>
      </c>
      <c r="O35" s="370" t="s">
        <v>47</v>
      </c>
      <c r="P35" s="368"/>
      <c r="Q35" s="372" t="s">
        <v>47</v>
      </c>
      <c r="R35" s="370" t="s">
        <v>47</v>
      </c>
      <c r="S35" s="368"/>
      <c r="T35" s="372" t="s">
        <v>47</v>
      </c>
      <c r="U35" s="368" t="s">
        <v>47</v>
      </c>
      <c r="V35" s="368" t="s">
        <v>47</v>
      </c>
      <c r="W35" s="368" t="s">
        <v>47</v>
      </c>
      <c r="X35" s="368" t="s">
        <v>47</v>
      </c>
      <c r="Y35" s="368" t="s">
        <v>47</v>
      </c>
      <c r="Z35" s="368" t="s">
        <v>47</v>
      </c>
      <c r="AA35" s="368" t="s">
        <v>47</v>
      </c>
      <c r="AB35" s="370" t="s">
        <v>47</v>
      </c>
      <c r="AC35" s="368"/>
      <c r="AD35" s="366">
        <f t="shared" si="1"/>
        <v>40725</v>
      </c>
      <c r="AE35" s="373"/>
      <c r="AF35" s="374"/>
      <c r="AG35" s="374"/>
      <c r="AH35" s="374"/>
      <c r="AI35" s="374"/>
      <c r="AJ35" s="374"/>
      <c r="AK35" s="374"/>
      <c r="AL35" s="374"/>
      <c r="AM35" s="375"/>
      <c r="AN35" s="368"/>
      <c r="AO35" s="372"/>
      <c r="AP35" s="368"/>
      <c r="AQ35" s="368"/>
      <c r="AR35" s="368"/>
      <c r="AS35" s="370"/>
      <c r="AT35" s="368"/>
      <c r="AU35" s="372"/>
      <c r="AV35" s="368"/>
      <c r="AW35" s="368"/>
      <c r="AX35" s="368"/>
      <c r="AY35" s="370"/>
      <c r="AZ35" s="368"/>
      <c r="BA35" s="372"/>
      <c r="BB35" s="370"/>
      <c r="BC35" s="368"/>
      <c r="BE35" s="981" t="s">
        <v>18</v>
      </c>
      <c r="BF35" s="981" t="s">
        <v>1021</v>
      </c>
    </row>
    <row r="36" spans="1:58" ht="12.75" customHeight="1" outlineLevel="1" x14ac:dyDescent="0.2">
      <c r="A36" s="365" t="s">
        <v>1021</v>
      </c>
      <c r="B36" s="366">
        <v>40756</v>
      </c>
      <c r="C36" s="367">
        <f t="shared" si="0"/>
        <v>348264</v>
      </c>
      <c r="D36" s="368">
        <v>308035</v>
      </c>
      <c r="E36" s="370">
        <v>40229</v>
      </c>
      <c r="F36" s="368"/>
      <c r="G36" s="367" t="s">
        <v>47</v>
      </c>
      <c r="H36" s="369" t="s">
        <v>47</v>
      </c>
      <c r="I36" s="371" t="s">
        <v>47</v>
      </c>
      <c r="J36" s="368"/>
      <c r="K36" s="372">
        <v>299156</v>
      </c>
      <c r="L36" s="370">
        <v>73249</v>
      </c>
      <c r="M36" s="368"/>
      <c r="N36" s="372" t="s">
        <v>47</v>
      </c>
      <c r="O36" s="370" t="s">
        <v>47</v>
      </c>
      <c r="P36" s="368"/>
      <c r="Q36" s="372" t="s">
        <v>47</v>
      </c>
      <c r="R36" s="370" t="s">
        <v>47</v>
      </c>
      <c r="S36" s="368"/>
      <c r="T36" s="372" t="s">
        <v>47</v>
      </c>
      <c r="U36" s="368" t="s">
        <v>47</v>
      </c>
      <c r="V36" s="368" t="s">
        <v>47</v>
      </c>
      <c r="W36" s="368" t="s">
        <v>47</v>
      </c>
      <c r="X36" s="368" t="s">
        <v>47</v>
      </c>
      <c r="Y36" s="368" t="s">
        <v>47</v>
      </c>
      <c r="Z36" s="368" t="s">
        <v>47</v>
      </c>
      <c r="AA36" s="368" t="s">
        <v>47</v>
      </c>
      <c r="AB36" s="370" t="s">
        <v>47</v>
      </c>
      <c r="AC36" s="368"/>
      <c r="AD36" s="366">
        <f t="shared" si="1"/>
        <v>40756</v>
      </c>
      <c r="AE36" s="373"/>
      <c r="AF36" s="374"/>
      <c r="AG36" s="374"/>
      <c r="AH36" s="374"/>
      <c r="AI36" s="374"/>
      <c r="AJ36" s="374"/>
      <c r="AK36" s="374"/>
      <c r="AL36" s="374"/>
      <c r="AM36" s="375"/>
      <c r="AN36" s="368"/>
      <c r="AO36" s="372"/>
      <c r="AP36" s="368"/>
      <c r="AQ36" s="368"/>
      <c r="AR36" s="368"/>
      <c r="AS36" s="370"/>
      <c r="AT36" s="368"/>
      <c r="AU36" s="372"/>
      <c r="AV36" s="368"/>
      <c r="AW36" s="368"/>
      <c r="AX36" s="368"/>
      <c r="AY36" s="370"/>
      <c r="AZ36" s="368"/>
      <c r="BA36" s="372"/>
      <c r="BB36" s="370"/>
      <c r="BC36" s="368"/>
      <c r="BE36" s="981" t="s">
        <v>18</v>
      </c>
      <c r="BF36" s="981" t="s">
        <v>1021</v>
      </c>
    </row>
    <row r="37" spans="1:58" ht="12.75" customHeight="1" outlineLevel="1" x14ac:dyDescent="0.2">
      <c r="A37" s="365" t="s">
        <v>1021</v>
      </c>
      <c r="B37" s="366">
        <v>40787</v>
      </c>
      <c r="C37" s="367">
        <f t="shared" si="0"/>
        <v>336175</v>
      </c>
      <c r="D37" s="368">
        <v>293585</v>
      </c>
      <c r="E37" s="370">
        <v>42590</v>
      </c>
      <c r="F37" s="368"/>
      <c r="G37" s="367" t="s">
        <v>47</v>
      </c>
      <c r="H37" s="369" t="s">
        <v>47</v>
      </c>
      <c r="I37" s="371" t="s">
        <v>47</v>
      </c>
      <c r="J37" s="368"/>
      <c r="K37" s="372">
        <v>238312</v>
      </c>
      <c r="L37" s="370">
        <v>78679</v>
      </c>
      <c r="M37" s="368"/>
      <c r="N37" s="372" t="s">
        <v>47</v>
      </c>
      <c r="O37" s="370" t="s">
        <v>47</v>
      </c>
      <c r="P37" s="368"/>
      <c r="Q37" s="372" t="s">
        <v>47</v>
      </c>
      <c r="R37" s="370" t="s">
        <v>47</v>
      </c>
      <c r="S37" s="368"/>
      <c r="T37" s="372" t="s">
        <v>47</v>
      </c>
      <c r="U37" s="368" t="s">
        <v>47</v>
      </c>
      <c r="V37" s="368" t="s">
        <v>47</v>
      </c>
      <c r="W37" s="368" t="s">
        <v>47</v>
      </c>
      <c r="X37" s="368" t="s">
        <v>47</v>
      </c>
      <c r="Y37" s="368" t="s">
        <v>47</v>
      </c>
      <c r="Z37" s="368" t="s">
        <v>47</v>
      </c>
      <c r="AA37" s="368" t="s">
        <v>47</v>
      </c>
      <c r="AB37" s="370" t="s">
        <v>47</v>
      </c>
      <c r="AC37" s="368"/>
      <c r="AD37" s="366">
        <f t="shared" ref="AD37:AD68" si="2">+B37</f>
        <v>40787</v>
      </c>
      <c r="AE37" s="373"/>
      <c r="AF37" s="374"/>
      <c r="AG37" s="374"/>
      <c r="AH37" s="374"/>
      <c r="AI37" s="374"/>
      <c r="AJ37" s="374"/>
      <c r="AK37" s="374"/>
      <c r="AL37" s="374"/>
      <c r="AM37" s="375"/>
      <c r="AN37" s="368"/>
      <c r="AO37" s="372"/>
      <c r="AP37" s="368"/>
      <c r="AQ37" s="368"/>
      <c r="AR37" s="368"/>
      <c r="AS37" s="370"/>
      <c r="AT37" s="368"/>
      <c r="AU37" s="372"/>
      <c r="AV37" s="368"/>
      <c r="AW37" s="368"/>
      <c r="AX37" s="368"/>
      <c r="AY37" s="370"/>
      <c r="AZ37" s="368"/>
      <c r="BA37" s="372"/>
      <c r="BB37" s="370"/>
      <c r="BC37" s="368"/>
      <c r="BE37" s="981" t="s">
        <v>18</v>
      </c>
      <c r="BF37" s="981" t="s">
        <v>1021</v>
      </c>
    </row>
    <row r="38" spans="1:58" ht="12.75" customHeight="1" outlineLevel="1" x14ac:dyDescent="0.2">
      <c r="A38" s="365" t="s">
        <v>1022</v>
      </c>
      <c r="B38" s="366">
        <v>40817</v>
      </c>
      <c r="C38" s="367">
        <f t="shared" si="0"/>
        <v>311680</v>
      </c>
      <c r="D38" s="368">
        <v>263770</v>
      </c>
      <c r="E38" s="370">
        <v>47910</v>
      </c>
      <c r="F38" s="368"/>
      <c r="G38" s="367" t="s">
        <v>47</v>
      </c>
      <c r="H38" s="369" t="s">
        <v>47</v>
      </c>
      <c r="I38" s="371" t="s">
        <v>47</v>
      </c>
      <c r="J38" s="368"/>
      <c r="K38" s="372">
        <v>246745</v>
      </c>
      <c r="L38" s="370">
        <v>70657</v>
      </c>
      <c r="M38" s="368"/>
      <c r="N38" s="372" t="s">
        <v>47</v>
      </c>
      <c r="O38" s="370" t="s">
        <v>47</v>
      </c>
      <c r="P38" s="368"/>
      <c r="Q38" s="372" t="s">
        <v>47</v>
      </c>
      <c r="R38" s="370" t="s">
        <v>47</v>
      </c>
      <c r="S38" s="368"/>
      <c r="T38" s="372" t="s">
        <v>47</v>
      </c>
      <c r="U38" s="368" t="s">
        <v>47</v>
      </c>
      <c r="V38" s="368" t="s">
        <v>47</v>
      </c>
      <c r="W38" s="368" t="s">
        <v>47</v>
      </c>
      <c r="X38" s="368" t="s">
        <v>47</v>
      </c>
      <c r="Y38" s="368" t="s">
        <v>47</v>
      </c>
      <c r="Z38" s="368" t="s">
        <v>47</v>
      </c>
      <c r="AA38" s="368" t="s">
        <v>47</v>
      </c>
      <c r="AB38" s="370" t="s">
        <v>47</v>
      </c>
      <c r="AC38" s="368"/>
      <c r="AD38" s="366">
        <f t="shared" si="2"/>
        <v>40817</v>
      </c>
      <c r="AE38" s="373"/>
      <c r="AF38" s="374"/>
      <c r="AG38" s="374"/>
      <c r="AH38" s="374"/>
      <c r="AI38" s="374"/>
      <c r="AJ38" s="374"/>
      <c r="AK38" s="374"/>
      <c r="AL38" s="374"/>
      <c r="AM38" s="375"/>
      <c r="AN38" s="368"/>
      <c r="AO38" s="372"/>
      <c r="AP38" s="368"/>
      <c r="AQ38" s="368"/>
      <c r="AR38" s="368"/>
      <c r="AS38" s="370"/>
      <c r="AT38" s="368"/>
      <c r="AU38" s="372"/>
      <c r="AV38" s="368"/>
      <c r="AW38" s="368"/>
      <c r="AX38" s="368"/>
      <c r="AY38" s="370"/>
      <c r="AZ38" s="368"/>
      <c r="BA38" s="372"/>
      <c r="BB38" s="370"/>
      <c r="BC38" s="368"/>
      <c r="BE38" s="981" t="s">
        <v>19</v>
      </c>
      <c r="BF38" s="981" t="s">
        <v>1022</v>
      </c>
    </row>
    <row r="39" spans="1:58" ht="12.75" customHeight="1" outlineLevel="1" x14ac:dyDescent="0.2">
      <c r="A39" s="365" t="s">
        <v>1022</v>
      </c>
      <c r="B39" s="366">
        <v>40848</v>
      </c>
      <c r="C39" s="367">
        <f t="shared" si="0"/>
        <v>352885</v>
      </c>
      <c r="D39" s="368">
        <v>305194</v>
      </c>
      <c r="E39" s="370">
        <v>47691</v>
      </c>
      <c r="F39" s="368"/>
      <c r="G39" s="367" t="s">
        <v>47</v>
      </c>
      <c r="H39" s="369" t="s">
        <v>47</v>
      </c>
      <c r="I39" s="371" t="s">
        <v>47</v>
      </c>
      <c r="J39" s="368"/>
      <c r="K39" s="372">
        <v>249369</v>
      </c>
      <c r="L39" s="370">
        <v>82217</v>
      </c>
      <c r="M39" s="368"/>
      <c r="N39" s="372" t="s">
        <v>47</v>
      </c>
      <c r="O39" s="370" t="s">
        <v>47</v>
      </c>
      <c r="P39" s="368"/>
      <c r="Q39" s="372" t="s">
        <v>47</v>
      </c>
      <c r="R39" s="370" t="s">
        <v>47</v>
      </c>
      <c r="S39" s="368"/>
      <c r="T39" s="372" t="s">
        <v>47</v>
      </c>
      <c r="U39" s="368" t="s">
        <v>47</v>
      </c>
      <c r="V39" s="368" t="s">
        <v>47</v>
      </c>
      <c r="W39" s="368" t="s">
        <v>47</v>
      </c>
      <c r="X39" s="368" t="s">
        <v>47</v>
      </c>
      <c r="Y39" s="368" t="s">
        <v>47</v>
      </c>
      <c r="Z39" s="368" t="s">
        <v>47</v>
      </c>
      <c r="AA39" s="368" t="s">
        <v>47</v>
      </c>
      <c r="AB39" s="370" t="s">
        <v>47</v>
      </c>
      <c r="AC39" s="368"/>
      <c r="AD39" s="366">
        <f t="shared" si="2"/>
        <v>40848</v>
      </c>
      <c r="AE39" s="373"/>
      <c r="AF39" s="374"/>
      <c r="AG39" s="374"/>
      <c r="AH39" s="374"/>
      <c r="AI39" s="374"/>
      <c r="AJ39" s="374"/>
      <c r="AK39" s="374"/>
      <c r="AL39" s="374"/>
      <c r="AM39" s="375"/>
      <c r="AN39" s="368"/>
      <c r="AO39" s="372"/>
      <c r="AP39" s="368"/>
      <c r="AQ39" s="368"/>
      <c r="AR39" s="368"/>
      <c r="AS39" s="370"/>
      <c r="AT39" s="368"/>
      <c r="AU39" s="372"/>
      <c r="AV39" s="368"/>
      <c r="AW39" s="368"/>
      <c r="AX39" s="368"/>
      <c r="AY39" s="370"/>
      <c r="AZ39" s="368"/>
      <c r="BA39" s="372"/>
      <c r="BB39" s="370"/>
      <c r="BC39" s="368"/>
      <c r="BE39" s="981" t="s">
        <v>19</v>
      </c>
      <c r="BF39" s="981" t="s">
        <v>1022</v>
      </c>
    </row>
    <row r="40" spans="1:58" ht="12.75" customHeight="1" outlineLevel="1" x14ac:dyDescent="0.2">
      <c r="A40" s="365" t="s">
        <v>1022</v>
      </c>
      <c r="B40" s="366">
        <v>40878</v>
      </c>
      <c r="C40" s="367">
        <f t="shared" si="0"/>
        <v>358303</v>
      </c>
      <c r="D40" s="368">
        <v>329204</v>
      </c>
      <c r="E40" s="370">
        <v>29099</v>
      </c>
      <c r="F40" s="368"/>
      <c r="G40" s="367" t="s">
        <v>47</v>
      </c>
      <c r="H40" s="369" t="s">
        <v>47</v>
      </c>
      <c r="I40" s="371" t="s">
        <v>47</v>
      </c>
      <c r="J40" s="368"/>
      <c r="K40" s="372">
        <v>238005</v>
      </c>
      <c r="L40" s="370">
        <v>93778</v>
      </c>
      <c r="M40" s="368"/>
      <c r="N40" s="372" t="s">
        <v>47</v>
      </c>
      <c r="O40" s="370" t="s">
        <v>47</v>
      </c>
      <c r="P40" s="368"/>
      <c r="Q40" s="372" t="s">
        <v>47</v>
      </c>
      <c r="R40" s="370" t="s">
        <v>47</v>
      </c>
      <c r="S40" s="368"/>
      <c r="T40" s="372" t="s">
        <v>47</v>
      </c>
      <c r="U40" s="368" t="s">
        <v>47</v>
      </c>
      <c r="V40" s="368" t="s">
        <v>47</v>
      </c>
      <c r="W40" s="368" t="s">
        <v>47</v>
      </c>
      <c r="X40" s="368" t="s">
        <v>47</v>
      </c>
      <c r="Y40" s="368" t="s">
        <v>47</v>
      </c>
      <c r="Z40" s="368" t="s">
        <v>47</v>
      </c>
      <c r="AA40" s="368" t="s">
        <v>47</v>
      </c>
      <c r="AB40" s="370" t="s">
        <v>47</v>
      </c>
      <c r="AC40" s="368"/>
      <c r="AD40" s="366">
        <f t="shared" si="2"/>
        <v>40878</v>
      </c>
      <c r="AE40" s="373"/>
      <c r="AF40" s="374"/>
      <c r="AG40" s="374"/>
      <c r="AH40" s="374"/>
      <c r="AI40" s="374"/>
      <c r="AJ40" s="374"/>
      <c r="AK40" s="374"/>
      <c r="AL40" s="374"/>
      <c r="AM40" s="375"/>
      <c r="AN40" s="368"/>
      <c r="AO40" s="372"/>
      <c r="AP40" s="368"/>
      <c r="AQ40" s="368"/>
      <c r="AR40" s="368"/>
      <c r="AS40" s="370"/>
      <c r="AT40" s="368"/>
      <c r="AU40" s="372"/>
      <c r="AV40" s="368"/>
      <c r="AW40" s="368"/>
      <c r="AX40" s="368"/>
      <c r="AY40" s="370"/>
      <c r="AZ40" s="368"/>
      <c r="BA40" s="372"/>
      <c r="BB40" s="370"/>
      <c r="BC40" s="368"/>
      <c r="BE40" s="981" t="s">
        <v>19</v>
      </c>
      <c r="BF40" s="981" t="s">
        <v>1022</v>
      </c>
    </row>
    <row r="41" spans="1:58" ht="12.75" customHeight="1" outlineLevel="1" x14ac:dyDescent="0.2">
      <c r="A41" s="365" t="s">
        <v>1023</v>
      </c>
      <c r="B41" s="366">
        <v>40909</v>
      </c>
      <c r="C41" s="367">
        <f t="shared" si="0"/>
        <v>284661</v>
      </c>
      <c r="D41" s="368">
        <v>252661</v>
      </c>
      <c r="E41" s="370">
        <v>32000</v>
      </c>
      <c r="F41" s="368"/>
      <c r="G41" s="367" t="s">
        <v>47</v>
      </c>
      <c r="H41" s="369" t="s">
        <v>47</v>
      </c>
      <c r="I41" s="371" t="s">
        <v>47</v>
      </c>
      <c r="J41" s="368"/>
      <c r="K41" s="372">
        <v>205995</v>
      </c>
      <c r="L41" s="370">
        <v>67449</v>
      </c>
      <c r="M41" s="368"/>
      <c r="N41" s="372" t="s">
        <v>47</v>
      </c>
      <c r="O41" s="370" t="s">
        <v>47</v>
      </c>
      <c r="P41" s="368"/>
      <c r="Q41" s="372" t="s">
        <v>47</v>
      </c>
      <c r="R41" s="370" t="s">
        <v>47</v>
      </c>
      <c r="S41" s="368"/>
      <c r="T41" s="372" t="s">
        <v>47</v>
      </c>
      <c r="U41" s="368" t="s">
        <v>47</v>
      </c>
      <c r="V41" s="368" t="s">
        <v>47</v>
      </c>
      <c r="W41" s="368" t="s">
        <v>47</v>
      </c>
      <c r="X41" s="368" t="s">
        <v>47</v>
      </c>
      <c r="Y41" s="376" t="s">
        <v>47</v>
      </c>
      <c r="Z41" s="376" t="s">
        <v>47</v>
      </c>
      <c r="AA41" s="376" t="s">
        <v>47</v>
      </c>
      <c r="AB41" s="370" t="s">
        <v>47</v>
      </c>
      <c r="AC41" s="368"/>
      <c r="AD41" s="366">
        <f t="shared" si="2"/>
        <v>40909</v>
      </c>
      <c r="AE41" s="373"/>
      <c r="AF41" s="374"/>
      <c r="AG41" s="374"/>
      <c r="AH41" s="374"/>
      <c r="AI41" s="374"/>
      <c r="AJ41" s="377"/>
      <c r="AK41" s="377"/>
      <c r="AL41" s="377"/>
      <c r="AM41" s="375"/>
      <c r="AN41" s="368"/>
      <c r="AO41" s="372"/>
      <c r="AP41" s="368"/>
      <c r="AQ41" s="376"/>
      <c r="AR41" s="376"/>
      <c r="AS41" s="370"/>
      <c r="AT41" s="368"/>
      <c r="AU41" s="372"/>
      <c r="AV41" s="368"/>
      <c r="AW41" s="376"/>
      <c r="AX41" s="376"/>
      <c r="AY41" s="370"/>
      <c r="AZ41" s="368"/>
      <c r="BA41" s="372"/>
      <c r="BB41" s="370"/>
      <c r="BC41" s="368"/>
      <c r="BE41" s="981" t="s">
        <v>7</v>
      </c>
      <c r="BF41" s="981" t="s">
        <v>1023</v>
      </c>
    </row>
    <row r="42" spans="1:58" ht="12.75" customHeight="1" outlineLevel="1" x14ac:dyDescent="0.2">
      <c r="A42" s="365" t="s">
        <v>1023</v>
      </c>
      <c r="B42" s="366">
        <v>40940</v>
      </c>
      <c r="C42" s="367">
        <f t="shared" si="0"/>
        <v>269538</v>
      </c>
      <c r="D42" s="368">
        <v>235836</v>
      </c>
      <c r="E42" s="370">
        <v>33702</v>
      </c>
      <c r="F42" s="368"/>
      <c r="G42" s="367" t="s">
        <v>47</v>
      </c>
      <c r="H42" s="369" t="s">
        <v>47</v>
      </c>
      <c r="I42" s="371" t="s">
        <v>47</v>
      </c>
      <c r="J42" s="368"/>
      <c r="K42" s="372">
        <v>204486</v>
      </c>
      <c r="L42" s="370">
        <v>60880</v>
      </c>
      <c r="M42" s="368"/>
      <c r="N42" s="372" t="s">
        <v>47</v>
      </c>
      <c r="O42" s="370" t="s">
        <v>47</v>
      </c>
      <c r="P42" s="368"/>
      <c r="Q42" s="372" t="s">
        <v>47</v>
      </c>
      <c r="R42" s="370" t="s">
        <v>47</v>
      </c>
      <c r="S42" s="368"/>
      <c r="T42" s="372" t="s">
        <v>47</v>
      </c>
      <c r="U42" s="368" t="s">
        <v>47</v>
      </c>
      <c r="V42" s="368" t="s">
        <v>47</v>
      </c>
      <c r="W42" s="368" t="s">
        <v>47</v>
      </c>
      <c r="X42" s="368" t="s">
        <v>47</v>
      </c>
      <c r="Y42" s="376" t="s">
        <v>47</v>
      </c>
      <c r="Z42" s="376" t="s">
        <v>47</v>
      </c>
      <c r="AA42" s="376" t="s">
        <v>47</v>
      </c>
      <c r="AB42" s="370" t="s">
        <v>47</v>
      </c>
      <c r="AC42" s="368"/>
      <c r="AD42" s="366">
        <f t="shared" si="2"/>
        <v>40940</v>
      </c>
      <c r="AE42" s="373"/>
      <c r="AF42" s="374"/>
      <c r="AG42" s="374"/>
      <c r="AH42" s="374"/>
      <c r="AI42" s="374"/>
      <c r="AJ42" s="377"/>
      <c r="AK42" s="377"/>
      <c r="AL42" s="377"/>
      <c r="AM42" s="375"/>
      <c r="AN42" s="368"/>
      <c r="AO42" s="372"/>
      <c r="AP42" s="368"/>
      <c r="AQ42" s="376"/>
      <c r="AR42" s="376"/>
      <c r="AS42" s="370"/>
      <c r="AT42" s="368"/>
      <c r="AU42" s="372"/>
      <c r="AV42" s="368"/>
      <c r="AW42" s="376"/>
      <c r="AX42" s="376"/>
      <c r="AY42" s="370"/>
      <c r="AZ42" s="368"/>
      <c r="BA42" s="372"/>
      <c r="BB42" s="370"/>
      <c r="BC42" s="368"/>
      <c r="BE42" s="981" t="s">
        <v>7</v>
      </c>
      <c r="BF42" s="981" t="s">
        <v>1023</v>
      </c>
    </row>
    <row r="43" spans="1:58" ht="12.75" customHeight="1" outlineLevel="1" x14ac:dyDescent="0.2">
      <c r="A43" s="365" t="s">
        <v>1023</v>
      </c>
      <c r="B43" s="366">
        <v>40969</v>
      </c>
      <c r="C43" s="367">
        <f t="shared" si="0"/>
        <v>322745</v>
      </c>
      <c r="D43" s="368">
        <v>283788</v>
      </c>
      <c r="E43" s="370">
        <v>38957</v>
      </c>
      <c r="F43" s="368"/>
      <c r="G43" s="367" t="s">
        <v>47</v>
      </c>
      <c r="H43" s="369" t="s">
        <v>47</v>
      </c>
      <c r="I43" s="371" t="s">
        <v>47</v>
      </c>
      <c r="J43" s="368"/>
      <c r="K43" s="372">
        <v>294811</v>
      </c>
      <c r="L43" s="370">
        <v>70208</v>
      </c>
      <c r="M43" s="368"/>
      <c r="N43" s="372" t="s">
        <v>47</v>
      </c>
      <c r="O43" s="370" t="s">
        <v>47</v>
      </c>
      <c r="P43" s="368"/>
      <c r="Q43" s="372" t="s">
        <v>47</v>
      </c>
      <c r="R43" s="370" t="s">
        <v>47</v>
      </c>
      <c r="S43" s="368"/>
      <c r="T43" s="372" t="s">
        <v>47</v>
      </c>
      <c r="U43" s="368" t="s">
        <v>47</v>
      </c>
      <c r="V43" s="368" t="s">
        <v>47</v>
      </c>
      <c r="W43" s="368" t="s">
        <v>47</v>
      </c>
      <c r="X43" s="368" t="s">
        <v>47</v>
      </c>
      <c r="Y43" s="376" t="s">
        <v>47</v>
      </c>
      <c r="Z43" s="376" t="s">
        <v>47</v>
      </c>
      <c r="AA43" s="376" t="s">
        <v>47</v>
      </c>
      <c r="AB43" s="370" t="s">
        <v>47</v>
      </c>
      <c r="AC43" s="368"/>
      <c r="AD43" s="366">
        <f t="shared" si="2"/>
        <v>40969</v>
      </c>
      <c r="AE43" s="373"/>
      <c r="AF43" s="374"/>
      <c r="AG43" s="374"/>
      <c r="AH43" s="374"/>
      <c r="AI43" s="374"/>
      <c r="AJ43" s="377"/>
      <c r="AK43" s="377"/>
      <c r="AL43" s="377"/>
      <c r="AM43" s="375"/>
      <c r="AN43" s="368"/>
      <c r="AO43" s="372"/>
      <c r="AP43" s="368"/>
      <c r="AQ43" s="376"/>
      <c r="AR43" s="376"/>
      <c r="AS43" s="370"/>
      <c r="AT43" s="368"/>
      <c r="AU43" s="372"/>
      <c r="AV43" s="368"/>
      <c r="AW43" s="376"/>
      <c r="AX43" s="376"/>
      <c r="AY43" s="370"/>
      <c r="AZ43" s="368"/>
      <c r="BA43" s="372"/>
      <c r="BB43" s="370"/>
      <c r="BC43" s="368"/>
      <c r="BE43" s="981" t="s">
        <v>7</v>
      </c>
      <c r="BF43" s="981" t="s">
        <v>1023</v>
      </c>
    </row>
    <row r="44" spans="1:58" ht="12.75" customHeight="1" outlineLevel="1" x14ac:dyDescent="0.2">
      <c r="A44" s="365" t="s">
        <v>1024</v>
      </c>
      <c r="B44" s="366">
        <v>41000</v>
      </c>
      <c r="C44" s="367">
        <f t="shared" si="0"/>
        <v>292760</v>
      </c>
      <c r="D44" s="368">
        <v>244576</v>
      </c>
      <c r="E44" s="370">
        <v>48184</v>
      </c>
      <c r="F44" s="368"/>
      <c r="G44" s="367" t="s">
        <v>47</v>
      </c>
      <c r="H44" s="369" t="s">
        <v>47</v>
      </c>
      <c r="I44" s="371" t="s">
        <v>47</v>
      </c>
      <c r="J44" s="368"/>
      <c r="K44" s="372">
        <v>252594</v>
      </c>
      <c r="L44" s="370">
        <v>57850</v>
      </c>
      <c r="M44" s="368"/>
      <c r="N44" s="372" t="s">
        <v>47</v>
      </c>
      <c r="O44" s="370" t="s">
        <v>47</v>
      </c>
      <c r="P44" s="368"/>
      <c r="Q44" s="372" t="s">
        <v>47</v>
      </c>
      <c r="R44" s="370" t="s">
        <v>47</v>
      </c>
      <c r="S44" s="368"/>
      <c r="T44" s="372" t="s">
        <v>47</v>
      </c>
      <c r="U44" s="368" t="s">
        <v>47</v>
      </c>
      <c r="V44" s="368" t="s">
        <v>47</v>
      </c>
      <c r="W44" s="368" t="s">
        <v>47</v>
      </c>
      <c r="X44" s="368" t="s">
        <v>47</v>
      </c>
      <c r="Y44" s="376" t="s">
        <v>47</v>
      </c>
      <c r="Z44" s="376" t="s">
        <v>47</v>
      </c>
      <c r="AA44" s="376" t="s">
        <v>47</v>
      </c>
      <c r="AB44" s="370" t="s">
        <v>47</v>
      </c>
      <c r="AC44" s="368"/>
      <c r="AD44" s="366">
        <f t="shared" si="2"/>
        <v>41000</v>
      </c>
      <c r="AE44" s="373"/>
      <c r="AF44" s="374"/>
      <c r="AG44" s="374"/>
      <c r="AH44" s="374"/>
      <c r="AI44" s="374"/>
      <c r="AJ44" s="377"/>
      <c r="AK44" s="377"/>
      <c r="AL44" s="377"/>
      <c r="AM44" s="375"/>
      <c r="AN44" s="368"/>
      <c r="AO44" s="372"/>
      <c r="AP44" s="368"/>
      <c r="AQ44" s="376"/>
      <c r="AR44" s="376"/>
      <c r="AS44" s="370"/>
      <c r="AT44" s="368"/>
      <c r="AU44" s="372"/>
      <c r="AV44" s="368"/>
      <c r="AW44" s="376"/>
      <c r="AX44" s="376"/>
      <c r="AY44" s="370"/>
      <c r="AZ44" s="368"/>
      <c r="BA44" s="372"/>
      <c r="BB44" s="370"/>
      <c r="BC44" s="368"/>
      <c r="BE44" s="981" t="s">
        <v>6</v>
      </c>
      <c r="BF44" s="981" t="s">
        <v>1024</v>
      </c>
    </row>
    <row r="45" spans="1:58" ht="12.75" customHeight="1" outlineLevel="1" x14ac:dyDescent="0.2">
      <c r="A45" s="365" t="s">
        <v>1024</v>
      </c>
      <c r="B45" s="366">
        <v>41030</v>
      </c>
      <c r="C45" s="367">
        <f t="shared" si="0"/>
        <v>298328</v>
      </c>
      <c r="D45" s="368">
        <v>274280</v>
      </c>
      <c r="E45" s="370">
        <v>24048</v>
      </c>
      <c r="F45" s="368"/>
      <c r="G45" s="367" t="s">
        <v>47</v>
      </c>
      <c r="H45" s="369" t="s">
        <v>47</v>
      </c>
      <c r="I45" s="371" t="s">
        <v>47</v>
      </c>
      <c r="J45" s="368"/>
      <c r="K45" s="372">
        <v>270885</v>
      </c>
      <c r="L45" s="370">
        <v>63376</v>
      </c>
      <c r="M45" s="368"/>
      <c r="N45" s="372" t="s">
        <v>47</v>
      </c>
      <c r="O45" s="370" t="s">
        <v>47</v>
      </c>
      <c r="P45" s="368"/>
      <c r="Q45" s="372" t="s">
        <v>47</v>
      </c>
      <c r="R45" s="370" t="s">
        <v>47</v>
      </c>
      <c r="S45" s="368"/>
      <c r="T45" s="372" t="s">
        <v>47</v>
      </c>
      <c r="U45" s="368" t="s">
        <v>47</v>
      </c>
      <c r="V45" s="368" t="s">
        <v>47</v>
      </c>
      <c r="W45" s="368" t="s">
        <v>47</v>
      </c>
      <c r="X45" s="368" t="s">
        <v>47</v>
      </c>
      <c r="Y45" s="376" t="s">
        <v>47</v>
      </c>
      <c r="Z45" s="376" t="s">
        <v>47</v>
      </c>
      <c r="AA45" s="376" t="s">
        <v>47</v>
      </c>
      <c r="AB45" s="370" t="s">
        <v>47</v>
      </c>
      <c r="AC45" s="368"/>
      <c r="AD45" s="366">
        <f t="shared" si="2"/>
        <v>41030</v>
      </c>
      <c r="AE45" s="373"/>
      <c r="AF45" s="374"/>
      <c r="AG45" s="374"/>
      <c r="AH45" s="374"/>
      <c r="AI45" s="374"/>
      <c r="AJ45" s="377"/>
      <c r="AK45" s="377"/>
      <c r="AL45" s="377"/>
      <c r="AM45" s="375"/>
      <c r="AN45" s="368"/>
      <c r="AO45" s="372"/>
      <c r="AP45" s="368"/>
      <c r="AQ45" s="376"/>
      <c r="AR45" s="376"/>
      <c r="AS45" s="370"/>
      <c r="AT45" s="368"/>
      <c r="AU45" s="372"/>
      <c r="AV45" s="368"/>
      <c r="AW45" s="376"/>
      <c r="AX45" s="376"/>
      <c r="AY45" s="370"/>
      <c r="AZ45" s="368"/>
      <c r="BA45" s="372"/>
      <c r="BB45" s="370"/>
      <c r="BC45" s="368"/>
      <c r="BE45" s="981" t="s">
        <v>6</v>
      </c>
      <c r="BF45" s="981" t="s">
        <v>1024</v>
      </c>
    </row>
    <row r="46" spans="1:58" ht="12.75" customHeight="1" outlineLevel="1" x14ac:dyDescent="0.2">
      <c r="A46" s="365" t="s">
        <v>1024</v>
      </c>
      <c r="B46" s="366">
        <v>41061</v>
      </c>
      <c r="C46" s="367">
        <f t="shared" si="0"/>
        <v>373419</v>
      </c>
      <c r="D46" s="368">
        <v>340612</v>
      </c>
      <c r="E46" s="370">
        <v>32807</v>
      </c>
      <c r="F46" s="368"/>
      <c r="G46" s="367" t="s">
        <v>47</v>
      </c>
      <c r="H46" s="369" t="s">
        <v>47</v>
      </c>
      <c r="I46" s="371" t="s">
        <v>47</v>
      </c>
      <c r="J46" s="368"/>
      <c r="K46" s="372">
        <v>265547</v>
      </c>
      <c r="L46" s="370">
        <v>71195</v>
      </c>
      <c r="M46" s="368"/>
      <c r="N46" s="372" t="s">
        <v>47</v>
      </c>
      <c r="O46" s="370" t="s">
        <v>47</v>
      </c>
      <c r="P46" s="368"/>
      <c r="Q46" s="372" t="s">
        <v>47</v>
      </c>
      <c r="R46" s="370" t="s">
        <v>47</v>
      </c>
      <c r="S46" s="368"/>
      <c r="T46" s="372" t="s">
        <v>47</v>
      </c>
      <c r="U46" s="368" t="s">
        <v>47</v>
      </c>
      <c r="V46" s="368" t="s">
        <v>47</v>
      </c>
      <c r="W46" s="368" t="s">
        <v>47</v>
      </c>
      <c r="X46" s="368" t="s">
        <v>47</v>
      </c>
      <c r="Y46" s="376" t="s">
        <v>47</v>
      </c>
      <c r="Z46" s="376" t="s">
        <v>47</v>
      </c>
      <c r="AA46" s="376" t="s">
        <v>47</v>
      </c>
      <c r="AB46" s="370" t="s">
        <v>47</v>
      </c>
      <c r="AC46" s="368"/>
      <c r="AD46" s="366">
        <f t="shared" si="2"/>
        <v>41061</v>
      </c>
      <c r="AE46" s="373"/>
      <c r="AF46" s="374"/>
      <c r="AG46" s="374"/>
      <c r="AH46" s="374"/>
      <c r="AI46" s="374"/>
      <c r="AJ46" s="377"/>
      <c r="AK46" s="377"/>
      <c r="AL46" s="377"/>
      <c r="AM46" s="375"/>
      <c r="AN46" s="368"/>
      <c r="AO46" s="372"/>
      <c r="AP46" s="368"/>
      <c r="AQ46" s="376"/>
      <c r="AR46" s="376"/>
      <c r="AS46" s="370"/>
      <c r="AT46" s="368"/>
      <c r="AU46" s="372"/>
      <c r="AV46" s="368"/>
      <c r="AW46" s="376"/>
      <c r="AX46" s="376"/>
      <c r="AY46" s="370"/>
      <c r="AZ46" s="368"/>
      <c r="BA46" s="372"/>
      <c r="BB46" s="370"/>
      <c r="BC46" s="368"/>
      <c r="BE46" s="981" t="s">
        <v>6</v>
      </c>
      <c r="BF46" s="981" t="s">
        <v>1024</v>
      </c>
    </row>
    <row r="47" spans="1:58" ht="12.75" customHeight="1" outlineLevel="1" x14ac:dyDescent="0.2">
      <c r="A47" s="365" t="s">
        <v>1025</v>
      </c>
      <c r="B47" s="366">
        <v>41091</v>
      </c>
      <c r="C47" s="367">
        <f t="shared" si="0"/>
        <v>377993</v>
      </c>
      <c r="D47" s="368">
        <v>351224</v>
      </c>
      <c r="E47" s="370">
        <v>26769</v>
      </c>
      <c r="F47" s="368"/>
      <c r="G47" s="367" t="s">
        <v>47</v>
      </c>
      <c r="H47" s="369" t="s">
        <v>47</v>
      </c>
      <c r="I47" s="371" t="s">
        <v>47</v>
      </c>
      <c r="J47" s="368"/>
      <c r="K47" s="372">
        <v>285527</v>
      </c>
      <c r="L47" s="370">
        <v>69651</v>
      </c>
      <c r="M47" s="368"/>
      <c r="N47" s="372" t="s">
        <v>47</v>
      </c>
      <c r="O47" s="370" t="s">
        <v>47</v>
      </c>
      <c r="P47" s="368"/>
      <c r="Q47" s="372" t="s">
        <v>47</v>
      </c>
      <c r="R47" s="370" t="s">
        <v>47</v>
      </c>
      <c r="S47" s="368"/>
      <c r="T47" s="372" t="s">
        <v>47</v>
      </c>
      <c r="U47" s="368" t="s">
        <v>47</v>
      </c>
      <c r="V47" s="368" t="s">
        <v>47</v>
      </c>
      <c r="W47" s="368" t="s">
        <v>47</v>
      </c>
      <c r="X47" s="368" t="s">
        <v>47</v>
      </c>
      <c r="Y47" s="376" t="s">
        <v>47</v>
      </c>
      <c r="Z47" s="376" t="s">
        <v>47</v>
      </c>
      <c r="AA47" s="376" t="s">
        <v>47</v>
      </c>
      <c r="AB47" s="370" t="s">
        <v>47</v>
      </c>
      <c r="AC47" s="368"/>
      <c r="AD47" s="366">
        <f t="shared" si="2"/>
        <v>41091</v>
      </c>
      <c r="AE47" s="373"/>
      <c r="AF47" s="374"/>
      <c r="AG47" s="374"/>
      <c r="AH47" s="374"/>
      <c r="AI47" s="374"/>
      <c r="AJ47" s="377"/>
      <c r="AK47" s="377"/>
      <c r="AL47" s="377"/>
      <c r="AM47" s="375"/>
      <c r="AN47" s="368"/>
      <c r="AO47" s="372"/>
      <c r="AP47" s="368"/>
      <c r="AQ47" s="376"/>
      <c r="AR47" s="376"/>
      <c r="AS47" s="370"/>
      <c r="AT47" s="368"/>
      <c r="AU47" s="372"/>
      <c r="AV47" s="368"/>
      <c r="AW47" s="376"/>
      <c r="AX47" s="376"/>
      <c r="AY47" s="370"/>
      <c r="AZ47" s="368"/>
      <c r="BA47" s="372"/>
      <c r="BB47" s="370"/>
      <c r="BC47" s="368"/>
      <c r="BE47" s="981" t="s">
        <v>5</v>
      </c>
      <c r="BF47" s="981" t="s">
        <v>1025</v>
      </c>
    </row>
    <row r="48" spans="1:58" ht="12.75" customHeight="1" outlineLevel="1" x14ac:dyDescent="0.2">
      <c r="A48" s="365" t="s">
        <v>1025</v>
      </c>
      <c r="B48" s="366">
        <v>41122</v>
      </c>
      <c r="C48" s="367">
        <f t="shared" si="0"/>
        <v>444744</v>
      </c>
      <c r="D48" s="368">
        <v>405480</v>
      </c>
      <c r="E48" s="370">
        <v>39264</v>
      </c>
      <c r="F48" s="368"/>
      <c r="G48" s="367" t="s">
        <v>47</v>
      </c>
      <c r="H48" s="369" t="s">
        <v>47</v>
      </c>
      <c r="I48" s="371" t="s">
        <v>47</v>
      </c>
      <c r="J48" s="368"/>
      <c r="K48" s="372">
        <v>316730</v>
      </c>
      <c r="L48" s="370">
        <v>78875</v>
      </c>
      <c r="M48" s="368"/>
      <c r="N48" s="372" t="s">
        <v>47</v>
      </c>
      <c r="O48" s="370" t="s">
        <v>47</v>
      </c>
      <c r="P48" s="368"/>
      <c r="Q48" s="372" t="s">
        <v>47</v>
      </c>
      <c r="R48" s="370" t="s">
        <v>47</v>
      </c>
      <c r="S48" s="368"/>
      <c r="T48" s="372" t="s">
        <v>47</v>
      </c>
      <c r="U48" s="368" t="s">
        <v>47</v>
      </c>
      <c r="V48" s="368" t="s">
        <v>47</v>
      </c>
      <c r="W48" s="368" t="s">
        <v>47</v>
      </c>
      <c r="X48" s="368" t="s">
        <v>47</v>
      </c>
      <c r="Y48" s="376" t="s">
        <v>47</v>
      </c>
      <c r="Z48" s="376" t="s">
        <v>47</v>
      </c>
      <c r="AA48" s="376" t="s">
        <v>47</v>
      </c>
      <c r="AB48" s="370" t="s">
        <v>47</v>
      </c>
      <c r="AC48" s="368"/>
      <c r="AD48" s="366">
        <f t="shared" si="2"/>
        <v>41122</v>
      </c>
      <c r="AE48" s="373"/>
      <c r="AF48" s="374"/>
      <c r="AG48" s="374"/>
      <c r="AH48" s="374"/>
      <c r="AI48" s="374"/>
      <c r="AJ48" s="377"/>
      <c r="AK48" s="377"/>
      <c r="AL48" s="377"/>
      <c r="AM48" s="375"/>
      <c r="AN48" s="368"/>
      <c r="AO48" s="372"/>
      <c r="AP48" s="368"/>
      <c r="AQ48" s="376"/>
      <c r="AR48" s="376"/>
      <c r="AS48" s="370"/>
      <c r="AT48" s="368"/>
      <c r="AU48" s="372"/>
      <c r="AV48" s="368"/>
      <c r="AW48" s="376"/>
      <c r="AX48" s="376"/>
      <c r="AY48" s="370"/>
      <c r="AZ48" s="368"/>
      <c r="BA48" s="372"/>
      <c r="BB48" s="370"/>
      <c r="BC48" s="368"/>
      <c r="BE48" s="981" t="s">
        <v>5</v>
      </c>
      <c r="BF48" s="981" t="s">
        <v>1025</v>
      </c>
    </row>
    <row r="49" spans="1:58" ht="12.75" customHeight="1" outlineLevel="1" x14ac:dyDescent="0.2">
      <c r="A49" s="365" t="s">
        <v>1025</v>
      </c>
      <c r="B49" s="366">
        <v>41153</v>
      </c>
      <c r="C49" s="367">
        <f t="shared" si="0"/>
        <v>302249</v>
      </c>
      <c r="D49" s="368">
        <v>277694</v>
      </c>
      <c r="E49" s="370">
        <v>24555</v>
      </c>
      <c r="F49" s="368"/>
      <c r="G49" s="367" t="s">
        <v>47</v>
      </c>
      <c r="H49" s="369" t="s">
        <v>47</v>
      </c>
      <c r="I49" s="371" t="s">
        <v>47</v>
      </c>
      <c r="J49" s="368"/>
      <c r="K49" s="372">
        <v>273840</v>
      </c>
      <c r="L49" s="370">
        <v>53761</v>
      </c>
      <c r="M49" s="368"/>
      <c r="N49" s="372" t="s">
        <v>47</v>
      </c>
      <c r="O49" s="370" t="s">
        <v>47</v>
      </c>
      <c r="P49" s="368"/>
      <c r="Q49" s="372" t="s">
        <v>47</v>
      </c>
      <c r="R49" s="370" t="s">
        <v>47</v>
      </c>
      <c r="S49" s="368"/>
      <c r="T49" s="372" t="s">
        <v>47</v>
      </c>
      <c r="U49" s="368" t="s">
        <v>47</v>
      </c>
      <c r="V49" s="368" t="s">
        <v>47</v>
      </c>
      <c r="W49" s="368" t="s">
        <v>47</v>
      </c>
      <c r="X49" s="368" t="s">
        <v>47</v>
      </c>
      <c r="Y49" s="376" t="s">
        <v>47</v>
      </c>
      <c r="Z49" s="376" t="s">
        <v>47</v>
      </c>
      <c r="AA49" s="376" t="s">
        <v>47</v>
      </c>
      <c r="AB49" s="370" t="s">
        <v>47</v>
      </c>
      <c r="AC49" s="368"/>
      <c r="AD49" s="366">
        <f t="shared" si="2"/>
        <v>41153</v>
      </c>
      <c r="AE49" s="373"/>
      <c r="AF49" s="374"/>
      <c r="AG49" s="374"/>
      <c r="AH49" s="374"/>
      <c r="AI49" s="374"/>
      <c r="AJ49" s="377"/>
      <c r="AK49" s="377"/>
      <c r="AL49" s="377"/>
      <c r="AM49" s="375"/>
      <c r="AN49" s="368"/>
      <c r="AO49" s="372"/>
      <c r="AP49" s="368"/>
      <c r="AQ49" s="376"/>
      <c r="AR49" s="376"/>
      <c r="AS49" s="370"/>
      <c r="AT49" s="368"/>
      <c r="AU49" s="372"/>
      <c r="AV49" s="368"/>
      <c r="AW49" s="376"/>
      <c r="AX49" s="376"/>
      <c r="AY49" s="370"/>
      <c r="AZ49" s="368"/>
      <c r="BA49" s="372"/>
      <c r="BB49" s="370"/>
      <c r="BC49" s="368"/>
      <c r="BE49" s="981" t="s">
        <v>5</v>
      </c>
      <c r="BF49" s="981" t="s">
        <v>1025</v>
      </c>
    </row>
    <row r="50" spans="1:58" ht="12.75" customHeight="1" outlineLevel="1" x14ac:dyDescent="0.2">
      <c r="A50" s="365" t="s">
        <v>1026</v>
      </c>
      <c r="B50" s="366">
        <v>41183</v>
      </c>
      <c r="C50" s="367">
        <f t="shared" si="0"/>
        <v>366015</v>
      </c>
      <c r="D50" s="368">
        <v>327027</v>
      </c>
      <c r="E50" s="370">
        <v>38988</v>
      </c>
      <c r="F50" s="368"/>
      <c r="G50" s="367" t="s">
        <v>47</v>
      </c>
      <c r="H50" s="369" t="s">
        <v>47</v>
      </c>
      <c r="I50" s="371" t="s">
        <v>47</v>
      </c>
      <c r="J50" s="368"/>
      <c r="K50" s="372">
        <v>307303</v>
      </c>
      <c r="L50" s="370">
        <v>59675</v>
      </c>
      <c r="M50" s="368"/>
      <c r="N50" s="372" t="s">
        <v>47</v>
      </c>
      <c r="O50" s="370" t="s">
        <v>47</v>
      </c>
      <c r="P50" s="368"/>
      <c r="Q50" s="372" t="s">
        <v>47</v>
      </c>
      <c r="R50" s="370" t="s">
        <v>47</v>
      </c>
      <c r="S50" s="368"/>
      <c r="T50" s="372" t="s">
        <v>47</v>
      </c>
      <c r="U50" s="368" t="s">
        <v>47</v>
      </c>
      <c r="V50" s="368" t="s">
        <v>47</v>
      </c>
      <c r="W50" s="368" t="s">
        <v>47</v>
      </c>
      <c r="X50" s="368" t="s">
        <v>47</v>
      </c>
      <c r="Y50" s="376" t="s">
        <v>47</v>
      </c>
      <c r="Z50" s="376" t="s">
        <v>47</v>
      </c>
      <c r="AA50" s="376" t="s">
        <v>47</v>
      </c>
      <c r="AB50" s="370" t="s">
        <v>47</v>
      </c>
      <c r="AC50" s="368"/>
      <c r="AD50" s="366">
        <f t="shared" si="2"/>
        <v>41183</v>
      </c>
      <c r="AE50" s="373"/>
      <c r="AF50" s="374"/>
      <c r="AG50" s="374"/>
      <c r="AH50" s="374"/>
      <c r="AI50" s="374"/>
      <c r="AJ50" s="377"/>
      <c r="AK50" s="377"/>
      <c r="AL50" s="377"/>
      <c r="AM50" s="375"/>
      <c r="AN50" s="368"/>
      <c r="AO50" s="372"/>
      <c r="AP50" s="368"/>
      <c r="AQ50" s="376"/>
      <c r="AR50" s="376"/>
      <c r="AS50" s="370"/>
      <c r="AT50" s="368"/>
      <c r="AU50" s="372"/>
      <c r="AV50" s="368"/>
      <c r="AW50" s="376"/>
      <c r="AX50" s="376"/>
      <c r="AY50" s="370"/>
      <c r="AZ50" s="368"/>
      <c r="BA50" s="372"/>
      <c r="BB50" s="370"/>
      <c r="BC50" s="368"/>
      <c r="BE50" s="981" t="s">
        <v>4</v>
      </c>
      <c r="BF50" s="981" t="s">
        <v>1026</v>
      </c>
    </row>
    <row r="51" spans="1:58" ht="12.75" customHeight="1" outlineLevel="1" x14ac:dyDescent="0.2">
      <c r="A51" s="365" t="s">
        <v>1026</v>
      </c>
      <c r="B51" s="366">
        <v>41214</v>
      </c>
      <c r="C51" s="367">
        <f t="shared" si="0"/>
        <v>331054</v>
      </c>
      <c r="D51" s="368">
        <v>297076</v>
      </c>
      <c r="E51" s="370">
        <v>33978</v>
      </c>
      <c r="F51" s="368"/>
      <c r="G51" s="367" t="s">
        <v>47</v>
      </c>
      <c r="H51" s="369" t="s">
        <v>47</v>
      </c>
      <c r="I51" s="371" t="s">
        <v>47</v>
      </c>
      <c r="J51" s="368"/>
      <c r="K51" s="372">
        <v>298431</v>
      </c>
      <c r="L51" s="370">
        <v>58045</v>
      </c>
      <c r="M51" s="368"/>
      <c r="N51" s="372" t="s">
        <v>47</v>
      </c>
      <c r="O51" s="370" t="s">
        <v>47</v>
      </c>
      <c r="P51" s="368"/>
      <c r="Q51" s="372" t="s">
        <v>47</v>
      </c>
      <c r="R51" s="370" t="s">
        <v>47</v>
      </c>
      <c r="S51" s="368"/>
      <c r="T51" s="372" t="s">
        <v>47</v>
      </c>
      <c r="U51" s="368" t="s">
        <v>47</v>
      </c>
      <c r="V51" s="368" t="s">
        <v>47</v>
      </c>
      <c r="W51" s="368" t="s">
        <v>47</v>
      </c>
      <c r="X51" s="368" t="s">
        <v>47</v>
      </c>
      <c r="Y51" s="376" t="s">
        <v>47</v>
      </c>
      <c r="Z51" s="376" t="s">
        <v>47</v>
      </c>
      <c r="AA51" s="376" t="s">
        <v>47</v>
      </c>
      <c r="AB51" s="370" t="s">
        <v>47</v>
      </c>
      <c r="AC51" s="368"/>
      <c r="AD51" s="366">
        <f t="shared" si="2"/>
        <v>41214</v>
      </c>
      <c r="AE51" s="373"/>
      <c r="AF51" s="374"/>
      <c r="AG51" s="374"/>
      <c r="AH51" s="374"/>
      <c r="AI51" s="374"/>
      <c r="AJ51" s="377"/>
      <c r="AK51" s="377"/>
      <c r="AL51" s="377"/>
      <c r="AM51" s="375"/>
      <c r="AN51" s="368"/>
      <c r="AO51" s="372"/>
      <c r="AP51" s="368"/>
      <c r="AQ51" s="376"/>
      <c r="AR51" s="376"/>
      <c r="AS51" s="370"/>
      <c r="AT51" s="368"/>
      <c r="AU51" s="372"/>
      <c r="AV51" s="368"/>
      <c r="AW51" s="376"/>
      <c r="AX51" s="376"/>
      <c r="AY51" s="370"/>
      <c r="AZ51" s="368"/>
      <c r="BA51" s="372"/>
      <c r="BB51" s="370"/>
      <c r="BC51" s="368"/>
      <c r="BE51" s="981" t="s">
        <v>4</v>
      </c>
      <c r="BF51" s="981" t="s">
        <v>1026</v>
      </c>
    </row>
    <row r="52" spans="1:58" ht="12.75" customHeight="1" outlineLevel="1" x14ac:dyDescent="0.2">
      <c r="A52" s="365" t="s">
        <v>1026</v>
      </c>
      <c r="B52" s="366">
        <v>41244</v>
      </c>
      <c r="C52" s="367">
        <f t="shared" si="0"/>
        <v>383211</v>
      </c>
      <c r="D52" s="368">
        <v>343865</v>
      </c>
      <c r="E52" s="370">
        <v>39346</v>
      </c>
      <c r="F52" s="368"/>
      <c r="G52" s="367">
        <f t="shared" ref="G52:G106" si="3">+H52+I52</f>
        <v>295.2</v>
      </c>
      <c r="H52" s="669">
        <v>243.6</v>
      </c>
      <c r="I52" s="670">
        <v>51.6</v>
      </c>
      <c r="J52" s="368"/>
      <c r="K52" s="372">
        <v>256776</v>
      </c>
      <c r="L52" s="370">
        <v>72703</v>
      </c>
      <c r="M52" s="368"/>
      <c r="N52" s="372" t="s">
        <v>47</v>
      </c>
      <c r="O52" s="370" t="s">
        <v>47</v>
      </c>
      <c r="P52" s="368"/>
      <c r="Q52" s="372" t="s">
        <v>47</v>
      </c>
      <c r="R52" s="370" t="s">
        <v>47</v>
      </c>
      <c r="S52" s="368"/>
      <c r="T52" s="372" t="s">
        <v>47</v>
      </c>
      <c r="U52" s="368" t="s">
        <v>47</v>
      </c>
      <c r="V52" s="368" t="s">
        <v>47</v>
      </c>
      <c r="W52" s="368" t="s">
        <v>47</v>
      </c>
      <c r="X52" s="368" t="s">
        <v>47</v>
      </c>
      <c r="Y52" s="376" t="s">
        <v>47</v>
      </c>
      <c r="Z52" s="376" t="s">
        <v>47</v>
      </c>
      <c r="AA52" s="376" t="s">
        <v>47</v>
      </c>
      <c r="AB52" s="370" t="s">
        <v>47</v>
      </c>
      <c r="AC52" s="368"/>
      <c r="AD52" s="366">
        <f t="shared" si="2"/>
        <v>41244</v>
      </c>
      <c r="AE52" s="373"/>
      <c r="AF52" s="374"/>
      <c r="AG52" s="374"/>
      <c r="AH52" s="374"/>
      <c r="AI52" s="374"/>
      <c r="AJ52" s="377"/>
      <c r="AK52" s="377"/>
      <c r="AL52" s="377"/>
      <c r="AM52" s="375"/>
      <c r="AN52" s="368"/>
      <c r="AO52" s="372"/>
      <c r="AP52" s="368"/>
      <c r="AQ52" s="376"/>
      <c r="AR52" s="376"/>
      <c r="AS52" s="370"/>
      <c r="AT52" s="368"/>
      <c r="AU52" s="372"/>
      <c r="AV52" s="368"/>
      <c r="AW52" s="376"/>
      <c r="AX52" s="376"/>
      <c r="AY52" s="370"/>
      <c r="AZ52" s="368"/>
      <c r="BA52" s="372"/>
      <c r="BB52" s="370"/>
      <c r="BC52" s="368"/>
      <c r="BE52" s="981" t="s">
        <v>4</v>
      </c>
      <c r="BF52" s="981" t="s">
        <v>1026</v>
      </c>
    </row>
    <row r="53" spans="1:58" ht="12.75" customHeight="1" outlineLevel="1" collapsed="1" x14ac:dyDescent="0.2">
      <c r="A53" s="365" t="s">
        <v>467</v>
      </c>
      <c r="B53" s="366">
        <v>41275</v>
      </c>
      <c r="C53" s="378">
        <f t="shared" si="0"/>
        <v>331527</v>
      </c>
      <c r="D53" s="379">
        <v>297188</v>
      </c>
      <c r="E53" s="380">
        <v>34339</v>
      </c>
      <c r="F53" s="368"/>
      <c r="G53" s="378">
        <f t="shared" si="3"/>
        <v>298</v>
      </c>
      <c r="H53" s="671">
        <v>237.9</v>
      </c>
      <c r="I53" s="672">
        <v>60.1</v>
      </c>
      <c r="J53" s="368"/>
      <c r="K53" s="381">
        <v>276493</v>
      </c>
      <c r="L53" s="380">
        <v>46648</v>
      </c>
      <c r="M53" s="368"/>
      <c r="N53" s="381" t="s">
        <v>47</v>
      </c>
      <c r="O53" s="380" t="s">
        <v>47</v>
      </c>
      <c r="P53" s="368"/>
      <c r="Q53" s="381" t="s">
        <v>47</v>
      </c>
      <c r="R53" s="380" t="s">
        <v>47</v>
      </c>
      <c r="S53" s="368"/>
      <c r="T53" s="381" t="s">
        <v>47</v>
      </c>
      <c r="U53" s="379" t="s">
        <v>47</v>
      </c>
      <c r="V53" s="379" t="s">
        <v>47</v>
      </c>
      <c r="W53" s="379" t="s">
        <v>47</v>
      </c>
      <c r="X53" s="379" t="s">
        <v>47</v>
      </c>
      <c r="Y53" s="379" t="s">
        <v>47</v>
      </c>
      <c r="Z53" s="379" t="s">
        <v>47</v>
      </c>
      <c r="AA53" s="379" t="s">
        <v>47</v>
      </c>
      <c r="AB53" s="380" t="s">
        <v>47</v>
      </c>
      <c r="AC53" s="368"/>
      <c r="AD53" s="366">
        <f t="shared" si="2"/>
        <v>41275</v>
      </c>
      <c r="AE53" s="384" t="s">
        <v>47</v>
      </c>
      <c r="AF53" s="385" t="s">
        <v>47</v>
      </c>
      <c r="AG53" s="385" t="s">
        <v>47</v>
      </c>
      <c r="AH53" s="385" t="s">
        <v>47</v>
      </c>
      <c r="AI53" s="385" t="s">
        <v>47</v>
      </c>
      <c r="AJ53" s="385" t="s">
        <v>47</v>
      </c>
      <c r="AK53" s="385" t="s">
        <v>47</v>
      </c>
      <c r="AL53" s="382" t="s">
        <v>47</v>
      </c>
      <c r="AM53" s="386" t="s">
        <v>47</v>
      </c>
      <c r="AN53" s="368"/>
      <c r="AO53" s="387" t="s">
        <v>47</v>
      </c>
      <c r="AP53" s="382" t="s">
        <v>47</v>
      </c>
      <c r="AQ53" s="382" t="s">
        <v>47</v>
      </c>
      <c r="AR53" s="382" t="s">
        <v>47</v>
      </c>
      <c r="AS53" s="383" t="s">
        <v>47</v>
      </c>
      <c r="AT53" s="368"/>
      <c r="AU53" s="381" t="s">
        <v>47</v>
      </c>
      <c r="AV53" s="382" t="s">
        <v>47</v>
      </c>
      <c r="AW53" s="382" t="s">
        <v>47</v>
      </c>
      <c r="AX53" s="382" t="s">
        <v>47</v>
      </c>
      <c r="AY53" s="383" t="s">
        <v>47</v>
      </c>
      <c r="AZ53" s="368"/>
      <c r="BA53" s="388">
        <f t="shared" ref="BA53:BA84" si="4">+E53/K53</f>
        <v>0.12419482590879335</v>
      </c>
      <c r="BB53" s="389">
        <f t="shared" ref="BB53:BB84" si="5">+L53/D53</f>
        <v>0.15696461499118403</v>
      </c>
      <c r="BC53" s="368"/>
      <c r="BE53" s="981" t="s">
        <v>3</v>
      </c>
      <c r="BF53" s="981" t="s">
        <v>467</v>
      </c>
    </row>
    <row r="54" spans="1:58" ht="12.75" customHeight="1" outlineLevel="1" x14ac:dyDescent="0.2">
      <c r="A54" s="365" t="s">
        <v>467</v>
      </c>
      <c r="B54" s="366">
        <v>41306</v>
      </c>
      <c r="C54" s="378">
        <f t="shared" si="0"/>
        <v>252916</v>
      </c>
      <c r="D54" s="379">
        <v>222731</v>
      </c>
      <c r="E54" s="380">
        <v>30185</v>
      </c>
      <c r="F54" s="368"/>
      <c r="G54" s="378">
        <f t="shared" si="3"/>
        <v>310.3</v>
      </c>
      <c r="H54" s="671">
        <v>243.9</v>
      </c>
      <c r="I54" s="672">
        <v>66.400000000000006</v>
      </c>
      <c r="J54" s="368"/>
      <c r="K54" s="381">
        <v>223926</v>
      </c>
      <c r="L54" s="380">
        <v>37129</v>
      </c>
      <c r="M54" s="368"/>
      <c r="N54" s="381" t="s">
        <v>47</v>
      </c>
      <c r="O54" s="380" t="s">
        <v>47</v>
      </c>
      <c r="P54" s="368"/>
      <c r="Q54" s="381" t="s">
        <v>47</v>
      </c>
      <c r="R54" s="380" t="s">
        <v>47</v>
      </c>
      <c r="S54" s="368"/>
      <c r="T54" s="381" t="s">
        <v>47</v>
      </c>
      <c r="U54" s="379" t="s">
        <v>47</v>
      </c>
      <c r="V54" s="379" t="s">
        <v>47</v>
      </c>
      <c r="W54" s="379" t="s">
        <v>47</v>
      </c>
      <c r="X54" s="379" t="s">
        <v>47</v>
      </c>
      <c r="Y54" s="379" t="s">
        <v>47</v>
      </c>
      <c r="Z54" s="379" t="s">
        <v>47</v>
      </c>
      <c r="AA54" s="379" t="s">
        <v>47</v>
      </c>
      <c r="AB54" s="380" t="s">
        <v>47</v>
      </c>
      <c r="AC54" s="368"/>
      <c r="AD54" s="366">
        <f t="shared" si="2"/>
        <v>41306</v>
      </c>
      <c r="AE54" s="384" t="s">
        <v>47</v>
      </c>
      <c r="AF54" s="385" t="s">
        <v>47</v>
      </c>
      <c r="AG54" s="385" t="s">
        <v>47</v>
      </c>
      <c r="AH54" s="385" t="s">
        <v>47</v>
      </c>
      <c r="AI54" s="385" t="s">
        <v>47</v>
      </c>
      <c r="AJ54" s="385" t="s">
        <v>47</v>
      </c>
      <c r="AK54" s="385" t="s">
        <v>47</v>
      </c>
      <c r="AL54" s="382" t="s">
        <v>47</v>
      </c>
      <c r="AM54" s="386" t="s">
        <v>47</v>
      </c>
      <c r="AN54" s="368"/>
      <c r="AO54" s="387" t="s">
        <v>47</v>
      </c>
      <c r="AP54" s="382" t="s">
        <v>47</v>
      </c>
      <c r="AQ54" s="382" t="s">
        <v>47</v>
      </c>
      <c r="AR54" s="382" t="s">
        <v>47</v>
      </c>
      <c r="AS54" s="383" t="s">
        <v>47</v>
      </c>
      <c r="AT54" s="368"/>
      <c r="AU54" s="381" t="s">
        <v>47</v>
      </c>
      <c r="AV54" s="382" t="s">
        <v>47</v>
      </c>
      <c r="AW54" s="382" t="s">
        <v>47</v>
      </c>
      <c r="AX54" s="382" t="s">
        <v>47</v>
      </c>
      <c r="AY54" s="383" t="s">
        <v>47</v>
      </c>
      <c r="AZ54" s="368"/>
      <c r="BA54" s="388">
        <f t="shared" si="4"/>
        <v>0.13479899609692489</v>
      </c>
      <c r="BB54" s="389">
        <f t="shared" si="5"/>
        <v>0.16669884299895391</v>
      </c>
      <c r="BC54" s="368"/>
      <c r="BE54" s="981" t="s">
        <v>3</v>
      </c>
      <c r="BF54" s="981" t="s">
        <v>467</v>
      </c>
    </row>
    <row r="55" spans="1:58" ht="12.75" customHeight="1" outlineLevel="1" x14ac:dyDescent="0.2">
      <c r="A55" s="365" t="s">
        <v>467</v>
      </c>
      <c r="B55" s="366">
        <v>41334</v>
      </c>
      <c r="C55" s="378">
        <f t="shared" si="0"/>
        <v>309486</v>
      </c>
      <c r="D55" s="379">
        <v>268595</v>
      </c>
      <c r="E55" s="380">
        <v>40891</v>
      </c>
      <c r="F55" s="368"/>
      <c r="G55" s="378">
        <f t="shared" si="3"/>
        <v>331.5</v>
      </c>
      <c r="H55" s="671">
        <v>262.7</v>
      </c>
      <c r="I55" s="672">
        <v>68.8</v>
      </c>
      <c r="J55" s="368"/>
      <c r="K55" s="381">
        <v>308612</v>
      </c>
      <c r="L55" s="380">
        <v>53301</v>
      </c>
      <c r="M55" s="368"/>
      <c r="N55" s="381" t="s">
        <v>47</v>
      </c>
      <c r="O55" s="380" t="s">
        <v>47</v>
      </c>
      <c r="P55" s="368"/>
      <c r="Q55" s="381" t="s">
        <v>47</v>
      </c>
      <c r="R55" s="380" t="s">
        <v>47</v>
      </c>
      <c r="S55" s="368"/>
      <c r="T55" s="381" t="s">
        <v>47</v>
      </c>
      <c r="U55" s="379" t="s">
        <v>47</v>
      </c>
      <c r="V55" s="379" t="s">
        <v>47</v>
      </c>
      <c r="W55" s="379" t="s">
        <v>47</v>
      </c>
      <c r="X55" s="379" t="s">
        <v>47</v>
      </c>
      <c r="Y55" s="379" t="s">
        <v>47</v>
      </c>
      <c r="Z55" s="379" t="s">
        <v>47</v>
      </c>
      <c r="AA55" s="379" t="s">
        <v>47</v>
      </c>
      <c r="AB55" s="380" t="s">
        <v>47</v>
      </c>
      <c r="AC55" s="368"/>
      <c r="AD55" s="366">
        <f t="shared" si="2"/>
        <v>41334</v>
      </c>
      <c r="AE55" s="384" t="s">
        <v>47</v>
      </c>
      <c r="AF55" s="385" t="s">
        <v>47</v>
      </c>
      <c r="AG55" s="385" t="s">
        <v>47</v>
      </c>
      <c r="AH55" s="385" t="s">
        <v>47</v>
      </c>
      <c r="AI55" s="385" t="s">
        <v>47</v>
      </c>
      <c r="AJ55" s="385" t="s">
        <v>47</v>
      </c>
      <c r="AK55" s="385" t="s">
        <v>47</v>
      </c>
      <c r="AL55" s="382" t="s">
        <v>47</v>
      </c>
      <c r="AM55" s="386" t="s">
        <v>47</v>
      </c>
      <c r="AN55" s="368"/>
      <c r="AO55" s="387" t="s">
        <v>47</v>
      </c>
      <c r="AP55" s="382" t="s">
        <v>47</v>
      </c>
      <c r="AQ55" s="382" t="s">
        <v>47</v>
      </c>
      <c r="AR55" s="382" t="s">
        <v>47</v>
      </c>
      <c r="AS55" s="383" t="s">
        <v>47</v>
      </c>
      <c r="AT55" s="368"/>
      <c r="AU55" s="381" t="s">
        <v>47</v>
      </c>
      <c r="AV55" s="382" t="s">
        <v>47</v>
      </c>
      <c r="AW55" s="382" t="s">
        <v>47</v>
      </c>
      <c r="AX55" s="382" t="s">
        <v>47</v>
      </c>
      <c r="AY55" s="383" t="s">
        <v>47</v>
      </c>
      <c r="AZ55" s="368"/>
      <c r="BA55" s="388">
        <f t="shared" si="4"/>
        <v>0.13249970837167704</v>
      </c>
      <c r="BB55" s="389">
        <f t="shared" si="5"/>
        <v>0.19844375360673133</v>
      </c>
      <c r="BC55" s="368"/>
      <c r="BE55" s="981" t="s">
        <v>3</v>
      </c>
      <c r="BF55" s="981" t="s">
        <v>467</v>
      </c>
    </row>
    <row r="56" spans="1:58" ht="12.75" customHeight="1" outlineLevel="1" x14ac:dyDescent="0.2">
      <c r="A56" s="365" t="s">
        <v>468</v>
      </c>
      <c r="B56" s="366">
        <v>41365</v>
      </c>
      <c r="C56" s="378">
        <f t="shared" si="0"/>
        <v>367214</v>
      </c>
      <c r="D56" s="379">
        <v>316988</v>
      </c>
      <c r="E56" s="380">
        <v>50226</v>
      </c>
      <c r="F56" s="368"/>
      <c r="G56" s="378">
        <f t="shared" si="3"/>
        <v>362.6</v>
      </c>
      <c r="H56" s="671">
        <v>271.60000000000002</v>
      </c>
      <c r="I56" s="672">
        <v>91</v>
      </c>
      <c r="J56" s="368"/>
      <c r="K56" s="381">
        <v>330665</v>
      </c>
      <c r="L56" s="380">
        <v>68983</v>
      </c>
      <c r="M56" s="368"/>
      <c r="N56" s="381" t="s">
        <v>47</v>
      </c>
      <c r="O56" s="380" t="s">
        <v>47</v>
      </c>
      <c r="P56" s="368"/>
      <c r="Q56" s="381" t="s">
        <v>47</v>
      </c>
      <c r="R56" s="380" t="s">
        <v>47</v>
      </c>
      <c r="S56" s="368"/>
      <c r="T56" s="381" t="s">
        <v>47</v>
      </c>
      <c r="U56" s="379" t="s">
        <v>47</v>
      </c>
      <c r="V56" s="379" t="s">
        <v>47</v>
      </c>
      <c r="W56" s="379" t="s">
        <v>47</v>
      </c>
      <c r="X56" s="379" t="s">
        <v>47</v>
      </c>
      <c r="Y56" s="379" t="s">
        <v>47</v>
      </c>
      <c r="Z56" s="379" t="s">
        <v>47</v>
      </c>
      <c r="AA56" s="379" t="s">
        <v>47</v>
      </c>
      <c r="AB56" s="380" t="s">
        <v>47</v>
      </c>
      <c r="AC56" s="368"/>
      <c r="AD56" s="366">
        <f t="shared" si="2"/>
        <v>41365</v>
      </c>
      <c r="AE56" s="384" t="s">
        <v>47</v>
      </c>
      <c r="AF56" s="385" t="s">
        <v>47</v>
      </c>
      <c r="AG56" s="385" t="s">
        <v>47</v>
      </c>
      <c r="AH56" s="385" t="s">
        <v>47</v>
      </c>
      <c r="AI56" s="385" t="s">
        <v>47</v>
      </c>
      <c r="AJ56" s="385" t="s">
        <v>47</v>
      </c>
      <c r="AK56" s="385" t="s">
        <v>47</v>
      </c>
      <c r="AL56" s="382" t="s">
        <v>47</v>
      </c>
      <c r="AM56" s="386" t="s">
        <v>47</v>
      </c>
      <c r="AN56" s="368"/>
      <c r="AO56" s="387" t="s">
        <v>47</v>
      </c>
      <c r="AP56" s="382" t="s">
        <v>47</v>
      </c>
      <c r="AQ56" s="382" t="s">
        <v>47</v>
      </c>
      <c r="AR56" s="382" t="s">
        <v>47</v>
      </c>
      <c r="AS56" s="383" t="s">
        <v>47</v>
      </c>
      <c r="AT56" s="368"/>
      <c r="AU56" s="381" t="s">
        <v>47</v>
      </c>
      <c r="AV56" s="382" t="s">
        <v>47</v>
      </c>
      <c r="AW56" s="382" t="s">
        <v>47</v>
      </c>
      <c r="AX56" s="382" t="s">
        <v>47</v>
      </c>
      <c r="AY56" s="383" t="s">
        <v>47</v>
      </c>
      <c r="AZ56" s="368"/>
      <c r="BA56" s="388">
        <f t="shared" si="4"/>
        <v>0.15189391075559858</v>
      </c>
      <c r="BB56" s="389">
        <f t="shared" si="5"/>
        <v>0.21762022537130743</v>
      </c>
      <c r="BC56" s="368"/>
      <c r="BE56" s="981" t="s">
        <v>2</v>
      </c>
      <c r="BF56" s="981" t="s">
        <v>468</v>
      </c>
    </row>
    <row r="57" spans="1:58" ht="12.75" customHeight="1" outlineLevel="1" x14ac:dyDescent="0.2">
      <c r="A57" s="365" t="s">
        <v>468</v>
      </c>
      <c r="B57" s="366">
        <v>41395</v>
      </c>
      <c r="C57" s="378">
        <f t="shared" si="0"/>
        <v>346346</v>
      </c>
      <c r="D57" s="379">
        <v>300943</v>
      </c>
      <c r="E57" s="380">
        <v>45403</v>
      </c>
      <c r="F57" s="368"/>
      <c r="G57" s="378">
        <f t="shared" si="3"/>
        <v>385.29999999999995</v>
      </c>
      <c r="H57" s="671">
        <v>290.39999999999998</v>
      </c>
      <c r="I57" s="672">
        <v>94.9</v>
      </c>
      <c r="J57" s="368"/>
      <c r="K57" s="381">
        <v>324289</v>
      </c>
      <c r="L57" s="380">
        <v>67482</v>
      </c>
      <c r="M57" s="368"/>
      <c r="N57" s="381" t="s">
        <v>47</v>
      </c>
      <c r="O57" s="380" t="s">
        <v>47</v>
      </c>
      <c r="P57" s="368"/>
      <c r="Q57" s="381" t="s">
        <v>47</v>
      </c>
      <c r="R57" s="380" t="s">
        <v>47</v>
      </c>
      <c r="S57" s="368"/>
      <c r="T57" s="381" t="s">
        <v>47</v>
      </c>
      <c r="U57" s="379" t="s">
        <v>47</v>
      </c>
      <c r="V57" s="379" t="s">
        <v>47</v>
      </c>
      <c r="W57" s="379" t="s">
        <v>47</v>
      </c>
      <c r="X57" s="379" t="s">
        <v>47</v>
      </c>
      <c r="Y57" s="379" t="s">
        <v>47</v>
      </c>
      <c r="Z57" s="379" t="s">
        <v>47</v>
      </c>
      <c r="AA57" s="379" t="s">
        <v>47</v>
      </c>
      <c r="AB57" s="380" t="s">
        <v>47</v>
      </c>
      <c r="AC57" s="368"/>
      <c r="AD57" s="366">
        <f t="shared" si="2"/>
        <v>41395</v>
      </c>
      <c r="AE57" s="384" t="s">
        <v>47</v>
      </c>
      <c r="AF57" s="385" t="s">
        <v>47</v>
      </c>
      <c r="AG57" s="385" t="s">
        <v>47</v>
      </c>
      <c r="AH57" s="385" t="s">
        <v>47</v>
      </c>
      <c r="AI57" s="385" t="s">
        <v>47</v>
      </c>
      <c r="AJ57" s="385" t="s">
        <v>47</v>
      </c>
      <c r="AK57" s="385" t="s">
        <v>47</v>
      </c>
      <c r="AL57" s="382" t="s">
        <v>47</v>
      </c>
      <c r="AM57" s="386" t="s">
        <v>47</v>
      </c>
      <c r="AN57" s="368"/>
      <c r="AO57" s="387" t="s">
        <v>47</v>
      </c>
      <c r="AP57" s="382" t="s">
        <v>47</v>
      </c>
      <c r="AQ57" s="382" t="s">
        <v>47</v>
      </c>
      <c r="AR57" s="382" t="s">
        <v>47</v>
      </c>
      <c r="AS57" s="383" t="s">
        <v>47</v>
      </c>
      <c r="AT57" s="368"/>
      <c r="AU57" s="381" t="s">
        <v>47</v>
      </c>
      <c r="AV57" s="382" t="s">
        <v>47</v>
      </c>
      <c r="AW57" s="382" t="s">
        <v>47</v>
      </c>
      <c r="AX57" s="382" t="s">
        <v>47</v>
      </c>
      <c r="AY57" s="383" t="s">
        <v>47</v>
      </c>
      <c r="AZ57" s="368"/>
      <c r="BA57" s="388">
        <f t="shared" si="4"/>
        <v>0.14000783251975862</v>
      </c>
      <c r="BB57" s="389">
        <f t="shared" si="5"/>
        <v>0.22423515416540674</v>
      </c>
      <c r="BC57" s="368"/>
      <c r="BE57" s="981" t="s">
        <v>2</v>
      </c>
      <c r="BF57" s="981" t="s">
        <v>468</v>
      </c>
    </row>
    <row r="58" spans="1:58" ht="12.75" customHeight="1" outlineLevel="1" x14ac:dyDescent="0.2">
      <c r="A58" s="365" t="s">
        <v>468</v>
      </c>
      <c r="B58" s="366">
        <v>41426</v>
      </c>
      <c r="C58" s="378">
        <f t="shared" si="0"/>
        <v>349103</v>
      </c>
      <c r="D58" s="379">
        <v>303087</v>
      </c>
      <c r="E58" s="380">
        <v>46016</v>
      </c>
      <c r="F58" s="368"/>
      <c r="G58" s="378">
        <f t="shared" si="3"/>
        <v>415.29999999999995</v>
      </c>
      <c r="H58" s="671">
        <v>321.7</v>
      </c>
      <c r="I58" s="672">
        <v>93.6</v>
      </c>
      <c r="J58" s="368"/>
      <c r="K58" s="381">
        <v>303642</v>
      </c>
      <c r="L58" s="380">
        <v>68670</v>
      </c>
      <c r="M58" s="368"/>
      <c r="N58" s="381" t="s">
        <v>47</v>
      </c>
      <c r="O58" s="380" t="s">
        <v>47</v>
      </c>
      <c r="P58" s="368"/>
      <c r="Q58" s="381" t="s">
        <v>47</v>
      </c>
      <c r="R58" s="380" t="s">
        <v>47</v>
      </c>
      <c r="S58" s="368"/>
      <c r="T58" s="381" t="s">
        <v>47</v>
      </c>
      <c r="U58" s="379" t="s">
        <v>47</v>
      </c>
      <c r="V58" s="379" t="s">
        <v>47</v>
      </c>
      <c r="W58" s="379" t="s">
        <v>47</v>
      </c>
      <c r="X58" s="379" t="s">
        <v>47</v>
      </c>
      <c r="Y58" s="379" t="s">
        <v>47</v>
      </c>
      <c r="Z58" s="379" t="s">
        <v>47</v>
      </c>
      <c r="AA58" s="379" t="s">
        <v>47</v>
      </c>
      <c r="AB58" s="380" t="s">
        <v>47</v>
      </c>
      <c r="AC58" s="368"/>
      <c r="AD58" s="366">
        <f t="shared" si="2"/>
        <v>41426</v>
      </c>
      <c r="AE58" s="384" t="s">
        <v>47</v>
      </c>
      <c r="AF58" s="385" t="s">
        <v>47</v>
      </c>
      <c r="AG58" s="385" t="s">
        <v>47</v>
      </c>
      <c r="AH58" s="385" t="s">
        <v>47</v>
      </c>
      <c r="AI58" s="385" t="s">
        <v>47</v>
      </c>
      <c r="AJ58" s="385" t="s">
        <v>47</v>
      </c>
      <c r="AK58" s="385" t="s">
        <v>47</v>
      </c>
      <c r="AL58" s="382" t="s">
        <v>47</v>
      </c>
      <c r="AM58" s="386" t="s">
        <v>47</v>
      </c>
      <c r="AN58" s="368"/>
      <c r="AO58" s="387" t="s">
        <v>47</v>
      </c>
      <c r="AP58" s="382" t="s">
        <v>47</v>
      </c>
      <c r="AQ58" s="382" t="s">
        <v>47</v>
      </c>
      <c r="AR58" s="382" t="s">
        <v>47</v>
      </c>
      <c r="AS58" s="383" t="s">
        <v>47</v>
      </c>
      <c r="AT58" s="368"/>
      <c r="AU58" s="381" t="s">
        <v>47</v>
      </c>
      <c r="AV58" s="382" t="s">
        <v>47</v>
      </c>
      <c r="AW58" s="382" t="s">
        <v>47</v>
      </c>
      <c r="AX58" s="382" t="s">
        <v>47</v>
      </c>
      <c r="AY58" s="383" t="s">
        <v>47</v>
      </c>
      <c r="AZ58" s="368"/>
      <c r="BA58" s="388">
        <f t="shared" si="4"/>
        <v>0.15154688745298739</v>
      </c>
      <c r="BB58" s="389">
        <f t="shared" si="5"/>
        <v>0.22656860901325362</v>
      </c>
      <c r="BC58" s="368"/>
      <c r="BE58" s="981" t="s">
        <v>2</v>
      </c>
      <c r="BF58" s="981" t="s">
        <v>468</v>
      </c>
    </row>
    <row r="59" spans="1:58" ht="12.75" customHeight="1" outlineLevel="1" x14ac:dyDescent="0.2">
      <c r="A59" s="365" t="s">
        <v>469</v>
      </c>
      <c r="B59" s="366">
        <v>41456</v>
      </c>
      <c r="C59" s="378">
        <f t="shared" si="0"/>
        <v>375071</v>
      </c>
      <c r="D59" s="379">
        <v>324295</v>
      </c>
      <c r="E59" s="380">
        <v>50776</v>
      </c>
      <c r="F59" s="368"/>
      <c r="G59" s="378">
        <f t="shared" si="3"/>
        <v>395.9</v>
      </c>
      <c r="H59" s="671">
        <v>297.89999999999998</v>
      </c>
      <c r="I59" s="672">
        <v>98</v>
      </c>
      <c r="J59" s="368"/>
      <c r="K59" s="381">
        <v>296414</v>
      </c>
      <c r="L59" s="380">
        <v>69107</v>
      </c>
      <c r="M59" s="368"/>
      <c r="N59" s="381" t="s">
        <v>47</v>
      </c>
      <c r="O59" s="380" t="s">
        <v>47</v>
      </c>
      <c r="P59" s="368"/>
      <c r="Q59" s="381" t="s">
        <v>47</v>
      </c>
      <c r="R59" s="380" t="s">
        <v>47</v>
      </c>
      <c r="S59" s="368"/>
      <c r="T59" s="381" t="s">
        <v>47</v>
      </c>
      <c r="U59" s="379" t="s">
        <v>47</v>
      </c>
      <c r="V59" s="379" t="s">
        <v>47</v>
      </c>
      <c r="W59" s="379" t="s">
        <v>47</v>
      </c>
      <c r="X59" s="379" t="s">
        <v>47</v>
      </c>
      <c r="Y59" s="379" t="s">
        <v>47</v>
      </c>
      <c r="Z59" s="379" t="s">
        <v>47</v>
      </c>
      <c r="AA59" s="379" t="s">
        <v>47</v>
      </c>
      <c r="AB59" s="380" t="s">
        <v>47</v>
      </c>
      <c r="AC59" s="368"/>
      <c r="AD59" s="366">
        <f t="shared" si="2"/>
        <v>41456</v>
      </c>
      <c r="AE59" s="384" t="s">
        <v>47</v>
      </c>
      <c r="AF59" s="385" t="s">
        <v>47</v>
      </c>
      <c r="AG59" s="385" t="s">
        <v>47</v>
      </c>
      <c r="AH59" s="385" t="s">
        <v>47</v>
      </c>
      <c r="AI59" s="385" t="s">
        <v>47</v>
      </c>
      <c r="AJ59" s="385" t="s">
        <v>47</v>
      </c>
      <c r="AK59" s="385" t="s">
        <v>47</v>
      </c>
      <c r="AL59" s="382" t="s">
        <v>47</v>
      </c>
      <c r="AM59" s="386" t="s">
        <v>47</v>
      </c>
      <c r="AN59" s="368"/>
      <c r="AO59" s="387" t="s">
        <v>47</v>
      </c>
      <c r="AP59" s="382" t="s">
        <v>47</v>
      </c>
      <c r="AQ59" s="382" t="s">
        <v>47</v>
      </c>
      <c r="AR59" s="382" t="s">
        <v>47</v>
      </c>
      <c r="AS59" s="383" t="s">
        <v>47</v>
      </c>
      <c r="AT59" s="368"/>
      <c r="AU59" s="381" t="s">
        <v>47</v>
      </c>
      <c r="AV59" s="382" t="s">
        <v>47</v>
      </c>
      <c r="AW59" s="382" t="s">
        <v>47</v>
      </c>
      <c r="AX59" s="382" t="s">
        <v>47</v>
      </c>
      <c r="AY59" s="383" t="s">
        <v>47</v>
      </c>
      <c r="AZ59" s="368"/>
      <c r="BA59" s="388">
        <f t="shared" si="4"/>
        <v>0.17130095069733547</v>
      </c>
      <c r="BB59" s="389">
        <f t="shared" si="5"/>
        <v>0.21309918438458811</v>
      </c>
      <c r="BC59" s="368"/>
      <c r="BE59" s="981" t="s">
        <v>1</v>
      </c>
      <c r="BF59" s="981" t="s">
        <v>469</v>
      </c>
    </row>
    <row r="60" spans="1:58" ht="12.75" customHeight="1" outlineLevel="1" x14ac:dyDescent="0.2">
      <c r="A60" s="365" t="s">
        <v>469</v>
      </c>
      <c r="B60" s="366">
        <v>41487</v>
      </c>
      <c r="C60" s="378">
        <f t="shared" si="0"/>
        <v>373342</v>
      </c>
      <c r="D60" s="379">
        <v>313008</v>
      </c>
      <c r="E60" s="380">
        <v>60334</v>
      </c>
      <c r="F60" s="368"/>
      <c r="G60" s="378">
        <f t="shared" si="3"/>
        <v>400.6</v>
      </c>
      <c r="H60" s="671">
        <v>297.5</v>
      </c>
      <c r="I60" s="672">
        <v>103.1</v>
      </c>
      <c r="J60" s="368"/>
      <c r="K60" s="381">
        <v>321036</v>
      </c>
      <c r="L60" s="380">
        <v>62342</v>
      </c>
      <c r="M60" s="368"/>
      <c r="N60" s="381" t="s">
        <v>47</v>
      </c>
      <c r="O60" s="380" t="s">
        <v>47</v>
      </c>
      <c r="P60" s="368"/>
      <c r="Q60" s="381" t="s">
        <v>47</v>
      </c>
      <c r="R60" s="380" t="s">
        <v>47</v>
      </c>
      <c r="S60" s="368"/>
      <c r="T60" s="381" t="s">
        <v>47</v>
      </c>
      <c r="U60" s="379" t="s">
        <v>47</v>
      </c>
      <c r="V60" s="379" t="s">
        <v>47</v>
      </c>
      <c r="W60" s="379" t="s">
        <v>47</v>
      </c>
      <c r="X60" s="379" t="s">
        <v>47</v>
      </c>
      <c r="Y60" s="379" t="s">
        <v>47</v>
      </c>
      <c r="Z60" s="379" t="s">
        <v>47</v>
      </c>
      <c r="AA60" s="379" t="s">
        <v>47</v>
      </c>
      <c r="AB60" s="380" t="s">
        <v>47</v>
      </c>
      <c r="AC60" s="368"/>
      <c r="AD60" s="366">
        <f t="shared" si="2"/>
        <v>41487</v>
      </c>
      <c r="AE60" s="384" t="s">
        <v>47</v>
      </c>
      <c r="AF60" s="385" t="s">
        <v>47</v>
      </c>
      <c r="AG60" s="385" t="s">
        <v>47</v>
      </c>
      <c r="AH60" s="385" t="s">
        <v>47</v>
      </c>
      <c r="AI60" s="385" t="s">
        <v>47</v>
      </c>
      <c r="AJ60" s="385" t="s">
        <v>47</v>
      </c>
      <c r="AK60" s="385" t="s">
        <v>47</v>
      </c>
      <c r="AL60" s="382" t="s">
        <v>47</v>
      </c>
      <c r="AM60" s="386" t="s">
        <v>47</v>
      </c>
      <c r="AN60" s="368"/>
      <c r="AO60" s="387" t="s">
        <v>47</v>
      </c>
      <c r="AP60" s="382" t="s">
        <v>47</v>
      </c>
      <c r="AQ60" s="382" t="s">
        <v>47</v>
      </c>
      <c r="AR60" s="382" t="s">
        <v>47</v>
      </c>
      <c r="AS60" s="383" t="s">
        <v>47</v>
      </c>
      <c r="AT60" s="368"/>
      <c r="AU60" s="381" t="s">
        <v>47</v>
      </c>
      <c r="AV60" s="382" t="s">
        <v>47</v>
      </c>
      <c r="AW60" s="382" t="s">
        <v>47</v>
      </c>
      <c r="AX60" s="382" t="s">
        <v>47</v>
      </c>
      <c r="AY60" s="383" t="s">
        <v>47</v>
      </c>
      <c r="AZ60" s="368"/>
      <c r="BA60" s="388">
        <f t="shared" si="4"/>
        <v>0.18793530943570191</v>
      </c>
      <c r="BB60" s="389">
        <f t="shared" si="5"/>
        <v>0.19917062822675458</v>
      </c>
      <c r="BC60" s="368"/>
      <c r="BE60" s="981" t="s">
        <v>1</v>
      </c>
      <c r="BF60" s="981" t="s">
        <v>469</v>
      </c>
    </row>
    <row r="61" spans="1:58" ht="12.75" customHeight="1" outlineLevel="1" x14ac:dyDescent="0.2">
      <c r="A61" s="365" t="s">
        <v>469</v>
      </c>
      <c r="B61" s="366">
        <v>41518</v>
      </c>
      <c r="C61" s="378">
        <f t="shared" si="0"/>
        <v>337162</v>
      </c>
      <c r="D61" s="379">
        <v>294419</v>
      </c>
      <c r="E61" s="380">
        <v>42743</v>
      </c>
      <c r="F61" s="368"/>
      <c r="G61" s="378">
        <f t="shared" si="3"/>
        <v>420.7</v>
      </c>
      <c r="H61" s="671">
        <v>305.7</v>
      </c>
      <c r="I61" s="672">
        <v>115</v>
      </c>
      <c r="J61" s="368"/>
      <c r="K61" s="381">
        <v>302381</v>
      </c>
      <c r="L61" s="380">
        <v>58026</v>
      </c>
      <c r="M61" s="368"/>
      <c r="N61" s="381" t="s">
        <v>47</v>
      </c>
      <c r="O61" s="380" t="s">
        <v>47</v>
      </c>
      <c r="P61" s="368"/>
      <c r="Q61" s="381" t="s">
        <v>47</v>
      </c>
      <c r="R61" s="380" t="s">
        <v>47</v>
      </c>
      <c r="S61" s="368"/>
      <c r="T61" s="381" t="s">
        <v>47</v>
      </c>
      <c r="U61" s="379" t="s">
        <v>47</v>
      </c>
      <c r="V61" s="379" t="s">
        <v>47</v>
      </c>
      <c r="W61" s="379" t="s">
        <v>47</v>
      </c>
      <c r="X61" s="379" t="s">
        <v>47</v>
      </c>
      <c r="Y61" s="379" t="s">
        <v>47</v>
      </c>
      <c r="Z61" s="379" t="s">
        <v>47</v>
      </c>
      <c r="AA61" s="379" t="s">
        <v>47</v>
      </c>
      <c r="AB61" s="380" t="s">
        <v>47</v>
      </c>
      <c r="AC61" s="368"/>
      <c r="AD61" s="366">
        <f t="shared" si="2"/>
        <v>41518</v>
      </c>
      <c r="AE61" s="384" t="s">
        <v>47</v>
      </c>
      <c r="AF61" s="385" t="s">
        <v>47</v>
      </c>
      <c r="AG61" s="385" t="s">
        <v>47</v>
      </c>
      <c r="AH61" s="385" t="s">
        <v>47</v>
      </c>
      <c r="AI61" s="385" t="s">
        <v>47</v>
      </c>
      <c r="AJ61" s="385" t="s">
        <v>47</v>
      </c>
      <c r="AK61" s="385" t="s">
        <v>47</v>
      </c>
      <c r="AL61" s="382" t="s">
        <v>47</v>
      </c>
      <c r="AM61" s="386" t="s">
        <v>47</v>
      </c>
      <c r="AN61" s="368"/>
      <c r="AO61" s="387" t="s">
        <v>47</v>
      </c>
      <c r="AP61" s="382" t="s">
        <v>47</v>
      </c>
      <c r="AQ61" s="382" t="s">
        <v>47</v>
      </c>
      <c r="AR61" s="382" t="s">
        <v>47</v>
      </c>
      <c r="AS61" s="383" t="s">
        <v>47</v>
      </c>
      <c r="AT61" s="368"/>
      <c r="AU61" s="381" t="s">
        <v>47</v>
      </c>
      <c r="AV61" s="382" t="s">
        <v>47</v>
      </c>
      <c r="AW61" s="382" t="s">
        <v>47</v>
      </c>
      <c r="AX61" s="382" t="s">
        <v>47</v>
      </c>
      <c r="AY61" s="383" t="s">
        <v>47</v>
      </c>
      <c r="AZ61" s="368"/>
      <c r="BA61" s="388">
        <f t="shared" si="4"/>
        <v>0.14135478088901088</v>
      </c>
      <c r="BB61" s="389">
        <f t="shared" si="5"/>
        <v>0.19708646520774814</v>
      </c>
      <c r="BC61" s="368"/>
      <c r="BE61" s="981" t="s">
        <v>1</v>
      </c>
      <c r="BF61" s="981" t="s">
        <v>469</v>
      </c>
    </row>
    <row r="62" spans="1:58" ht="12.75" customHeight="1" outlineLevel="1" x14ac:dyDescent="0.2">
      <c r="A62" s="365" t="s">
        <v>470</v>
      </c>
      <c r="B62" s="366">
        <v>41548</v>
      </c>
      <c r="C62" s="378">
        <f t="shared" si="0"/>
        <v>362259</v>
      </c>
      <c r="D62" s="379">
        <v>313873</v>
      </c>
      <c r="E62" s="380">
        <v>48386</v>
      </c>
      <c r="F62" s="368"/>
      <c r="G62" s="378">
        <f t="shared" si="3"/>
        <v>439.7</v>
      </c>
      <c r="H62" s="671">
        <v>305</v>
      </c>
      <c r="I62" s="672">
        <v>134.69999999999999</v>
      </c>
      <c r="J62" s="368"/>
      <c r="K62" s="381">
        <v>300707</v>
      </c>
      <c r="L62" s="380">
        <v>76505</v>
      </c>
      <c r="M62" s="368"/>
      <c r="N62" s="381" t="s">
        <v>47</v>
      </c>
      <c r="O62" s="380" t="s">
        <v>47</v>
      </c>
      <c r="P62" s="368"/>
      <c r="Q62" s="381" t="s">
        <v>47</v>
      </c>
      <c r="R62" s="380" t="s">
        <v>47</v>
      </c>
      <c r="S62" s="368"/>
      <c r="T62" s="381" t="s">
        <v>47</v>
      </c>
      <c r="U62" s="379" t="s">
        <v>47</v>
      </c>
      <c r="V62" s="379" t="s">
        <v>47</v>
      </c>
      <c r="W62" s="379" t="s">
        <v>47</v>
      </c>
      <c r="X62" s="379" t="s">
        <v>47</v>
      </c>
      <c r="Y62" s="379" t="s">
        <v>47</v>
      </c>
      <c r="Z62" s="379" t="s">
        <v>47</v>
      </c>
      <c r="AA62" s="379" t="s">
        <v>47</v>
      </c>
      <c r="AB62" s="380" t="s">
        <v>47</v>
      </c>
      <c r="AC62" s="368"/>
      <c r="AD62" s="366">
        <f t="shared" si="2"/>
        <v>41548</v>
      </c>
      <c r="AE62" s="384" t="s">
        <v>47</v>
      </c>
      <c r="AF62" s="385" t="s">
        <v>47</v>
      </c>
      <c r="AG62" s="385" t="s">
        <v>47</v>
      </c>
      <c r="AH62" s="385" t="s">
        <v>47</v>
      </c>
      <c r="AI62" s="385" t="s">
        <v>47</v>
      </c>
      <c r="AJ62" s="385" t="s">
        <v>47</v>
      </c>
      <c r="AK62" s="385" t="s">
        <v>47</v>
      </c>
      <c r="AL62" s="382" t="s">
        <v>47</v>
      </c>
      <c r="AM62" s="386" t="s">
        <v>47</v>
      </c>
      <c r="AN62" s="368"/>
      <c r="AO62" s="387" t="s">
        <v>47</v>
      </c>
      <c r="AP62" s="382" t="s">
        <v>47</v>
      </c>
      <c r="AQ62" s="382" t="s">
        <v>47</v>
      </c>
      <c r="AR62" s="382" t="s">
        <v>47</v>
      </c>
      <c r="AS62" s="383" t="s">
        <v>47</v>
      </c>
      <c r="AT62" s="368"/>
      <c r="AU62" s="381" t="s">
        <v>47</v>
      </c>
      <c r="AV62" s="382" t="s">
        <v>47</v>
      </c>
      <c r="AW62" s="382" t="s">
        <v>47</v>
      </c>
      <c r="AX62" s="382" t="s">
        <v>47</v>
      </c>
      <c r="AY62" s="383" t="s">
        <v>47</v>
      </c>
      <c r="AZ62" s="368"/>
      <c r="BA62" s="388">
        <f t="shared" si="4"/>
        <v>0.16090746141592979</v>
      </c>
      <c r="BB62" s="389">
        <f t="shared" si="5"/>
        <v>0.24374508160944075</v>
      </c>
      <c r="BC62" s="368"/>
      <c r="BE62" s="981" t="s">
        <v>0</v>
      </c>
      <c r="BF62" s="981" t="s">
        <v>470</v>
      </c>
    </row>
    <row r="63" spans="1:58" ht="12.75" customHeight="1" outlineLevel="1" x14ac:dyDescent="0.2">
      <c r="A63" s="365" t="s">
        <v>470</v>
      </c>
      <c r="B63" s="366">
        <v>41579</v>
      </c>
      <c r="C63" s="378">
        <f t="shared" si="0"/>
        <v>330361</v>
      </c>
      <c r="D63" s="379">
        <v>288546</v>
      </c>
      <c r="E63" s="380">
        <v>41815</v>
      </c>
      <c r="F63" s="368"/>
      <c r="G63" s="378">
        <f t="shared" si="3"/>
        <v>423.5</v>
      </c>
      <c r="H63" s="671">
        <v>299.3</v>
      </c>
      <c r="I63" s="672">
        <v>124.2</v>
      </c>
      <c r="J63" s="368"/>
      <c r="K63" s="381">
        <v>275122</v>
      </c>
      <c r="L63" s="380">
        <v>56288</v>
      </c>
      <c r="M63" s="368"/>
      <c r="N63" s="381" t="s">
        <v>47</v>
      </c>
      <c r="O63" s="380" t="s">
        <v>47</v>
      </c>
      <c r="P63" s="368"/>
      <c r="Q63" s="381" t="s">
        <v>47</v>
      </c>
      <c r="R63" s="380" t="s">
        <v>47</v>
      </c>
      <c r="S63" s="368"/>
      <c r="T63" s="381" t="s">
        <v>47</v>
      </c>
      <c r="U63" s="379" t="s">
        <v>47</v>
      </c>
      <c r="V63" s="379" t="s">
        <v>47</v>
      </c>
      <c r="W63" s="379" t="s">
        <v>47</v>
      </c>
      <c r="X63" s="379" t="s">
        <v>47</v>
      </c>
      <c r="Y63" s="379" t="s">
        <v>47</v>
      </c>
      <c r="Z63" s="379" t="s">
        <v>47</v>
      </c>
      <c r="AA63" s="379" t="s">
        <v>47</v>
      </c>
      <c r="AB63" s="380" t="s">
        <v>47</v>
      </c>
      <c r="AC63" s="368"/>
      <c r="AD63" s="366">
        <f t="shared" si="2"/>
        <v>41579</v>
      </c>
      <c r="AE63" s="384" t="s">
        <v>47</v>
      </c>
      <c r="AF63" s="385" t="s">
        <v>47</v>
      </c>
      <c r="AG63" s="385" t="s">
        <v>47</v>
      </c>
      <c r="AH63" s="385" t="s">
        <v>47</v>
      </c>
      <c r="AI63" s="385" t="s">
        <v>47</v>
      </c>
      <c r="AJ63" s="385" t="s">
        <v>47</v>
      </c>
      <c r="AK63" s="385" t="s">
        <v>47</v>
      </c>
      <c r="AL63" s="382" t="s">
        <v>47</v>
      </c>
      <c r="AM63" s="386" t="s">
        <v>47</v>
      </c>
      <c r="AN63" s="368"/>
      <c r="AO63" s="387" t="s">
        <v>47</v>
      </c>
      <c r="AP63" s="382" t="s">
        <v>47</v>
      </c>
      <c r="AQ63" s="382" t="s">
        <v>47</v>
      </c>
      <c r="AR63" s="382" t="s">
        <v>47</v>
      </c>
      <c r="AS63" s="383" t="s">
        <v>47</v>
      </c>
      <c r="AT63" s="368"/>
      <c r="AU63" s="381" t="s">
        <v>47</v>
      </c>
      <c r="AV63" s="382" t="s">
        <v>47</v>
      </c>
      <c r="AW63" s="382" t="s">
        <v>47</v>
      </c>
      <c r="AX63" s="382" t="s">
        <v>47</v>
      </c>
      <c r="AY63" s="383" t="s">
        <v>47</v>
      </c>
      <c r="AZ63" s="368"/>
      <c r="BA63" s="388">
        <f t="shared" si="4"/>
        <v>0.15198711844200027</v>
      </c>
      <c r="BB63" s="389">
        <f t="shared" si="5"/>
        <v>0.19507461548591906</v>
      </c>
      <c r="BC63" s="368"/>
      <c r="BE63" s="981" t="s">
        <v>0</v>
      </c>
      <c r="BF63" s="981" t="s">
        <v>470</v>
      </c>
    </row>
    <row r="64" spans="1:58" ht="12.75" customHeight="1" outlineLevel="1" x14ac:dyDescent="0.2">
      <c r="A64" s="365" t="s">
        <v>470</v>
      </c>
      <c r="B64" s="366">
        <v>41609</v>
      </c>
      <c r="C64" s="378">
        <f t="shared" si="0"/>
        <v>376628</v>
      </c>
      <c r="D64" s="379">
        <v>336230</v>
      </c>
      <c r="E64" s="380">
        <v>40398</v>
      </c>
      <c r="F64" s="368"/>
      <c r="G64" s="378">
        <f t="shared" si="3"/>
        <v>353.4</v>
      </c>
      <c r="H64" s="671">
        <v>289.39999999999998</v>
      </c>
      <c r="I64" s="672">
        <v>64</v>
      </c>
      <c r="J64" s="368"/>
      <c r="K64" s="381">
        <v>221893</v>
      </c>
      <c r="L64" s="380">
        <v>52546</v>
      </c>
      <c r="M64" s="368"/>
      <c r="N64" s="381" t="s">
        <v>47</v>
      </c>
      <c r="O64" s="380">
        <v>336230</v>
      </c>
      <c r="P64" s="368"/>
      <c r="Q64" s="381" t="s">
        <v>47</v>
      </c>
      <c r="R64" s="380" t="s">
        <v>47</v>
      </c>
      <c r="S64" s="368"/>
      <c r="T64" s="381" t="s">
        <v>47</v>
      </c>
      <c r="U64" s="379" t="s">
        <v>47</v>
      </c>
      <c r="V64" s="379" t="s">
        <v>47</v>
      </c>
      <c r="W64" s="379" t="s">
        <v>47</v>
      </c>
      <c r="X64" s="379" t="s">
        <v>47</v>
      </c>
      <c r="Y64" s="379" t="s">
        <v>47</v>
      </c>
      <c r="Z64" s="379" t="s">
        <v>47</v>
      </c>
      <c r="AA64" s="379" t="s">
        <v>47</v>
      </c>
      <c r="AB64" s="380" t="s">
        <v>47</v>
      </c>
      <c r="AC64" s="368"/>
      <c r="AD64" s="366">
        <f t="shared" si="2"/>
        <v>41609</v>
      </c>
      <c r="AE64" s="384" t="s">
        <v>47</v>
      </c>
      <c r="AF64" s="385" t="s">
        <v>47</v>
      </c>
      <c r="AG64" s="385" t="s">
        <v>47</v>
      </c>
      <c r="AH64" s="385" t="s">
        <v>47</v>
      </c>
      <c r="AI64" s="385" t="s">
        <v>47</v>
      </c>
      <c r="AJ64" s="385" t="s">
        <v>47</v>
      </c>
      <c r="AK64" s="385" t="s">
        <v>47</v>
      </c>
      <c r="AL64" s="382" t="s">
        <v>47</v>
      </c>
      <c r="AM64" s="386" t="s">
        <v>47</v>
      </c>
      <c r="AN64" s="368"/>
      <c r="AO64" s="387" t="s">
        <v>47</v>
      </c>
      <c r="AP64" s="382" t="s">
        <v>47</v>
      </c>
      <c r="AQ64" s="382" t="s">
        <v>47</v>
      </c>
      <c r="AR64" s="382" t="s">
        <v>47</v>
      </c>
      <c r="AS64" s="383" t="s">
        <v>47</v>
      </c>
      <c r="AT64" s="368"/>
      <c r="AU64" s="381" t="s">
        <v>47</v>
      </c>
      <c r="AV64" s="382" t="s">
        <v>47</v>
      </c>
      <c r="AW64" s="382" t="s">
        <v>47</v>
      </c>
      <c r="AX64" s="382" t="s">
        <v>47</v>
      </c>
      <c r="AY64" s="383" t="s">
        <v>47</v>
      </c>
      <c r="AZ64" s="368"/>
      <c r="BA64" s="388">
        <f t="shared" si="4"/>
        <v>0.18206072296106682</v>
      </c>
      <c r="BB64" s="389">
        <f t="shared" si="5"/>
        <v>0.15627992743062785</v>
      </c>
      <c r="BC64" s="368"/>
      <c r="BE64" s="981" t="s">
        <v>0</v>
      </c>
      <c r="BF64" s="981" t="s">
        <v>470</v>
      </c>
    </row>
    <row r="65" spans="1:58" ht="12.75" customHeight="1" outlineLevel="1" x14ac:dyDescent="0.2">
      <c r="A65" s="365" t="s">
        <v>471</v>
      </c>
      <c r="B65" s="366">
        <v>41640</v>
      </c>
      <c r="C65" s="390">
        <f t="shared" si="0"/>
        <v>321243</v>
      </c>
      <c r="D65" s="391">
        <v>300097</v>
      </c>
      <c r="E65" s="392">
        <v>21146</v>
      </c>
      <c r="F65" s="368"/>
      <c r="G65" s="390">
        <f t="shared" si="3"/>
        <v>322.39999999999998</v>
      </c>
      <c r="H65" s="673">
        <v>257.5</v>
      </c>
      <c r="I65" s="674">
        <v>64.900000000000006</v>
      </c>
      <c r="J65" s="368"/>
      <c r="K65" s="393">
        <v>221081</v>
      </c>
      <c r="L65" s="392">
        <v>39612</v>
      </c>
      <c r="M65" s="368"/>
      <c r="N65" s="393">
        <v>62480.195399999997</v>
      </c>
      <c r="O65" s="392">
        <v>237616.8046</v>
      </c>
      <c r="P65" s="368"/>
      <c r="Q65" s="393" t="s">
        <v>47</v>
      </c>
      <c r="R65" s="392" t="s">
        <v>47</v>
      </c>
      <c r="S65" s="368"/>
      <c r="T65" s="393" t="s">
        <v>47</v>
      </c>
      <c r="U65" s="391" t="s">
        <v>47</v>
      </c>
      <c r="V65" s="391" t="s">
        <v>47</v>
      </c>
      <c r="W65" s="391" t="s">
        <v>47</v>
      </c>
      <c r="X65" s="391" t="s">
        <v>47</v>
      </c>
      <c r="Y65" s="391" t="s">
        <v>47</v>
      </c>
      <c r="Z65" s="391" t="s">
        <v>47</v>
      </c>
      <c r="AA65" s="391" t="s">
        <v>47</v>
      </c>
      <c r="AB65" s="392" t="s">
        <v>47</v>
      </c>
      <c r="AC65" s="368"/>
      <c r="AD65" s="366">
        <f t="shared" si="2"/>
        <v>41640</v>
      </c>
      <c r="AE65" s="396" t="s">
        <v>47</v>
      </c>
      <c r="AF65" s="397" t="s">
        <v>47</v>
      </c>
      <c r="AG65" s="397" t="s">
        <v>47</v>
      </c>
      <c r="AH65" s="397" t="s">
        <v>47</v>
      </c>
      <c r="AI65" s="397" t="s">
        <v>47</v>
      </c>
      <c r="AJ65" s="397" t="s">
        <v>47</v>
      </c>
      <c r="AK65" s="397" t="s">
        <v>47</v>
      </c>
      <c r="AL65" s="394" t="s">
        <v>47</v>
      </c>
      <c r="AM65" s="398" t="s">
        <v>47</v>
      </c>
      <c r="AN65" s="368"/>
      <c r="AO65" s="399" t="s">
        <v>47</v>
      </c>
      <c r="AP65" s="394" t="s">
        <v>47</v>
      </c>
      <c r="AQ65" s="394" t="s">
        <v>47</v>
      </c>
      <c r="AR65" s="394" t="s">
        <v>47</v>
      </c>
      <c r="AS65" s="395" t="s">
        <v>47</v>
      </c>
      <c r="AT65" s="368"/>
      <c r="AU65" s="393" t="s">
        <v>47</v>
      </c>
      <c r="AV65" s="394" t="s">
        <v>47</v>
      </c>
      <c r="AW65" s="394" t="s">
        <v>47</v>
      </c>
      <c r="AX65" s="394" t="s">
        <v>47</v>
      </c>
      <c r="AY65" s="395" t="s">
        <v>47</v>
      </c>
      <c r="AZ65" s="368"/>
      <c r="BA65" s="400">
        <f t="shared" si="4"/>
        <v>9.5648201337971153E-2</v>
      </c>
      <c r="BB65" s="401">
        <f t="shared" si="5"/>
        <v>0.13199732086625324</v>
      </c>
      <c r="BC65" s="368"/>
      <c r="BE65" s="981" t="s">
        <v>13</v>
      </c>
      <c r="BF65" s="981" t="s">
        <v>471</v>
      </c>
    </row>
    <row r="66" spans="1:58" ht="12.75" customHeight="1" outlineLevel="1" x14ac:dyDescent="0.2">
      <c r="A66" s="365" t="s">
        <v>471</v>
      </c>
      <c r="B66" s="366">
        <v>41671</v>
      </c>
      <c r="C66" s="390">
        <f t="shared" si="0"/>
        <v>272560</v>
      </c>
      <c r="D66" s="391">
        <v>246135</v>
      </c>
      <c r="E66" s="392">
        <v>26425</v>
      </c>
      <c r="F66" s="368"/>
      <c r="G66" s="390">
        <f t="shared" si="3"/>
        <v>348.9</v>
      </c>
      <c r="H66" s="673">
        <v>265.39999999999998</v>
      </c>
      <c r="I66" s="674">
        <v>83.5</v>
      </c>
      <c r="J66" s="368"/>
      <c r="K66" s="393">
        <v>262703</v>
      </c>
      <c r="L66" s="392">
        <v>37681</v>
      </c>
      <c r="M66" s="368"/>
      <c r="N66" s="393">
        <v>64388.915999999997</v>
      </c>
      <c r="O66" s="392">
        <v>181746.084</v>
      </c>
      <c r="P66" s="368"/>
      <c r="Q66" s="393" t="s">
        <v>47</v>
      </c>
      <c r="R66" s="392" t="s">
        <v>47</v>
      </c>
      <c r="S66" s="368"/>
      <c r="T66" s="393" t="s">
        <v>47</v>
      </c>
      <c r="U66" s="391" t="s">
        <v>47</v>
      </c>
      <c r="V66" s="391" t="s">
        <v>47</v>
      </c>
      <c r="W66" s="391" t="s">
        <v>47</v>
      </c>
      <c r="X66" s="391" t="s">
        <v>47</v>
      </c>
      <c r="Y66" s="391" t="s">
        <v>47</v>
      </c>
      <c r="Z66" s="391" t="s">
        <v>47</v>
      </c>
      <c r="AA66" s="391" t="s">
        <v>47</v>
      </c>
      <c r="AB66" s="392" t="s">
        <v>47</v>
      </c>
      <c r="AC66" s="368"/>
      <c r="AD66" s="366">
        <f t="shared" si="2"/>
        <v>41671</v>
      </c>
      <c r="AE66" s="396" t="s">
        <v>47</v>
      </c>
      <c r="AF66" s="397" t="s">
        <v>47</v>
      </c>
      <c r="AG66" s="397" t="s">
        <v>47</v>
      </c>
      <c r="AH66" s="397" t="s">
        <v>47</v>
      </c>
      <c r="AI66" s="397" t="s">
        <v>47</v>
      </c>
      <c r="AJ66" s="397" t="s">
        <v>47</v>
      </c>
      <c r="AK66" s="397" t="s">
        <v>47</v>
      </c>
      <c r="AL66" s="394" t="s">
        <v>47</v>
      </c>
      <c r="AM66" s="398" t="s">
        <v>47</v>
      </c>
      <c r="AN66" s="368"/>
      <c r="AO66" s="399" t="s">
        <v>47</v>
      </c>
      <c r="AP66" s="394" t="s">
        <v>47</v>
      </c>
      <c r="AQ66" s="394" t="s">
        <v>47</v>
      </c>
      <c r="AR66" s="394" t="s">
        <v>47</v>
      </c>
      <c r="AS66" s="395" t="s">
        <v>47</v>
      </c>
      <c r="AT66" s="368"/>
      <c r="AU66" s="393" t="s">
        <v>47</v>
      </c>
      <c r="AV66" s="394" t="s">
        <v>47</v>
      </c>
      <c r="AW66" s="394" t="s">
        <v>47</v>
      </c>
      <c r="AX66" s="394" t="s">
        <v>47</v>
      </c>
      <c r="AY66" s="395" t="s">
        <v>47</v>
      </c>
      <c r="AZ66" s="368"/>
      <c r="BA66" s="400">
        <f t="shared" si="4"/>
        <v>0.1005888779343974</v>
      </c>
      <c r="BB66" s="401">
        <f t="shared" si="5"/>
        <v>0.15309078351311273</v>
      </c>
      <c r="BC66" s="368"/>
      <c r="BE66" s="981" t="s">
        <v>13</v>
      </c>
      <c r="BF66" s="981" t="s">
        <v>471</v>
      </c>
    </row>
    <row r="67" spans="1:58" ht="12.75" customHeight="1" outlineLevel="1" x14ac:dyDescent="0.2">
      <c r="A67" s="365" t="s">
        <v>471</v>
      </c>
      <c r="B67" s="366">
        <v>41699</v>
      </c>
      <c r="C67" s="390">
        <f t="shared" si="0"/>
        <v>250422</v>
      </c>
      <c r="D67" s="391">
        <v>229113</v>
      </c>
      <c r="E67" s="392">
        <v>21309</v>
      </c>
      <c r="F67" s="368"/>
      <c r="G67" s="390">
        <f t="shared" si="3"/>
        <v>387.1</v>
      </c>
      <c r="H67" s="673">
        <v>291</v>
      </c>
      <c r="I67" s="674">
        <v>96.1</v>
      </c>
      <c r="J67" s="368"/>
      <c r="K67" s="393">
        <v>255210</v>
      </c>
      <c r="L67" s="392">
        <v>50858</v>
      </c>
      <c r="M67" s="368"/>
      <c r="N67" s="393">
        <v>68184.0288</v>
      </c>
      <c r="O67" s="392">
        <v>160928.9712</v>
      </c>
      <c r="P67" s="368"/>
      <c r="Q67" s="393" t="s">
        <v>47</v>
      </c>
      <c r="R67" s="392" t="s">
        <v>47</v>
      </c>
      <c r="S67" s="368"/>
      <c r="T67" s="393" t="s">
        <v>47</v>
      </c>
      <c r="U67" s="391" t="s">
        <v>47</v>
      </c>
      <c r="V67" s="391" t="s">
        <v>47</v>
      </c>
      <c r="W67" s="391" t="s">
        <v>47</v>
      </c>
      <c r="X67" s="391" t="s">
        <v>47</v>
      </c>
      <c r="Y67" s="391" t="s">
        <v>47</v>
      </c>
      <c r="Z67" s="391" t="s">
        <v>47</v>
      </c>
      <c r="AA67" s="391" t="s">
        <v>47</v>
      </c>
      <c r="AB67" s="392" t="s">
        <v>47</v>
      </c>
      <c r="AC67" s="368"/>
      <c r="AD67" s="366">
        <f t="shared" si="2"/>
        <v>41699</v>
      </c>
      <c r="AE67" s="396" t="s">
        <v>47</v>
      </c>
      <c r="AF67" s="397" t="s">
        <v>47</v>
      </c>
      <c r="AG67" s="397" t="s">
        <v>47</v>
      </c>
      <c r="AH67" s="397" t="s">
        <v>47</v>
      </c>
      <c r="AI67" s="397" t="s">
        <v>47</v>
      </c>
      <c r="AJ67" s="397" t="s">
        <v>47</v>
      </c>
      <c r="AK67" s="397" t="s">
        <v>47</v>
      </c>
      <c r="AL67" s="394" t="s">
        <v>47</v>
      </c>
      <c r="AM67" s="398" t="s">
        <v>47</v>
      </c>
      <c r="AN67" s="368"/>
      <c r="AO67" s="399" t="s">
        <v>47</v>
      </c>
      <c r="AP67" s="394" t="s">
        <v>47</v>
      </c>
      <c r="AQ67" s="394" t="s">
        <v>47</v>
      </c>
      <c r="AR67" s="394" t="s">
        <v>47</v>
      </c>
      <c r="AS67" s="395" t="s">
        <v>47</v>
      </c>
      <c r="AT67" s="368"/>
      <c r="AU67" s="393" t="s">
        <v>47</v>
      </c>
      <c r="AV67" s="394" t="s">
        <v>47</v>
      </c>
      <c r="AW67" s="394" t="s">
        <v>47</v>
      </c>
      <c r="AX67" s="394" t="s">
        <v>47</v>
      </c>
      <c r="AY67" s="395" t="s">
        <v>47</v>
      </c>
      <c r="AZ67" s="368"/>
      <c r="BA67" s="400">
        <f t="shared" si="4"/>
        <v>8.3495944516280715E-2</v>
      </c>
      <c r="BB67" s="401">
        <f t="shared" si="5"/>
        <v>0.2219778013469336</v>
      </c>
      <c r="BC67" s="368"/>
      <c r="BE67" s="981" t="s">
        <v>13</v>
      </c>
      <c r="BF67" s="981" t="s">
        <v>471</v>
      </c>
    </row>
    <row r="68" spans="1:58" ht="12.75" customHeight="1" outlineLevel="1" x14ac:dyDescent="0.2">
      <c r="A68" s="365" t="s">
        <v>472</v>
      </c>
      <c r="B68" s="366">
        <v>41730</v>
      </c>
      <c r="C68" s="390">
        <f t="shared" si="0"/>
        <v>313113</v>
      </c>
      <c r="D68" s="391">
        <v>280114</v>
      </c>
      <c r="E68" s="392">
        <v>32999</v>
      </c>
      <c r="F68" s="368"/>
      <c r="G68" s="390">
        <f t="shared" si="3"/>
        <v>392.70000000000005</v>
      </c>
      <c r="H68" s="673">
        <v>290.10000000000002</v>
      </c>
      <c r="I68" s="674">
        <v>102.6</v>
      </c>
      <c r="J68" s="368"/>
      <c r="K68" s="393">
        <v>261382</v>
      </c>
      <c r="L68" s="392">
        <v>54648</v>
      </c>
      <c r="M68" s="368"/>
      <c r="N68" s="393">
        <v>83782.097399999999</v>
      </c>
      <c r="O68" s="392">
        <v>196331.9026</v>
      </c>
      <c r="P68" s="368"/>
      <c r="Q68" s="393" t="s">
        <v>47</v>
      </c>
      <c r="R68" s="392" t="s">
        <v>47</v>
      </c>
      <c r="S68" s="368"/>
      <c r="T68" s="393" t="s">
        <v>47</v>
      </c>
      <c r="U68" s="391" t="s">
        <v>47</v>
      </c>
      <c r="V68" s="391" t="s">
        <v>47</v>
      </c>
      <c r="W68" s="391" t="s">
        <v>47</v>
      </c>
      <c r="X68" s="391" t="s">
        <v>47</v>
      </c>
      <c r="Y68" s="391" t="s">
        <v>47</v>
      </c>
      <c r="Z68" s="391" t="s">
        <v>47</v>
      </c>
      <c r="AA68" s="391" t="s">
        <v>47</v>
      </c>
      <c r="AB68" s="392" t="s">
        <v>47</v>
      </c>
      <c r="AC68" s="368"/>
      <c r="AD68" s="366">
        <f t="shared" si="2"/>
        <v>41730</v>
      </c>
      <c r="AE68" s="396" t="s">
        <v>47</v>
      </c>
      <c r="AF68" s="397" t="s">
        <v>47</v>
      </c>
      <c r="AG68" s="397" t="s">
        <v>47</v>
      </c>
      <c r="AH68" s="397" t="s">
        <v>47</v>
      </c>
      <c r="AI68" s="397" t="s">
        <v>47</v>
      </c>
      <c r="AJ68" s="397" t="s">
        <v>47</v>
      </c>
      <c r="AK68" s="397" t="s">
        <v>47</v>
      </c>
      <c r="AL68" s="394" t="s">
        <v>47</v>
      </c>
      <c r="AM68" s="398" t="s">
        <v>47</v>
      </c>
      <c r="AN68" s="368"/>
      <c r="AO68" s="399" t="s">
        <v>47</v>
      </c>
      <c r="AP68" s="394" t="s">
        <v>47</v>
      </c>
      <c r="AQ68" s="394" t="s">
        <v>47</v>
      </c>
      <c r="AR68" s="394" t="s">
        <v>47</v>
      </c>
      <c r="AS68" s="395" t="s">
        <v>47</v>
      </c>
      <c r="AT68" s="368"/>
      <c r="AU68" s="393" t="s">
        <v>47</v>
      </c>
      <c r="AV68" s="394" t="s">
        <v>47</v>
      </c>
      <c r="AW68" s="394" t="s">
        <v>47</v>
      </c>
      <c r="AX68" s="394" t="s">
        <v>47</v>
      </c>
      <c r="AY68" s="395" t="s">
        <v>47</v>
      </c>
      <c r="AZ68" s="368"/>
      <c r="BA68" s="400">
        <f t="shared" si="4"/>
        <v>0.12624817317183279</v>
      </c>
      <c r="BB68" s="401">
        <f t="shared" si="5"/>
        <v>0.19509199825785217</v>
      </c>
      <c r="BC68" s="368"/>
      <c r="BE68" s="981" t="s">
        <v>15</v>
      </c>
      <c r="BF68" s="981" t="s">
        <v>472</v>
      </c>
    </row>
    <row r="69" spans="1:58" ht="12.75" customHeight="1" outlineLevel="1" x14ac:dyDescent="0.2">
      <c r="A69" s="365" t="s">
        <v>472</v>
      </c>
      <c r="B69" s="366">
        <v>41760</v>
      </c>
      <c r="C69" s="390">
        <f t="shared" ref="C69:C106" si="6">+D69+E69</f>
        <v>310966</v>
      </c>
      <c r="D69" s="391">
        <v>278408</v>
      </c>
      <c r="E69" s="392">
        <v>32558</v>
      </c>
      <c r="F69" s="368"/>
      <c r="G69" s="390">
        <f t="shared" si="3"/>
        <v>399.9</v>
      </c>
      <c r="H69" s="673">
        <v>283.8</v>
      </c>
      <c r="I69" s="674">
        <v>116.1</v>
      </c>
      <c r="J69" s="368"/>
      <c r="K69" s="393">
        <v>265272</v>
      </c>
      <c r="L69" s="392">
        <v>56072</v>
      </c>
      <c r="M69" s="368"/>
      <c r="N69" s="393">
        <v>82770.698400000008</v>
      </c>
      <c r="O69" s="392">
        <v>195637.30160000001</v>
      </c>
      <c r="P69" s="368"/>
      <c r="Q69" s="393" t="s">
        <v>47</v>
      </c>
      <c r="R69" s="392" t="s">
        <v>47</v>
      </c>
      <c r="S69" s="368"/>
      <c r="T69" s="393" t="s">
        <v>47</v>
      </c>
      <c r="U69" s="391" t="s">
        <v>47</v>
      </c>
      <c r="V69" s="391" t="s">
        <v>47</v>
      </c>
      <c r="W69" s="391" t="s">
        <v>47</v>
      </c>
      <c r="X69" s="391" t="s">
        <v>47</v>
      </c>
      <c r="Y69" s="391" t="s">
        <v>47</v>
      </c>
      <c r="Z69" s="391" t="s">
        <v>47</v>
      </c>
      <c r="AA69" s="391" t="s">
        <v>47</v>
      </c>
      <c r="AB69" s="392" t="s">
        <v>47</v>
      </c>
      <c r="AC69" s="368"/>
      <c r="AD69" s="366">
        <f t="shared" ref="AD69:AD100" si="7">+B69</f>
        <v>41760</v>
      </c>
      <c r="AE69" s="396" t="s">
        <v>47</v>
      </c>
      <c r="AF69" s="397" t="s">
        <v>47</v>
      </c>
      <c r="AG69" s="397" t="s">
        <v>47</v>
      </c>
      <c r="AH69" s="397" t="s">
        <v>47</v>
      </c>
      <c r="AI69" s="397" t="s">
        <v>47</v>
      </c>
      <c r="AJ69" s="397" t="s">
        <v>47</v>
      </c>
      <c r="AK69" s="397" t="s">
        <v>47</v>
      </c>
      <c r="AL69" s="394" t="s">
        <v>47</v>
      </c>
      <c r="AM69" s="398" t="s">
        <v>47</v>
      </c>
      <c r="AN69" s="368"/>
      <c r="AO69" s="399" t="s">
        <v>47</v>
      </c>
      <c r="AP69" s="394" t="s">
        <v>47</v>
      </c>
      <c r="AQ69" s="394" t="s">
        <v>47</v>
      </c>
      <c r="AR69" s="394" t="s">
        <v>47</v>
      </c>
      <c r="AS69" s="395" t="s">
        <v>47</v>
      </c>
      <c r="AT69" s="368"/>
      <c r="AU69" s="393" t="s">
        <v>47</v>
      </c>
      <c r="AV69" s="394" t="s">
        <v>47</v>
      </c>
      <c r="AW69" s="394" t="s">
        <v>47</v>
      </c>
      <c r="AX69" s="394" t="s">
        <v>47</v>
      </c>
      <c r="AY69" s="395" t="s">
        <v>47</v>
      </c>
      <c r="AZ69" s="368"/>
      <c r="BA69" s="400">
        <f t="shared" si="4"/>
        <v>0.12273440091679484</v>
      </c>
      <c r="BB69" s="401">
        <f t="shared" si="5"/>
        <v>0.20140225855578864</v>
      </c>
      <c r="BC69" s="368"/>
      <c r="BE69" s="981" t="s">
        <v>15</v>
      </c>
      <c r="BF69" s="981" t="s">
        <v>472</v>
      </c>
    </row>
    <row r="70" spans="1:58" ht="12.75" customHeight="1" outlineLevel="1" x14ac:dyDescent="0.2">
      <c r="A70" s="365" t="s">
        <v>472</v>
      </c>
      <c r="B70" s="366">
        <v>41791</v>
      </c>
      <c r="C70" s="390">
        <f t="shared" si="6"/>
        <v>273332</v>
      </c>
      <c r="D70" s="391">
        <v>251014</v>
      </c>
      <c r="E70" s="392">
        <v>22318</v>
      </c>
      <c r="F70" s="368"/>
      <c r="G70" s="390">
        <f t="shared" si="3"/>
        <v>395.4</v>
      </c>
      <c r="H70" s="673">
        <v>296.39999999999998</v>
      </c>
      <c r="I70" s="674">
        <v>99</v>
      </c>
      <c r="J70" s="368"/>
      <c r="K70" s="393">
        <v>205204</v>
      </c>
      <c r="L70" s="392">
        <v>58144</v>
      </c>
      <c r="M70" s="368"/>
      <c r="N70" s="393">
        <v>77839.441400000011</v>
      </c>
      <c r="O70" s="392">
        <v>173174.55859999999</v>
      </c>
      <c r="P70" s="368"/>
      <c r="Q70" s="393" t="s">
        <v>47</v>
      </c>
      <c r="R70" s="392" t="s">
        <v>47</v>
      </c>
      <c r="S70" s="368"/>
      <c r="T70" s="393" t="s">
        <v>47</v>
      </c>
      <c r="U70" s="391" t="s">
        <v>47</v>
      </c>
      <c r="V70" s="391" t="s">
        <v>47</v>
      </c>
      <c r="W70" s="391" t="s">
        <v>47</v>
      </c>
      <c r="X70" s="391" t="s">
        <v>47</v>
      </c>
      <c r="Y70" s="391" t="s">
        <v>47</v>
      </c>
      <c r="Z70" s="391" t="s">
        <v>47</v>
      </c>
      <c r="AA70" s="391" t="s">
        <v>47</v>
      </c>
      <c r="AB70" s="392" t="s">
        <v>47</v>
      </c>
      <c r="AC70" s="368"/>
      <c r="AD70" s="366">
        <f t="shared" si="7"/>
        <v>41791</v>
      </c>
      <c r="AE70" s="396" t="s">
        <v>47</v>
      </c>
      <c r="AF70" s="397" t="s">
        <v>47</v>
      </c>
      <c r="AG70" s="397" t="s">
        <v>47</v>
      </c>
      <c r="AH70" s="397" t="s">
        <v>47</v>
      </c>
      <c r="AI70" s="397" t="s">
        <v>47</v>
      </c>
      <c r="AJ70" s="397" t="s">
        <v>47</v>
      </c>
      <c r="AK70" s="397" t="s">
        <v>47</v>
      </c>
      <c r="AL70" s="394" t="s">
        <v>47</v>
      </c>
      <c r="AM70" s="398" t="s">
        <v>47</v>
      </c>
      <c r="AN70" s="368"/>
      <c r="AO70" s="399" t="s">
        <v>47</v>
      </c>
      <c r="AP70" s="394" t="s">
        <v>47</v>
      </c>
      <c r="AQ70" s="394" t="s">
        <v>47</v>
      </c>
      <c r="AR70" s="394" t="s">
        <v>47</v>
      </c>
      <c r="AS70" s="395" t="s">
        <v>47</v>
      </c>
      <c r="AT70" s="368"/>
      <c r="AU70" s="393" t="s">
        <v>47</v>
      </c>
      <c r="AV70" s="394" t="s">
        <v>47</v>
      </c>
      <c r="AW70" s="394" t="s">
        <v>47</v>
      </c>
      <c r="AX70" s="394" t="s">
        <v>47</v>
      </c>
      <c r="AY70" s="395" t="s">
        <v>47</v>
      </c>
      <c r="AZ70" s="368"/>
      <c r="BA70" s="400">
        <f t="shared" si="4"/>
        <v>0.10876006315666362</v>
      </c>
      <c r="BB70" s="401">
        <f t="shared" si="5"/>
        <v>0.23163648242727497</v>
      </c>
      <c r="BC70" s="368"/>
      <c r="BE70" s="981" t="s">
        <v>15</v>
      </c>
      <c r="BF70" s="981" t="s">
        <v>472</v>
      </c>
    </row>
    <row r="71" spans="1:58" ht="12.75" customHeight="1" outlineLevel="1" x14ac:dyDescent="0.2">
      <c r="A71" s="365" t="s">
        <v>473</v>
      </c>
      <c r="B71" s="366">
        <v>41821</v>
      </c>
      <c r="C71" s="390">
        <f t="shared" si="6"/>
        <v>312542</v>
      </c>
      <c r="D71" s="391">
        <v>280190</v>
      </c>
      <c r="E71" s="392">
        <v>32352</v>
      </c>
      <c r="F71" s="368"/>
      <c r="G71" s="390">
        <f t="shared" si="3"/>
        <v>382.6</v>
      </c>
      <c r="H71" s="673">
        <v>255.9</v>
      </c>
      <c r="I71" s="674">
        <v>126.7</v>
      </c>
      <c r="J71" s="368"/>
      <c r="K71" s="393">
        <v>237445</v>
      </c>
      <c r="L71" s="392">
        <v>50634</v>
      </c>
      <c r="M71" s="368"/>
      <c r="N71" s="393" t="s">
        <v>47</v>
      </c>
      <c r="O71" s="392" t="s">
        <v>47</v>
      </c>
      <c r="P71" s="368"/>
      <c r="Q71" s="393" t="s">
        <v>47</v>
      </c>
      <c r="R71" s="392" t="s">
        <v>47</v>
      </c>
      <c r="S71" s="368"/>
      <c r="T71" s="393" t="s">
        <v>47</v>
      </c>
      <c r="U71" s="391" t="s">
        <v>47</v>
      </c>
      <c r="V71" s="391" t="s">
        <v>47</v>
      </c>
      <c r="W71" s="391" t="s">
        <v>47</v>
      </c>
      <c r="X71" s="391" t="s">
        <v>47</v>
      </c>
      <c r="Y71" s="391" t="s">
        <v>47</v>
      </c>
      <c r="Z71" s="391" t="s">
        <v>47</v>
      </c>
      <c r="AA71" s="391" t="s">
        <v>47</v>
      </c>
      <c r="AB71" s="392" t="s">
        <v>47</v>
      </c>
      <c r="AC71" s="368"/>
      <c r="AD71" s="366">
        <f t="shared" si="7"/>
        <v>41821</v>
      </c>
      <c r="AE71" s="396" t="s">
        <v>47</v>
      </c>
      <c r="AF71" s="397" t="s">
        <v>47</v>
      </c>
      <c r="AG71" s="397" t="s">
        <v>47</v>
      </c>
      <c r="AH71" s="397" t="s">
        <v>47</v>
      </c>
      <c r="AI71" s="397" t="s">
        <v>47</v>
      </c>
      <c r="AJ71" s="397" t="s">
        <v>47</v>
      </c>
      <c r="AK71" s="397" t="s">
        <v>47</v>
      </c>
      <c r="AL71" s="394" t="s">
        <v>47</v>
      </c>
      <c r="AM71" s="398" t="s">
        <v>47</v>
      </c>
      <c r="AN71" s="368"/>
      <c r="AO71" s="399" t="s">
        <v>47</v>
      </c>
      <c r="AP71" s="394" t="s">
        <v>47</v>
      </c>
      <c r="AQ71" s="394" t="s">
        <v>47</v>
      </c>
      <c r="AR71" s="394" t="s">
        <v>47</v>
      </c>
      <c r="AS71" s="395" t="s">
        <v>47</v>
      </c>
      <c r="AT71" s="368"/>
      <c r="AU71" s="393" t="s">
        <v>47</v>
      </c>
      <c r="AV71" s="394" t="s">
        <v>47</v>
      </c>
      <c r="AW71" s="394" t="s">
        <v>47</v>
      </c>
      <c r="AX71" s="394" t="s">
        <v>47</v>
      </c>
      <c r="AY71" s="395" t="s">
        <v>47</v>
      </c>
      <c r="AZ71" s="368"/>
      <c r="BA71" s="400">
        <f t="shared" si="4"/>
        <v>0.1362505001158163</v>
      </c>
      <c r="BB71" s="401">
        <f t="shared" si="5"/>
        <v>0.18071308754773546</v>
      </c>
      <c r="BC71" s="368"/>
      <c r="BE71" s="981" t="s">
        <v>21</v>
      </c>
      <c r="BF71" s="981" t="s">
        <v>473</v>
      </c>
    </row>
    <row r="72" spans="1:58" ht="12.75" customHeight="1" outlineLevel="1" x14ac:dyDescent="0.2">
      <c r="A72" s="365" t="s">
        <v>473</v>
      </c>
      <c r="B72" s="366">
        <v>41852</v>
      </c>
      <c r="C72" s="390">
        <f t="shared" si="6"/>
        <v>289003</v>
      </c>
      <c r="D72" s="391">
        <v>259490</v>
      </c>
      <c r="E72" s="392">
        <v>29513</v>
      </c>
      <c r="F72" s="368"/>
      <c r="G72" s="390">
        <f t="shared" si="3"/>
        <v>385.70000000000005</v>
      </c>
      <c r="H72" s="673">
        <v>264.3</v>
      </c>
      <c r="I72" s="674">
        <v>121.4</v>
      </c>
      <c r="J72" s="368"/>
      <c r="K72" s="393">
        <v>249778</v>
      </c>
      <c r="L72" s="392">
        <v>45124</v>
      </c>
      <c r="M72" s="368"/>
      <c r="N72" s="393" t="s">
        <v>47</v>
      </c>
      <c r="O72" s="392" t="s">
        <v>47</v>
      </c>
      <c r="P72" s="368"/>
      <c r="Q72" s="393" t="s">
        <v>47</v>
      </c>
      <c r="R72" s="392" t="s">
        <v>47</v>
      </c>
      <c r="S72" s="368"/>
      <c r="T72" s="393" t="s">
        <v>47</v>
      </c>
      <c r="U72" s="391" t="s">
        <v>47</v>
      </c>
      <c r="V72" s="391" t="s">
        <v>47</v>
      </c>
      <c r="W72" s="391" t="s">
        <v>47</v>
      </c>
      <c r="X72" s="391" t="s">
        <v>47</v>
      </c>
      <c r="Y72" s="391" t="s">
        <v>47</v>
      </c>
      <c r="Z72" s="391" t="s">
        <v>47</v>
      </c>
      <c r="AA72" s="391" t="s">
        <v>47</v>
      </c>
      <c r="AB72" s="392" t="s">
        <v>47</v>
      </c>
      <c r="AC72" s="368"/>
      <c r="AD72" s="366">
        <f t="shared" si="7"/>
        <v>41852</v>
      </c>
      <c r="AE72" s="396" t="s">
        <v>47</v>
      </c>
      <c r="AF72" s="397" t="s">
        <v>47</v>
      </c>
      <c r="AG72" s="397" t="s">
        <v>47</v>
      </c>
      <c r="AH72" s="397" t="s">
        <v>47</v>
      </c>
      <c r="AI72" s="397" t="s">
        <v>47</v>
      </c>
      <c r="AJ72" s="397" t="s">
        <v>47</v>
      </c>
      <c r="AK72" s="397" t="s">
        <v>47</v>
      </c>
      <c r="AL72" s="394" t="s">
        <v>47</v>
      </c>
      <c r="AM72" s="398" t="s">
        <v>47</v>
      </c>
      <c r="AN72" s="368"/>
      <c r="AO72" s="399" t="s">
        <v>47</v>
      </c>
      <c r="AP72" s="394" t="s">
        <v>47</v>
      </c>
      <c r="AQ72" s="394" t="s">
        <v>47</v>
      </c>
      <c r="AR72" s="394" t="s">
        <v>47</v>
      </c>
      <c r="AS72" s="395" t="s">
        <v>47</v>
      </c>
      <c r="AT72" s="368"/>
      <c r="AU72" s="393" t="s">
        <v>47</v>
      </c>
      <c r="AV72" s="394" t="s">
        <v>47</v>
      </c>
      <c r="AW72" s="394" t="s">
        <v>47</v>
      </c>
      <c r="AX72" s="394" t="s">
        <v>47</v>
      </c>
      <c r="AY72" s="395" t="s">
        <v>47</v>
      </c>
      <c r="AZ72" s="368"/>
      <c r="BA72" s="400">
        <f t="shared" si="4"/>
        <v>0.11815692334793297</v>
      </c>
      <c r="BB72" s="401">
        <f t="shared" si="5"/>
        <v>0.17389494778218814</v>
      </c>
      <c r="BC72" s="368"/>
      <c r="BE72" s="981" t="s">
        <v>21</v>
      </c>
      <c r="BF72" s="981" t="s">
        <v>473</v>
      </c>
    </row>
    <row r="73" spans="1:58" ht="12.75" customHeight="1" outlineLevel="1" x14ac:dyDescent="0.2">
      <c r="A73" s="365" t="s">
        <v>473</v>
      </c>
      <c r="B73" s="366">
        <v>41883</v>
      </c>
      <c r="C73" s="390">
        <f t="shared" si="6"/>
        <v>306745</v>
      </c>
      <c r="D73" s="391">
        <v>282881</v>
      </c>
      <c r="E73" s="392">
        <v>23864</v>
      </c>
      <c r="F73" s="368"/>
      <c r="G73" s="390">
        <f t="shared" si="3"/>
        <v>404.5</v>
      </c>
      <c r="H73" s="673">
        <v>282.89999999999998</v>
      </c>
      <c r="I73" s="674">
        <v>121.6</v>
      </c>
      <c r="J73" s="368"/>
      <c r="K73" s="393">
        <v>286241</v>
      </c>
      <c r="L73" s="392">
        <v>46653</v>
      </c>
      <c r="M73" s="368"/>
      <c r="N73" s="393" t="s">
        <v>47</v>
      </c>
      <c r="O73" s="392" t="s">
        <v>47</v>
      </c>
      <c r="P73" s="368"/>
      <c r="Q73" s="393" t="s">
        <v>47</v>
      </c>
      <c r="R73" s="392" t="s">
        <v>47</v>
      </c>
      <c r="S73" s="368"/>
      <c r="T73" s="393" t="s">
        <v>47</v>
      </c>
      <c r="U73" s="391" t="s">
        <v>47</v>
      </c>
      <c r="V73" s="391" t="s">
        <v>47</v>
      </c>
      <c r="W73" s="391" t="s">
        <v>47</v>
      </c>
      <c r="X73" s="391" t="s">
        <v>47</v>
      </c>
      <c r="Y73" s="391" t="s">
        <v>47</v>
      </c>
      <c r="Z73" s="391" t="s">
        <v>47</v>
      </c>
      <c r="AA73" s="391" t="s">
        <v>47</v>
      </c>
      <c r="AB73" s="392" t="s">
        <v>47</v>
      </c>
      <c r="AC73" s="368"/>
      <c r="AD73" s="366">
        <f t="shared" si="7"/>
        <v>41883</v>
      </c>
      <c r="AE73" s="396" t="s">
        <v>47</v>
      </c>
      <c r="AF73" s="397" t="s">
        <v>47</v>
      </c>
      <c r="AG73" s="397" t="s">
        <v>47</v>
      </c>
      <c r="AH73" s="397" t="s">
        <v>47</v>
      </c>
      <c r="AI73" s="397" t="s">
        <v>47</v>
      </c>
      <c r="AJ73" s="397" t="s">
        <v>47</v>
      </c>
      <c r="AK73" s="397" t="s">
        <v>47</v>
      </c>
      <c r="AL73" s="394" t="s">
        <v>47</v>
      </c>
      <c r="AM73" s="398" t="s">
        <v>47</v>
      </c>
      <c r="AN73" s="368"/>
      <c r="AO73" s="399" t="s">
        <v>47</v>
      </c>
      <c r="AP73" s="394" t="s">
        <v>47</v>
      </c>
      <c r="AQ73" s="394" t="s">
        <v>47</v>
      </c>
      <c r="AR73" s="394" t="s">
        <v>47</v>
      </c>
      <c r="AS73" s="395" t="s">
        <v>47</v>
      </c>
      <c r="AT73" s="368"/>
      <c r="AU73" s="393" t="s">
        <v>47</v>
      </c>
      <c r="AV73" s="394" t="s">
        <v>47</v>
      </c>
      <c r="AW73" s="394" t="s">
        <v>47</v>
      </c>
      <c r="AX73" s="394" t="s">
        <v>47</v>
      </c>
      <c r="AY73" s="395" t="s">
        <v>47</v>
      </c>
      <c r="AZ73" s="368"/>
      <c r="BA73" s="400">
        <f t="shared" si="4"/>
        <v>8.3370306839341671E-2</v>
      </c>
      <c r="BB73" s="401">
        <f t="shared" si="5"/>
        <v>0.16492093848650138</v>
      </c>
      <c r="BC73" s="368"/>
      <c r="BE73" s="981" t="s">
        <v>21</v>
      </c>
      <c r="BF73" s="981" t="s">
        <v>473</v>
      </c>
    </row>
    <row r="74" spans="1:58" ht="12.75" customHeight="1" outlineLevel="1" x14ac:dyDescent="0.2">
      <c r="A74" s="365" t="s">
        <v>474</v>
      </c>
      <c r="B74" s="366">
        <v>41917</v>
      </c>
      <c r="C74" s="390">
        <f t="shared" si="6"/>
        <v>313327</v>
      </c>
      <c r="D74" s="391">
        <v>291804</v>
      </c>
      <c r="E74" s="392">
        <v>21523</v>
      </c>
      <c r="F74" s="368"/>
      <c r="G74" s="390">
        <f t="shared" si="3"/>
        <v>413.4</v>
      </c>
      <c r="H74" s="673">
        <v>281.8</v>
      </c>
      <c r="I74" s="674">
        <v>131.6</v>
      </c>
      <c r="J74" s="368"/>
      <c r="K74" s="393">
        <v>278239</v>
      </c>
      <c r="L74" s="392">
        <v>49359</v>
      </c>
      <c r="M74" s="368"/>
      <c r="N74" s="393" t="s">
        <v>47</v>
      </c>
      <c r="O74" s="392" t="s">
        <v>47</v>
      </c>
      <c r="P74" s="368"/>
      <c r="Q74" s="393" t="s">
        <v>47</v>
      </c>
      <c r="R74" s="392" t="s">
        <v>47</v>
      </c>
      <c r="S74" s="368"/>
      <c r="T74" s="393" t="s">
        <v>47</v>
      </c>
      <c r="U74" s="391" t="s">
        <v>47</v>
      </c>
      <c r="V74" s="391" t="s">
        <v>47</v>
      </c>
      <c r="W74" s="391" t="s">
        <v>47</v>
      </c>
      <c r="X74" s="391" t="s">
        <v>47</v>
      </c>
      <c r="Y74" s="391" t="s">
        <v>47</v>
      </c>
      <c r="Z74" s="391" t="s">
        <v>47</v>
      </c>
      <c r="AA74" s="391" t="s">
        <v>47</v>
      </c>
      <c r="AB74" s="392" t="s">
        <v>47</v>
      </c>
      <c r="AC74" s="368"/>
      <c r="AD74" s="366">
        <f t="shared" si="7"/>
        <v>41917</v>
      </c>
      <c r="AE74" s="396" t="s">
        <v>47</v>
      </c>
      <c r="AF74" s="397" t="s">
        <v>47</v>
      </c>
      <c r="AG74" s="397" t="s">
        <v>47</v>
      </c>
      <c r="AH74" s="397" t="s">
        <v>47</v>
      </c>
      <c r="AI74" s="397" t="s">
        <v>47</v>
      </c>
      <c r="AJ74" s="397" t="s">
        <v>47</v>
      </c>
      <c r="AK74" s="397" t="s">
        <v>47</v>
      </c>
      <c r="AL74" s="394" t="s">
        <v>47</v>
      </c>
      <c r="AM74" s="398" t="s">
        <v>47</v>
      </c>
      <c r="AN74" s="368"/>
      <c r="AO74" s="399" t="s">
        <v>47</v>
      </c>
      <c r="AP74" s="394" t="s">
        <v>47</v>
      </c>
      <c r="AQ74" s="394" t="s">
        <v>47</v>
      </c>
      <c r="AR74" s="394" t="s">
        <v>47</v>
      </c>
      <c r="AS74" s="395" t="s">
        <v>47</v>
      </c>
      <c r="AT74" s="368"/>
      <c r="AU74" s="393" t="s">
        <v>47</v>
      </c>
      <c r="AV74" s="394" t="s">
        <v>47</v>
      </c>
      <c r="AW74" s="394" t="s">
        <v>47</v>
      </c>
      <c r="AX74" s="394" t="s">
        <v>47</v>
      </c>
      <c r="AY74" s="395" t="s">
        <v>47</v>
      </c>
      <c r="AZ74" s="368"/>
      <c r="BA74" s="400">
        <f t="shared" si="4"/>
        <v>7.7354360819295642E-2</v>
      </c>
      <c r="BB74" s="401">
        <f t="shared" si="5"/>
        <v>0.16915121108689393</v>
      </c>
      <c r="BC74" s="368"/>
      <c r="BE74" s="981" t="s">
        <v>23</v>
      </c>
      <c r="BF74" s="981" t="s">
        <v>474</v>
      </c>
    </row>
    <row r="75" spans="1:58" ht="12.75" customHeight="1" outlineLevel="1" x14ac:dyDescent="0.2">
      <c r="A75" s="365" t="s">
        <v>474</v>
      </c>
      <c r="B75" s="366">
        <v>41944</v>
      </c>
      <c r="C75" s="390">
        <f t="shared" si="6"/>
        <v>303901</v>
      </c>
      <c r="D75" s="391">
        <v>280152</v>
      </c>
      <c r="E75" s="392">
        <v>23749</v>
      </c>
      <c r="F75" s="368"/>
      <c r="G75" s="390">
        <f t="shared" si="3"/>
        <v>414.3</v>
      </c>
      <c r="H75" s="673">
        <v>294.8</v>
      </c>
      <c r="I75" s="674">
        <v>119.5</v>
      </c>
      <c r="J75" s="368"/>
      <c r="K75" s="393">
        <v>251208</v>
      </c>
      <c r="L75" s="392">
        <v>53229</v>
      </c>
      <c r="M75" s="368"/>
      <c r="N75" s="393" t="s">
        <v>47</v>
      </c>
      <c r="O75" s="392" t="s">
        <v>47</v>
      </c>
      <c r="P75" s="368"/>
      <c r="Q75" s="393" t="s">
        <v>47</v>
      </c>
      <c r="R75" s="392" t="s">
        <v>47</v>
      </c>
      <c r="S75" s="368"/>
      <c r="T75" s="393" t="s">
        <v>47</v>
      </c>
      <c r="U75" s="391" t="s">
        <v>47</v>
      </c>
      <c r="V75" s="391" t="s">
        <v>47</v>
      </c>
      <c r="W75" s="391" t="s">
        <v>47</v>
      </c>
      <c r="X75" s="391" t="s">
        <v>47</v>
      </c>
      <c r="Y75" s="391" t="s">
        <v>47</v>
      </c>
      <c r="Z75" s="391" t="s">
        <v>47</v>
      </c>
      <c r="AA75" s="391" t="s">
        <v>47</v>
      </c>
      <c r="AB75" s="392" t="s">
        <v>47</v>
      </c>
      <c r="AC75" s="368"/>
      <c r="AD75" s="366">
        <f t="shared" si="7"/>
        <v>41944</v>
      </c>
      <c r="AE75" s="396" t="s">
        <v>47</v>
      </c>
      <c r="AF75" s="397" t="s">
        <v>47</v>
      </c>
      <c r="AG75" s="397" t="s">
        <v>47</v>
      </c>
      <c r="AH75" s="397" t="s">
        <v>47</v>
      </c>
      <c r="AI75" s="397" t="s">
        <v>47</v>
      </c>
      <c r="AJ75" s="397" t="s">
        <v>47</v>
      </c>
      <c r="AK75" s="397" t="s">
        <v>47</v>
      </c>
      <c r="AL75" s="394" t="s">
        <v>47</v>
      </c>
      <c r="AM75" s="398" t="s">
        <v>47</v>
      </c>
      <c r="AN75" s="368"/>
      <c r="AO75" s="399" t="s">
        <v>47</v>
      </c>
      <c r="AP75" s="394" t="s">
        <v>47</v>
      </c>
      <c r="AQ75" s="394" t="s">
        <v>47</v>
      </c>
      <c r="AR75" s="394" t="s">
        <v>47</v>
      </c>
      <c r="AS75" s="395" t="s">
        <v>47</v>
      </c>
      <c r="AT75" s="368"/>
      <c r="AU75" s="393" t="s">
        <v>47</v>
      </c>
      <c r="AV75" s="394" t="s">
        <v>47</v>
      </c>
      <c r="AW75" s="394" t="s">
        <v>47</v>
      </c>
      <c r="AX75" s="394" t="s">
        <v>47</v>
      </c>
      <c r="AY75" s="395" t="s">
        <v>47</v>
      </c>
      <c r="AZ75" s="368"/>
      <c r="BA75" s="400">
        <f t="shared" si="4"/>
        <v>9.4539186650106688E-2</v>
      </c>
      <c r="BB75" s="401">
        <f t="shared" si="5"/>
        <v>0.19000042833890174</v>
      </c>
      <c r="BC75" s="368"/>
      <c r="BE75" s="981" t="s">
        <v>23</v>
      </c>
      <c r="BF75" s="981" t="s">
        <v>474</v>
      </c>
    </row>
    <row r="76" spans="1:58" ht="12.75" customHeight="1" outlineLevel="1" x14ac:dyDescent="0.2">
      <c r="A76" s="365" t="s">
        <v>474</v>
      </c>
      <c r="B76" s="366">
        <v>41974</v>
      </c>
      <c r="C76" s="390">
        <f t="shared" si="6"/>
        <v>376399</v>
      </c>
      <c r="D76" s="391">
        <v>353999</v>
      </c>
      <c r="E76" s="392">
        <v>22400</v>
      </c>
      <c r="F76" s="368"/>
      <c r="G76" s="390">
        <f t="shared" si="3"/>
        <v>351</v>
      </c>
      <c r="H76" s="673">
        <v>297.5</v>
      </c>
      <c r="I76" s="674">
        <v>53.5</v>
      </c>
      <c r="J76" s="368"/>
      <c r="K76" s="393">
        <v>199721</v>
      </c>
      <c r="L76" s="392">
        <v>46940</v>
      </c>
      <c r="M76" s="368"/>
      <c r="N76" s="393">
        <v>97562.124400000001</v>
      </c>
      <c r="O76" s="392">
        <v>256436.8756</v>
      </c>
      <c r="P76" s="368"/>
      <c r="Q76" s="393" t="s">
        <v>47</v>
      </c>
      <c r="R76" s="392" t="s">
        <v>47</v>
      </c>
      <c r="S76" s="368"/>
      <c r="T76" s="393" t="s">
        <v>47</v>
      </c>
      <c r="U76" s="391" t="s">
        <v>47</v>
      </c>
      <c r="V76" s="391" t="s">
        <v>47</v>
      </c>
      <c r="W76" s="391" t="s">
        <v>47</v>
      </c>
      <c r="X76" s="391" t="s">
        <v>47</v>
      </c>
      <c r="Y76" s="391" t="s">
        <v>47</v>
      </c>
      <c r="Z76" s="391" t="s">
        <v>47</v>
      </c>
      <c r="AA76" s="391" t="s">
        <v>47</v>
      </c>
      <c r="AB76" s="392" t="s">
        <v>47</v>
      </c>
      <c r="AC76" s="368"/>
      <c r="AD76" s="366">
        <f t="shared" si="7"/>
        <v>41974</v>
      </c>
      <c r="AE76" s="396" t="s">
        <v>47</v>
      </c>
      <c r="AF76" s="397" t="s">
        <v>47</v>
      </c>
      <c r="AG76" s="397" t="s">
        <v>47</v>
      </c>
      <c r="AH76" s="397" t="s">
        <v>47</v>
      </c>
      <c r="AI76" s="397" t="s">
        <v>47</v>
      </c>
      <c r="AJ76" s="397" t="s">
        <v>47</v>
      </c>
      <c r="AK76" s="397" t="s">
        <v>47</v>
      </c>
      <c r="AL76" s="394" t="s">
        <v>47</v>
      </c>
      <c r="AM76" s="398" t="s">
        <v>47</v>
      </c>
      <c r="AN76" s="368"/>
      <c r="AO76" s="399" t="s">
        <v>47</v>
      </c>
      <c r="AP76" s="394" t="s">
        <v>47</v>
      </c>
      <c r="AQ76" s="394" t="s">
        <v>47</v>
      </c>
      <c r="AR76" s="394" t="s">
        <v>47</v>
      </c>
      <c r="AS76" s="395" t="s">
        <v>47</v>
      </c>
      <c r="AT76" s="368"/>
      <c r="AU76" s="393" t="s">
        <v>47</v>
      </c>
      <c r="AV76" s="394" t="s">
        <v>47</v>
      </c>
      <c r="AW76" s="394" t="s">
        <v>47</v>
      </c>
      <c r="AX76" s="394" t="s">
        <v>47</v>
      </c>
      <c r="AY76" s="395" t="s">
        <v>47</v>
      </c>
      <c r="AZ76" s="368"/>
      <c r="BA76" s="400">
        <f t="shared" si="4"/>
        <v>0.11215645825927169</v>
      </c>
      <c r="BB76" s="401">
        <f t="shared" si="5"/>
        <v>0.13259924463063455</v>
      </c>
      <c r="BC76" s="368"/>
      <c r="BE76" s="981" t="s">
        <v>23</v>
      </c>
      <c r="BF76" s="981" t="s">
        <v>474</v>
      </c>
    </row>
    <row r="77" spans="1:58" ht="12.75" customHeight="1" outlineLevel="1" x14ac:dyDescent="0.2">
      <c r="A77" s="365" t="s">
        <v>475</v>
      </c>
      <c r="B77" s="366">
        <v>42005</v>
      </c>
      <c r="C77" s="402">
        <f t="shared" si="6"/>
        <v>259114</v>
      </c>
      <c r="D77" s="403">
        <v>244266</v>
      </c>
      <c r="E77" s="405">
        <v>14848</v>
      </c>
      <c r="F77" s="368"/>
      <c r="G77" s="402">
        <f t="shared" si="3"/>
        <v>325.2</v>
      </c>
      <c r="H77" s="412">
        <v>256.2</v>
      </c>
      <c r="I77" s="407">
        <v>69</v>
      </c>
      <c r="J77" s="368"/>
      <c r="K77" s="406">
        <v>194712</v>
      </c>
      <c r="L77" s="405">
        <v>27994</v>
      </c>
      <c r="M77" s="368"/>
      <c r="N77" s="406">
        <v>51906.525000000001</v>
      </c>
      <c r="O77" s="405">
        <v>192359.47500000001</v>
      </c>
      <c r="P77" s="368"/>
      <c r="Q77" s="406">
        <v>797008</v>
      </c>
      <c r="R77" s="407">
        <v>3.2628558094216573</v>
      </c>
      <c r="S77" s="368"/>
      <c r="T77" s="406">
        <v>46885</v>
      </c>
      <c r="U77" s="403">
        <v>39462</v>
      </c>
      <c r="V77" s="403">
        <v>50296</v>
      </c>
      <c r="W77" s="403">
        <v>12552</v>
      </c>
      <c r="X77" s="403">
        <v>21387</v>
      </c>
      <c r="Y77" s="403">
        <v>12581</v>
      </c>
      <c r="Z77" s="403">
        <v>10041</v>
      </c>
      <c r="AA77" s="403" t="s">
        <v>47</v>
      </c>
      <c r="AB77" s="405">
        <v>51063</v>
      </c>
      <c r="AC77" s="368"/>
      <c r="AD77" s="366">
        <f t="shared" si="7"/>
        <v>42005</v>
      </c>
      <c r="AE77" s="406" t="s">
        <v>47</v>
      </c>
      <c r="AF77" s="403" t="s">
        <v>47</v>
      </c>
      <c r="AG77" s="403" t="s">
        <v>47</v>
      </c>
      <c r="AH77" s="403" t="s">
        <v>47</v>
      </c>
      <c r="AI77" s="403" t="s">
        <v>47</v>
      </c>
      <c r="AJ77" s="403" t="s">
        <v>47</v>
      </c>
      <c r="AK77" s="403" t="s">
        <v>47</v>
      </c>
      <c r="AL77" s="403" t="s">
        <v>47</v>
      </c>
      <c r="AM77" s="405" t="s">
        <v>47</v>
      </c>
      <c r="AN77" s="368"/>
      <c r="AO77" s="406">
        <v>11673.297869090906</v>
      </c>
      <c r="AP77" s="403">
        <v>45313.156946666742</v>
      </c>
      <c r="AQ77" s="403">
        <v>31626.062713333253</v>
      </c>
      <c r="AR77" s="403">
        <v>116580.05274484861</v>
      </c>
      <c r="AS77" s="405">
        <v>40168.449804848366</v>
      </c>
      <c r="AT77" s="368"/>
      <c r="AU77" s="406" t="s">
        <v>47</v>
      </c>
      <c r="AV77" s="403" t="s">
        <v>47</v>
      </c>
      <c r="AW77" s="403" t="s">
        <v>47</v>
      </c>
      <c r="AX77" s="403" t="s">
        <v>47</v>
      </c>
      <c r="AY77" s="405" t="s">
        <v>47</v>
      </c>
      <c r="AZ77" s="368"/>
      <c r="BA77" s="409">
        <f t="shared" si="4"/>
        <v>7.6256214306257453E-2</v>
      </c>
      <c r="BB77" s="410">
        <f t="shared" si="5"/>
        <v>0.11460457042732103</v>
      </c>
      <c r="BC77" s="368"/>
      <c r="BE77" s="981" t="s">
        <v>24</v>
      </c>
      <c r="BF77" s="981" t="s">
        <v>475</v>
      </c>
    </row>
    <row r="78" spans="1:58" ht="12.75" customHeight="1" outlineLevel="1" x14ac:dyDescent="0.2">
      <c r="A78" s="365" t="s">
        <v>475</v>
      </c>
      <c r="B78" s="366">
        <v>42036</v>
      </c>
      <c r="C78" s="402">
        <f t="shared" si="6"/>
        <v>208653</v>
      </c>
      <c r="D78" s="403">
        <v>179263</v>
      </c>
      <c r="E78" s="405">
        <v>29390</v>
      </c>
      <c r="F78" s="368"/>
      <c r="G78" s="402">
        <f t="shared" si="3"/>
        <v>329</v>
      </c>
      <c r="H78" s="412">
        <v>251</v>
      </c>
      <c r="I78" s="407">
        <v>78</v>
      </c>
      <c r="J78" s="368"/>
      <c r="K78" s="406">
        <v>196154</v>
      </c>
      <c r="L78" s="405">
        <v>27833</v>
      </c>
      <c r="M78" s="368"/>
      <c r="N78" s="406">
        <v>43829.803500000002</v>
      </c>
      <c r="O78" s="405">
        <v>135433.19649999999</v>
      </c>
      <c r="P78" s="368"/>
      <c r="Q78" s="406">
        <v>695068</v>
      </c>
      <c r="R78" s="407">
        <v>3.877364542599421</v>
      </c>
      <c r="S78" s="368"/>
      <c r="T78" s="406">
        <v>28041</v>
      </c>
      <c r="U78" s="403">
        <v>30997</v>
      </c>
      <c r="V78" s="403">
        <v>36332</v>
      </c>
      <c r="W78" s="403">
        <v>11482</v>
      </c>
      <c r="X78" s="403">
        <v>14792</v>
      </c>
      <c r="Y78" s="403">
        <v>12605</v>
      </c>
      <c r="Z78" s="403">
        <v>9786</v>
      </c>
      <c r="AA78" s="403" t="s">
        <v>47</v>
      </c>
      <c r="AB78" s="405">
        <v>35228</v>
      </c>
      <c r="AC78" s="368"/>
      <c r="AD78" s="366">
        <f t="shared" si="7"/>
        <v>42036</v>
      </c>
      <c r="AE78" s="406" t="s">
        <v>47</v>
      </c>
      <c r="AF78" s="403" t="s">
        <v>47</v>
      </c>
      <c r="AG78" s="403" t="s">
        <v>47</v>
      </c>
      <c r="AH78" s="403" t="s">
        <v>47</v>
      </c>
      <c r="AI78" s="403" t="s">
        <v>47</v>
      </c>
      <c r="AJ78" s="403" t="s">
        <v>47</v>
      </c>
      <c r="AK78" s="403" t="s">
        <v>47</v>
      </c>
      <c r="AL78" s="403" t="s">
        <v>47</v>
      </c>
      <c r="AM78" s="405" t="s">
        <v>47</v>
      </c>
      <c r="AN78" s="368"/>
      <c r="AO78" s="406">
        <v>8576.2678527272765</v>
      </c>
      <c r="AP78" s="403">
        <v>33079.998933333271</v>
      </c>
      <c r="AQ78" s="403">
        <v>23058.002146666728</v>
      </c>
      <c r="AR78" s="403">
        <v>85812.654878787929</v>
      </c>
      <c r="AS78" s="405">
        <v>29524.072878787934</v>
      </c>
      <c r="AT78" s="368"/>
      <c r="AU78" s="406" t="s">
        <v>47</v>
      </c>
      <c r="AV78" s="403" t="s">
        <v>47</v>
      </c>
      <c r="AW78" s="403" t="s">
        <v>47</v>
      </c>
      <c r="AX78" s="403" t="s">
        <v>47</v>
      </c>
      <c r="AY78" s="405" t="s">
        <v>47</v>
      </c>
      <c r="AZ78" s="368"/>
      <c r="BA78" s="409">
        <f t="shared" si="4"/>
        <v>0.14983125503430977</v>
      </c>
      <c r="BB78" s="410">
        <f t="shared" si="5"/>
        <v>0.15526349553449401</v>
      </c>
      <c r="BC78" s="368"/>
      <c r="BE78" s="981" t="s">
        <v>24</v>
      </c>
      <c r="BF78" s="981" t="s">
        <v>475</v>
      </c>
    </row>
    <row r="79" spans="1:58" ht="12.75" customHeight="1" outlineLevel="1" x14ac:dyDescent="0.2">
      <c r="A79" s="365" t="s">
        <v>475</v>
      </c>
      <c r="B79" s="366">
        <v>42064</v>
      </c>
      <c r="C79" s="402">
        <f t="shared" si="6"/>
        <v>256013</v>
      </c>
      <c r="D79" s="403">
        <v>226336</v>
      </c>
      <c r="E79" s="405">
        <v>29677</v>
      </c>
      <c r="F79" s="368"/>
      <c r="G79" s="402">
        <f t="shared" si="3"/>
        <v>360.3</v>
      </c>
      <c r="H79" s="412">
        <v>255.8</v>
      </c>
      <c r="I79" s="407">
        <v>104.5</v>
      </c>
      <c r="J79" s="368"/>
      <c r="K79" s="406">
        <v>245706</v>
      </c>
      <c r="L79" s="405">
        <v>42103</v>
      </c>
      <c r="M79" s="368"/>
      <c r="N79" s="406">
        <v>63306.179199999999</v>
      </c>
      <c r="O79" s="405">
        <v>163029.82079999999</v>
      </c>
      <c r="P79" s="368"/>
      <c r="Q79" s="406">
        <v>844118</v>
      </c>
      <c r="R79" s="407">
        <v>3.7294906687402798</v>
      </c>
      <c r="S79" s="368"/>
      <c r="T79" s="406">
        <v>37003</v>
      </c>
      <c r="U79" s="403">
        <v>34893</v>
      </c>
      <c r="V79" s="403">
        <v>41245</v>
      </c>
      <c r="W79" s="403">
        <v>17091</v>
      </c>
      <c r="X79" s="403">
        <v>22776</v>
      </c>
      <c r="Y79" s="403">
        <v>17149</v>
      </c>
      <c r="Z79" s="403">
        <v>13029</v>
      </c>
      <c r="AA79" s="403" t="s">
        <v>47</v>
      </c>
      <c r="AB79" s="405">
        <v>43150</v>
      </c>
      <c r="AC79" s="368"/>
      <c r="AD79" s="366">
        <f t="shared" si="7"/>
        <v>42064</v>
      </c>
      <c r="AE79" s="406" t="s">
        <v>47</v>
      </c>
      <c r="AF79" s="403" t="s">
        <v>47</v>
      </c>
      <c r="AG79" s="403" t="s">
        <v>47</v>
      </c>
      <c r="AH79" s="403" t="s">
        <v>47</v>
      </c>
      <c r="AI79" s="403" t="s">
        <v>47</v>
      </c>
      <c r="AJ79" s="403" t="s">
        <v>47</v>
      </c>
      <c r="AK79" s="403" t="s">
        <v>47</v>
      </c>
      <c r="AL79" s="403" t="s">
        <v>47</v>
      </c>
      <c r="AM79" s="405" t="s">
        <v>47</v>
      </c>
      <c r="AN79" s="368"/>
      <c r="AO79" s="406">
        <v>10840.259840000012</v>
      </c>
      <c r="AP79" s="403">
        <v>41546.23616</v>
      </c>
      <c r="AQ79" s="403">
        <v>28921.214080000002</v>
      </c>
      <c r="AR79" s="403">
        <v>108670.49792000002</v>
      </c>
      <c r="AS79" s="405">
        <v>37333.917440000019</v>
      </c>
      <c r="AT79" s="368"/>
      <c r="AU79" s="406" t="s">
        <v>47</v>
      </c>
      <c r="AV79" s="403" t="s">
        <v>47</v>
      </c>
      <c r="AW79" s="403" t="s">
        <v>47</v>
      </c>
      <c r="AX79" s="403" t="s">
        <v>47</v>
      </c>
      <c r="AY79" s="405" t="s">
        <v>47</v>
      </c>
      <c r="AZ79" s="368"/>
      <c r="BA79" s="409">
        <f t="shared" si="4"/>
        <v>0.120782561272415</v>
      </c>
      <c r="BB79" s="410">
        <f t="shared" si="5"/>
        <v>0.18601989961826665</v>
      </c>
      <c r="BC79" s="368"/>
      <c r="BE79" s="981" t="s">
        <v>24</v>
      </c>
      <c r="BF79" s="981" t="s">
        <v>475</v>
      </c>
    </row>
    <row r="80" spans="1:58" ht="12.75" customHeight="1" outlineLevel="1" x14ac:dyDescent="0.2">
      <c r="A80" s="365" t="s">
        <v>476</v>
      </c>
      <c r="B80" s="366">
        <v>42095</v>
      </c>
      <c r="C80" s="402">
        <f t="shared" si="6"/>
        <v>239777</v>
      </c>
      <c r="D80" s="403">
        <v>212002</v>
      </c>
      <c r="E80" s="405">
        <v>27775</v>
      </c>
      <c r="F80" s="368"/>
      <c r="G80" s="402">
        <f t="shared" si="3"/>
        <v>367.20000000000005</v>
      </c>
      <c r="H80" s="412">
        <v>235.8</v>
      </c>
      <c r="I80" s="407">
        <v>131.4</v>
      </c>
      <c r="J80" s="368"/>
      <c r="K80" s="406">
        <v>211347</v>
      </c>
      <c r="L80" s="405">
        <v>39366</v>
      </c>
      <c r="M80" s="368"/>
      <c r="N80" s="406">
        <v>63706.600999999995</v>
      </c>
      <c r="O80" s="405">
        <v>148295.399</v>
      </c>
      <c r="P80" s="368"/>
      <c r="Q80" s="406">
        <v>790881</v>
      </c>
      <c r="R80" s="407">
        <v>3.7305355609852735</v>
      </c>
      <c r="S80" s="368"/>
      <c r="T80" s="406">
        <v>34108</v>
      </c>
      <c r="U80" s="403">
        <v>31140</v>
      </c>
      <c r="V80" s="403">
        <v>38859</v>
      </c>
      <c r="W80" s="403">
        <v>15792</v>
      </c>
      <c r="X80" s="403">
        <v>20575</v>
      </c>
      <c r="Y80" s="403">
        <v>16460</v>
      </c>
      <c r="Z80" s="403">
        <v>13674</v>
      </c>
      <c r="AA80" s="403" t="s">
        <v>47</v>
      </c>
      <c r="AB80" s="405">
        <v>41394</v>
      </c>
      <c r="AC80" s="368"/>
      <c r="AD80" s="366">
        <f t="shared" si="7"/>
        <v>42095</v>
      </c>
      <c r="AE80" s="406" t="s">
        <v>47</v>
      </c>
      <c r="AF80" s="403" t="s">
        <v>47</v>
      </c>
      <c r="AG80" s="403" t="s">
        <v>47</v>
      </c>
      <c r="AH80" s="403" t="s">
        <v>47</v>
      </c>
      <c r="AI80" s="403" t="s">
        <v>47</v>
      </c>
      <c r="AJ80" s="403" t="s">
        <v>47</v>
      </c>
      <c r="AK80" s="403" t="s">
        <v>47</v>
      </c>
      <c r="AL80" s="403" t="s">
        <v>47</v>
      </c>
      <c r="AM80" s="405" t="s">
        <v>47</v>
      </c>
      <c r="AN80" s="368"/>
      <c r="AO80" s="406">
        <v>10164.917712727267</v>
      </c>
      <c r="AP80" s="403">
        <v>38708.738506666741</v>
      </c>
      <c r="AQ80" s="403">
        <v>26910.120533333265</v>
      </c>
      <c r="AR80" s="403">
        <v>102091.94009212119</v>
      </c>
      <c r="AS80" s="405">
        <v>35022.987372121184</v>
      </c>
      <c r="AT80" s="368"/>
      <c r="AU80" s="406" t="s">
        <v>47</v>
      </c>
      <c r="AV80" s="403" t="s">
        <v>47</v>
      </c>
      <c r="AW80" s="403" t="s">
        <v>47</v>
      </c>
      <c r="AX80" s="403" t="s">
        <v>47</v>
      </c>
      <c r="AY80" s="405" t="s">
        <v>47</v>
      </c>
      <c r="AZ80" s="368"/>
      <c r="BA80" s="409">
        <f t="shared" si="4"/>
        <v>0.13141894609339144</v>
      </c>
      <c r="BB80" s="410">
        <f t="shared" si="5"/>
        <v>0.1856869274818162</v>
      </c>
      <c r="BC80" s="368"/>
      <c r="BE80" s="981" t="s">
        <v>25</v>
      </c>
      <c r="BF80" s="981" t="s">
        <v>476</v>
      </c>
    </row>
    <row r="81" spans="1:58" ht="12.75" customHeight="1" outlineLevel="1" x14ac:dyDescent="0.2">
      <c r="A81" s="365" t="s">
        <v>476</v>
      </c>
      <c r="B81" s="366">
        <v>42125</v>
      </c>
      <c r="C81" s="402">
        <f t="shared" si="6"/>
        <v>243196</v>
      </c>
      <c r="D81" s="403">
        <v>205234</v>
      </c>
      <c r="E81" s="405">
        <v>37962</v>
      </c>
      <c r="F81" s="368"/>
      <c r="G81" s="402">
        <f t="shared" si="3"/>
        <v>361.1</v>
      </c>
      <c r="H81" s="412">
        <v>224.9</v>
      </c>
      <c r="I81" s="407">
        <v>136.19999999999999</v>
      </c>
      <c r="J81" s="368"/>
      <c r="K81" s="406">
        <v>205355</v>
      </c>
      <c r="L81" s="405">
        <v>33522</v>
      </c>
      <c r="M81" s="368"/>
      <c r="N81" s="406">
        <v>62924.744399999996</v>
      </c>
      <c r="O81" s="405">
        <v>142309.2556</v>
      </c>
      <c r="P81" s="368"/>
      <c r="Q81" s="406">
        <v>823333</v>
      </c>
      <c r="R81" s="407">
        <v>4.0116793513745286</v>
      </c>
      <c r="S81" s="368"/>
      <c r="T81" s="406">
        <v>30636</v>
      </c>
      <c r="U81" s="403">
        <v>30281</v>
      </c>
      <c r="V81" s="403">
        <v>39158</v>
      </c>
      <c r="W81" s="403">
        <v>14820</v>
      </c>
      <c r="X81" s="403">
        <v>19282</v>
      </c>
      <c r="Y81" s="403">
        <v>16405</v>
      </c>
      <c r="Z81" s="403">
        <v>13032</v>
      </c>
      <c r="AA81" s="403" t="s">
        <v>47</v>
      </c>
      <c r="AB81" s="405">
        <v>41620</v>
      </c>
      <c r="AC81" s="368"/>
      <c r="AD81" s="366">
        <f t="shared" si="7"/>
        <v>42125</v>
      </c>
      <c r="AE81" s="406" t="s">
        <v>47</v>
      </c>
      <c r="AF81" s="403" t="s">
        <v>47</v>
      </c>
      <c r="AG81" s="403" t="s">
        <v>47</v>
      </c>
      <c r="AH81" s="403" t="s">
        <v>47</v>
      </c>
      <c r="AI81" s="403" t="s">
        <v>47</v>
      </c>
      <c r="AJ81" s="403" t="s">
        <v>47</v>
      </c>
      <c r="AK81" s="403" t="s">
        <v>47</v>
      </c>
      <c r="AL81" s="403" t="s">
        <v>47</v>
      </c>
      <c r="AM81" s="405" t="s">
        <v>47</v>
      </c>
      <c r="AN81" s="368"/>
      <c r="AO81" s="406">
        <v>9851.232</v>
      </c>
      <c r="AP81" s="403">
        <v>37273.230853333262</v>
      </c>
      <c r="AQ81" s="403">
        <v>25877.270946666737</v>
      </c>
      <c r="AR81" s="403">
        <v>99126.653773333266</v>
      </c>
      <c r="AS81" s="405">
        <v>33956.649413333267</v>
      </c>
      <c r="AT81" s="368"/>
      <c r="AU81" s="406" t="s">
        <v>47</v>
      </c>
      <c r="AV81" s="403" t="s">
        <v>47</v>
      </c>
      <c r="AW81" s="403" t="s">
        <v>47</v>
      </c>
      <c r="AX81" s="403" t="s">
        <v>47</v>
      </c>
      <c r="AY81" s="405" t="s">
        <v>47</v>
      </c>
      <c r="AZ81" s="368"/>
      <c r="BA81" s="409">
        <f t="shared" si="4"/>
        <v>0.1848603637603175</v>
      </c>
      <c r="BB81" s="410">
        <f t="shared" si="5"/>
        <v>0.16333550971086663</v>
      </c>
      <c r="BC81" s="368"/>
      <c r="BE81" s="981" t="s">
        <v>25</v>
      </c>
      <c r="BF81" s="981" t="s">
        <v>476</v>
      </c>
    </row>
    <row r="82" spans="1:58" ht="12.75" customHeight="1" outlineLevel="1" x14ac:dyDescent="0.2">
      <c r="A82" s="365" t="s">
        <v>476</v>
      </c>
      <c r="B82" s="366">
        <v>42156</v>
      </c>
      <c r="C82" s="402">
        <f t="shared" si="6"/>
        <v>250245</v>
      </c>
      <c r="D82" s="403">
        <v>204898</v>
      </c>
      <c r="E82" s="405">
        <v>45347</v>
      </c>
      <c r="F82" s="368"/>
      <c r="G82" s="402">
        <f t="shared" si="3"/>
        <v>338.8</v>
      </c>
      <c r="H82" s="412">
        <v>236.8</v>
      </c>
      <c r="I82" s="407">
        <v>102</v>
      </c>
      <c r="J82" s="368"/>
      <c r="K82" s="406">
        <v>181102</v>
      </c>
      <c r="L82" s="405">
        <v>42140</v>
      </c>
      <c r="M82" s="368"/>
      <c r="N82" s="406">
        <v>58908.174999999996</v>
      </c>
      <c r="O82" s="405">
        <v>145989.82500000001</v>
      </c>
      <c r="P82" s="368"/>
      <c r="Q82" s="406">
        <v>855509</v>
      </c>
      <c r="R82" s="407">
        <v>4.175292096555359</v>
      </c>
      <c r="S82" s="368"/>
      <c r="T82" s="406">
        <v>27471</v>
      </c>
      <c r="U82" s="403">
        <v>30125</v>
      </c>
      <c r="V82" s="403">
        <v>40134</v>
      </c>
      <c r="W82" s="403">
        <v>15191</v>
      </c>
      <c r="X82" s="403">
        <v>20962</v>
      </c>
      <c r="Y82" s="403">
        <v>17517</v>
      </c>
      <c r="Z82" s="403">
        <v>13646</v>
      </c>
      <c r="AA82" s="403" t="s">
        <v>47</v>
      </c>
      <c r="AB82" s="405">
        <v>39852</v>
      </c>
      <c r="AC82" s="368"/>
      <c r="AD82" s="366">
        <f t="shared" si="7"/>
        <v>42156</v>
      </c>
      <c r="AE82" s="406" t="s">
        <v>47</v>
      </c>
      <c r="AF82" s="403" t="s">
        <v>47</v>
      </c>
      <c r="AG82" s="403" t="s">
        <v>47</v>
      </c>
      <c r="AH82" s="403" t="s">
        <v>47</v>
      </c>
      <c r="AI82" s="403" t="s">
        <v>47</v>
      </c>
      <c r="AJ82" s="403" t="s">
        <v>47</v>
      </c>
      <c r="AK82" s="403" t="s">
        <v>47</v>
      </c>
      <c r="AL82" s="403" t="s">
        <v>47</v>
      </c>
      <c r="AM82" s="405" t="s">
        <v>47</v>
      </c>
      <c r="AN82" s="368"/>
      <c r="AO82" s="406">
        <v>9845.9077127272794</v>
      </c>
      <c r="AP82" s="403">
        <v>37012.774720000001</v>
      </c>
      <c r="AQ82" s="403">
        <v>25661.425519999997</v>
      </c>
      <c r="AR82" s="403">
        <v>99257.806785454639</v>
      </c>
      <c r="AS82" s="405">
        <v>33952.716225454431</v>
      </c>
      <c r="AT82" s="368"/>
      <c r="AU82" s="406" t="s">
        <v>47</v>
      </c>
      <c r="AV82" s="403" t="s">
        <v>47</v>
      </c>
      <c r="AW82" s="403" t="s">
        <v>47</v>
      </c>
      <c r="AX82" s="403" t="s">
        <v>47</v>
      </c>
      <c r="AY82" s="405" t="s">
        <v>47</v>
      </c>
      <c r="AZ82" s="368"/>
      <c r="BA82" s="409">
        <f t="shared" si="4"/>
        <v>0.25039480513743634</v>
      </c>
      <c r="BB82" s="410">
        <f t="shared" si="5"/>
        <v>0.20566330564475982</v>
      </c>
      <c r="BC82" s="368"/>
      <c r="BE82" s="981" t="s">
        <v>25</v>
      </c>
      <c r="BF82" s="981" t="s">
        <v>476</v>
      </c>
    </row>
    <row r="83" spans="1:58" ht="12.75" customHeight="1" outlineLevel="1" x14ac:dyDescent="0.2">
      <c r="A83" s="365" t="s">
        <v>477</v>
      </c>
      <c r="B83" s="366">
        <v>42186</v>
      </c>
      <c r="C83" s="402">
        <f t="shared" si="6"/>
        <v>245502</v>
      </c>
      <c r="D83" s="403">
        <v>219697</v>
      </c>
      <c r="E83" s="405">
        <v>25805</v>
      </c>
      <c r="F83" s="368"/>
      <c r="G83" s="402">
        <f t="shared" si="3"/>
        <v>345.6</v>
      </c>
      <c r="H83" s="412">
        <v>206.9</v>
      </c>
      <c r="I83" s="407">
        <v>138.69999999999999</v>
      </c>
      <c r="J83" s="368"/>
      <c r="K83" s="406">
        <v>215646</v>
      </c>
      <c r="L83" s="405">
        <v>37952</v>
      </c>
      <c r="M83" s="368"/>
      <c r="N83" s="406">
        <v>63053.038999999997</v>
      </c>
      <c r="O83" s="405">
        <v>156643.96100000001</v>
      </c>
      <c r="P83" s="368"/>
      <c r="Q83" s="406">
        <v>928057</v>
      </c>
      <c r="R83" s="407">
        <v>4.2242396380485943</v>
      </c>
      <c r="S83" s="368"/>
      <c r="T83" s="406">
        <v>30837</v>
      </c>
      <c r="U83" s="403">
        <v>31166</v>
      </c>
      <c r="V83" s="403">
        <v>42505</v>
      </c>
      <c r="W83" s="403">
        <v>16577</v>
      </c>
      <c r="X83" s="403">
        <v>21382</v>
      </c>
      <c r="Y83" s="403">
        <v>18019</v>
      </c>
      <c r="Z83" s="403">
        <v>12330</v>
      </c>
      <c r="AA83" s="403" t="s">
        <v>47</v>
      </c>
      <c r="AB83" s="405">
        <v>46882</v>
      </c>
      <c r="AC83" s="368"/>
      <c r="AD83" s="366">
        <f t="shared" si="7"/>
        <v>42186</v>
      </c>
      <c r="AE83" s="406" t="s">
        <v>47</v>
      </c>
      <c r="AF83" s="403" t="s">
        <v>47</v>
      </c>
      <c r="AG83" s="403" t="s">
        <v>47</v>
      </c>
      <c r="AH83" s="403" t="s">
        <v>47</v>
      </c>
      <c r="AI83" s="403" t="s">
        <v>47</v>
      </c>
      <c r="AJ83" s="403" t="s">
        <v>47</v>
      </c>
      <c r="AK83" s="403" t="s">
        <v>47</v>
      </c>
      <c r="AL83" s="403" t="s">
        <v>47</v>
      </c>
      <c r="AM83" s="405" t="s">
        <v>47</v>
      </c>
      <c r="AN83" s="368"/>
      <c r="AO83" s="406">
        <v>10568.672152727262</v>
      </c>
      <c r="AP83" s="403">
        <v>39472.407333333409</v>
      </c>
      <c r="AQ83" s="403">
        <v>27328.966546666594</v>
      </c>
      <c r="AR83" s="403">
        <v>106741.93767878793</v>
      </c>
      <c r="AS83" s="405">
        <v>36460.547478787928</v>
      </c>
      <c r="AT83" s="368"/>
      <c r="AU83" s="406" t="s">
        <v>47</v>
      </c>
      <c r="AV83" s="403" t="s">
        <v>47</v>
      </c>
      <c r="AW83" s="403" t="s">
        <v>47</v>
      </c>
      <c r="AX83" s="403" t="s">
        <v>47</v>
      </c>
      <c r="AY83" s="405" t="s">
        <v>47</v>
      </c>
      <c r="AZ83" s="368"/>
      <c r="BA83" s="409">
        <f t="shared" si="4"/>
        <v>0.11966370811422423</v>
      </c>
      <c r="BB83" s="410">
        <f t="shared" si="5"/>
        <v>0.17274701065558473</v>
      </c>
      <c r="BC83" s="368"/>
      <c r="BE83" s="981" t="s">
        <v>91</v>
      </c>
      <c r="BF83" s="981" t="s">
        <v>477</v>
      </c>
    </row>
    <row r="84" spans="1:58" ht="12.75" customHeight="1" outlineLevel="1" x14ac:dyDescent="0.2">
      <c r="A84" s="365" t="s">
        <v>477</v>
      </c>
      <c r="B84" s="366">
        <v>42217</v>
      </c>
      <c r="C84" s="402">
        <f t="shared" si="6"/>
        <v>232590</v>
      </c>
      <c r="D84" s="403">
        <v>200108</v>
      </c>
      <c r="E84" s="405">
        <v>32482</v>
      </c>
      <c r="F84" s="368"/>
      <c r="G84" s="402">
        <f t="shared" si="3"/>
        <v>357.8</v>
      </c>
      <c r="H84" s="412">
        <v>207.9</v>
      </c>
      <c r="I84" s="407">
        <v>149.9</v>
      </c>
      <c r="J84" s="368"/>
      <c r="K84" s="406">
        <v>211293</v>
      </c>
      <c r="L84" s="405">
        <v>35620</v>
      </c>
      <c r="M84" s="368"/>
      <c r="N84" s="406">
        <v>63834.452000000005</v>
      </c>
      <c r="O84" s="405">
        <v>136273.54800000001</v>
      </c>
      <c r="P84" s="368"/>
      <c r="Q84" s="406">
        <v>875067</v>
      </c>
      <c r="R84" s="407">
        <v>4.3729735942590997</v>
      </c>
      <c r="S84" s="368"/>
      <c r="T84" s="406">
        <v>26907</v>
      </c>
      <c r="U84" s="403">
        <v>28352</v>
      </c>
      <c r="V84" s="403">
        <v>40972</v>
      </c>
      <c r="W84" s="403">
        <v>14921</v>
      </c>
      <c r="X84" s="403">
        <v>20270</v>
      </c>
      <c r="Y84" s="403">
        <v>16045</v>
      </c>
      <c r="Z84" s="403">
        <v>13220</v>
      </c>
      <c r="AA84" s="403" t="s">
        <v>47</v>
      </c>
      <c r="AB84" s="405">
        <v>39421</v>
      </c>
      <c r="AC84" s="368"/>
      <c r="AD84" s="366">
        <f t="shared" si="7"/>
        <v>42217</v>
      </c>
      <c r="AE84" s="406" t="s">
        <v>47</v>
      </c>
      <c r="AF84" s="403" t="s">
        <v>47</v>
      </c>
      <c r="AG84" s="403" t="s">
        <v>47</v>
      </c>
      <c r="AH84" s="403" t="s">
        <v>47</v>
      </c>
      <c r="AI84" s="403" t="s">
        <v>47</v>
      </c>
      <c r="AJ84" s="403" t="s">
        <v>47</v>
      </c>
      <c r="AK84" s="403" t="s">
        <v>47</v>
      </c>
      <c r="AL84" s="403" t="s">
        <v>47</v>
      </c>
      <c r="AM84" s="405" t="s">
        <v>47</v>
      </c>
      <c r="AN84" s="368"/>
      <c r="AO84" s="406">
        <v>9636.8374472727246</v>
      </c>
      <c r="AP84" s="403">
        <v>35757.965546666601</v>
      </c>
      <c r="AQ84" s="403">
        <v>24722.676373333401</v>
      </c>
      <c r="AR84" s="403">
        <v>97510.56668121212</v>
      </c>
      <c r="AS84" s="405">
        <v>33259.890041212129</v>
      </c>
      <c r="AT84" s="368"/>
      <c r="AU84" s="406" t="s">
        <v>47</v>
      </c>
      <c r="AV84" s="403" t="s">
        <v>47</v>
      </c>
      <c r="AW84" s="403" t="s">
        <v>47</v>
      </c>
      <c r="AX84" s="403" t="s">
        <v>47</v>
      </c>
      <c r="AY84" s="405" t="s">
        <v>47</v>
      </c>
      <c r="AZ84" s="368"/>
      <c r="BA84" s="409">
        <f t="shared" si="4"/>
        <v>0.15372965502879887</v>
      </c>
      <c r="BB84" s="410">
        <f t="shared" si="5"/>
        <v>0.17800387790593081</v>
      </c>
      <c r="BC84" s="368"/>
      <c r="BE84" s="981" t="s">
        <v>91</v>
      </c>
      <c r="BF84" s="981" t="s">
        <v>477</v>
      </c>
    </row>
    <row r="85" spans="1:58" ht="12.75" customHeight="1" outlineLevel="1" x14ac:dyDescent="0.2">
      <c r="A85" s="365" t="s">
        <v>477</v>
      </c>
      <c r="B85" s="366">
        <v>42248</v>
      </c>
      <c r="C85" s="402">
        <f t="shared" si="6"/>
        <v>223654</v>
      </c>
      <c r="D85" s="403">
        <v>192846</v>
      </c>
      <c r="E85" s="405">
        <v>30808</v>
      </c>
      <c r="F85" s="368"/>
      <c r="G85" s="402">
        <f t="shared" si="3"/>
        <v>346.9</v>
      </c>
      <c r="H85" s="412">
        <v>214.2</v>
      </c>
      <c r="I85" s="407">
        <v>132.69999999999999</v>
      </c>
      <c r="J85" s="368"/>
      <c r="K85" s="406">
        <v>167065</v>
      </c>
      <c r="L85" s="405">
        <v>27115</v>
      </c>
      <c r="M85" s="368"/>
      <c r="N85" s="406">
        <v>57660.953999999998</v>
      </c>
      <c r="O85" s="405">
        <v>135185.046</v>
      </c>
      <c r="P85" s="368"/>
      <c r="Q85" s="406">
        <v>867525</v>
      </c>
      <c r="R85" s="407">
        <v>4.4985143663111167</v>
      </c>
      <c r="S85" s="368"/>
      <c r="T85" s="406">
        <v>27206</v>
      </c>
      <c r="U85" s="403">
        <v>26815</v>
      </c>
      <c r="V85" s="403">
        <v>37860</v>
      </c>
      <c r="W85" s="403">
        <v>14443</v>
      </c>
      <c r="X85" s="403">
        <v>19754</v>
      </c>
      <c r="Y85" s="403">
        <v>15357</v>
      </c>
      <c r="Z85" s="403">
        <v>13806</v>
      </c>
      <c r="AA85" s="403" t="s">
        <v>47</v>
      </c>
      <c r="AB85" s="405">
        <v>37606</v>
      </c>
      <c r="AC85" s="368"/>
      <c r="AD85" s="366">
        <f t="shared" si="7"/>
        <v>42248</v>
      </c>
      <c r="AE85" s="406" t="s">
        <v>47</v>
      </c>
      <c r="AF85" s="403" t="s">
        <v>47</v>
      </c>
      <c r="AG85" s="403" t="s">
        <v>47</v>
      </c>
      <c r="AH85" s="403" t="s">
        <v>47</v>
      </c>
      <c r="AI85" s="403" t="s">
        <v>47</v>
      </c>
      <c r="AJ85" s="403" t="s">
        <v>47</v>
      </c>
      <c r="AK85" s="403" t="s">
        <v>47</v>
      </c>
      <c r="AL85" s="403" t="s">
        <v>47</v>
      </c>
      <c r="AM85" s="405" t="s">
        <v>47</v>
      </c>
      <c r="AN85" s="368"/>
      <c r="AO85" s="406">
        <v>9297.3291854545478</v>
      </c>
      <c r="AP85" s="403">
        <v>34272.768839999997</v>
      </c>
      <c r="AQ85" s="403">
        <v>23662.3269</v>
      </c>
      <c r="AR85" s="403">
        <v>94248.53647090905</v>
      </c>
      <c r="AS85" s="405">
        <v>32101.662250909052</v>
      </c>
      <c r="AT85" s="368"/>
      <c r="AU85" s="406" t="s">
        <v>47</v>
      </c>
      <c r="AV85" s="403" t="s">
        <v>47</v>
      </c>
      <c r="AW85" s="403" t="s">
        <v>47</v>
      </c>
      <c r="AX85" s="403" t="s">
        <v>47</v>
      </c>
      <c r="AY85" s="405" t="s">
        <v>47</v>
      </c>
      <c r="AZ85" s="368"/>
      <c r="BA85" s="409">
        <f t="shared" ref="BA85:BA116" si="8">+E85/K85</f>
        <v>0.18440726663274773</v>
      </c>
      <c r="BB85" s="410">
        <f t="shared" ref="BB85:BB116" si="9">+L85/D85</f>
        <v>0.14060442010723584</v>
      </c>
      <c r="BC85" s="368"/>
      <c r="BE85" s="981" t="s">
        <v>91</v>
      </c>
      <c r="BF85" s="981" t="s">
        <v>477</v>
      </c>
    </row>
    <row r="86" spans="1:58" ht="12.75" customHeight="1" outlineLevel="1" x14ac:dyDescent="0.2">
      <c r="A86" s="365" t="s">
        <v>478</v>
      </c>
      <c r="B86" s="366">
        <v>42278</v>
      </c>
      <c r="C86" s="402">
        <f t="shared" si="6"/>
        <v>222544</v>
      </c>
      <c r="D86" s="403">
        <v>185484</v>
      </c>
      <c r="E86" s="405">
        <v>37060</v>
      </c>
      <c r="F86" s="368"/>
      <c r="G86" s="402">
        <f t="shared" si="3"/>
        <v>340.6</v>
      </c>
      <c r="H86" s="412">
        <v>201.7</v>
      </c>
      <c r="I86" s="407">
        <v>138.9</v>
      </c>
      <c r="J86" s="368"/>
      <c r="K86" s="406">
        <v>197037</v>
      </c>
      <c r="L86" s="405">
        <v>32286</v>
      </c>
      <c r="M86" s="368"/>
      <c r="N86" s="406">
        <v>57871.008000000002</v>
      </c>
      <c r="O86" s="405">
        <v>127612.992</v>
      </c>
      <c r="P86" s="368"/>
      <c r="Q86" s="406">
        <v>788880</v>
      </c>
      <c r="R86" s="407">
        <v>4.2530892152422854</v>
      </c>
      <c r="S86" s="368"/>
      <c r="T86" s="406">
        <v>30349</v>
      </c>
      <c r="U86" s="403">
        <v>25658</v>
      </c>
      <c r="V86" s="403">
        <v>35255</v>
      </c>
      <c r="W86" s="403">
        <v>13466</v>
      </c>
      <c r="X86" s="403">
        <v>18274</v>
      </c>
      <c r="Y86" s="403">
        <v>16494</v>
      </c>
      <c r="Z86" s="403">
        <v>12511</v>
      </c>
      <c r="AA86" s="403" t="s">
        <v>47</v>
      </c>
      <c r="AB86" s="405">
        <v>33477</v>
      </c>
      <c r="AC86" s="368"/>
      <c r="AD86" s="366">
        <f t="shared" si="7"/>
        <v>42278</v>
      </c>
      <c r="AE86" s="406" t="s">
        <v>47</v>
      </c>
      <c r="AF86" s="403" t="s">
        <v>47</v>
      </c>
      <c r="AG86" s="403" t="s">
        <v>47</v>
      </c>
      <c r="AH86" s="403" t="s">
        <v>47</v>
      </c>
      <c r="AI86" s="403" t="s">
        <v>47</v>
      </c>
      <c r="AJ86" s="403" t="s">
        <v>47</v>
      </c>
      <c r="AK86" s="403" t="s">
        <v>47</v>
      </c>
      <c r="AL86" s="403" t="s">
        <v>47</v>
      </c>
      <c r="AM86" s="405" t="s">
        <v>47</v>
      </c>
      <c r="AN86" s="368"/>
      <c r="AO86" s="406">
        <v>8952.1323272727332</v>
      </c>
      <c r="AP86" s="403">
        <v>32783.678720000062</v>
      </c>
      <c r="AQ86" s="403">
        <v>22601.843679999936</v>
      </c>
      <c r="AR86" s="403">
        <v>90915.713294545378</v>
      </c>
      <c r="AS86" s="405">
        <v>30922.768334545381</v>
      </c>
      <c r="AT86" s="368"/>
      <c r="AU86" s="406" t="s">
        <v>47</v>
      </c>
      <c r="AV86" s="403" t="s">
        <v>47</v>
      </c>
      <c r="AW86" s="403" t="s">
        <v>47</v>
      </c>
      <c r="AX86" s="403" t="s">
        <v>47</v>
      </c>
      <c r="AY86" s="405" t="s">
        <v>47</v>
      </c>
      <c r="AZ86" s="368"/>
      <c r="BA86" s="409">
        <f t="shared" si="8"/>
        <v>0.18808650152001907</v>
      </c>
      <c r="BB86" s="410">
        <f t="shared" si="9"/>
        <v>0.17406353108623923</v>
      </c>
      <c r="BC86" s="368"/>
      <c r="BE86" s="981" t="s">
        <v>92</v>
      </c>
      <c r="BF86" s="981" t="s">
        <v>478</v>
      </c>
    </row>
    <row r="87" spans="1:58" ht="12.75" customHeight="1" outlineLevel="1" x14ac:dyDescent="0.2">
      <c r="A87" s="365" t="s">
        <v>478</v>
      </c>
      <c r="B87" s="366">
        <v>42309</v>
      </c>
      <c r="C87" s="402">
        <f t="shared" si="6"/>
        <v>223005</v>
      </c>
      <c r="D87" s="403">
        <v>189550</v>
      </c>
      <c r="E87" s="405">
        <v>33455</v>
      </c>
      <c r="F87" s="368"/>
      <c r="G87" s="402">
        <f t="shared" si="3"/>
        <v>322.2</v>
      </c>
      <c r="H87" s="412">
        <v>200</v>
      </c>
      <c r="I87" s="407">
        <v>122.2</v>
      </c>
      <c r="J87" s="368"/>
      <c r="K87" s="406">
        <v>168719</v>
      </c>
      <c r="L87" s="405">
        <v>25344</v>
      </c>
      <c r="M87" s="368"/>
      <c r="N87" s="406">
        <v>59139.6</v>
      </c>
      <c r="O87" s="405">
        <v>130410.4</v>
      </c>
      <c r="P87" s="368"/>
      <c r="Q87" s="406">
        <v>782287</v>
      </c>
      <c r="R87" s="407">
        <v>4.127074650487998</v>
      </c>
      <c r="S87" s="368"/>
      <c r="T87" s="406">
        <v>30672</v>
      </c>
      <c r="U87" s="403">
        <v>24877</v>
      </c>
      <c r="V87" s="403">
        <v>36403</v>
      </c>
      <c r="W87" s="403">
        <v>13468</v>
      </c>
      <c r="X87" s="403">
        <v>19137</v>
      </c>
      <c r="Y87" s="403">
        <v>16185</v>
      </c>
      <c r="Z87" s="403">
        <v>13256</v>
      </c>
      <c r="AA87" s="403" t="s">
        <v>47</v>
      </c>
      <c r="AB87" s="405">
        <v>35552</v>
      </c>
      <c r="AC87" s="368"/>
      <c r="AD87" s="366">
        <f t="shared" si="7"/>
        <v>42309</v>
      </c>
      <c r="AE87" s="406" t="s">
        <v>47</v>
      </c>
      <c r="AF87" s="403" t="s">
        <v>47</v>
      </c>
      <c r="AG87" s="403" t="s">
        <v>47</v>
      </c>
      <c r="AH87" s="403" t="s">
        <v>47</v>
      </c>
      <c r="AI87" s="403" t="s">
        <v>47</v>
      </c>
      <c r="AJ87" s="403" t="s">
        <v>47</v>
      </c>
      <c r="AK87" s="403" t="s">
        <v>47</v>
      </c>
      <c r="AL87" s="403" t="s">
        <v>47</v>
      </c>
      <c r="AM87" s="405" t="s">
        <v>47</v>
      </c>
      <c r="AN87" s="368"/>
      <c r="AO87" s="406">
        <v>9158.3667272727216</v>
      </c>
      <c r="AP87" s="403">
        <v>33317.835333333271</v>
      </c>
      <c r="AQ87" s="403">
        <v>22936.813666666731</v>
      </c>
      <c r="AR87" s="403">
        <v>93180.137787878863</v>
      </c>
      <c r="AS87" s="405">
        <v>31648.416787878865</v>
      </c>
      <c r="AT87" s="368"/>
      <c r="AU87" s="406" t="s">
        <v>47</v>
      </c>
      <c r="AV87" s="403" t="s">
        <v>47</v>
      </c>
      <c r="AW87" s="403" t="s">
        <v>47</v>
      </c>
      <c r="AX87" s="403" t="s">
        <v>47</v>
      </c>
      <c r="AY87" s="405" t="s">
        <v>47</v>
      </c>
      <c r="AZ87" s="368"/>
      <c r="BA87" s="409">
        <f t="shared" si="8"/>
        <v>0.19828827814294775</v>
      </c>
      <c r="BB87" s="410">
        <f t="shared" si="9"/>
        <v>0.13370614613558429</v>
      </c>
      <c r="BC87" s="368"/>
      <c r="BE87" s="981" t="s">
        <v>92</v>
      </c>
      <c r="BF87" s="981" t="s">
        <v>478</v>
      </c>
    </row>
    <row r="88" spans="1:58" ht="12.75" customHeight="1" outlineLevel="1" x14ac:dyDescent="0.2">
      <c r="A88" s="365" t="s">
        <v>478</v>
      </c>
      <c r="B88" s="366">
        <v>42339</v>
      </c>
      <c r="C88" s="402">
        <f t="shared" si="6"/>
        <v>265259</v>
      </c>
      <c r="D88" s="403">
        <v>220845</v>
      </c>
      <c r="E88" s="405">
        <v>44414</v>
      </c>
      <c r="F88" s="368"/>
      <c r="G88" s="402">
        <f t="shared" si="3"/>
        <v>271.10000000000002</v>
      </c>
      <c r="H88" s="412">
        <v>201.9</v>
      </c>
      <c r="I88" s="407">
        <v>69.2</v>
      </c>
      <c r="J88" s="368"/>
      <c r="K88" s="406">
        <v>139725</v>
      </c>
      <c r="L88" s="405">
        <v>21595</v>
      </c>
      <c r="M88" s="368"/>
      <c r="N88" s="406">
        <v>68903.64</v>
      </c>
      <c r="O88" s="405">
        <v>151941.35999999999</v>
      </c>
      <c r="P88" s="368"/>
      <c r="Q88" s="406">
        <v>939977</v>
      </c>
      <c r="R88" s="407">
        <v>4.2562747628427173</v>
      </c>
      <c r="S88" s="368"/>
      <c r="T88" s="406">
        <v>37951</v>
      </c>
      <c r="U88" s="403">
        <v>25756</v>
      </c>
      <c r="V88" s="403">
        <v>44115</v>
      </c>
      <c r="W88" s="403">
        <v>16440</v>
      </c>
      <c r="X88" s="403">
        <v>24130</v>
      </c>
      <c r="Y88" s="403">
        <v>19157</v>
      </c>
      <c r="Z88" s="403">
        <v>15062</v>
      </c>
      <c r="AA88" s="403" t="s">
        <v>47</v>
      </c>
      <c r="AB88" s="405">
        <v>38234</v>
      </c>
      <c r="AC88" s="368"/>
      <c r="AD88" s="366">
        <f t="shared" si="7"/>
        <v>42339</v>
      </c>
      <c r="AE88" s="406" t="s">
        <v>47</v>
      </c>
      <c r="AF88" s="403" t="s">
        <v>47</v>
      </c>
      <c r="AG88" s="403" t="s">
        <v>47</v>
      </c>
      <c r="AH88" s="403" t="s">
        <v>47</v>
      </c>
      <c r="AI88" s="403" t="s">
        <v>47</v>
      </c>
      <c r="AJ88" s="403" t="s">
        <v>47</v>
      </c>
      <c r="AK88" s="403" t="s">
        <v>47</v>
      </c>
      <c r="AL88" s="403" t="s">
        <v>47</v>
      </c>
      <c r="AM88" s="405" t="s">
        <v>47</v>
      </c>
      <c r="AN88" s="368"/>
      <c r="AO88" s="406">
        <v>10682.071881818181</v>
      </c>
      <c r="AP88" s="403">
        <v>38603.706000000006</v>
      </c>
      <c r="AQ88" s="403">
        <v>26536.735199999999</v>
      </c>
      <c r="AR88" s="403">
        <v>108880.6003636364</v>
      </c>
      <c r="AS88" s="405">
        <v>36929.299363636404</v>
      </c>
      <c r="AT88" s="368"/>
      <c r="AU88" s="406" t="s">
        <v>47</v>
      </c>
      <c r="AV88" s="403" t="s">
        <v>47</v>
      </c>
      <c r="AW88" s="403" t="s">
        <v>47</v>
      </c>
      <c r="AX88" s="403" t="s">
        <v>47</v>
      </c>
      <c r="AY88" s="405" t="s">
        <v>47</v>
      </c>
      <c r="AZ88" s="368"/>
      <c r="BA88" s="409">
        <f t="shared" si="8"/>
        <v>0.31786723921989624</v>
      </c>
      <c r="BB88" s="410">
        <f t="shared" si="9"/>
        <v>9.77835133238244E-2</v>
      </c>
      <c r="BC88" s="368"/>
      <c r="BE88" s="981" t="s">
        <v>92</v>
      </c>
      <c r="BF88" s="981" t="s">
        <v>478</v>
      </c>
    </row>
    <row r="89" spans="1:58" ht="12.75" customHeight="1" outlineLevel="1" collapsed="1" x14ac:dyDescent="0.2">
      <c r="A89" s="365" t="s">
        <v>479</v>
      </c>
      <c r="B89" s="366">
        <v>42370</v>
      </c>
      <c r="C89" s="413">
        <f t="shared" si="6"/>
        <v>172503</v>
      </c>
      <c r="D89" s="414">
        <v>149833</v>
      </c>
      <c r="E89" s="415">
        <v>22670</v>
      </c>
      <c r="F89" s="368"/>
      <c r="G89" s="413">
        <f t="shared" si="3"/>
        <v>254.29999999999998</v>
      </c>
      <c r="H89" s="420">
        <v>179.2</v>
      </c>
      <c r="I89" s="418">
        <v>75.099999999999994</v>
      </c>
      <c r="J89" s="368"/>
      <c r="K89" s="416">
        <v>143359</v>
      </c>
      <c r="L89" s="415">
        <v>11834</v>
      </c>
      <c r="M89" s="368"/>
      <c r="N89" s="416">
        <v>35135.838499999998</v>
      </c>
      <c r="O89" s="415">
        <v>114697.1615</v>
      </c>
      <c r="P89" s="368"/>
      <c r="Q89" s="416">
        <v>711123</v>
      </c>
      <c r="R89" s="418">
        <v>4.7460723200341715</v>
      </c>
      <c r="S89" s="368"/>
      <c r="T89" s="416">
        <v>27110</v>
      </c>
      <c r="U89" s="414">
        <v>20737</v>
      </c>
      <c r="V89" s="414">
        <v>28191</v>
      </c>
      <c r="W89" s="414">
        <v>12000</v>
      </c>
      <c r="X89" s="414">
        <v>12906</v>
      </c>
      <c r="Y89" s="414">
        <v>12878</v>
      </c>
      <c r="Z89" s="414">
        <v>10369</v>
      </c>
      <c r="AA89" s="414" t="s">
        <v>47</v>
      </c>
      <c r="AB89" s="415">
        <v>25643</v>
      </c>
      <c r="AC89" s="368"/>
      <c r="AD89" s="366">
        <f t="shared" si="7"/>
        <v>42370</v>
      </c>
      <c r="AE89" s="685">
        <f t="shared" ref="AE89:AE120" si="10">+T89/SUM($T89:$AB89)</f>
        <v>0.18093356648023812</v>
      </c>
      <c r="AF89" s="419">
        <f t="shared" ref="AF89:AF120" si="11">+U89/SUM($T89:$AB89)</f>
        <v>0.13839982914425297</v>
      </c>
      <c r="AG89" s="419">
        <f t="shared" ref="AG89:AG120" si="12">+V89/SUM($T89:$AB89)</f>
        <v>0.18814821736054568</v>
      </c>
      <c r="AH89" s="419">
        <f t="shared" ref="AH89:AH120" si="13">+W89/SUM($T89:$AB89)</f>
        <v>8.0088631418770109E-2</v>
      </c>
      <c r="AI89" s="419">
        <f t="shared" ref="AI89:AI120" si="14">+X89/SUM($T89:$AB89)</f>
        <v>8.6135323090887242E-2</v>
      </c>
      <c r="AJ89" s="419">
        <f t="shared" ref="AJ89:AJ120" si="15">+Y89/SUM($T89:$AB89)</f>
        <v>8.5948449617576791E-2</v>
      </c>
      <c r="AK89" s="419">
        <f t="shared" ref="AK89:AK120" si="16">+Z89/SUM($T89:$AB89)</f>
        <v>6.92032515984356E-2</v>
      </c>
      <c r="AL89" s="419" t="s">
        <v>47</v>
      </c>
      <c r="AM89" s="421">
        <f t="shared" ref="AM89:AM120" si="17">+AB89/SUM($T89:$AB89)</f>
        <v>0.1711427312892935</v>
      </c>
      <c r="AN89" s="368"/>
      <c r="AO89" s="700">
        <v>7386.7668999999996</v>
      </c>
      <c r="AP89" s="705">
        <v>26535.424300000002</v>
      </c>
      <c r="AQ89" s="705">
        <v>15477.748900000001</v>
      </c>
      <c r="AR89" s="705">
        <v>71695.090499999991</v>
      </c>
      <c r="AS89" s="701">
        <v>28752.952699999998</v>
      </c>
      <c r="AT89" s="368"/>
      <c r="AU89" s="422">
        <f t="shared" ref="AU89:AU112" si="18">+AO89/SUM($AO89:$AS89)</f>
        <v>4.9295070492950704E-2</v>
      </c>
      <c r="AV89" s="666">
        <f t="shared" ref="AV89:AV118" si="19">+AP89/SUM($AO89:$AS89)</f>
        <v>0.17708229177082294</v>
      </c>
      <c r="AW89" s="666">
        <f t="shared" ref="AW89:AW118" si="20">+AQ89/SUM($AO89:$AS89)</f>
        <v>0.10328967103289671</v>
      </c>
      <c r="AX89" s="666">
        <f t="shared" ref="AX89:AX118" si="21">+AR89/SUM($AO89:$AS89)</f>
        <v>0.47845215478452152</v>
      </c>
      <c r="AY89" s="417">
        <f t="shared" ref="AY89:AY118" si="22">+AS89/SUM($AO89:$AS89)</f>
        <v>0.19188081191880813</v>
      </c>
      <c r="AZ89" s="368"/>
      <c r="BA89" s="422">
        <f t="shared" si="8"/>
        <v>0.15813447359426336</v>
      </c>
      <c r="BB89" s="417">
        <f t="shared" si="9"/>
        <v>7.8981265809267648E-2</v>
      </c>
      <c r="BC89" s="368"/>
      <c r="BE89" s="981" t="s">
        <v>110</v>
      </c>
      <c r="BF89" s="981" t="s">
        <v>479</v>
      </c>
    </row>
    <row r="90" spans="1:58" ht="12.75" customHeight="1" outlineLevel="1" x14ac:dyDescent="0.2">
      <c r="A90" s="365" t="s">
        <v>479</v>
      </c>
      <c r="B90" s="366">
        <v>42401</v>
      </c>
      <c r="C90" s="413">
        <f t="shared" si="6"/>
        <v>176419</v>
      </c>
      <c r="D90" s="414">
        <v>142258</v>
      </c>
      <c r="E90" s="415">
        <v>34161</v>
      </c>
      <c r="F90" s="368"/>
      <c r="G90" s="413">
        <f t="shared" si="3"/>
        <v>241.39999999999998</v>
      </c>
      <c r="H90" s="420">
        <v>181.1</v>
      </c>
      <c r="I90" s="418">
        <v>60.3</v>
      </c>
      <c r="J90" s="368"/>
      <c r="K90" s="416">
        <v>137357</v>
      </c>
      <c r="L90" s="415">
        <v>13195</v>
      </c>
      <c r="M90" s="368"/>
      <c r="N90" s="416">
        <v>38310.079399999995</v>
      </c>
      <c r="O90" s="415">
        <v>103947.92060000001</v>
      </c>
      <c r="P90" s="368"/>
      <c r="Q90" s="416">
        <v>698798</v>
      </c>
      <c r="R90" s="418">
        <v>4.9121877152778755</v>
      </c>
      <c r="S90" s="368"/>
      <c r="T90" s="416">
        <v>21728</v>
      </c>
      <c r="U90" s="414">
        <v>19840</v>
      </c>
      <c r="V90" s="414">
        <v>25613</v>
      </c>
      <c r="W90" s="414">
        <v>12561</v>
      </c>
      <c r="X90" s="414">
        <v>14548</v>
      </c>
      <c r="Y90" s="414">
        <v>11928</v>
      </c>
      <c r="Z90" s="414">
        <v>9468</v>
      </c>
      <c r="AA90" s="414" t="s">
        <v>47</v>
      </c>
      <c r="AB90" s="415">
        <v>26572</v>
      </c>
      <c r="AC90" s="368"/>
      <c r="AD90" s="366">
        <f t="shared" si="7"/>
        <v>42401</v>
      </c>
      <c r="AE90" s="685">
        <f t="shared" si="10"/>
        <v>0.15273657720479691</v>
      </c>
      <c r="AF90" s="419">
        <f t="shared" si="11"/>
        <v>0.13946491585710469</v>
      </c>
      <c r="AG90" s="419">
        <f t="shared" si="12"/>
        <v>0.18004611339959792</v>
      </c>
      <c r="AH90" s="419">
        <f t="shared" si="13"/>
        <v>8.8297318955700213E-2</v>
      </c>
      <c r="AI90" s="419">
        <f t="shared" si="14"/>
        <v>0.10226489898634875</v>
      </c>
      <c r="AJ90" s="419">
        <f t="shared" si="15"/>
        <v>8.3847657073767387E-2</v>
      </c>
      <c r="AK90" s="419">
        <f t="shared" si="16"/>
        <v>6.6555132224549757E-2</v>
      </c>
      <c r="AL90" s="419" t="s">
        <v>47</v>
      </c>
      <c r="AM90" s="421">
        <f t="shared" si="17"/>
        <v>0.18678738629813438</v>
      </c>
      <c r="AN90" s="368"/>
      <c r="AO90" s="700">
        <v>7511.2223999999997</v>
      </c>
      <c r="AP90" s="705">
        <v>22789.731600000003</v>
      </c>
      <c r="AQ90" s="705">
        <v>14951.3158</v>
      </c>
      <c r="AR90" s="705">
        <v>71555.774000000005</v>
      </c>
      <c r="AS90" s="701">
        <v>25449.956200000001</v>
      </c>
      <c r="AT90" s="368"/>
      <c r="AU90" s="422">
        <f t="shared" si="18"/>
        <v>5.28E-2</v>
      </c>
      <c r="AV90" s="666">
        <f t="shared" si="19"/>
        <v>0.16020000000000001</v>
      </c>
      <c r="AW90" s="666">
        <f t="shared" si="20"/>
        <v>0.1051</v>
      </c>
      <c r="AX90" s="666">
        <f t="shared" si="21"/>
        <v>0.503</v>
      </c>
      <c r="AY90" s="417">
        <f t="shared" si="22"/>
        <v>0.1789</v>
      </c>
      <c r="AZ90" s="368"/>
      <c r="BA90" s="422">
        <f t="shared" si="8"/>
        <v>0.24870228674184788</v>
      </c>
      <c r="BB90" s="417">
        <f t="shared" si="9"/>
        <v>9.2754010319279059E-2</v>
      </c>
      <c r="BC90" s="368"/>
      <c r="BE90" s="981" t="s">
        <v>110</v>
      </c>
      <c r="BF90" s="981" t="s">
        <v>479</v>
      </c>
    </row>
    <row r="91" spans="1:58" ht="12.75" customHeight="1" outlineLevel="1" x14ac:dyDescent="0.2">
      <c r="A91" s="365" t="s">
        <v>479</v>
      </c>
      <c r="B91" s="366">
        <v>42430</v>
      </c>
      <c r="C91" s="413">
        <f t="shared" si="6"/>
        <v>212669</v>
      </c>
      <c r="D91" s="414">
        <v>173389</v>
      </c>
      <c r="E91" s="415">
        <v>39280</v>
      </c>
      <c r="F91" s="368"/>
      <c r="G91" s="413">
        <f t="shared" si="3"/>
        <v>259</v>
      </c>
      <c r="H91" s="420">
        <v>184.6</v>
      </c>
      <c r="I91" s="418">
        <v>74.400000000000006</v>
      </c>
      <c r="J91" s="368"/>
      <c r="K91" s="416">
        <v>191515</v>
      </c>
      <c r="L91" s="415">
        <v>22147</v>
      </c>
      <c r="M91" s="368"/>
      <c r="N91" s="416">
        <v>51184.432800000002</v>
      </c>
      <c r="O91" s="415">
        <v>122204.56719999999</v>
      </c>
      <c r="P91" s="368"/>
      <c r="Q91" s="416">
        <v>799248</v>
      </c>
      <c r="R91" s="418">
        <v>4.6095657740687122</v>
      </c>
      <c r="S91" s="368"/>
      <c r="T91" s="416">
        <v>26982</v>
      </c>
      <c r="U91" s="414">
        <v>22656</v>
      </c>
      <c r="V91" s="414">
        <v>30105</v>
      </c>
      <c r="W91" s="414">
        <v>16942</v>
      </c>
      <c r="X91" s="414">
        <v>17867</v>
      </c>
      <c r="Y91" s="414">
        <v>14949</v>
      </c>
      <c r="Z91" s="414">
        <v>11469</v>
      </c>
      <c r="AA91" s="414" t="s">
        <v>47</v>
      </c>
      <c r="AB91" s="415">
        <v>32419</v>
      </c>
      <c r="AC91" s="368"/>
      <c r="AD91" s="366">
        <f t="shared" si="7"/>
        <v>42430</v>
      </c>
      <c r="AE91" s="685">
        <f t="shared" si="10"/>
        <v>0.15561540812854333</v>
      </c>
      <c r="AF91" s="419">
        <f t="shared" si="11"/>
        <v>0.13066572850642197</v>
      </c>
      <c r="AG91" s="419">
        <f t="shared" si="12"/>
        <v>0.17362693135089308</v>
      </c>
      <c r="AH91" s="419">
        <f t="shared" si="13"/>
        <v>9.7710927452145172E-2</v>
      </c>
      <c r="AI91" s="419">
        <f t="shared" si="14"/>
        <v>0.10304575261406433</v>
      </c>
      <c r="AJ91" s="419">
        <f t="shared" si="15"/>
        <v>8.6216541995166943E-2</v>
      </c>
      <c r="AK91" s="419">
        <f t="shared" si="16"/>
        <v>6.6146064629244064E-2</v>
      </c>
      <c r="AL91" s="419" t="s">
        <v>47</v>
      </c>
      <c r="AM91" s="421">
        <f t="shared" si="17"/>
        <v>0.18697264532352109</v>
      </c>
      <c r="AN91" s="368"/>
      <c r="AO91" s="700">
        <v>8565.4166000000005</v>
      </c>
      <c r="AP91" s="705">
        <v>26251.0946</v>
      </c>
      <c r="AQ91" s="705">
        <v>17130.833200000001</v>
      </c>
      <c r="AR91" s="705">
        <v>87630.800599999988</v>
      </c>
      <c r="AS91" s="701">
        <v>33828.193899999998</v>
      </c>
      <c r="AT91" s="368"/>
      <c r="AU91" s="422">
        <f t="shared" si="18"/>
        <v>4.9395060493950614E-2</v>
      </c>
      <c r="AV91" s="666">
        <f t="shared" si="19"/>
        <v>0.15138486151384864</v>
      </c>
      <c r="AW91" s="666">
        <f t="shared" si="20"/>
        <v>9.8790120987901228E-2</v>
      </c>
      <c r="AX91" s="666">
        <f t="shared" si="21"/>
        <v>0.50534946505349465</v>
      </c>
      <c r="AY91" s="417">
        <f t="shared" si="22"/>
        <v>0.19508049195080493</v>
      </c>
      <c r="AZ91" s="368"/>
      <c r="BA91" s="422">
        <f t="shared" si="8"/>
        <v>0.20510142808657286</v>
      </c>
      <c r="BB91" s="417">
        <f t="shared" si="9"/>
        <v>0.12773013282272808</v>
      </c>
      <c r="BC91" s="368"/>
      <c r="BE91" s="981" t="s">
        <v>110</v>
      </c>
      <c r="BF91" s="981" t="s">
        <v>479</v>
      </c>
    </row>
    <row r="92" spans="1:58" ht="12.75" customHeight="1" outlineLevel="1" x14ac:dyDescent="0.2">
      <c r="A92" s="365" t="s">
        <v>371</v>
      </c>
      <c r="B92" s="366">
        <v>42461</v>
      </c>
      <c r="C92" s="413">
        <f t="shared" si="6"/>
        <v>195088</v>
      </c>
      <c r="D92" s="414">
        <v>157821</v>
      </c>
      <c r="E92" s="415">
        <v>37267</v>
      </c>
      <c r="F92" s="368"/>
      <c r="G92" s="413">
        <f t="shared" si="3"/>
        <v>251.70000000000002</v>
      </c>
      <c r="H92" s="420">
        <v>174.8</v>
      </c>
      <c r="I92" s="418">
        <v>76.900000000000006</v>
      </c>
      <c r="J92" s="368"/>
      <c r="K92" s="416">
        <v>164735</v>
      </c>
      <c r="L92" s="415">
        <v>23376</v>
      </c>
      <c r="M92" s="368"/>
      <c r="N92" s="416">
        <v>50991.965100000001</v>
      </c>
      <c r="O92" s="415">
        <v>106829.0349</v>
      </c>
      <c r="P92" s="368"/>
      <c r="Q92" s="416">
        <v>760385</v>
      </c>
      <c r="R92" s="418">
        <v>4.8180216827925308</v>
      </c>
      <c r="S92" s="368"/>
      <c r="T92" s="416">
        <v>25827</v>
      </c>
      <c r="U92" s="414">
        <v>21306</v>
      </c>
      <c r="V92" s="414">
        <v>28707</v>
      </c>
      <c r="W92" s="414">
        <v>14045</v>
      </c>
      <c r="X92" s="414">
        <v>15741</v>
      </c>
      <c r="Y92" s="414">
        <v>14184</v>
      </c>
      <c r="Z92" s="414">
        <v>10601</v>
      </c>
      <c r="AA92" s="414" t="s">
        <v>47</v>
      </c>
      <c r="AB92" s="415">
        <v>27410</v>
      </c>
      <c r="AC92" s="368"/>
      <c r="AD92" s="366">
        <f t="shared" si="7"/>
        <v>42461</v>
      </c>
      <c r="AE92" s="685">
        <f t="shared" si="10"/>
        <v>0.1636474233467029</v>
      </c>
      <c r="AF92" s="419">
        <f t="shared" si="11"/>
        <v>0.13500104548824302</v>
      </c>
      <c r="AG92" s="419">
        <f t="shared" si="12"/>
        <v>0.18189594540650483</v>
      </c>
      <c r="AH92" s="419">
        <f t="shared" si="13"/>
        <v>8.8993226503443781E-2</v>
      </c>
      <c r="AI92" s="419">
        <f t="shared" si="14"/>
        <v>9.9739578383104904E-2</v>
      </c>
      <c r="AJ92" s="419">
        <f t="shared" si="15"/>
        <v>8.9873971144524487E-2</v>
      </c>
      <c r="AK92" s="419">
        <f t="shared" si="16"/>
        <v>6.7171035540263976E-2</v>
      </c>
      <c r="AL92" s="419" t="s">
        <v>47</v>
      </c>
      <c r="AM92" s="421">
        <f t="shared" si="17"/>
        <v>0.17367777418721209</v>
      </c>
      <c r="AN92" s="368"/>
      <c r="AO92" s="700">
        <v>7764.7932000000001</v>
      </c>
      <c r="AP92" s="705">
        <v>26450.799599999998</v>
      </c>
      <c r="AQ92" s="705">
        <v>15008.777100000001</v>
      </c>
      <c r="AR92" s="705">
        <v>79967.900700000013</v>
      </c>
      <c r="AS92" s="701">
        <v>28628.7294</v>
      </c>
      <c r="AT92" s="368"/>
      <c r="AU92" s="422">
        <f t="shared" si="18"/>
        <v>4.9199999999999994E-2</v>
      </c>
      <c r="AV92" s="666">
        <f t="shared" si="19"/>
        <v>0.16759999999999997</v>
      </c>
      <c r="AW92" s="666">
        <f t="shared" si="20"/>
        <v>9.509999999999999E-2</v>
      </c>
      <c r="AX92" s="666">
        <f t="shared" si="21"/>
        <v>0.50670000000000004</v>
      </c>
      <c r="AY92" s="417">
        <f t="shared" si="22"/>
        <v>0.18139999999999998</v>
      </c>
      <c r="AZ92" s="368"/>
      <c r="BA92" s="422">
        <f t="shared" si="8"/>
        <v>0.22622393541141833</v>
      </c>
      <c r="BB92" s="417">
        <f t="shared" si="9"/>
        <v>0.14811717071872565</v>
      </c>
      <c r="BC92" s="368"/>
      <c r="BE92" s="981" t="s">
        <v>123</v>
      </c>
      <c r="BF92" s="981" t="s">
        <v>371</v>
      </c>
    </row>
    <row r="93" spans="1:58" ht="12.75" customHeight="1" outlineLevel="1" x14ac:dyDescent="0.2">
      <c r="A93" s="365" t="s">
        <v>371</v>
      </c>
      <c r="B93" s="366">
        <v>42491</v>
      </c>
      <c r="C93" s="413">
        <f t="shared" si="6"/>
        <v>208459</v>
      </c>
      <c r="D93" s="414">
        <v>162348</v>
      </c>
      <c r="E93" s="415">
        <v>46111</v>
      </c>
      <c r="F93" s="368"/>
      <c r="G93" s="413">
        <f t="shared" si="3"/>
        <v>236.4</v>
      </c>
      <c r="H93" s="420">
        <v>162.4</v>
      </c>
      <c r="I93" s="418">
        <v>74</v>
      </c>
      <c r="J93" s="368"/>
      <c r="K93" s="416">
        <v>170336</v>
      </c>
      <c r="L93" s="415">
        <v>22424</v>
      </c>
      <c r="M93" s="368"/>
      <c r="N93" s="416">
        <v>55961.355600000003</v>
      </c>
      <c r="O93" s="415">
        <v>106386.64439999999</v>
      </c>
      <c r="P93" s="368"/>
      <c r="Q93" s="416">
        <v>812805</v>
      </c>
      <c r="R93" s="418">
        <v>5.0065599822603293</v>
      </c>
      <c r="S93" s="368"/>
      <c r="T93" s="416">
        <v>27754</v>
      </c>
      <c r="U93" s="414">
        <v>21292</v>
      </c>
      <c r="V93" s="414">
        <v>28398</v>
      </c>
      <c r="W93" s="414">
        <v>14595</v>
      </c>
      <c r="X93" s="414">
        <v>15683</v>
      </c>
      <c r="Y93" s="414">
        <v>13641</v>
      </c>
      <c r="Z93" s="414">
        <v>10823</v>
      </c>
      <c r="AA93" s="414" t="s">
        <v>47</v>
      </c>
      <c r="AB93" s="415">
        <v>30162</v>
      </c>
      <c r="AC93" s="368"/>
      <c r="AD93" s="366">
        <f t="shared" si="7"/>
        <v>42491</v>
      </c>
      <c r="AE93" s="685">
        <f t="shared" si="10"/>
        <v>0.17095375366496662</v>
      </c>
      <c r="AF93" s="419">
        <f t="shared" si="11"/>
        <v>0.13115036834454383</v>
      </c>
      <c r="AG93" s="419">
        <f t="shared" si="12"/>
        <v>0.17492054105994531</v>
      </c>
      <c r="AH93" s="419">
        <f t="shared" si="13"/>
        <v>8.9899475201419179E-2</v>
      </c>
      <c r="AI93" s="419">
        <f t="shared" si="14"/>
        <v>9.6601128440140932E-2</v>
      </c>
      <c r="AJ93" s="419">
        <f t="shared" si="15"/>
        <v>8.4023209402025276E-2</v>
      </c>
      <c r="AK93" s="419">
        <f t="shared" si="16"/>
        <v>6.6665434745115437E-2</v>
      </c>
      <c r="AL93" s="419" t="s">
        <v>47</v>
      </c>
      <c r="AM93" s="421">
        <f t="shared" si="17"/>
        <v>0.18578608914184344</v>
      </c>
      <c r="AN93" s="368"/>
      <c r="AO93" s="700">
        <v>7646.5908000000009</v>
      </c>
      <c r="AP93" s="705">
        <v>25115.2356</v>
      </c>
      <c r="AQ93" s="705">
        <v>15065.894399999999</v>
      </c>
      <c r="AR93" s="705">
        <v>84713.186400000006</v>
      </c>
      <c r="AS93" s="701">
        <v>29790.858</v>
      </c>
      <c r="AT93" s="368"/>
      <c r="AU93" s="422">
        <f t="shared" si="18"/>
        <v>4.7104710471047105E-2</v>
      </c>
      <c r="AV93" s="666">
        <f t="shared" si="19"/>
        <v>0.1547154715471547</v>
      </c>
      <c r="AW93" s="666">
        <f t="shared" si="20"/>
        <v>9.2809280928092791E-2</v>
      </c>
      <c r="AX93" s="666">
        <f t="shared" si="21"/>
        <v>0.52185218521852184</v>
      </c>
      <c r="AY93" s="417">
        <f t="shared" si="22"/>
        <v>0.1835183518351835</v>
      </c>
      <c r="AZ93" s="368"/>
      <c r="BA93" s="422">
        <f t="shared" si="8"/>
        <v>0.27070613375915836</v>
      </c>
      <c r="BB93" s="417">
        <f t="shared" si="9"/>
        <v>0.13812304432453743</v>
      </c>
      <c r="BC93" s="368"/>
      <c r="BE93" s="981" t="s">
        <v>123</v>
      </c>
      <c r="BF93" s="981" t="s">
        <v>371</v>
      </c>
    </row>
    <row r="94" spans="1:58" ht="12.75" customHeight="1" outlineLevel="1" x14ac:dyDescent="0.2">
      <c r="A94" s="365" t="s">
        <v>371</v>
      </c>
      <c r="B94" s="366">
        <v>42522</v>
      </c>
      <c r="C94" s="413">
        <f t="shared" si="6"/>
        <v>210849</v>
      </c>
      <c r="D94" s="414">
        <v>166615</v>
      </c>
      <c r="E94" s="415">
        <v>44234</v>
      </c>
      <c r="F94" s="368"/>
      <c r="G94" s="413">
        <f t="shared" si="3"/>
        <v>225.6</v>
      </c>
      <c r="H94" s="420">
        <v>163.69999999999999</v>
      </c>
      <c r="I94" s="418">
        <v>61.9</v>
      </c>
      <c r="J94" s="368"/>
      <c r="K94" s="416">
        <v>177089</v>
      </c>
      <c r="L94" s="415">
        <v>23196</v>
      </c>
      <c r="M94" s="368"/>
      <c r="N94" s="416">
        <v>62697.224500000004</v>
      </c>
      <c r="O94" s="415">
        <v>103917.77549999999</v>
      </c>
      <c r="P94" s="368"/>
      <c r="Q94" s="416">
        <v>831631</v>
      </c>
      <c r="R94" s="418">
        <v>4.9913333133271314</v>
      </c>
      <c r="S94" s="368"/>
      <c r="T94" s="416">
        <v>28127</v>
      </c>
      <c r="U94" s="414">
        <v>20944</v>
      </c>
      <c r="V94" s="414">
        <v>29696</v>
      </c>
      <c r="W94" s="414">
        <v>15532</v>
      </c>
      <c r="X94" s="414">
        <v>17842</v>
      </c>
      <c r="Y94" s="414">
        <v>13905</v>
      </c>
      <c r="Z94" s="414">
        <v>9980</v>
      </c>
      <c r="AA94" s="414" t="s">
        <v>47</v>
      </c>
      <c r="AB94" s="415">
        <v>30589</v>
      </c>
      <c r="AC94" s="368"/>
      <c r="AD94" s="366">
        <f t="shared" si="7"/>
        <v>42522</v>
      </c>
      <c r="AE94" s="685">
        <f t="shared" si="10"/>
        <v>0.16881433244305735</v>
      </c>
      <c r="AF94" s="419">
        <f t="shared" si="11"/>
        <v>0.12570296792005523</v>
      </c>
      <c r="AG94" s="419">
        <f t="shared" si="12"/>
        <v>0.17823125168802328</v>
      </c>
      <c r="AH94" s="419">
        <f t="shared" si="13"/>
        <v>9.3220898478528338E-2</v>
      </c>
      <c r="AI94" s="419">
        <f t="shared" si="14"/>
        <v>0.10708519641088737</v>
      </c>
      <c r="AJ94" s="419">
        <f t="shared" si="15"/>
        <v>8.3455871320109232E-2</v>
      </c>
      <c r="AK94" s="419">
        <f t="shared" si="16"/>
        <v>5.9898568556252439E-2</v>
      </c>
      <c r="AL94" s="419" t="s">
        <v>47</v>
      </c>
      <c r="AM94" s="421">
        <f t="shared" si="17"/>
        <v>0.18359091318308676</v>
      </c>
      <c r="AN94" s="368"/>
      <c r="AO94" s="700">
        <v>8047.5045</v>
      </c>
      <c r="AP94" s="705">
        <v>25075.557499999999</v>
      </c>
      <c r="AQ94" s="705">
        <v>14962.027</v>
      </c>
      <c r="AR94" s="705">
        <v>87356.244500000001</v>
      </c>
      <c r="AS94" s="701">
        <v>31173.666499999999</v>
      </c>
      <c r="AT94" s="368"/>
      <c r="AU94" s="422">
        <f t="shared" si="18"/>
        <v>4.8300000000000003E-2</v>
      </c>
      <c r="AV94" s="666">
        <f t="shared" si="19"/>
        <v>0.15049999999999999</v>
      </c>
      <c r="AW94" s="666">
        <f t="shared" si="20"/>
        <v>8.9800000000000005E-2</v>
      </c>
      <c r="AX94" s="666">
        <f t="shared" si="21"/>
        <v>0.52429999999999999</v>
      </c>
      <c r="AY94" s="417">
        <f t="shared" si="22"/>
        <v>0.18709999999999999</v>
      </c>
      <c r="AZ94" s="368"/>
      <c r="BA94" s="422">
        <f t="shared" si="8"/>
        <v>0.24978400691177882</v>
      </c>
      <c r="BB94" s="417">
        <f t="shared" si="9"/>
        <v>0.13921915793896109</v>
      </c>
      <c r="BC94" s="368"/>
      <c r="BE94" s="981" t="s">
        <v>123</v>
      </c>
      <c r="BF94" s="981" t="s">
        <v>371</v>
      </c>
    </row>
    <row r="95" spans="1:58" ht="12.75" customHeight="1" outlineLevel="1" x14ac:dyDescent="0.2">
      <c r="A95" s="365" t="s">
        <v>372</v>
      </c>
      <c r="B95" s="366">
        <v>42552</v>
      </c>
      <c r="C95" s="413">
        <f t="shared" si="6"/>
        <v>218194</v>
      </c>
      <c r="D95" s="414">
        <v>175023</v>
      </c>
      <c r="E95" s="415">
        <v>43171</v>
      </c>
      <c r="F95" s="368"/>
      <c r="G95" s="413">
        <f t="shared" si="3"/>
        <v>222.20000000000002</v>
      </c>
      <c r="H95" s="420">
        <v>159.30000000000001</v>
      </c>
      <c r="I95" s="418">
        <v>62.9</v>
      </c>
      <c r="J95" s="368"/>
      <c r="K95" s="416">
        <v>183886</v>
      </c>
      <c r="L95" s="415">
        <v>19591</v>
      </c>
      <c r="M95" s="368"/>
      <c r="N95" s="416">
        <v>63428.335200000001</v>
      </c>
      <c r="O95" s="415">
        <v>111594.6648</v>
      </c>
      <c r="P95" s="368"/>
      <c r="Q95" s="416">
        <v>906799</v>
      </c>
      <c r="R95" s="418">
        <v>5.1810276363677916</v>
      </c>
      <c r="S95" s="368"/>
      <c r="T95" s="416">
        <v>29578</v>
      </c>
      <c r="U95" s="414">
        <v>21504</v>
      </c>
      <c r="V95" s="414">
        <v>33584</v>
      </c>
      <c r="W95" s="414">
        <v>16888</v>
      </c>
      <c r="X95" s="414">
        <v>18727</v>
      </c>
      <c r="Y95" s="414">
        <v>13833</v>
      </c>
      <c r="Z95" s="414">
        <v>8619</v>
      </c>
      <c r="AA95" s="414" t="s">
        <v>47</v>
      </c>
      <c r="AB95" s="415">
        <v>32290</v>
      </c>
      <c r="AC95" s="368"/>
      <c r="AD95" s="366">
        <f t="shared" si="7"/>
        <v>42552</v>
      </c>
      <c r="AE95" s="685">
        <f t="shared" si="10"/>
        <v>0.16899493209463898</v>
      </c>
      <c r="AF95" s="419">
        <f t="shared" si="11"/>
        <v>0.12286385217942784</v>
      </c>
      <c r="AG95" s="419">
        <f t="shared" si="12"/>
        <v>0.19188335247367488</v>
      </c>
      <c r="AH95" s="419">
        <f t="shared" si="13"/>
        <v>9.6490175576924173E-2</v>
      </c>
      <c r="AI95" s="419">
        <f t="shared" si="14"/>
        <v>0.10699736606046062</v>
      </c>
      <c r="AJ95" s="419">
        <f t="shared" si="15"/>
        <v>7.9035326785622459E-2</v>
      </c>
      <c r="AK95" s="419">
        <f t="shared" si="16"/>
        <v>4.9244956377161857E-2</v>
      </c>
      <c r="AL95" s="419" t="s">
        <v>47</v>
      </c>
      <c r="AM95" s="421">
        <f t="shared" si="17"/>
        <v>0.18449003845208917</v>
      </c>
      <c r="AN95" s="368"/>
      <c r="AO95" s="700">
        <v>8156.0718000000006</v>
      </c>
      <c r="AP95" s="705">
        <v>25955.910899999999</v>
      </c>
      <c r="AQ95" s="705">
        <v>16312.143600000001</v>
      </c>
      <c r="AR95" s="705">
        <v>92464.650899999993</v>
      </c>
      <c r="AS95" s="701">
        <v>32151.7251</v>
      </c>
      <c r="AT95" s="368"/>
      <c r="AU95" s="422">
        <f t="shared" si="18"/>
        <v>4.65953404659534E-2</v>
      </c>
      <c r="AV95" s="666">
        <f t="shared" si="19"/>
        <v>0.1482851714828517</v>
      </c>
      <c r="AW95" s="666">
        <f t="shared" si="20"/>
        <v>9.31906809319068E-2</v>
      </c>
      <c r="AX95" s="666">
        <f t="shared" si="21"/>
        <v>0.52824717528247167</v>
      </c>
      <c r="AY95" s="417">
        <f t="shared" si="22"/>
        <v>0.18368163183681629</v>
      </c>
      <c r="AZ95" s="368"/>
      <c r="BA95" s="422">
        <f t="shared" si="8"/>
        <v>0.23477045560836604</v>
      </c>
      <c r="BB95" s="417">
        <f t="shared" si="9"/>
        <v>0.11193386012124121</v>
      </c>
      <c r="BC95" s="368"/>
      <c r="BE95" s="981" t="s">
        <v>124</v>
      </c>
      <c r="BF95" s="981" t="s">
        <v>372</v>
      </c>
    </row>
    <row r="96" spans="1:58" ht="12.75" customHeight="1" outlineLevel="1" x14ac:dyDescent="0.2">
      <c r="A96" s="365" t="s">
        <v>372</v>
      </c>
      <c r="B96" s="366">
        <v>42583</v>
      </c>
      <c r="C96" s="413">
        <f t="shared" si="6"/>
        <v>216959</v>
      </c>
      <c r="D96" s="414">
        <v>178275</v>
      </c>
      <c r="E96" s="415">
        <v>38684</v>
      </c>
      <c r="F96" s="368"/>
      <c r="G96" s="413">
        <f t="shared" si="3"/>
        <v>211.4</v>
      </c>
      <c r="H96" s="420">
        <v>153.4</v>
      </c>
      <c r="I96" s="418">
        <v>58</v>
      </c>
      <c r="J96" s="368"/>
      <c r="K96" s="416">
        <v>172029</v>
      </c>
      <c r="L96" s="415">
        <v>18509</v>
      </c>
      <c r="M96" s="368"/>
      <c r="N96" s="416">
        <v>65355.614999999998</v>
      </c>
      <c r="O96" s="415">
        <v>112919.38500000001</v>
      </c>
      <c r="P96" s="368"/>
      <c r="Q96" s="416">
        <v>950460</v>
      </c>
      <c r="R96" s="418">
        <v>5.3314560732355813</v>
      </c>
      <c r="S96" s="368"/>
      <c r="T96" s="416">
        <v>30732</v>
      </c>
      <c r="U96" s="414">
        <v>18664</v>
      </c>
      <c r="V96" s="414">
        <v>34119</v>
      </c>
      <c r="W96" s="414">
        <v>17256</v>
      </c>
      <c r="X96" s="414">
        <v>20303</v>
      </c>
      <c r="Y96" s="414">
        <v>14498</v>
      </c>
      <c r="Z96" s="414">
        <v>9147</v>
      </c>
      <c r="AA96" s="414" t="s">
        <v>47</v>
      </c>
      <c r="AB96" s="415">
        <v>33555</v>
      </c>
      <c r="AC96" s="368"/>
      <c r="AD96" s="366">
        <f t="shared" si="7"/>
        <v>42583</v>
      </c>
      <c r="AE96" s="685">
        <f t="shared" si="10"/>
        <v>0.17238632666569437</v>
      </c>
      <c r="AF96" s="419">
        <f t="shared" si="11"/>
        <v>0.1046927762881856</v>
      </c>
      <c r="AG96" s="419">
        <f t="shared" si="12"/>
        <v>0.19138517114105252</v>
      </c>
      <c r="AH96" s="419">
        <f t="shared" si="13"/>
        <v>9.6794821454614807E-2</v>
      </c>
      <c r="AI96" s="419">
        <f t="shared" si="14"/>
        <v>0.11388648933663911</v>
      </c>
      <c r="AJ96" s="419">
        <f t="shared" si="15"/>
        <v>8.132425367692428E-2</v>
      </c>
      <c r="AK96" s="419">
        <f t="shared" si="16"/>
        <v>5.1308659703602322E-2</v>
      </c>
      <c r="AL96" s="419" t="s">
        <v>47</v>
      </c>
      <c r="AM96" s="421">
        <f t="shared" si="17"/>
        <v>0.18822150173328697</v>
      </c>
      <c r="AN96" s="368"/>
      <c r="AO96" s="700">
        <v>8200.65</v>
      </c>
      <c r="AP96" s="705">
        <v>27293.902500000004</v>
      </c>
      <c r="AQ96" s="705">
        <v>16971.780000000002</v>
      </c>
      <c r="AR96" s="705">
        <v>94075.717499999984</v>
      </c>
      <c r="AS96" s="701">
        <v>31715.122500000001</v>
      </c>
      <c r="AT96" s="368"/>
      <c r="AU96" s="422">
        <f t="shared" si="18"/>
        <v>4.6004600460046008E-2</v>
      </c>
      <c r="AV96" s="666">
        <f t="shared" si="19"/>
        <v>0.15311531153115315</v>
      </c>
      <c r="AW96" s="666">
        <f t="shared" si="20"/>
        <v>9.5209520952095228E-2</v>
      </c>
      <c r="AX96" s="666">
        <f t="shared" si="21"/>
        <v>0.52775277527752773</v>
      </c>
      <c r="AY96" s="417">
        <f t="shared" si="22"/>
        <v>0.17791779177917794</v>
      </c>
      <c r="AZ96" s="368"/>
      <c r="BA96" s="422">
        <f t="shared" si="8"/>
        <v>0.22486906277429969</v>
      </c>
      <c r="BB96" s="417">
        <f t="shared" si="9"/>
        <v>0.1038227457579582</v>
      </c>
      <c r="BC96" s="368"/>
      <c r="BE96" s="981" t="s">
        <v>124</v>
      </c>
      <c r="BF96" s="981" t="s">
        <v>372</v>
      </c>
    </row>
    <row r="97" spans="1:58" ht="12.75" customHeight="1" outlineLevel="1" x14ac:dyDescent="0.2">
      <c r="A97" s="365" t="s">
        <v>372</v>
      </c>
      <c r="B97" s="366">
        <v>42614</v>
      </c>
      <c r="C97" s="413">
        <f t="shared" si="6"/>
        <v>190930</v>
      </c>
      <c r="D97" s="414">
        <v>155065</v>
      </c>
      <c r="E97" s="415">
        <v>35865</v>
      </c>
      <c r="F97" s="368"/>
      <c r="G97" s="413">
        <f t="shared" si="3"/>
        <v>212.5</v>
      </c>
      <c r="H97" s="420">
        <v>160.4</v>
      </c>
      <c r="I97" s="418">
        <v>52.1</v>
      </c>
      <c r="J97" s="368"/>
      <c r="K97" s="416">
        <v>163314</v>
      </c>
      <c r="L97" s="415">
        <v>19724</v>
      </c>
      <c r="M97" s="368"/>
      <c r="N97" s="416">
        <v>55327.192000000003</v>
      </c>
      <c r="O97" s="415">
        <v>99737.80799999999</v>
      </c>
      <c r="P97" s="368"/>
      <c r="Q97" s="416">
        <v>851471</v>
      </c>
      <c r="R97" s="418">
        <v>5.4910231772277607</v>
      </c>
      <c r="S97" s="368"/>
      <c r="T97" s="416">
        <v>28263</v>
      </c>
      <c r="U97" s="414">
        <v>11786</v>
      </c>
      <c r="V97" s="414">
        <v>26581</v>
      </c>
      <c r="W97" s="414">
        <v>14424</v>
      </c>
      <c r="X97" s="414">
        <v>18475</v>
      </c>
      <c r="Y97" s="414">
        <v>13574</v>
      </c>
      <c r="Z97" s="414">
        <v>10034</v>
      </c>
      <c r="AA97" s="414" t="s">
        <v>47</v>
      </c>
      <c r="AB97" s="415">
        <v>31929</v>
      </c>
      <c r="AC97" s="368"/>
      <c r="AD97" s="366">
        <f t="shared" si="7"/>
        <v>42614</v>
      </c>
      <c r="AE97" s="685">
        <f t="shared" si="10"/>
        <v>0.18226432615789406</v>
      </c>
      <c r="AF97" s="419">
        <f t="shared" si="11"/>
        <v>7.6006345685063134E-2</v>
      </c>
      <c r="AG97" s="419">
        <f t="shared" si="12"/>
        <v>0.17141733197477202</v>
      </c>
      <c r="AH97" s="419">
        <f t="shared" si="13"/>
        <v>9.3018456657165335E-2</v>
      </c>
      <c r="AI97" s="419">
        <f t="shared" si="14"/>
        <v>0.11914281660712213</v>
      </c>
      <c r="AJ97" s="419">
        <f t="shared" si="15"/>
        <v>8.7536919763197607E-2</v>
      </c>
      <c r="AK97" s="419">
        <f t="shared" si="16"/>
        <v>6.4707930816555528E-2</v>
      </c>
      <c r="AL97" s="419" t="s">
        <v>47</v>
      </c>
      <c r="AM97" s="421">
        <f t="shared" si="17"/>
        <v>0.20590587233823018</v>
      </c>
      <c r="AN97" s="368"/>
      <c r="AO97" s="700">
        <v>6528.2365</v>
      </c>
      <c r="AP97" s="705">
        <v>22561.957499999997</v>
      </c>
      <c r="AQ97" s="705">
        <v>13955.85</v>
      </c>
      <c r="AR97" s="705">
        <v>83890.165000000008</v>
      </c>
      <c r="AS97" s="701">
        <v>28128.791000000001</v>
      </c>
      <c r="AT97" s="368"/>
      <c r="AU97" s="422">
        <f t="shared" si="18"/>
        <v>4.2099999999999999E-2</v>
      </c>
      <c r="AV97" s="666">
        <f t="shared" si="19"/>
        <v>0.14549999999999999</v>
      </c>
      <c r="AW97" s="666">
        <f t="shared" si="20"/>
        <v>0.09</v>
      </c>
      <c r="AX97" s="666">
        <f t="shared" si="21"/>
        <v>0.54100000000000004</v>
      </c>
      <c r="AY97" s="417">
        <f t="shared" si="22"/>
        <v>0.18140000000000001</v>
      </c>
      <c r="AZ97" s="368"/>
      <c r="BA97" s="422">
        <f t="shared" si="8"/>
        <v>0.21960762702523973</v>
      </c>
      <c r="BB97" s="417">
        <f t="shared" si="9"/>
        <v>0.12719827169251605</v>
      </c>
      <c r="BC97" s="368"/>
      <c r="BE97" s="981" t="s">
        <v>124</v>
      </c>
      <c r="BF97" s="981" t="s">
        <v>372</v>
      </c>
    </row>
    <row r="98" spans="1:58" ht="12.75" customHeight="1" outlineLevel="1" x14ac:dyDescent="0.2">
      <c r="A98" s="365" t="s">
        <v>373</v>
      </c>
      <c r="B98" s="366">
        <v>42644</v>
      </c>
      <c r="C98" s="413">
        <f t="shared" si="6"/>
        <v>189230</v>
      </c>
      <c r="D98" s="414">
        <v>155009</v>
      </c>
      <c r="E98" s="415">
        <v>34221</v>
      </c>
      <c r="F98" s="368"/>
      <c r="G98" s="413">
        <f t="shared" si="3"/>
        <v>209.2</v>
      </c>
      <c r="H98" s="420">
        <v>156.4</v>
      </c>
      <c r="I98" s="418">
        <v>52.8</v>
      </c>
      <c r="J98" s="368"/>
      <c r="K98" s="416">
        <v>169421</v>
      </c>
      <c r="L98" s="415">
        <v>18529</v>
      </c>
      <c r="M98" s="368"/>
      <c r="N98" s="416">
        <v>57818.356999999996</v>
      </c>
      <c r="O98" s="415">
        <v>97190.643000000011</v>
      </c>
      <c r="P98" s="368"/>
      <c r="Q98" s="416">
        <v>781530</v>
      </c>
      <c r="R98" s="418">
        <v>5.0418362804740369</v>
      </c>
      <c r="S98" s="368"/>
      <c r="T98" s="416">
        <v>29741</v>
      </c>
      <c r="U98" s="414">
        <v>10643</v>
      </c>
      <c r="V98" s="414">
        <v>29571</v>
      </c>
      <c r="W98" s="414">
        <v>14069</v>
      </c>
      <c r="X98" s="414">
        <v>17431</v>
      </c>
      <c r="Y98" s="414">
        <v>14650</v>
      </c>
      <c r="Z98" s="414">
        <v>9963</v>
      </c>
      <c r="AA98" s="414" t="s">
        <v>47</v>
      </c>
      <c r="AB98" s="415">
        <v>28941</v>
      </c>
      <c r="AC98" s="368"/>
      <c r="AD98" s="366">
        <f t="shared" si="7"/>
        <v>42644</v>
      </c>
      <c r="AE98" s="685">
        <f t="shared" si="10"/>
        <v>0.19186627873220263</v>
      </c>
      <c r="AF98" s="419">
        <f t="shared" si="11"/>
        <v>6.8660529388616151E-2</v>
      </c>
      <c r="AG98" s="419">
        <f t="shared" si="12"/>
        <v>0.19076956821861957</v>
      </c>
      <c r="AH98" s="419">
        <f t="shared" si="13"/>
        <v>9.0762471856472848E-2</v>
      </c>
      <c r="AI98" s="419">
        <f t="shared" si="14"/>
        <v>0.1124515350721571</v>
      </c>
      <c r="AJ98" s="419">
        <f t="shared" si="15"/>
        <v>9.451064131760091E-2</v>
      </c>
      <c r="AK98" s="419">
        <f t="shared" si="16"/>
        <v>6.4273687334283819E-2</v>
      </c>
      <c r="AL98" s="419" t="s">
        <v>47</v>
      </c>
      <c r="AM98" s="421">
        <f t="shared" si="17"/>
        <v>0.18670528808004697</v>
      </c>
      <c r="AN98" s="368"/>
      <c r="AO98" s="700">
        <v>6308.8662999999997</v>
      </c>
      <c r="AP98" s="705">
        <v>22119.784299999999</v>
      </c>
      <c r="AQ98" s="705">
        <v>13811.3019</v>
      </c>
      <c r="AR98" s="705">
        <v>85208.4473</v>
      </c>
      <c r="AS98" s="701">
        <v>27560.600200000001</v>
      </c>
      <c r="AT98" s="368"/>
      <c r="AU98" s="422">
        <f t="shared" si="18"/>
        <v>4.07E-2</v>
      </c>
      <c r="AV98" s="666">
        <f t="shared" si="19"/>
        <v>0.14269999999999999</v>
      </c>
      <c r="AW98" s="666">
        <f t="shared" si="20"/>
        <v>8.9099999999999999E-2</v>
      </c>
      <c r="AX98" s="666">
        <f t="shared" si="21"/>
        <v>0.54969999999999997</v>
      </c>
      <c r="AY98" s="417">
        <f t="shared" si="22"/>
        <v>0.17780000000000001</v>
      </c>
      <c r="AZ98" s="368"/>
      <c r="BA98" s="422">
        <f t="shared" si="8"/>
        <v>0.2019879471848236</v>
      </c>
      <c r="BB98" s="417">
        <f t="shared" si="9"/>
        <v>0.11953499474224077</v>
      </c>
      <c r="BC98" s="368"/>
      <c r="BE98" s="981" t="s">
        <v>127</v>
      </c>
      <c r="BF98" s="981" t="s">
        <v>373</v>
      </c>
    </row>
    <row r="99" spans="1:58" ht="12.75" customHeight="1" outlineLevel="1" x14ac:dyDescent="0.2">
      <c r="A99" s="365" t="s">
        <v>373</v>
      </c>
      <c r="B99" s="366">
        <v>42675</v>
      </c>
      <c r="C99" s="413">
        <f t="shared" si="6"/>
        <v>227527</v>
      </c>
      <c r="D99" s="414">
        <v>173746</v>
      </c>
      <c r="E99" s="415">
        <v>53781</v>
      </c>
      <c r="F99" s="368"/>
      <c r="G99" s="413">
        <f t="shared" si="3"/>
        <v>211.4</v>
      </c>
      <c r="H99" s="420">
        <v>153.4</v>
      </c>
      <c r="I99" s="418">
        <v>58</v>
      </c>
      <c r="J99" s="368"/>
      <c r="K99" s="416">
        <v>209339</v>
      </c>
      <c r="L99" s="415">
        <v>23289</v>
      </c>
      <c r="M99" s="368"/>
      <c r="N99" s="416">
        <v>67378.698800000013</v>
      </c>
      <c r="O99" s="415">
        <v>106367.30119999999</v>
      </c>
      <c r="P99" s="368"/>
      <c r="Q99" s="416">
        <v>865707</v>
      </c>
      <c r="R99" s="418">
        <v>4.9826010382972843</v>
      </c>
      <c r="S99" s="368"/>
      <c r="T99" s="416">
        <v>32823</v>
      </c>
      <c r="U99" s="414">
        <v>16044</v>
      </c>
      <c r="V99" s="414">
        <v>33120</v>
      </c>
      <c r="W99" s="414">
        <v>14597</v>
      </c>
      <c r="X99" s="414">
        <v>20276</v>
      </c>
      <c r="Y99" s="414">
        <v>16797</v>
      </c>
      <c r="Z99" s="414">
        <v>10094</v>
      </c>
      <c r="AA99" s="414" t="s">
        <v>47</v>
      </c>
      <c r="AB99" s="415">
        <v>29995</v>
      </c>
      <c r="AC99" s="368"/>
      <c r="AD99" s="366">
        <f t="shared" si="7"/>
        <v>42675</v>
      </c>
      <c r="AE99" s="685">
        <f t="shared" si="10"/>
        <v>0.18891370161039678</v>
      </c>
      <c r="AF99" s="419">
        <f t="shared" si="11"/>
        <v>9.2341694197276489E-2</v>
      </c>
      <c r="AG99" s="419">
        <f t="shared" si="12"/>
        <v>0.19062309348128878</v>
      </c>
      <c r="AH99" s="419">
        <f t="shared" si="13"/>
        <v>8.4013444913839747E-2</v>
      </c>
      <c r="AI99" s="419">
        <f t="shared" si="14"/>
        <v>0.11669908947544116</v>
      </c>
      <c r="AJ99" s="419">
        <f t="shared" si="15"/>
        <v>9.6675606920447091E-2</v>
      </c>
      <c r="AK99" s="419">
        <f t="shared" si="16"/>
        <v>5.8096301497588432E-2</v>
      </c>
      <c r="AL99" s="419" t="s">
        <v>47</v>
      </c>
      <c r="AM99" s="421">
        <f t="shared" si="17"/>
        <v>0.17263706790372152</v>
      </c>
      <c r="AN99" s="368"/>
      <c r="AO99" s="700">
        <v>7384.2050000000008</v>
      </c>
      <c r="AP99" s="705">
        <v>24463.436800000003</v>
      </c>
      <c r="AQ99" s="705">
        <v>14785.784599999999</v>
      </c>
      <c r="AR99" s="705">
        <v>96950.268000000011</v>
      </c>
      <c r="AS99" s="701">
        <v>30144.930999999997</v>
      </c>
      <c r="AT99" s="368"/>
      <c r="AU99" s="422">
        <f t="shared" si="18"/>
        <v>4.2504250425042502E-2</v>
      </c>
      <c r="AV99" s="666">
        <f t="shared" si="19"/>
        <v>0.14081408140814081</v>
      </c>
      <c r="AW99" s="666">
        <f t="shared" si="20"/>
        <v>8.510851085108509E-2</v>
      </c>
      <c r="AX99" s="666">
        <f t="shared" si="21"/>
        <v>0.55805580558055801</v>
      </c>
      <c r="AY99" s="417">
        <f t="shared" si="22"/>
        <v>0.17351735173517349</v>
      </c>
      <c r="AZ99" s="368"/>
      <c r="BA99" s="422">
        <f t="shared" si="8"/>
        <v>0.25690865056200707</v>
      </c>
      <c r="BB99" s="417">
        <f t="shared" si="9"/>
        <v>0.1340404958963084</v>
      </c>
      <c r="BC99" s="368"/>
      <c r="BE99" s="981" t="s">
        <v>127</v>
      </c>
      <c r="BF99" s="981" t="s">
        <v>373</v>
      </c>
    </row>
    <row r="100" spans="1:58" ht="12.75" customHeight="1" outlineLevel="1" x14ac:dyDescent="0.2">
      <c r="A100" s="365" t="s">
        <v>373</v>
      </c>
      <c r="B100" s="366">
        <v>42705</v>
      </c>
      <c r="C100" s="413">
        <f t="shared" si="6"/>
        <v>258822</v>
      </c>
      <c r="D100" s="414">
        <v>199211</v>
      </c>
      <c r="E100" s="415">
        <v>59611</v>
      </c>
      <c r="F100" s="368"/>
      <c r="G100" s="413">
        <f t="shared" si="3"/>
        <v>176</v>
      </c>
      <c r="H100" s="420">
        <v>134</v>
      </c>
      <c r="I100" s="418">
        <v>42</v>
      </c>
      <c r="J100" s="368"/>
      <c r="K100" s="416">
        <v>194789</v>
      </c>
      <c r="L100" s="415">
        <v>21269</v>
      </c>
      <c r="M100" s="368"/>
      <c r="N100" s="416">
        <v>72333.5141</v>
      </c>
      <c r="O100" s="415">
        <v>126877.4859</v>
      </c>
      <c r="P100" s="368"/>
      <c r="Q100" s="416">
        <v>1038810</v>
      </c>
      <c r="R100" s="418">
        <v>5.2145693303147889</v>
      </c>
      <c r="S100" s="368"/>
      <c r="T100" s="416">
        <v>37216</v>
      </c>
      <c r="U100" s="414">
        <v>23057</v>
      </c>
      <c r="V100" s="414">
        <v>37182</v>
      </c>
      <c r="W100" s="414">
        <v>17979</v>
      </c>
      <c r="X100" s="414">
        <v>21081</v>
      </c>
      <c r="Y100" s="414">
        <v>17148</v>
      </c>
      <c r="Z100" s="414">
        <v>11984</v>
      </c>
      <c r="AA100" s="414" t="s">
        <v>47</v>
      </c>
      <c r="AB100" s="415">
        <v>33566</v>
      </c>
      <c r="AC100" s="368"/>
      <c r="AD100" s="366">
        <f t="shared" si="7"/>
        <v>42705</v>
      </c>
      <c r="AE100" s="685">
        <f t="shared" si="10"/>
        <v>0.18681511748731258</v>
      </c>
      <c r="AF100" s="419">
        <f t="shared" si="11"/>
        <v>0.11574043862599329</v>
      </c>
      <c r="AG100" s="419">
        <f t="shared" si="12"/>
        <v>0.18664444589459522</v>
      </c>
      <c r="AH100" s="419">
        <f t="shared" si="13"/>
        <v>9.0250134278385449E-2</v>
      </c>
      <c r="AI100" s="419">
        <f t="shared" si="14"/>
        <v>0.10582140723747949</v>
      </c>
      <c r="AJ100" s="419">
        <f t="shared" si="15"/>
        <v>8.6078719762264513E-2</v>
      </c>
      <c r="AK100" s="419">
        <f t="shared" si="16"/>
        <v>6.0156716680136335E-2</v>
      </c>
      <c r="AL100" s="419" t="s">
        <v>47</v>
      </c>
      <c r="AM100" s="421">
        <f t="shared" si="17"/>
        <v>0.16849302003383312</v>
      </c>
      <c r="AN100" s="368"/>
      <c r="AO100" s="700">
        <v>9522.2857999999997</v>
      </c>
      <c r="AP100" s="705">
        <v>32232.339800000002</v>
      </c>
      <c r="AQ100" s="705">
        <v>18407.096399999999</v>
      </c>
      <c r="AR100" s="705">
        <v>100920.29260000002</v>
      </c>
      <c r="AS100" s="701">
        <v>38148.906499999997</v>
      </c>
      <c r="AT100" s="368"/>
      <c r="AU100" s="422">
        <f t="shared" si="18"/>
        <v>4.7795220477952205E-2</v>
      </c>
      <c r="AV100" s="666">
        <f t="shared" si="19"/>
        <v>0.16178382161783825</v>
      </c>
      <c r="AW100" s="666">
        <f t="shared" si="20"/>
        <v>9.2390760923907606E-2</v>
      </c>
      <c r="AX100" s="666">
        <f t="shared" si="21"/>
        <v>0.50654934506549354</v>
      </c>
      <c r="AY100" s="417">
        <f t="shared" si="22"/>
        <v>0.19148085191480851</v>
      </c>
      <c r="AZ100" s="368"/>
      <c r="BA100" s="422">
        <f t="shared" si="8"/>
        <v>0.30602857450882748</v>
      </c>
      <c r="BB100" s="417">
        <f t="shared" si="9"/>
        <v>0.10676619262992505</v>
      </c>
      <c r="BC100" s="368"/>
      <c r="BE100" s="981" t="s">
        <v>127</v>
      </c>
      <c r="BF100" s="981" t="s">
        <v>373</v>
      </c>
    </row>
    <row r="101" spans="1:58" ht="12.75" customHeight="1" x14ac:dyDescent="0.2">
      <c r="A101" s="365" t="s">
        <v>374</v>
      </c>
      <c r="B101" s="366">
        <v>42736</v>
      </c>
      <c r="C101" s="423">
        <f t="shared" si="6"/>
        <v>180258</v>
      </c>
      <c r="D101" s="424">
        <v>143768</v>
      </c>
      <c r="E101" s="425">
        <v>36490</v>
      </c>
      <c r="F101" s="368"/>
      <c r="G101" s="423">
        <f t="shared" si="3"/>
        <v>186.4</v>
      </c>
      <c r="H101" s="430">
        <v>135</v>
      </c>
      <c r="I101" s="428">
        <v>51.4</v>
      </c>
      <c r="J101" s="368"/>
      <c r="K101" s="426">
        <v>173825</v>
      </c>
      <c r="L101" s="425">
        <v>16712</v>
      </c>
      <c r="M101" s="368"/>
      <c r="N101" s="426">
        <v>42972.2552</v>
      </c>
      <c r="O101" s="425">
        <v>100795.7448</v>
      </c>
      <c r="P101" s="368"/>
      <c r="Q101" s="426">
        <v>827178</v>
      </c>
      <c r="R101" s="428">
        <v>5.7536013132359995</v>
      </c>
      <c r="S101" s="368"/>
      <c r="T101" s="426">
        <v>27645</v>
      </c>
      <c r="U101" s="424">
        <v>18135</v>
      </c>
      <c r="V101" s="424">
        <v>25834</v>
      </c>
      <c r="W101" s="424">
        <v>12930</v>
      </c>
      <c r="X101" s="424">
        <v>14446</v>
      </c>
      <c r="Y101" s="424">
        <v>11358</v>
      </c>
      <c r="Z101" s="424">
        <v>8739</v>
      </c>
      <c r="AA101" s="424" t="s">
        <v>47</v>
      </c>
      <c r="AB101" s="425">
        <v>24680</v>
      </c>
      <c r="AC101" s="368"/>
      <c r="AD101" s="366">
        <f t="shared" ref="AD101:AD132" si="23">+B101</f>
        <v>42736</v>
      </c>
      <c r="AE101" s="686">
        <f t="shared" si="10"/>
        <v>0.19229030305981207</v>
      </c>
      <c r="AF101" s="429">
        <f t="shared" si="11"/>
        <v>0.12614160412333847</v>
      </c>
      <c r="AG101" s="429">
        <f t="shared" si="12"/>
        <v>0.17969353189535847</v>
      </c>
      <c r="AH101" s="429">
        <f t="shared" si="13"/>
        <v>8.9937190036656539E-2</v>
      </c>
      <c r="AI101" s="429">
        <f t="shared" si="14"/>
        <v>0.10048202995124055</v>
      </c>
      <c r="AJ101" s="429">
        <f t="shared" si="15"/>
        <v>7.9002830969554905E-2</v>
      </c>
      <c r="AK101" s="429">
        <f t="shared" si="16"/>
        <v>6.0785854890204286E-2</v>
      </c>
      <c r="AL101" s="429" t="s">
        <v>47</v>
      </c>
      <c r="AM101" s="431">
        <f t="shared" si="17"/>
        <v>0.17166665507383475</v>
      </c>
      <c r="AN101" s="368"/>
      <c r="AO101" s="700">
        <v>6483.9368000000004</v>
      </c>
      <c r="AP101" s="705">
        <v>24282.415199999999</v>
      </c>
      <c r="AQ101" s="705">
        <v>14721.843200000001</v>
      </c>
      <c r="AR101" s="705">
        <v>69698.7264</v>
      </c>
      <c r="AS101" s="701">
        <v>28566.701599999997</v>
      </c>
      <c r="AT101" s="368"/>
      <c r="AU101" s="432">
        <f t="shared" si="18"/>
        <v>4.5104510451045104E-2</v>
      </c>
      <c r="AV101" s="667">
        <f t="shared" si="19"/>
        <v>0.1689168916891689</v>
      </c>
      <c r="AW101" s="667">
        <f t="shared" si="20"/>
        <v>0.10241024102410241</v>
      </c>
      <c r="AX101" s="667">
        <f t="shared" si="21"/>
        <v>0.48484848484848486</v>
      </c>
      <c r="AY101" s="427">
        <f t="shared" si="22"/>
        <v>0.1987198719871987</v>
      </c>
      <c r="AZ101" s="368"/>
      <c r="BA101" s="432">
        <f t="shared" si="8"/>
        <v>0.20992377391054221</v>
      </c>
      <c r="BB101" s="427">
        <f t="shared" si="9"/>
        <v>0.1162428356797062</v>
      </c>
      <c r="BC101" s="368"/>
      <c r="BE101" s="981" t="s">
        <v>140</v>
      </c>
      <c r="BF101" s="981" t="s">
        <v>374</v>
      </c>
    </row>
    <row r="102" spans="1:58" ht="12.75" customHeight="1" x14ac:dyDescent="0.2">
      <c r="A102" s="365" t="s">
        <v>374</v>
      </c>
      <c r="B102" s="366">
        <v>42767</v>
      </c>
      <c r="C102" s="423">
        <f t="shared" si="6"/>
        <v>196397</v>
      </c>
      <c r="D102" s="424">
        <v>132626</v>
      </c>
      <c r="E102" s="425">
        <v>63771</v>
      </c>
      <c r="F102" s="368"/>
      <c r="G102" s="423">
        <f t="shared" si="3"/>
        <v>205.5</v>
      </c>
      <c r="H102" s="430">
        <v>139</v>
      </c>
      <c r="I102" s="428">
        <v>66.5</v>
      </c>
      <c r="J102" s="368"/>
      <c r="K102" s="426">
        <v>195091</v>
      </c>
      <c r="L102" s="425">
        <v>14256</v>
      </c>
      <c r="M102" s="368"/>
      <c r="N102" s="426">
        <v>46299.387499999997</v>
      </c>
      <c r="O102" s="425">
        <v>86325.612500000003</v>
      </c>
      <c r="P102" s="368"/>
      <c r="Q102" s="426">
        <v>709805</v>
      </c>
      <c r="R102" s="428">
        <v>5.3519698397737985</v>
      </c>
      <c r="S102" s="368"/>
      <c r="T102" s="426">
        <v>23216</v>
      </c>
      <c r="U102" s="424">
        <v>17243</v>
      </c>
      <c r="V102" s="424">
        <v>24723</v>
      </c>
      <c r="W102" s="424">
        <v>11140</v>
      </c>
      <c r="X102" s="424">
        <v>14192</v>
      </c>
      <c r="Y102" s="424">
        <v>11110</v>
      </c>
      <c r="Z102" s="424">
        <v>9387</v>
      </c>
      <c r="AA102" s="424" t="s">
        <v>47</v>
      </c>
      <c r="AB102" s="425">
        <v>21614</v>
      </c>
      <c r="AC102" s="368"/>
      <c r="AD102" s="366">
        <f t="shared" si="23"/>
        <v>42767</v>
      </c>
      <c r="AE102" s="686">
        <f t="shared" si="10"/>
        <v>0.17504995287464656</v>
      </c>
      <c r="AF102" s="429">
        <f t="shared" si="11"/>
        <v>0.13001319509896325</v>
      </c>
      <c r="AG102" s="429">
        <f t="shared" si="12"/>
        <v>0.18641281809613572</v>
      </c>
      <c r="AH102" s="429">
        <f t="shared" si="13"/>
        <v>8.399622997172479E-2</v>
      </c>
      <c r="AI102" s="429">
        <f t="shared" si="14"/>
        <v>0.10700848256361922</v>
      </c>
      <c r="AJ102" s="429">
        <f t="shared" si="15"/>
        <v>8.3770028275212058E-2</v>
      </c>
      <c r="AK102" s="429">
        <f t="shared" si="16"/>
        <v>7.0778510838831285E-2</v>
      </c>
      <c r="AL102" s="429" t="s">
        <v>47</v>
      </c>
      <c r="AM102" s="431">
        <f t="shared" si="17"/>
        <v>0.16297078228086712</v>
      </c>
      <c r="AN102" s="368"/>
      <c r="AO102" s="700">
        <v>6326.2124999999996</v>
      </c>
      <c r="AP102" s="705">
        <v>20318.150000000001</v>
      </c>
      <c r="AQ102" s="705">
        <v>13050.3</v>
      </c>
      <c r="AR102" s="705">
        <v>69336.350000000006</v>
      </c>
      <c r="AS102" s="701">
        <v>23607.25</v>
      </c>
      <c r="AT102" s="368"/>
      <c r="AU102" s="432">
        <f t="shared" si="18"/>
        <v>4.7695230476952295E-2</v>
      </c>
      <c r="AV102" s="667">
        <f t="shared" si="19"/>
        <v>0.15318468153184681</v>
      </c>
      <c r="AW102" s="667">
        <f t="shared" si="20"/>
        <v>9.8390160983901589E-2</v>
      </c>
      <c r="AX102" s="667">
        <f t="shared" si="21"/>
        <v>0.52274772522747726</v>
      </c>
      <c r="AY102" s="427">
        <f t="shared" si="22"/>
        <v>0.17798220177982199</v>
      </c>
      <c r="AZ102" s="368"/>
      <c r="BA102" s="432">
        <f t="shared" si="8"/>
        <v>0.32687822605860856</v>
      </c>
      <c r="BB102" s="427">
        <f t="shared" si="9"/>
        <v>0.10749023570039057</v>
      </c>
      <c r="BC102" s="368"/>
      <c r="BE102" s="981" t="s">
        <v>140</v>
      </c>
      <c r="BF102" s="981" t="s">
        <v>374</v>
      </c>
    </row>
    <row r="103" spans="1:58" ht="12.75" customHeight="1" x14ac:dyDescent="0.2">
      <c r="A103" s="365" t="s">
        <v>374</v>
      </c>
      <c r="B103" s="366">
        <v>42795</v>
      </c>
      <c r="C103" s="423">
        <f t="shared" si="6"/>
        <v>249430</v>
      </c>
      <c r="D103" s="424">
        <v>184188</v>
      </c>
      <c r="E103" s="425">
        <v>65242</v>
      </c>
      <c r="F103" s="368"/>
      <c r="G103" s="423">
        <f t="shared" si="3"/>
        <v>220</v>
      </c>
      <c r="H103" s="430">
        <v>139.6</v>
      </c>
      <c r="I103" s="428">
        <v>80.400000000000006</v>
      </c>
      <c r="J103" s="368"/>
      <c r="K103" s="426">
        <v>228930</v>
      </c>
      <c r="L103" s="425">
        <v>20718</v>
      </c>
      <c r="M103" s="368"/>
      <c r="N103" s="426">
        <v>70359.816000000006</v>
      </c>
      <c r="O103" s="425">
        <v>113828.18399999999</v>
      </c>
      <c r="P103" s="368"/>
      <c r="Q103" s="426">
        <v>891554</v>
      </c>
      <c r="R103" s="428">
        <v>4.8404564901079334</v>
      </c>
      <c r="S103" s="368"/>
      <c r="T103" s="426">
        <v>31011</v>
      </c>
      <c r="U103" s="424">
        <v>23453</v>
      </c>
      <c r="V103" s="424">
        <v>31377</v>
      </c>
      <c r="W103" s="424">
        <v>16674</v>
      </c>
      <c r="X103" s="424">
        <v>21760</v>
      </c>
      <c r="Y103" s="424">
        <v>17213</v>
      </c>
      <c r="Z103" s="424">
        <v>11990</v>
      </c>
      <c r="AA103" s="424" t="s">
        <v>47</v>
      </c>
      <c r="AB103" s="425">
        <v>30710</v>
      </c>
      <c r="AC103" s="368"/>
      <c r="AD103" s="366">
        <f t="shared" si="23"/>
        <v>42795</v>
      </c>
      <c r="AE103" s="686">
        <f t="shared" si="10"/>
        <v>0.16836601733011922</v>
      </c>
      <c r="AF103" s="429">
        <f t="shared" si="11"/>
        <v>0.1273318565813191</v>
      </c>
      <c r="AG103" s="429">
        <f t="shared" si="12"/>
        <v>0.17035311746693596</v>
      </c>
      <c r="AH103" s="429">
        <f t="shared" si="13"/>
        <v>9.052707016743762E-2</v>
      </c>
      <c r="AI103" s="429">
        <f t="shared" si="14"/>
        <v>0.11814016113970509</v>
      </c>
      <c r="AJ103" s="429">
        <f t="shared" si="15"/>
        <v>9.3453428019197773E-2</v>
      </c>
      <c r="AK103" s="429">
        <f t="shared" si="16"/>
        <v>6.5096531804460664E-2</v>
      </c>
      <c r="AL103" s="429" t="s">
        <v>47</v>
      </c>
      <c r="AM103" s="431">
        <f t="shared" si="17"/>
        <v>0.16673181749082458</v>
      </c>
      <c r="AN103" s="368"/>
      <c r="AO103" s="700">
        <v>8712.0923999999995</v>
      </c>
      <c r="AP103" s="705">
        <v>27665.0376</v>
      </c>
      <c r="AQ103" s="705">
        <v>17424.184799999999</v>
      </c>
      <c r="AR103" s="705">
        <v>97859.084399999992</v>
      </c>
      <c r="AS103" s="701">
        <v>32527.6008</v>
      </c>
      <c r="AT103" s="368"/>
      <c r="AU103" s="432">
        <f t="shared" si="18"/>
        <v>4.7299999999999995E-2</v>
      </c>
      <c r="AV103" s="667">
        <f t="shared" si="19"/>
        <v>0.1502</v>
      </c>
      <c r="AW103" s="667">
        <f t="shared" si="20"/>
        <v>9.459999999999999E-2</v>
      </c>
      <c r="AX103" s="667">
        <f t="shared" si="21"/>
        <v>0.53129999999999999</v>
      </c>
      <c r="AY103" s="427">
        <f t="shared" si="22"/>
        <v>0.17660000000000001</v>
      </c>
      <c r="AZ103" s="368"/>
      <c r="BA103" s="432">
        <f t="shared" si="8"/>
        <v>0.28498667715022058</v>
      </c>
      <c r="BB103" s="427">
        <f t="shared" si="9"/>
        <v>0.11248289790865855</v>
      </c>
      <c r="BC103" s="368"/>
      <c r="BE103" s="981" t="s">
        <v>140</v>
      </c>
      <c r="BF103" s="981" t="s">
        <v>374</v>
      </c>
    </row>
    <row r="104" spans="1:58" ht="12.75" customHeight="1" x14ac:dyDescent="0.2">
      <c r="A104" s="365" t="s">
        <v>375</v>
      </c>
      <c r="B104" s="366">
        <v>42826</v>
      </c>
      <c r="C104" s="423">
        <f t="shared" si="6"/>
        <v>210306</v>
      </c>
      <c r="D104" s="424">
        <v>152638</v>
      </c>
      <c r="E104" s="425">
        <v>57668</v>
      </c>
      <c r="F104" s="368"/>
      <c r="G104" s="423">
        <f t="shared" si="3"/>
        <v>216.4</v>
      </c>
      <c r="H104" s="430">
        <v>135.80000000000001</v>
      </c>
      <c r="I104" s="428">
        <v>80.599999999999994</v>
      </c>
      <c r="J104" s="368"/>
      <c r="K104" s="426">
        <v>184162</v>
      </c>
      <c r="L104" s="425">
        <v>17402</v>
      </c>
      <c r="M104" s="368"/>
      <c r="N104" s="426">
        <v>59360.9182</v>
      </c>
      <c r="O104" s="425">
        <v>93277.0818</v>
      </c>
      <c r="P104" s="368"/>
      <c r="Q104" s="426">
        <v>765602</v>
      </c>
      <c r="R104" s="428">
        <v>5.0158020938429484</v>
      </c>
      <c r="S104" s="368"/>
      <c r="T104" s="426">
        <v>26707</v>
      </c>
      <c r="U104" s="424">
        <v>18800</v>
      </c>
      <c r="V104" s="424">
        <v>25355</v>
      </c>
      <c r="W104" s="424">
        <v>14541</v>
      </c>
      <c r="X104" s="424">
        <v>16136</v>
      </c>
      <c r="Y104" s="424">
        <v>13608</v>
      </c>
      <c r="Z104" s="424">
        <v>10833</v>
      </c>
      <c r="AA104" s="424" t="s">
        <v>47</v>
      </c>
      <c r="AB104" s="425">
        <v>26658</v>
      </c>
      <c r="AC104" s="368"/>
      <c r="AD104" s="366">
        <f t="shared" si="23"/>
        <v>42826</v>
      </c>
      <c r="AE104" s="686">
        <f t="shared" si="10"/>
        <v>0.1749695357643575</v>
      </c>
      <c r="AF104" s="429">
        <f t="shared" si="11"/>
        <v>0.12316723227505602</v>
      </c>
      <c r="AG104" s="429">
        <f t="shared" si="12"/>
        <v>0.16611197735819389</v>
      </c>
      <c r="AH104" s="429">
        <f t="shared" si="13"/>
        <v>9.5264613005935611E-2</v>
      </c>
      <c r="AI104" s="429">
        <f t="shared" si="14"/>
        <v>0.10571417340373956</v>
      </c>
      <c r="AJ104" s="429">
        <f t="shared" si="15"/>
        <v>8.9152111531859687E-2</v>
      </c>
      <c r="AK104" s="429">
        <f t="shared" si="16"/>
        <v>7.0971841874238398E-2</v>
      </c>
      <c r="AL104" s="429" t="s">
        <v>47</v>
      </c>
      <c r="AM104" s="431">
        <f t="shared" si="17"/>
        <v>0.17464851478661933</v>
      </c>
      <c r="AN104" s="368"/>
      <c r="AO104" s="700">
        <v>7051.8755999999994</v>
      </c>
      <c r="AP104" s="705">
        <v>23552.043399999999</v>
      </c>
      <c r="AQ104" s="705">
        <v>13676.364799999999</v>
      </c>
      <c r="AR104" s="705">
        <v>82119.244000000006</v>
      </c>
      <c r="AS104" s="701">
        <v>26238.4722</v>
      </c>
      <c r="AT104" s="368"/>
      <c r="AU104" s="432">
        <f t="shared" si="18"/>
        <v>4.6199999999999998E-2</v>
      </c>
      <c r="AV104" s="667">
        <f t="shared" si="19"/>
        <v>0.15429999999999999</v>
      </c>
      <c r="AW104" s="667">
        <f t="shared" si="20"/>
        <v>8.9599999999999999E-2</v>
      </c>
      <c r="AX104" s="667">
        <f t="shared" si="21"/>
        <v>0.53800000000000003</v>
      </c>
      <c r="AY104" s="427">
        <f t="shared" si="22"/>
        <v>0.1719</v>
      </c>
      <c r="AZ104" s="368"/>
      <c r="BA104" s="432">
        <f t="shared" si="8"/>
        <v>0.31313734646669777</v>
      </c>
      <c r="BB104" s="427">
        <f t="shared" si="9"/>
        <v>0.11400830723673004</v>
      </c>
      <c r="BC104" s="368"/>
      <c r="BE104" s="981" t="s">
        <v>143</v>
      </c>
      <c r="BF104" s="981" t="s">
        <v>375</v>
      </c>
    </row>
    <row r="105" spans="1:58" ht="12.75" customHeight="1" x14ac:dyDescent="0.2">
      <c r="A105" s="365" t="s">
        <v>375</v>
      </c>
      <c r="B105" s="366">
        <v>42856</v>
      </c>
      <c r="C105" s="423">
        <f t="shared" si="6"/>
        <v>259822</v>
      </c>
      <c r="D105" s="424">
        <v>190390</v>
      </c>
      <c r="E105" s="425">
        <v>69432</v>
      </c>
      <c r="F105" s="368"/>
      <c r="G105" s="423">
        <f t="shared" si="3"/>
        <v>229.2</v>
      </c>
      <c r="H105" s="430">
        <v>144.1</v>
      </c>
      <c r="I105" s="428">
        <v>85.1</v>
      </c>
      <c r="J105" s="368"/>
      <c r="K105" s="426">
        <v>243690</v>
      </c>
      <c r="L105" s="425">
        <v>20965</v>
      </c>
      <c r="M105" s="368"/>
      <c r="N105" s="426">
        <v>80249.384999999995</v>
      </c>
      <c r="O105" s="425">
        <v>110140.61500000001</v>
      </c>
      <c r="P105" s="368"/>
      <c r="Q105" s="426">
        <v>957579</v>
      </c>
      <c r="R105" s="428">
        <v>5.0295656284468722</v>
      </c>
      <c r="S105" s="368"/>
      <c r="T105" s="426">
        <v>33642</v>
      </c>
      <c r="U105" s="424">
        <v>24390</v>
      </c>
      <c r="V105" s="424">
        <v>33396</v>
      </c>
      <c r="W105" s="424">
        <v>16622</v>
      </c>
      <c r="X105" s="424">
        <v>20456</v>
      </c>
      <c r="Y105" s="424">
        <v>15788</v>
      </c>
      <c r="Z105" s="424">
        <v>12541</v>
      </c>
      <c r="AA105" s="424" t="s">
        <v>47</v>
      </c>
      <c r="AB105" s="425">
        <v>33555</v>
      </c>
      <c r="AC105" s="368"/>
      <c r="AD105" s="366">
        <f t="shared" si="23"/>
        <v>42856</v>
      </c>
      <c r="AE105" s="686">
        <f t="shared" si="10"/>
        <v>0.17670045695677294</v>
      </c>
      <c r="AF105" s="429">
        <f t="shared" si="11"/>
        <v>0.12810546772414519</v>
      </c>
      <c r="AG105" s="429">
        <f t="shared" si="12"/>
        <v>0.17540837228846054</v>
      </c>
      <c r="AH105" s="429">
        <f t="shared" si="13"/>
        <v>8.7305005514995537E-2</v>
      </c>
      <c r="AI105" s="429">
        <f t="shared" si="14"/>
        <v>0.10744261778454751</v>
      </c>
      <c r="AJ105" s="429">
        <f t="shared" si="15"/>
        <v>8.2924523346814438E-2</v>
      </c>
      <c r="AK105" s="429">
        <f t="shared" si="16"/>
        <v>6.5870056200430696E-2</v>
      </c>
      <c r="AL105" s="429" t="s">
        <v>47</v>
      </c>
      <c r="AM105" s="431">
        <f t="shared" si="17"/>
        <v>0.1762435001838332</v>
      </c>
      <c r="AN105" s="368"/>
      <c r="AO105" s="700">
        <v>8776.9790000000012</v>
      </c>
      <c r="AP105" s="705">
        <v>28748.89</v>
      </c>
      <c r="AQ105" s="705">
        <v>17211.255999999998</v>
      </c>
      <c r="AR105" s="705">
        <v>103039.068</v>
      </c>
      <c r="AS105" s="701">
        <v>32594.768</v>
      </c>
      <c r="AT105" s="368"/>
      <c r="AU105" s="432">
        <f t="shared" si="18"/>
        <v>4.6104610461046108E-2</v>
      </c>
      <c r="AV105" s="667">
        <f t="shared" si="19"/>
        <v>0.15101510151015102</v>
      </c>
      <c r="AW105" s="667">
        <f t="shared" si="20"/>
        <v>9.0409040904090396E-2</v>
      </c>
      <c r="AX105" s="667">
        <f t="shared" si="21"/>
        <v>0.54125412541254125</v>
      </c>
      <c r="AY105" s="427">
        <f t="shared" si="22"/>
        <v>0.17121712171217121</v>
      </c>
      <c r="AZ105" s="368"/>
      <c r="BA105" s="432">
        <f t="shared" si="8"/>
        <v>0.28491936476671181</v>
      </c>
      <c r="BB105" s="427">
        <f t="shared" si="9"/>
        <v>0.1101160775250801</v>
      </c>
      <c r="BC105" s="368"/>
      <c r="BE105" s="981" t="s">
        <v>143</v>
      </c>
      <c r="BF105" s="981" t="s">
        <v>375</v>
      </c>
    </row>
    <row r="106" spans="1:58" ht="12.75" customHeight="1" x14ac:dyDescent="0.2">
      <c r="A106" s="365" t="s">
        <v>375</v>
      </c>
      <c r="B106" s="366">
        <v>42887</v>
      </c>
      <c r="C106" s="423">
        <f t="shared" si="6"/>
        <v>253009</v>
      </c>
      <c r="D106" s="424">
        <v>189483</v>
      </c>
      <c r="E106" s="425">
        <v>63526</v>
      </c>
      <c r="F106" s="368"/>
      <c r="G106" s="423">
        <f t="shared" si="3"/>
        <v>220.1</v>
      </c>
      <c r="H106" s="430">
        <v>146.69999999999999</v>
      </c>
      <c r="I106" s="428">
        <v>73.400000000000006</v>
      </c>
      <c r="J106" s="368"/>
      <c r="K106" s="426">
        <v>205805</v>
      </c>
      <c r="L106" s="425">
        <v>20402</v>
      </c>
      <c r="M106" s="368"/>
      <c r="N106" s="426">
        <v>81003.982499999998</v>
      </c>
      <c r="O106" s="425">
        <v>108479.0175</v>
      </c>
      <c r="P106" s="368"/>
      <c r="Q106" s="426">
        <v>918741</v>
      </c>
      <c r="R106" s="428">
        <v>4.8486724402716863</v>
      </c>
      <c r="S106" s="368"/>
      <c r="T106" s="426">
        <v>33608</v>
      </c>
      <c r="U106" s="424">
        <v>22915</v>
      </c>
      <c r="V106" s="424">
        <v>34942</v>
      </c>
      <c r="W106" s="424">
        <v>16122</v>
      </c>
      <c r="X106" s="424">
        <v>20576</v>
      </c>
      <c r="Y106" s="424">
        <v>16025</v>
      </c>
      <c r="Z106" s="424">
        <v>11522</v>
      </c>
      <c r="AA106" s="424" t="s">
        <v>47</v>
      </c>
      <c r="AB106" s="425">
        <v>33773</v>
      </c>
      <c r="AC106" s="368"/>
      <c r="AD106" s="366">
        <f t="shared" si="23"/>
        <v>42887</v>
      </c>
      <c r="AE106" s="686">
        <f t="shared" si="10"/>
        <v>0.17736683501950043</v>
      </c>
      <c r="AF106" s="429">
        <f t="shared" si="11"/>
        <v>0.12093433183979566</v>
      </c>
      <c r="AG106" s="429">
        <f t="shared" si="12"/>
        <v>0.18440704443142655</v>
      </c>
      <c r="AH106" s="429">
        <f t="shared" si="13"/>
        <v>8.508415002929022E-2</v>
      </c>
      <c r="AI106" s="429">
        <f t="shared" si="14"/>
        <v>0.10859021653657584</v>
      </c>
      <c r="AJ106" s="429">
        <f t="shared" si="15"/>
        <v>8.4572230754210137E-2</v>
      </c>
      <c r="AK106" s="429">
        <f t="shared" si="16"/>
        <v>6.0807565850234585E-2</v>
      </c>
      <c r="AL106" s="429" t="s">
        <v>47</v>
      </c>
      <c r="AM106" s="431">
        <f t="shared" si="17"/>
        <v>0.17823762553896655</v>
      </c>
      <c r="AN106" s="368"/>
      <c r="AO106" s="700">
        <v>8792.011199999999</v>
      </c>
      <c r="AP106" s="705">
        <v>27285.552</v>
      </c>
      <c r="AQ106" s="705">
        <v>17034.521699999998</v>
      </c>
      <c r="AR106" s="705">
        <v>105182.01330000001</v>
      </c>
      <c r="AS106" s="701">
        <v>31169.9535</v>
      </c>
      <c r="AT106" s="368"/>
      <c r="AU106" s="432">
        <f t="shared" si="18"/>
        <v>4.6404640464046396E-2</v>
      </c>
      <c r="AV106" s="667">
        <f t="shared" si="19"/>
        <v>0.14401440144014399</v>
      </c>
      <c r="AW106" s="667">
        <f t="shared" si="20"/>
        <v>8.9908990899089894E-2</v>
      </c>
      <c r="AX106" s="667">
        <f t="shared" si="21"/>
        <v>0.55515551555155518</v>
      </c>
      <c r="AY106" s="427">
        <f t="shared" si="22"/>
        <v>0.16451645164516451</v>
      </c>
      <c r="AZ106" s="368"/>
      <c r="BA106" s="432">
        <f t="shared" si="8"/>
        <v>0.30867082918296446</v>
      </c>
      <c r="BB106" s="427">
        <f t="shared" si="9"/>
        <v>0.10767192835241156</v>
      </c>
      <c r="BC106" s="368"/>
      <c r="BE106" s="981" t="s">
        <v>143</v>
      </c>
      <c r="BF106" s="981" t="s">
        <v>375</v>
      </c>
    </row>
    <row r="107" spans="1:58" ht="12.75" customHeight="1" x14ac:dyDescent="0.2">
      <c r="A107" s="365" t="s">
        <v>376</v>
      </c>
      <c r="B107" s="366">
        <v>42917</v>
      </c>
      <c r="C107" s="423">
        <f>+D107+E107</f>
        <v>241000</v>
      </c>
      <c r="D107" s="424">
        <v>179038</v>
      </c>
      <c r="E107" s="425">
        <v>61962</v>
      </c>
      <c r="F107" s="368"/>
      <c r="G107" s="423">
        <f>+H107+I107</f>
        <v>217.7</v>
      </c>
      <c r="H107" s="430">
        <v>139.4</v>
      </c>
      <c r="I107" s="428">
        <v>78.3</v>
      </c>
      <c r="J107" s="368"/>
      <c r="K107" s="426">
        <v>216462</v>
      </c>
      <c r="L107" s="425">
        <v>20634</v>
      </c>
      <c r="M107" s="368"/>
      <c r="N107" s="426">
        <v>70666.298599999995</v>
      </c>
      <c r="O107" s="425">
        <v>108371.70140000001</v>
      </c>
      <c r="P107" s="368"/>
      <c r="Q107" s="426">
        <v>947211</v>
      </c>
      <c r="R107" s="428">
        <v>5.2905584289368734</v>
      </c>
      <c r="S107" s="368"/>
      <c r="T107" s="426">
        <v>33496</v>
      </c>
      <c r="U107" s="424">
        <v>22753</v>
      </c>
      <c r="V107" s="424">
        <v>32148</v>
      </c>
      <c r="W107" s="424">
        <v>16822</v>
      </c>
      <c r="X107" s="424">
        <v>17470</v>
      </c>
      <c r="Y107" s="424">
        <v>15217</v>
      </c>
      <c r="Z107" s="424">
        <v>9915</v>
      </c>
      <c r="AA107" s="424" t="s">
        <v>47</v>
      </c>
      <c r="AB107" s="425">
        <v>31217</v>
      </c>
      <c r="AC107" s="368"/>
      <c r="AD107" s="366">
        <f t="shared" si="23"/>
        <v>42917</v>
      </c>
      <c r="AE107" s="686">
        <f t="shared" si="10"/>
        <v>0.18708877445011673</v>
      </c>
      <c r="AF107" s="429">
        <f t="shared" si="11"/>
        <v>0.12708475295747271</v>
      </c>
      <c r="AG107" s="429">
        <f t="shared" si="12"/>
        <v>0.17955964655547985</v>
      </c>
      <c r="AH107" s="429">
        <f t="shared" si="13"/>
        <v>9.3957707302360388E-2</v>
      </c>
      <c r="AI107" s="429">
        <f t="shared" si="14"/>
        <v>9.7577050681978125E-2</v>
      </c>
      <c r="AJ107" s="429">
        <f t="shared" si="15"/>
        <v>8.4993129950066471E-2</v>
      </c>
      <c r="AK107" s="429">
        <f t="shared" si="16"/>
        <v>5.5379304952021362E-2</v>
      </c>
      <c r="AL107" s="429" t="s">
        <v>47</v>
      </c>
      <c r="AM107" s="431">
        <f t="shared" si="17"/>
        <v>0.17435963315050437</v>
      </c>
      <c r="AN107" s="368"/>
      <c r="AO107" s="700">
        <v>8361.0745999999999</v>
      </c>
      <c r="AP107" s="705">
        <v>28019.447</v>
      </c>
      <c r="AQ107" s="705">
        <v>16077.6124</v>
      </c>
      <c r="AR107" s="705">
        <v>95606.292000000001</v>
      </c>
      <c r="AS107" s="701">
        <v>30991.477800000001</v>
      </c>
      <c r="AT107" s="368"/>
      <c r="AU107" s="432">
        <f t="shared" si="18"/>
        <v>4.6695330466953303E-2</v>
      </c>
      <c r="AV107" s="667">
        <f t="shared" si="19"/>
        <v>0.15648435156484353</v>
      </c>
      <c r="AW107" s="667">
        <f t="shared" si="20"/>
        <v>8.9791020897910204E-2</v>
      </c>
      <c r="AX107" s="667">
        <f t="shared" si="21"/>
        <v>0.53394660533946603</v>
      </c>
      <c r="AY107" s="427">
        <f t="shared" si="22"/>
        <v>0.17308269173082691</v>
      </c>
      <c r="AZ107" s="368"/>
      <c r="BA107" s="432">
        <f t="shared" si="8"/>
        <v>0.28624885661224603</v>
      </c>
      <c r="BB107" s="427">
        <f t="shared" si="9"/>
        <v>0.11524927668986472</v>
      </c>
      <c r="BC107" s="368"/>
      <c r="BE107" s="981" t="s">
        <v>145</v>
      </c>
      <c r="BF107" s="981" t="s">
        <v>376</v>
      </c>
    </row>
    <row r="108" spans="1:58" ht="12.75" customHeight="1" x14ac:dyDescent="0.2">
      <c r="A108" s="365" t="s">
        <v>376</v>
      </c>
      <c r="B108" s="366">
        <v>42948</v>
      </c>
      <c r="C108" s="423">
        <f>+D108+E108</f>
        <v>273437</v>
      </c>
      <c r="D108" s="424">
        <v>210142</v>
      </c>
      <c r="E108" s="425">
        <v>63295</v>
      </c>
      <c r="F108" s="368"/>
      <c r="G108" s="423">
        <f>+H108+I108</f>
        <v>220.5</v>
      </c>
      <c r="H108" s="430">
        <v>148.1</v>
      </c>
      <c r="I108" s="428">
        <v>72.400000000000006</v>
      </c>
      <c r="J108" s="368"/>
      <c r="K108" s="426">
        <v>255809</v>
      </c>
      <c r="L108" s="425">
        <v>23302</v>
      </c>
      <c r="M108" s="368"/>
      <c r="N108" s="426">
        <v>86116.191599999991</v>
      </c>
      <c r="O108" s="425">
        <v>124025.80840000001</v>
      </c>
      <c r="P108" s="368"/>
      <c r="Q108" s="426">
        <v>1029273</v>
      </c>
      <c r="R108" s="428">
        <v>4.8979880271435503</v>
      </c>
      <c r="S108" s="368"/>
      <c r="T108" s="426">
        <v>38293</v>
      </c>
      <c r="U108" s="424">
        <v>26242</v>
      </c>
      <c r="V108" s="424">
        <v>38160</v>
      </c>
      <c r="W108" s="424">
        <v>18506</v>
      </c>
      <c r="X108" s="424">
        <v>23319</v>
      </c>
      <c r="Y108" s="424">
        <v>18156</v>
      </c>
      <c r="Z108" s="424">
        <v>11894</v>
      </c>
      <c r="AA108" s="424" t="s">
        <v>47</v>
      </c>
      <c r="AB108" s="425">
        <v>35572</v>
      </c>
      <c r="AC108" s="368"/>
      <c r="AD108" s="366">
        <f t="shared" si="23"/>
        <v>42948</v>
      </c>
      <c r="AE108" s="686">
        <f t="shared" si="10"/>
        <v>0.18222440064337447</v>
      </c>
      <c r="AF108" s="429">
        <f t="shared" si="11"/>
        <v>0.1248774638101855</v>
      </c>
      <c r="AG108" s="429">
        <f t="shared" si="12"/>
        <v>0.18159149527462382</v>
      </c>
      <c r="AH108" s="429">
        <f t="shared" si="13"/>
        <v>8.806426130901962E-2</v>
      </c>
      <c r="AI108" s="429">
        <f t="shared" si="14"/>
        <v>0.11096782175862036</v>
      </c>
      <c r="AJ108" s="429">
        <f t="shared" si="15"/>
        <v>8.6398720864938952E-2</v>
      </c>
      <c r="AK108" s="429">
        <f t="shared" si="16"/>
        <v>5.6599822976844232E-2</v>
      </c>
      <c r="AL108" s="429" t="s">
        <v>47</v>
      </c>
      <c r="AM108" s="431">
        <f t="shared" si="17"/>
        <v>0.16927601336239304</v>
      </c>
      <c r="AN108" s="368"/>
      <c r="AO108" s="700">
        <v>9918.7024000000001</v>
      </c>
      <c r="AP108" s="705">
        <v>31752.456199999997</v>
      </c>
      <c r="AQ108" s="705">
        <v>18555.5386</v>
      </c>
      <c r="AR108" s="705">
        <v>115220.85860000001</v>
      </c>
      <c r="AS108" s="701">
        <v>34673.43</v>
      </c>
      <c r="AT108" s="368"/>
      <c r="AU108" s="432">
        <f t="shared" si="18"/>
        <v>4.7204720472047206E-2</v>
      </c>
      <c r="AV108" s="667">
        <f t="shared" si="19"/>
        <v>0.15111511151115112</v>
      </c>
      <c r="AW108" s="667">
        <f t="shared" si="20"/>
        <v>8.8308830883088316E-2</v>
      </c>
      <c r="AX108" s="667">
        <f t="shared" si="21"/>
        <v>0.54835483548354835</v>
      </c>
      <c r="AY108" s="427">
        <f t="shared" si="22"/>
        <v>0.16501650165016502</v>
      </c>
      <c r="AZ108" s="368"/>
      <c r="BA108" s="432">
        <f t="shared" si="8"/>
        <v>0.24743070024901392</v>
      </c>
      <c r="BB108" s="427">
        <f t="shared" si="9"/>
        <v>0.11088692407990787</v>
      </c>
      <c r="BC108" s="368"/>
      <c r="BE108" s="981" t="s">
        <v>145</v>
      </c>
      <c r="BF108" s="981" t="s">
        <v>376</v>
      </c>
    </row>
    <row r="109" spans="1:58" ht="12.75" customHeight="1" x14ac:dyDescent="0.2">
      <c r="A109" s="365" t="s">
        <v>376</v>
      </c>
      <c r="B109" s="366">
        <v>42979</v>
      </c>
      <c r="C109" s="423">
        <f>+D109+E109</f>
        <v>250456</v>
      </c>
      <c r="D109" s="424">
        <v>193806</v>
      </c>
      <c r="E109" s="425">
        <v>56650</v>
      </c>
      <c r="F109" s="368"/>
      <c r="G109" s="423">
        <f>+H109+I109</f>
        <v>224.10000000000002</v>
      </c>
      <c r="H109" s="430">
        <v>151.80000000000001</v>
      </c>
      <c r="I109" s="428">
        <v>72.3</v>
      </c>
      <c r="J109" s="368"/>
      <c r="K109" s="426">
        <v>230477</v>
      </c>
      <c r="L109" s="425">
        <v>20172</v>
      </c>
      <c r="M109" s="368"/>
      <c r="N109" s="426">
        <v>83104.012799999997</v>
      </c>
      <c r="O109" s="425">
        <v>110701.9872</v>
      </c>
      <c r="P109" s="368"/>
      <c r="Q109" s="426">
        <v>891628</v>
      </c>
      <c r="R109" s="428">
        <v>4.6006212397964976</v>
      </c>
      <c r="S109" s="368"/>
      <c r="T109" s="426">
        <v>35251</v>
      </c>
      <c r="U109" s="424">
        <v>23252</v>
      </c>
      <c r="V109" s="424">
        <v>32455</v>
      </c>
      <c r="W109" s="424">
        <v>15240</v>
      </c>
      <c r="X109" s="424">
        <v>28183</v>
      </c>
      <c r="Y109" s="424">
        <v>15158</v>
      </c>
      <c r="Z109" s="424">
        <v>9673</v>
      </c>
      <c r="AA109" s="424" t="s">
        <v>47</v>
      </c>
      <c r="AB109" s="425">
        <v>34594</v>
      </c>
      <c r="AC109" s="368"/>
      <c r="AD109" s="366">
        <f t="shared" si="23"/>
        <v>42979</v>
      </c>
      <c r="AE109" s="686">
        <f t="shared" si="10"/>
        <v>0.18188807364065096</v>
      </c>
      <c r="AF109" s="429">
        <f t="shared" si="11"/>
        <v>0.11997564574884162</v>
      </c>
      <c r="AG109" s="429">
        <f t="shared" si="12"/>
        <v>0.1674612757086984</v>
      </c>
      <c r="AH109" s="429">
        <f t="shared" si="13"/>
        <v>7.8635336367295125E-2</v>
      </c>
      <c r="AI109" s="429">
        <f t="shared" si="14"/>
        <v>0.14541861449077945</v>
      </c>
      <c r="AJ109" s="429">
        <f t="shared" si="15"/>
        <v>7.8212232851408103E-2</v>
      </c>
      <c r="AK109" s="429">
        <f t="shared" si="16"/>
        <v>4.9910735477745785E-2</v>
      </c>
      <c r="AL109" s="429" t="s">
        <v>47</v>
      </c>
      <c r="AM109" s="431">
        <f t="shared" si="17"/>
        <v>0.17849808571458056</v>
      </c>
      <c r="AN109" s="368"/>
      <c r="AO109" s="700">
        <v>8546.8446000000004</v>
      </c>
      <c r="AP109" s="705">
        <v>28024.347600000001</v>
      </c>
      <c r="AQ109" s="705">
        <v>15698.286</v>
      </c>
      <c r="AR109" s="705">
        <v>109907.38260000001</v>
      </c>
      <c r="AS109" s="701">
        <v>31570.997399999997</v>
      </c>
      <c r="AT109" s="368"/>
      <c r="AU109" s="432">
        <f t="shared" si="18"/>
        <v>4.4113233970191054E-2</v>
      </c>
      <c r="AV109" s="667">
        <f t="shared" si="19"/>
        <v>0.14464339301790535</v>
      </c>
      <c r="AW109" s="667">
        <f t="shared" si="20"/>
        <v>8.1024307292187653E-2</v>
      </c>
      <c r="AX109" s="667">
        <f t="shared" si="21"/>
        <v>0.56727018105431626</v>
      </c>
      <c r="AY109" s="427">
        <f t="shared" si="22"/>
        <v>0.16294888466539958</v>
      </c>
      <c r="AZ109" s="368"/>
      <c r="BA109" s="432">
        <f t="shared" si="8"/>
        <v>0.2457945912173449</v>
      </c>
      <c r="BB109" s="427">
        <f t="shared" si="9"/>
        <v>0.10408346490820718</v>
      </c>
      <c r="BC109" s="368"/>
      <c r="BE109" s="981" t="s">
        <v>145</v>
      </c>
      <c r="BF109" s="981" t="s">
        <v>376</v>
      </c>
    </row>
    <row r="110" spans="1:58" ht="12.75" customHeight="1" x14ac:dyDescent="0.2">
      <c r="A110" s="365" t="s">
        <v>694</v>
      </c>
      <c r="B110" s="366">
        <v>43009</v>
      </c>
      <c r="C110" s="423">
        <v>255217</v>
      </c>
      <c r="D110" s="424">
        <v>196942</v>
      </c>
      <c r="E110" s="425">
        <v>58275</v>
      </c>
      <c r="F110" s="368"/>
      <c r="G110" s="423">
        <v>234.10000000000002</v>
      </c>
      <c r="H110" s="430">
        <v>154.30000000000001</v>
      </c>
      <c r="I110" s="428">
        <v>79.8</v>
      </c>
      <c r="J110" s="368"/>
      <c r="K110" s="426">
        <v>244137</v>
      </c>
      <c r="L110" s="425">
        <v>20801</v>
      </c>
      <c r="M110" s="368"/>
      <c r="N110" s="426">
        <v>83720.044199999989</v>
      </c>
      <c r="O110" s="425">
        <v>113221.95580000001</v>
      </c>
      <c r="P110" s="368"/>
      <c r="Q110" s="426">
        <v>900062</v>
      </c>
      <c r="R110" s="428">
        <v>4.5701881772298441</v>
      </c>
      <c r="S110" s="368"/>
      <c r="T110" s="426">
        <v>36515</v>
      </c>
      <c r="U110" s="424">
        <v>23664</v>
      </c>
      <c r="V110" s="424">
        <v>33717</v>
      </c>
      <c r="W110" s="424">
        <v>16462</v>
      </c>
      <c r="X110" s="424">
        <v>23597</v>
      </c>
      <c r="Y110" s="424">
        <v>16149</v>
      </c>
      <c r="Z110" s="424">
        <v>11921</v>
      </c>
      <c r="AA110" s="424" t="s">
        <v>47</v>
      </c>
      <c r="AB110" s="425">
        <v>34917</v>
      </c>
      <c r="AC110" s="368"/>
      <c r="AD110" s="366">
        <f t="shared" si="23"/>
        <v>43009</v>
      </c>
      <c r="AE110" s="686">
        <f t="shared" si="10"/>
        <v>0.1854099176407267</v>
      </c>
      <c r="AF110" s="429">
        <f t="shared" si="11"/>
        <v>0.12015720364371237</v>
      </c>
      <c r="AG110" s="429">
        <f t="shared" si="12"/>
        <v>0.1712026891165927</v>
      </c>
      <c r="AH110" s="429">
        <f t="shared" si="13"/>
        <v>8.3588061459719101E-2</v>
      </c>
      <c r="AI110" s="429">
        <f t="shared" si="14"/>
        <v>0.1198170019599679</v>
      </c>
      <c r="AJ110" s="429">
        <f t="shared" si="15"/>
        <v>8.1998761056554723E-2</v>
      </c>
      <c r="AK110" s="429">
        <f t="shared" si="16"/>
        <v>6.0530511521158514E-2</v>
      </c>
      <c r="AL110" s="429" t="s">
        <v>47</v>
      </c>
      <c r="AM110" s="431">
        <f t="shared" si="17"/>
        <v>0.17729585360156797</v>
      </c>
      <c r="AN110" s="368"/>
      <c r="AO110" s="700">
        <v>9754.35822181818</v>
      </c>
      <c r="AP110" s="705">
        <v>30208.276906666732</v>
      </c>
      <c r="AQ110" s="705">
        <v>19996.177733333268</v>
      </c>
      <c r="AR110" s="705">
        <v>103300.97271030294</v>
      </c>
      <c r="AS110" s="701">
        <v>34024.654790302935</v>
      </c>
      <c r="AT110" s="368"/>
      <c r="AU110" s="432">
        <f t="shared" si="18"/>
        <v>4.9443119811672952E-2</v>
      </c>
      <c r="AV110" s="667">
        <f t="shared" si="19"/>
        <v>0.15312042273162652</v>
      </c>
      <c r="AW110" s="667">
        <f t="shared" si="20"/>
        <v>0.10135709484538678</v>
      </c>
      <c r="AX110" s="667">
        <f t="shared" si="21"/>
        <v>0.52361439412318822</v>
      </c>
      <c r="AY110" s="427">
        <f t="shared" si="22"/>
        <v>0.17246496848812548</v>
      </c>
      <c r="AZ110" s="368"/>
      <c r="BA110" s="432">
        <f t="shared" si="8"/>
        <v>0.23869794418707529</v>
      </c>
      <c r="BB110" s="427">
        <f t="shared" si="9"/>
        <v>0.10561992870997552</v>
      </c>
      <c r="BC110" s="368"/>
      <c r="BE110" s="981" t="s">
        <v>146</v>
      </c>
      <c r="BF110" s="981" t="s">
        <v>694</v>
      </c>
    </row>
    <row r="111" spans="1:58" ht="12.75" customHeight="1" x14ac:dyDescent="0.2">
      <c r="A111" s="365" t="s">
        <v>694</v>
      </c>
      <c r="B111" s="366">
        <v>43040</v>
      </c>
      <c r="C111" s="423">
        <v>267752</v>
      </c>
      <c r="D111" s="424">
        <v>197647</v>
      </c>
      <c r="E111" s="425">
        <v>70105</v>
      </c>
      <c r="F111" s="368"/>
      <c r="G111" s="423">
        <v>232.2</v>
      </c>
      <c r="H111" s="430">
        <v>154</v>
      </c>
      <c r="I111" s="428">
        <v>78.2</v>
      </c>
      <c r="J111" s="368"/>
      <c r="K111" s="426">
        <v>244242</v>
      </c>
      <c r="L111" s="425">
        <v>21366</v>
      </c>
      <c r="M111" s="368"/>
      <c r="N111" s="426">
        <v>84968.445300000007</v>
      </c>
      <c r="O111" s="425">
        <v>112678.55469999999</v>
      </c>
      <c r="P111" s="368"/>
      <c r="Q111" s="426">
        <v>876111</v>
      </c>
      <c r="R111" s="428">
        <v>4.4327057835433878</v>
      </c>
      <c r="S111" s="368"/>
      <c r="T111" s="426">
        <v>37354</v>
      </c>
      <c r="U111" s="424">
        <v>25589</v>
      </c>
      <c r="V111" s="424">
        <v>32815</v>
      </c>
      <c r="W111" s="424">
        <v>16376</v>
      </c>
      <c r="X111" s="424">
        <v>22359</v>
      </c>
      <c r="Y111" s="424">
        <v>16484</v>
      </c>
      <c r="Z111" s="424">
        <v>11360</v>
      </c>
      <c r="AA111" s="424" t="s">
        <v>47</v>
      </c>
      <c r="AB111" s="425">
        <v>35310</v>
      </c>
      <c r="AC111" s="368"/>
      <c r="AD111" s="366">
        <f t="shared" si="23"/>
        <v>43040</v>
      </c>
      <c r="AE111" s="686">
        <f t="shared" si="10"/>
        <v>0.18899350862902042</v>
      </c>
      <c r="AF111" s="429">
        <f t="shared" si="11"/>
        <v>0.12946819329410514</v>
      </c>
      <c r="AG111" s="429">
        <f t="shared" si="12"/>
        <v>0.16602832322271524</v>
      </c>
      <c r="AH111" s="429">
        <f t="shared" si="13"/>
        <v>8.2854786563924573E-2</v>
      </c>
      <c r="AI111" s="429">
        <f t="shared" si="14"/>
        <v>0.11312592652557336</v>
      </c>
      <c r="AJ111" s="429">
        <f t="shared" si="15"/>
        <v>8.3401215297980738E-2</v>
      </c>
      <c r="AK111" s="429">
        <f t="shared" si="16"/>
        <v>5.747620758220464E-2</v>
      </c>
      <c r="AL111" s="429" t="s">
        <v>47</v>
      </c>
      <c r="AM111" s="431">
        <f t="shared" si="17"/>
        <v>0.17865183888447586</v>
      </c>
      <c r="AN111" s="368"/>
      <c r="AO111" s="700">
        <v>9799.6976181818209</v>
      </c>
      <c r="AP111" s="705">
        <v>30124.038093333271</v>
      </c>
      <c r="AQ111" s="705">
        <v>19900.417606666731</v>
      </c>
      <c r="AR111" s="705">
        <v>103953.81718969703</v>
      </c>
      <c r="AS111" s="701">
        <v>34196.285009697029</v>
      </c>
      <c r="AT111" s="368"/>
      <c r="AU111" s="432">
        <f t="shared" si="18"/>
        <v>4.9499858416246538E-2</v>
      </c>
      <c r="AV111" s="667">
        <f t="shared" si="19"/>
        <v>0.15216139095751718</v>
      </c>
      <c r="AW111" s="667">
        <f t="shared" si="20"/>
        <v>0.1005202295350973</v>
      </c>
      <c r="AX111" s="667">
        <f t="shared" si="21"/>
        <v>0.52508755200480173</v>
      </c>
      <c r="AY111" s="427">
        <f t="shared" si="22"/>
        <v>0.17273096908633723</v>
      </c>
      <c r="AZ111" s="368"/>
      <c r="BA111" s="432">
        <f t="shared" si="8"/>
        <v>0.28703089558716355</v>
      </c>
      <c r="BB111" s="427">
        <f t="shared" si="9"/>
        <v>0.1081018178874458</v>
      </c>
      <c r="BC111" s="368"/>
      <c r="BE111" s="981" t="s">
        <v>146</v>
      </c>
      <c r="BF111" s="981" t="s">
        <v>694</v>
      </c>
    </row>
    <row r="112" spans="1:58" ht="12.75" customHeight="1" x14ac:dyDescent="0.2">
      <c r="A112" s="365" t="s">
        <v>694</v>
      </c>
      <c r="B112" s="366">
        <v>43070</v>
      </c>
      <c r="C112" s="423">
        <v>263510</v>
      </c>
      <c r="D112" s="424">
        <v>205318</v>
      </c>
      <c r="E112" s="425">
        <v>58192</v>
      </c>
      <c r="F112" s="368"/>
      <c r="G112" s="423">
        <v>219.1</v>
      </c>
      <c r="H112" s="430">
        <v>156.69999999999999</v>
      </c>
      <c r="I112" s="428">
        <v>62.4</v>
      </c>
      <c r="J112" s="368"/>
      <c r="K112" s="426">
        <v>210939</v>
      </c>
      <c r="L112" s="425">
        <v>25595</v>
      </c>
      <c r="M112" s="368"/>
      <c r="N112" s="426">
        <v>81346.991599999994</v>
      </c>
      <c r="O112" s="425">
        <v>123971.00840000001</v>
      </c>
      <c r="P112" s="368"/>
      <c r="Q112" s="426">
        <v>1016018</v>
      </c>
      <c r="R112" s="428">
        <v>4.9485091419164418</v>
      </c>
      <c r="S112" s="368"/>
      <c r="T112" s="426">
        <v>37416</v>
      </c>
      <c r="U112" s="424">
        <v>25682</v>
      </c>
      <c r="V112" s="424">
        <v>35136</v>
      </c>
      <c r="W112" s="424">
        <v>19239</v>
      </c>
      <c r="X112" s="424">
        <v>23456</v>
      </c>
      <c r="Y112" s="424">
        <v>17177</v>
      </c>
      <c r="Z112" s="424">
        <v>11321</v>
      </c>
      <c r="AA112" s="424" t="s">
        <v>47</v>
      </c>
      <c r="AB112" s="425">
        <v>35891</v>
      </c>
      <c r="AC112" s="368"/>
      <c r="AD112" s="366">
        <f t="shared" si="23"/>
        <v>43070</v>
      </c>
      <c r="AE112" s="686">
        <f t="shared" si="10"/>
        <v>0.18223438763284272</v>
      </c>
      <c r="AF112" s="429">
        <f t="shared" si="11"/>
        <v>0.12508401601418287</v>
      </c>
      <c r="AG112" s="429">
        <f t="shared" si="12"/>
        <v>0.17112966227997545</v>
      </c>
      <c r="AH112" s="429">
        <f t="shared" si="13"/>
        <v>9.3703425905181228E-2</v>
      </c>
      <c r="AI112" s="429">
        <f t="shared" si="14"/>
        <v>0.11424229731440984</v>
      </c>
      <c r="AJ112" s="429">
        <f t="shared" si="15"/>
        <v>8.3660468151842513E-2</v>
      </c>
      <c r="AK112" s="429">
        <f t="shared" si="16"/>
        <v>5.51388577718466E-2</v>
      </c>
      <c r="AL112" s="429" t="s">
        <v>47</v>
      </c>
      <c r="AM112" s="431">
        <f t="shared" si="17"/>
        <v>0.17480688492971877</v>
      </c>
      <c r="AN112" s="368"/>
      <c r="AO112" s="700">
        <v>10190.865603636374</v>
      </c>
      <c r="AP112" s="705">
        <v>31093.357919999999</v>
      </c>
      <c r="AQ112" s="705">
        <v>20498.949120000001</v>
      </c>
      <c r="AR112" s="705">
        <v>108282.47336727275</v>
      </c>
      <c r="AS112" s="701">
        <v>35575.26320727275</v>
      </c>
      <c r="AT112" s="368"/>
      <c r="AU112" s="432">
        <f t="shared" si="18"/>
        <v>4.9556606428072254E-2</v>
      </c>
      <c r="AV112" s="667">
        <f t="shared" si="19"/>
        <v>0.15120220017608665</v>
      </c>
      <c r="AW112" s="667">
        <f t="shared" si="20"/>
        <v>9.9683225472665699E-2</v>
      </c>
      <c r="AX112" s="667">
        <f t="shared" si="21"/>
        <v>0.52656095413576831</v>
      </c>
      <c r="AY112" s="427">
        <f t="shared" si="22"/>
        <v>0.17299701378740714</v>
      </c>
      <c r="AZ112" s="368"/>
      <c r="BA112" s="432">
        <f t="shared" si="8"/>
        <v>0.27587122343426301</v>
      </c>
      <c r="BB112" s="427">
        <f t="shared" si="9"/>
        <v>0.12466028307308663</v>
      </c>
      <c r="BC112" s="368"/>
      <c r="BE112" s="981" t="s">
        <v>146</v>
      </c>
      <c r="BF112" s="981" t="s">
        <v>694</v>
      </c>
    </row>
    <row r="113" spans="1:58" ht="12.75" customHeight="1" outlineLevel="1" x14ac:dyDescent="0.2">
      <c r="A113" s="365" t="s">
        <v>758</v>
      </c>
      <c r="B113" s="366">
        <v>43101</v>
      </c>
      <c r="C113" s="616">
        <v>219813</v>
      </c>
      <c r="D113" s="615">
        <v>175857</v>
      </c>
      <c r="E113" s="614">
        <v>43956</v>
      </c>
      <c r="G113" s="616">
        <v>228.7</v>
      </c>
      <c r="H113" s="675">
        <v>151.4</v>
      </c>
      <c r="I113" s="676">
        <v>77.3</v>
      </c>
      <c r="K113" s="613">
        <v>210565</v>
      </c>
      <c r="L113" s="614">
        <v>20875</v>
      </c>
      <c r="N113" s="613">
        <v>58982.437799999992</v>
      </c>
      <c r="O113" s="614">
        <v>116874.56220000001</v>
      </c>
      <c r="Q113" s="613">
        <v>869680</v>
      </c>
      <c r="R113" s="676">
        <v>4.945381759042859</v>
      </c>
      <c r="T113" s="613">
        <v>33904</v>
      </c>
      <c r="U113" s="615">
        <v>26343</v>
      </c>
      <c r="V113" s="615">
        <v>30505</v>
      </c>
      <c r="W113" s="615">
        <v>14284</v>
      </c>
      <c r="X113" s="615">
        <v>17903</v>
      </c>
      <c r="Y113" s="615">
        <v>13322</v>
      </c>
      <c r="Z113" s="615">
        <v>10072</v>
      </c>
      <c r="AA113" s="615" t="s">
        <v>47</v>
      </c>
      <c r="AB113" s="614">
        <v>29524</v>
      </c>
      <c r="AD113" s="366">
        <f t="shared" si="23"/>
        <v>43101</v>
      </c>
      <c r="AE113" s="687">
        <f t="shared" si="10"/>
        <v>0.19279300795532733</v>
      </c>
      <c r="AF113" s="688">
        <f t="shared" si="11"/>
        <v>0.14979784711441682</v>
      </c>
      <c r="AG113" s="688">
        <f t="shared" si="12"/>
        <v>0.17346480378944257</v>
      </c>
      <c r="AH113" s="688">
        <f t="shared" si="13"/>
        <v>8.1225086291702914E-2</v>
      </c>
      <c r="AI113" s="688">
        <f t="shared" si="14"/>
        <v>0.10180430690845403</v>
      </c>
      <c r="AJ113" s="688">
        <f t="shared" si="15"/>
        <v>7.5754732538369243E-2</v>
      </c>
      <c r="AK113" s="688">
        <f t="shared" si="16"/>
        <v>5.7273807696025747E-2</v>
      </c>
      <c r="AL113" s="688" t="s">
        <v>47</v>
      </c>
      <c r="AM113" s="689">
        <f t="shared" si="17"/>
        <v>0.16788640770626134</v>
      </c>
      <c r="AO113" s="700">
        <v>8737.8547199999957</v>
      </c>
      <c r="AP113" s="705">
        <v>26460.616600000059</v>
      </c>
      <c r="AQ113" s="705">
        <v>17408.670619999994</v>
      </c>
      <c r="AR113" s="705">
        <v>92996.911899999977</v>
      </c>
      <c r="AS113" s="701">
        <v>30514.919799999978</v>
      </c>
      <c r="AU113" s="617">
        <f t="shared" ref="AU113:AU122" si="24">+AO113/SUM($AO113:$AS113)</f>
        <v>4.9613363849489653E-2</v>
      </c>
      <c r="AV113" s="668">
        <f t="shared" si="19"/>
        <v>0.15024285034778528</v>
      </c>
      <c r="AW113" s="668">
        <f t="shared" si="20"/>
        <v>9.8846082623582535E-2</v>
      </c>
      <c r="AX113" s="668">
        <f t="shared" si="21"/>
        <v>0.5280346005768376</v>
      </c>
      <c r="AY113" s="618">
        <f t="shared" si="22"/>
        <v>0.17326310260230507</v>
      </c>
      <c r="BA113" s="617">
        <f t="shared" si="8"/>
        <v>0.20875264170208724</v>
      </c>
      <c r="BB113" s="618">
        <f t="shared" si="9"/>
        <v>0.11870440187197552</v>
      </c>
      <c r="BE113" s="981" t="s">
        <v>158</v>
      </c>
      <c r="BF113" s="981" t="s">
        <v>758</v>
      </c>
    </row>
    <row r="114" spans="1:58" ht="12.75" customHeight="1" outlineLevel="1" x14ac:dyDescent="0.2">
      <c r="A114" s="365" t="s">
        <v>758</v>
      </c>
      <c r="B114" s="366">
        <v>43132</v>
      </c>
      <c r="C114" s="616">
        <v>214756</v>
      </c>
      <c r="D114" s="615">
        <v>151994</v>
      </c>
      <c r="E114" s="614">
        <v>62762</v>
      </c>
      <c r="G114" s="616">
        <v>226.5</v>
      </c>
      <c r="H114" s="675">
        <v>144.1</v>
      </c>
      <c r="I114" s="676">
        <v>82.4</v>
      </c>
      <c r="K114" s="613">
        <v>203610</v>
      </c>
      <c r="L114" s="614">
        <v>18307</v>
      </c>
      <c r="N114" s="613">
        <v>57240.940399999999</v>
      </c>
      <c r="O114" s="614">
        <v>94753.059600000008</v>
      </c>
      <c r="Q114" s="613">
        <v>741381</v>
      </c>
      <c r="R114" s="676">
        <v>4.8776991197020934</v>
      </c>
      <c r="T114" s="613">
        <v>27394</v>
      </c>
      <c r="U114" s="615">
        <v>22261</v>
      </c>
      <c r="V114" s="615">
        <v>23338</v>
      </c>
      <c r="W114" s="615">
        <v>12302</v>
      </c>
      <c r="X114" s="615">
        <v>18406</v>
      </c>
      <c r="Y114" s="615">
        <v>13262</v>
      </c>
      <c r="Z114" s="615">
        <v>9807</v>
      </c>
      <c r="AA114" s="615" t="s">
        <v>47</v>
      </c>
      <c r="AB114" s="614">
        <v>25224</v>
      </c>
      <c r="AD114" s="366">
        <f t="shared" si="23"/>
        <v>43132</v>
      </c>
      <c r="AE114" s="687">
        <f t="shared" si="10"/>
        <v>0.18023079858415464</v>
      </c>
      <c r="AF114" s="688">
        <f t="shared" si="11"/>
        <v>0.14645972867350027</v>
      </c>
      <c r="AG114" s="688">
        <f t="shared" si="12"/>
        <v>0.1535455346921589</v>
      </c>
      <c r="AH114" s="688">
        <f t="shared" si="13"/>
        <v>8.0937405423898309E-2</v>
      </c>
      <c r="AI114" s="688">
        <f t="shared" si="14"/>
        <v>0.12109688540337119</v>
      </c>
      <c r="AJ114" s="688">
        <f t="shared" si="15"/>
        <v>8.725344421490322E-2</v>
      </c>
      <c r="AK114" s="688">
        <f t="shared" si="16"/>
        <v>6.4522283774359521E-2</v>
      </c>
      <c r="AL114" s="688" t="s">
        <v>47</v>
      </c>
      <c r="AM114" s="689">
        <f t="shared" si="17"/>
        <v>0.16595391923365396</v>
      </c>
      <c r="AO114" s="700">
        <v>7560.18156</v>
      </c>
      <c r="AP114" s="705">
        <v>22722.089706666618</v>
      </c>
      <c r="AQ114" s="705">
        <v>14917.704453333339</v>
      </c>
      <c r="AR114" s="705">
        <v>80595.325146666626</v>
      </c>
      <c r="AS114" s="701">
        <v>26412.504026666615</v>
      </c>
      <c r="AU114" s="617">
        <f t="shared" si="24"/>
        <v>4.9670130682839514E-2</v>
      </c>
      <c r="AV114" s="668">
        <f t="shared" si="19"/>
        <v>0.14928334143305066</v>
      </c>
      <c r="AW114" s="668">
        <f t="shared" si="20"/>
        <v>9.8008800953325773E-2</v>
      </c>
      <c r="AX114" s="668">
        <f t="shared" si="21"/>
        <v>0.52950849138877998</v>
      </c>
      <c r="AY114" s="618">
        <f t="shared" si="22"/>
        <v>0.17352923554200406</v>
      </c>
      <c r="BA114" s="617">
        <f t="shared" si="8"/>
        <v>0.30824615686852314</v>
      </c>
      <c r="BB114" s="618">
        <f t="shared" si="9"/>
        <v>0.1204455439030488</v>
      </c>
      <c r="BE114" s="981" t="s">
        <v>158</v>
      </c>
      <c r="BF114" s="981" t="s">
        <v>758</v>
      </c>
    </row>
    <row r="115" spans="1:58" ht="12.75" customHeight="1" outlineLevel="1" x14ac:dyDescent="0.2">
      <c r="A115" s="365" t="s">
        <v>758</v>
      </c>
      <c r="B115" s="366">
        <v>43160</v>
      </c>
      <c r="C115" s="616">
        <v>264078</v>
      </c>
      <c r="D115" s="615">
        <v>200393</v>
      </c>
      <c r="E115" s="614">
        <v>63685</v>
      </c>
      <c r="G115" s="616">
        <v>230.7</v>
      </c>
      <c r="H115" s="675">
        <v>150</v>
      </c>
      <c r="I115" s="676">
        <v>80.7</v>
      </c>
      <c r="K115" s="613">
        <v>254759</v>
      </c>
      <c r="L115" s="614">
        <v>24327</v>
      </c>
      <c r="N115" s="613">
        <v>76650.322499999995</v>
      </c>
      <c r="O115" s="614">
        <v>123742.67750000001</v>
      </c>
      <c r="Q115" s="613">
        <v>849155</v>
      </c>
      <c r="R115" s="676">
        <v>4.2374484138667521</v>
      </c>
      <c r="T115" s="613">
        <v>30572</v>
      </c>
      <c r="U115" s="615">
        <v>28871</v>
      </c>
      <c r="V115" s="615">
        <v>32250</v>
      </c>
      <c r="W115" s="615">
        <v>16511</v>
      </c>
      <c r="X115" s="615">
        <v>27605</v>
      </c>
      <c r="Y115" s="615">
        <v>15810</v>
      </c>
      <c r="Z115" s="615">
        <v>13525</v>
      </c>
      <c r="AA115" s="615" t="s">
        <v>47</v>
      </c>
      <c r="AB115" s="614">
        <v>35249</v>
      </c>
      <c r="AD115" s="366">
        <f t="shared" si="23"/>
        <v>43160</v>
      </c>
      <c r="AE115" s="687">
        <f t="shared" si="10"/>
        <v>0.15256021916933227</v>
      </c>
      <c r="AF115" s="688">
        <f t="shared" si="11"/>
        <v>0.14407189871901713</v>
      </c>
      <c r="AG115" s="688">
        <f t="shared" si="12"/>
        <v>0.16093376515147734</v>
      </c>
      <c r="AH115" s="688">
        <f t="shared" si="13"/>
        <v>8.2393097563288137E-2</v>
      </c>
      <c r="AI115" s="688">
        <f t="shared" si="14"/>
        <v>0.13775431277539635</v>
      </c>
      <c r="AJ115" s="688">
        <f t="shared" si="15"/>
        <v>7.8894971381235871E-2</v>
      </c>
      <c r="AK115" s="688">
        <f t="shared" si="16"/>
        <v>6.7492377478255233E-2</v>
      </c>
      <c r="AL115" s="688" t="s">
        <v>47</v>
      </c>
      <c r="AM115" s="689">
        <f t="shared" si="17"/>
        <v>0.17589935776199767</v>
      </c>
      <c r="AO115" s="700">
        <v>9358.3531000000003</v>
      </c>
      <c r="AP115" s="705">
        <v>30099.028600000001</v>
      </c>
      <c r="AQ115" s="705">
        <v>19157.570800000001</v>
      </c>
      <c r="AR115" s="705">
        <v>105687.26819999999</v>
      </c>
      <c r="AS115" s="701">
        <v>36090.779300000002</v>
      </c>
      <c r="AU115" s="617">
        <f t="shared" si="24"/>
        <v>4.6699999999999998E-2</v>
      </c>
      <c r="AV115" s="668">
        <f t="shared" si="19"/>
        <v>0.1502</v>
      </c>
      <c r="AW115" s="668">
        <f t="shared" si="20"/>
        <v>9.5600000000000004E-2</v>
      </c>
      <c r="AX115" s="668">
        <f t="shared" si="21"/>
        <v>0.52739999999999998</v>
      </c>
      <c r="AY115" s="618">
        <f t="shared" si="22"/>
        <v>0.18010000000000001</v>
      </c>
      <c r="BA115" s="617">
        <f t="shared" si="8"/>
        <v>0.24998135492759824</v>
      </c>
      <c r="BB115" s="618">
        <f t="shared" si="9"/>
        <v>0.12139645596403068</v>
      </c>
      <c r="BE115" s="981" t="s">
        <v>158</v>
      </c>
      <c r="BF115" s="981" t="s">
        <v>758</v>
      </c>
    </row>
    <row r="116" spans="1:58" ht="12.75" customHeight="1" outlineLevel="1" x14ac:dyDescent="0.2">
      <c r="A116" s="365" t="s">
        <v>771</v>
      </c>
      <c r="B116" s="366">
        <v>43191</v>
      </c>
      <c r="C116" s="616">
        <v>279891</v>
      </c>
      <c r="D116" s="615">
        <v>210238</v>
      </c>
      <c r="E116" s="614">
        <v>69653</v>
      </c>
      <c r="G116" s="616">
        <v>230.70000000000002</v>
      </c>
      <c r="H116" s="675">
        <v>151.80000000000001</v>
      </c>
      <c r="I116" s="676">
        <v>78.900000000000006</v>
      </c>
      <c r="K116" s="613">
        <v>254154</v>
      </c>
      <c r="L116" s="614">
        <v>26689</v>
      </c>
      <c r="N116" s="613">
        <v>90002.887800000011</v>
      </c>
      <c r="O116" s="614">
        <v>120235.11219999999</v>
      </c>
      <c r="Q116" s="613">
        <v>891975</v>
      </c>
      <c r="R116" s="676">
        <v>4.2426916161683428</v>
      </c>
      <c r="T116" s="613">
        <v>33832</v>
      </c>
      <c r="U116" s="615">
        <v>30329</v>
      </c>
      <c r="V116" s="615">
        <v>37327</v>
      </c>
      <c r="W116" s="615">
        <v>17986</v>
      </c>
      <c r="X116" s="615">
        <v>27964</v>
      </c>
      <c r="Y116" s="615">
        <v>16509</v>
      </c>
      <c r="Z116" s="615">
        <v>11290</v>
      </c>
      <c r="AA116" s="615" t="s">
        <v>47</v>
      </c>
      <c r="AB116" s="614">
        <v>35001</v>
      </c>
      <c r="AD116" s="366">
        <f t="shared" si="23"/>
        <v>43191</v>
      </c>
      <c r="AE116" s="687">
        <f t="shared" si="10"/>
        <v>0.16092238320379759</v>
      </c>
      <c r="AF116" s="688">
        <f t="shared" si="11"/>
        <v>0.14426031450070873</v>
      </c>
      <c r="AG116" s="688">
        <f t="shared" si="12"/>
        <v>0.17754639979451858</v>
      </c>
      <c r="AH116" s="688">
        <f t="shared" si="13"/>
        <v>8.5550661631103794E-2</v>
      </c>
      <c r="AI116" s="688">
        <f t="shared" si="14"/>
        <v>0.13301115878195188</v>
      </c>
      <c r="AJ116" s="688">
        <f t="shared" si="15"/>
        <v>7.8525290385182508E-2</v>
      </c>
      <c r="AK116" s="688">
        <f t="shared" si="16"/>
        <v>5.3701043579181693E-2</v>
      </c>
      <c r="AL116" s="688" t="s">
        <v>47</v>
      </c>
      <c r="AM116" s="689">
        <f t="shared" si="17"/>
        <v>0.16648274812355521</v>
      </c>
      <c r="AO116" s="700">
        <v>9860.1621999999988</v>
      </c>
      <c r="AP116" s="705">
        <v>30694.748</v>
      </c>
      <c r="AQ116" s="705">
        <v>20624.347800000003</v>
      </c>
      <c r="AR116" s="705">
        <v>111257.94960000001</v>
      </c>
      <c r="AS116" s="701">
        <v>37800.792399999998</v>
      </c>
      <c r="AU116" s="617">
        <f t="shared" si="24"/>
        <v>4.689999999999999E-2</v>
      </c>
      <c r="AV116" s="668">
        <f t="shared" si="19"/>
        <v>0.14599999999999999</v>
      </c>
      <c r="AW116" s="668">
        <f t="shared" si="20"/>
        <v>9.8100000000000007E-2</v>
      </c>
      <c r="AX116" s="668">
        <f t="shared" si="21"/>
        <v>0.5292</v>
      </c>
      <c r="AY116" s="618">
        <f t="shared" si="22"/>
        <v>0.17979999999999996</v>
      </c>
      <c r="BA116" s="617">
        <f t="shared" si="8"/>
        <v>0.27405824814876018</v>
      </c>
      <c r="BB116" s="618">
        <f t="shared" si="9"/>
        <v>0.12694660337331976</v>
      </c>
      <c r="BE116" s="981" t="s">
        <v>159</v>
      </c>
      <c r="BF116" s="981" t="s">
        <v>771</v>
      </c>
    </row>
    <row r="117" spans="1:58" ht="12.75" customHeight="1" outlineLevel="1" x14ac:dyDescent="0.2">
      <c r="A117" s="365" t="s">
        <v>771</v>
      </c>
      <c r="B117" s="366">
        <v>43221</v>
      </c>
      <c r="C117" s="616">
        <v>253678</v>
      </c>
      <c r="D117" s="615">
        <v>195291</v>
      </c>
      <c r="E117" s="614">
        <v>58387</v>
      </c>
      <c r="G117" s="616">
        <v>207.20000000000002</v>
      </c>
      <c r="H117" s="675">
        <v>138.30000000000001</v>
      </c>
      <c r="I117" s="676">
        <v>68.900000000000006</v>
      </c>
      <c r="K117" s="613">
        <v>203081</v>
      </c>
      <c r="L117" s="614">
        <v>26112</v>
      </c>
      <c r="N117" s="613">
        <v>79893.5481</v>
      </c>
      <c r="O117" s="614">
        <v>115397.4519</v>
      </c>
      <c r="Q117" s="613">
        <v>919652</v>
      </c>
      <c r="R117" s="676">
        <v>4.7091366217593231</v>
      </c>
      <c r="T117" s="613">
        <v>32290</v>
      </c>
      <c r="U117" s="615">
        <v>29619</v>
      </c>
      <c r="V117" s="615">
        <v>36733</v>
      </c>
      <c r="W117" s="615">
        <v>15650</v>
      </c>
      <c r="X117" s="615">
        <v>21606</v>
      </c>
      <c r="Y117" s="615">
        <v>15337</v>
      </c>
      <c r="Z117" s="615">
        <v>10595</v>
      </c>
      <c r="AA117" s="615" t="s">
        <v>47</v>
      </c>
      <c r="AB117" s="614">
        <v>33461</v>
      </c>
      <c r="AD117" s="366">
        <f t="shared" si="23"/>
        <v>43221</v>
      </c>
      <c r="AE117" s="687">
        <f t="shared" si="10"/>
        <v>0.16534300095754539</v>
      </c>
      <c r="AF117" s="688">
        <f t="shared" si="11"/>
        <v>0.151665975390571</v>
      </c>
      <c r="AG117" s="688">
        <f t="shared" si="12"/>
        <v>0.18809366535068181</v>
      </c>
      <c r="AH117" s="688">
        <f t="shared" si="13"/>
        <v>8.0136821461306462E-2</v>
      </c>
      <c r="AI117" s="688">
        <f t="shared" si="14"/>
        <v>0.11063489868964775</v>
      </c>
      <c r="AJ117" s="688">
        <f t="shared" si="15"/>
        <v>7.8534085032080328E-2</v>
      </c>
      <c r="AK117" s="688">
        <f t="shared" si="16"/>
        <v>5.425237210112089E-2</v>
      </c>
      <c r="AL117" s="688" t="s">
        <v>47</v>
      </c>
      <c r="AM117" s="689">
        <f t="shared" si="17"/>
        <v>0.17133918101704634</v>
      </c>
      <c r="AO117" s="700">
        <v>11229.2325</v>
      </c>
      <c r="AP117" s="705">
        <v>30055.284900000002</v>
      </c>
      <c r="AQ117" s="705">
        <v>19685.3328</v>
      </c>
      <c r="AR117" s="705">
        <v>99559.351800000004</v>
      </c>
      <c r="AS117" s="701">
        <v>34761.797999999995</v>
      </c>
      <c r="AU117" s="617">
        <f t="shared" si="24"/>
        <v>5.7500000000000002E-2</v>
      </c>
      <c r="AV117" s="668">
        <f t="shared" si="19"/>
        <v>0.15390000000000001</v>
      </c>
      <c r="AW117" s="668">
        <f t="shared" si="20"/>
        <v>0.1008</v>
      </c>
      <c r="AX117" s="668">
        <f t="shared" si="21"/>
        <v>0.50980000000000003</v>
      </c>
      <c r="AY117" s="618">
        <f t="shared" si="22"/>
        <v>0.17799999999999996</v>
      </c>
      <c r="BA117" s="617">
        <f t="shared" ref="BA117:BA148" si="25">+E117/K117</f>
        <v>0.28750597052407662</v>
      </c>
      <c r="BB117" s="618">
        <f t="shared" ref="BB117:BB148" si="26">+L117/D117</f>
        <v>0.13370815859409804</v>
      </c>
      <c r="BE117" s="981" t="s">
        <v>159</v>
      </c>
      <c r="BF117" s="981" t="s">
        <v>771</v>
      </c>
    </row>
    <row r="118" spans="1:58" ht="12.75" customHeight="1" outlineLevel="1" x14ac:dyDescent="0.2">
      <c r="A118" s="365" t="s">
        <v>771</v>
      </c>
      <c r="B118" s="366">
        <v>43252</v>
      </c>
      <c r="C118" s="616">
        <v>256862</v>
      </c>
      <c r="D118" s="615">
        <v>195369</v>
      </c>
      <c r="E118" s="614">
        <v>61493</v>
      </c>
      <c r="G118" s="616">
        <v>240.6</v>
      </c>
      <c r="H118" s="675">
        <v>159.6</v>
      </c>
      <c r="I118" s="676">
        <v>81</v>
      </c>
      <c r="K118" s="613">
        <v>244732</v>
      </c>
      <c r="L118" s="614">
        <v>26040</v>
      </c>
      <c r="N118" s="613">
        <v>90416.773199999996</v>
      </c>
      <c r="O118" s="614">
        <v>104952.2268</v>
      </c>
      <c r="Q118" s="613">
        <v>839043</v>
      </c>
      <c r="R118" s="676">
        <v>4.2946578013912138</v>
      </c>
      <c r="T118" s="613">
        <v>32424</v>
      </c>
      <c r="U118" s="615">
        <v>28920</v>
      </c>
      <c r="V118" s="615">
        <v>36219</v>
      </c>
      <c r="W118" s="615">
        <v>14271</v>
      </c>
      <c r="X118" s="615">
        <v>26950</v>
      </c>
      <c r="Y118" s="615">
        <v>14383</v>
      </c>
      <c r="Z118" s="615">
        <v>9420</v>
      </c>
      <c r="AA118" s="615" t="s">
        <v>47</v>
      </c>
      <c r="AB118" s="614">
        <v>32782</v>
      </c>
      <c r="AD118" s="366">
        <f t="shared" si="23"/>
        <v>43252</v>
      </c>
      <c r="AE118" s="687">
        <f t="shared" si="10"/>
        <v>0.16596287026089093</v>
      </c>
      <c r="AF118" s="688">
        <f t="shared" si="11"/>
        <v>0.14802757858206778</v>
      </c>
      <c r="AG118" s="688">
        <f t="shared" si="12"/>
        <v>0.18538765106030128</v>
      </c>
      <c r="AH118" s="688">
        <f t="shared" si="13"/>
        <v>7.3046389140549423E-2</v>
      </c>
      <c r="AI118" s="688">
        <f t="shared" si="14"/>
        <v>0.13794409553204448</v>
      </c>
      <c r="AJ118" s="688">
        <f t="shared" si="15"/>
        <v>7.3619663303799474E-2</v>
      </c>
      <c r="AK118" s="688">
        <f t="shared" si="16"/>
        <v>4.8216451944781413E-2</v>
      </c>
      <c r="AL118" s="688" t="s">
        <v>47</v>
      </c>
      <c r="AM118" s="689">
        <f t="shared" si="17"/>
        <v>0.16779530017556521</v>
      </c>
      <c r="AO118" s="700">
        <v>9807.5238000000008</v>
      </c>
      <c r="AP118" s="705">
        <v>26765.553000000004</v>
      </c>
      <c r="AQ118" s="705">
        <v>18481.9074</v>
      </c>
      <c r="AR118" s="705">
        <v>108840.0699</v>
      </c>
      <c r="AS118" s="701">
        <v>32665.696799999998</v>
      </c>
      <c r="AU118" s="617">
        <f t="shared" si="24"/>
        <v>4.9895636616638504E-2</v>
      </c>
      <c r="AV118" s="668">
        <f t="shared" si="19"/>
        <v>0.13616936686214096</v>
      </c>
      <c r="AW118" s="668">
        <f t="shared" si="20"/>
        <v>9.4026438723784911E-2</v>
      </c>
      <c r="AX118" s="668">
        <f t="shared" si="21"/>
        <v>0.55372229400655992</v>
      </c>
      <c r="AY118" s="618">
        <f t="shared" si="22"/>
        <v>0.16618626379087564</v>
      </c>
      <c r="BA118" s="617">
        <f t="shared" si="25"/>
        <v>0.2512666917280944</v>
      </c>
      <c r="BB118" s="618">
        <f t="shared" si="26"/>
        <v>0.13328624295563779</v>
      </c>
      <c r="BE118" s="981" t="s">
        <v>159</v>
      </c>
      <c r="BF118" s="981" t="s">
        <v>771</v>
      </c>
    </row>
    <row r="119" spans="1:58" ht="12.75" customHeight="1" outlineLevel="1" x14ac:dyDescent="0.2">
      <c r="A119" s="365" t="s">
        <v>788</v>
      </c>
      <c r="B119" s="366">
        <v>43282</v>
      </c>
      <c r="C119" s="616">
        <v>256123</v>
      </c>
      <c r="D119" s="615">
        <v>209074</v>
      </c>
      <c r="E119" s="614">
        <v>47049</v>
      </c>
      <c r="G119" s="616">
        <v>248.7</v>
      </c>
      <c r="H119" s="675">
        <v>151.1</v>
      </c>
      <c r="I119" s="676">
        <v>97.6</v>
      </c>
      <c r="K119" s="613">
        <v>234222</v>
      </c>
      <c r="L119" s="614">
        <v>27221</v>
      </c>
      <c r="N119" s="613">
        <v>94501.448000000004</v>
      </c>
      <c r="O119" s="614">
        <v>114572.552</v>
      </c>
      <c r="Q119" s="613">
        <v>898177</v>
      </c>
      <c r="R119" s="676">
        <v>4.2959765441900952</v>
      </c>
      <c r="T119" s="613">
        <v>35095</v>
      </c>
      <c r="U119" s="615">
        <v>31428</v>
      </c>
      <c r="V119" s="615">
        <v>37706</v>
      </c>
      <c r="W119" s="615">
        <v>16105</v>
      </c>
      <c r="X119" s="615">
        <v>26360</v>
      </c>
      <c r="Y119" s="615">
        <v>16765</v>
      </c>
      <c r="Z119" s="615">
        <v>9853</v>
      </c>
      <c r="AA119" s="615" t="s">
        <v>47</v>
      </c>
      <c r="AB119" s="614">
        <v>35762</v>
      </c>
      <c r="AD119" s="366">
        <f t="shared" si="23"/>
        <v>43282</v>
      </c>
      <c r="AE119" s="687">
        <f t="shared" si="10"/>
        <v>0.16785922687660829</v>
      </c>
      <c r="AF119" s="688">
        <f t="shared" si="11"/>
        <v>0.15031998239857658</v>
      </c>
      <c r="AG119" s="688">
        <f t="shared" si="12"/>
        <v>0.18034762811253433</v>
      </c>
      <c r="AH119" s="688">
        <f t="shared" si="13"/>
        <v>7.7030142437605822E-2</v>
      </c>
      <c r="AI119" s="688">
        <f t="shared" si="14"/>
        <v>0.12607976123286491</v>
      </c>
      <c r="AJ119" s="688">
        <f t="shared" si="15"/>
        <v>8.0186919463921869E-2</v>
      </c>
      <c r="AK119" s="688">
        <f t="shared" si="16"/>
        <v>4.7126854606502962E-2</v>
      </c>
      <c r="AL119" s="688" t="s">
        <v>47</v>
      </c>
      <c r="AM119" s="689">
        <f t="shared" si="17"/>
        <v>0.17104948487138524</v>
      </c>
      <c r="AO119" s="700">
        <v>10850.9406</v>
      </c>
      <c r="AP119" s="705">
        <v>31214.748199999998</v>
      </c>
      <c r="AQ119" s="705">
        <v>19548.419000000002</v>
      </c>
      <c r="AR119" s="705">
        <v>111143.73839999999</v>
      </c>
      <c r="AS119" s="701">
        <v>36316.1538</v>
      </c>
      <c r="AU119" s="617">
        <f t="shared" si="24"/>
        <v>5.1900000000000009E-2</v>
      </c>
      <c r="AV119" s="668">
        <f t="shared" ref="AV119:AY122" si="27">+AP119/SUM($AO119:$AS119)</f>
        <v>0.14930000000000002</v>
      </c>
      <c r="AW119" s="668">
        <f t="shared" si="27"/>
        <v>9.3500000000000028E-2</v>
      </c>
      <c r="AX119" s="668">
        <f t="shared" si="27"/>
        <v>0.53159999999999996</v>
      </c>
      <c r="AY119" s="618">
        <f t="shared" si="27"/>
        <v>0.17370000000000002</v>
      </c>
      <c r="BA119" s="617">
        <f t="shared" si="25"/>
        <v>0.20087353024054103</v>
      </c>
      <c r="BB119" s="618">
        <f t="shared" si="26"/>
        <v>0.13019792035355904</v>
      </c>
      <c r="BE119" s="981" t="s">
        <v>160</v>
      </c>
      <c r="BF119" s="981" t="s">
        <v>788</v>
      </c>
    </row>
    <row r="120" spans="1:58" ht="12.75" customHeight="1" outlineLevel="1" x14ac:dyDescent="0.2">
      <c r="A120" s="365" t="s">
        <v>788</v>
      </c>
      <c r="B120" s="366">
        <v>43313</v>
      </c>
      <c r="C120" s="616">
        <v>292978</v>
      </c>
      <c r="D120" s="615">
        <v>239598</v>
      </c>
      <c r="E120" s="614">
        <v>53380</v>
      </c>
      <c r="G120" s="616">
        <v>280.7</v>
      </c>
      <c r="H120" s="675">
        <v>161.5</v>
      </c>
      <c r="I120" s="676">
        <v>119.2</v>
      </c>
      <c r="K120" s="613">
        <v>278414</v>
      </c>
      <c r="L120" s="614">
        <v>30228</v>
      </c>
      <c r="N120" s="613">
        <v>107196.1452</v>
      </c>
      <c r="O120" s="614">
        <v>132401.8548</v>
      </c>
      <c r="Q120" s="613">
        <v>1033590</v>
      </c>
      <c r="R120" s="676">
        <v>4.3138506999223702</v>
      </c>
      <c r="T120" s="613">
        <v>41591</v>
      </c>
      <c r="U120" s="615">
        <v>33992</v>
      </c>
      <c r="V120" s="615">
        <v>44747</v>
      </c>
      <c r="W120" s="615">
        <v>19767</v>
      </c>
      <c r="X120" s="615">
        <v>30342</v>
      </c>
      <c r="Y120" s="615">
        <v>19444</v>
      </c>
      <c r="Z120" s="615">
        <v>12106</v>
      </c>
      <c r="AA120" s="615" t="s">
        <v>47</v>
      </c>
      <c r="AB120" s="614">
        <v>37609</v>
      </c>
      <c r="AD120" s="366">
        <f t="shared" si="23"/>
        <v>43313</v>
      </c>
      <c r="AE120" s="687">
        <f t="shared" si="10"/>
        <v>0.17358659087304568</v>
      </c>
      <c r="AF120" s="688">
        <f t="shared" si="11"/>
        <v>0.14187096720339903</v>
      </c>
      <c r="AG120" s="688">
        <f t="shared" si="12"/>
        <v>0.18675865407891551</v>
      </c>
      <c r="AH120" s="688">
        <f t="shared" si="13"/>
        <v>8.2500688653494608E-2</v>
      </c>
      <c r="AI120" s="688">
        <f t="shared" si="14"/>
        <v>0.12663711717126186</v>
      </c>
      <c r="AJ120" s="688">
        <f t="shared" si="15"/>
        <v>8.1152597267089038E-2</v>
      </c>
      <c r="AK120" s="688">
        <f t="shared" si="16"/>
        <v>5.0526298216178767E-2</v>
      </c>
      <c r="AL120" s="688" t="s">
        <v>47</v>
      </c>
      <c r="AM120" s="689">
        <f t="shared" si="17"/>
        <v>0.15696708653661551</v>
      </c>
      <c r="AO120" s="700">
        <v>12099.699000000001</v>
      </c>
      <c r="AP120" s="705">
        <v>34717.750200000002</v>
      </c>
      <c r="AQ120" s="705">
        <v>21947.176800000001</v>
      </c>
      <c r="AR120" s="705">
        <v>131707.02059999999</v>
      </c>
      <c r="AS120" s="701">
        <v>39869.107199999999</v>
      </c>
      <c r="AU120" s="617">
        <f t="shared" si="24"/>
        <v>5.0343933805203876E-2</v>
      </c>
      <c r="AV120" s="668">
        <f t="shared" si="27"/>
        <v>0.14445219818562458</v>
      </c>
      <c r="AW120" s="668">
        <f t="shared" si="27"/>
        <v>9.131691755557772E-2</v>
      </c>
      <c r="AX120" s="668">
        <f t="shared" si="27"/>
        <v>0.54800119629149635</v>
      </c>
      <c r="AY120" s="618">
        <f t="shared" si="27"/>
        <v>0.1658857541620975</v>
      </c>
      <c r="BA120" s="617">
        <f t="shared" si="25"/>
        <v>0.19172886420941476</v>
      </c>
      <c r="BB120" s="618">
        <f t="shared" si="26"/>
        <v>0.12616132021135401</v>
      </c>
      <c r="BE120" s="981" t="s">
        <v>160</v>
      </c>
      <c r="BF120" s="981" t="s">
        <v>788</v>
      </c>
    </row>
    <row r="121" spans="1:58" ht="12.75" customHeight="1" outlineLevel="1" x14ac:dyDescent="0.2">
      <c r="A121" s="365" t="s">
        <v>788</v>
      </c>
      <c r="B121" s="366">
        <v>43344</v>
      </c>
      <c r="C121" s="616">
        <v>242129</v>
      </c>
      <c r="D121" s="615">
        <v>205133</v>
      </c>
      <c r="E121" s="614">
        <v>36996</v>
      </c>
      <c r="G121" s="616">
        <v>283.39999999999998</v>
      </c>
      <c r="H121" s="675">
        <v>172.5</v>
      </c>
      <c r="I121" s="676">
        <v>110.9</v>
      </c>
      <c r="K121" s="613">
        <v>211716</v>
      </c>
      <c r="L121" s="614">
        <v>26157</v>
      </c>
      <c r="N121" s="613">
        <v>96166.35040000001</v>
      </c>
      <c r="O121" s="614">
        <v>108966.64959999999</v>
      </c>
      <c r="Q121" s="613">
        <v>830485</v>
      </c>
      <c r="R121" s="676">
        <v>4.0485197408510576</v>
      </c>
      <c r="T121" s="613">
        <v>36392</v>
      </c>
      <c r="U121" s="615">
        <v>31475</v>
      </c>
      <c r="V121" s="615">
        <v>36144</v>
      </c>
      <c r="W121" s="615">
        <v>16691</v>
      </c>
      <c r="X121" s="615">
        <v>26832</v>
      </c>
      <c r="Y121" s="615">
        <v>15625</v>
      </c>
      <c r="Z121" s="615">
        <v>9581</v>
      </c>
      <c r="AA121" s="615" t="s">
        <v>47</v>
      </c>
      <c r="AB121" s="614">
        <v>32393</v>
      </c>
      <c r="AD121" s="366">
        <f t="shared" si="23"/>
        <v>43344</v>
      </c>
      <c r="AE121" s="687">
        <f t="shared" ref="AE121:AE152" si="28">+T121/SUM($T121:$AB121)</f>
        <v>0.17740685311480844</v>
      </c>
      <c r="AF121" s="688">
        <f t="shared" ref="AF121:AF152" si="29">+U121/SUM($T121:$AB121)</f>
        <v>0.15343703840922718</v>
      </c>
      <c r="AG121" s="688">
        <f t="shared" ref="AG121:AG152" si="30">+V121/SUM($T121:$AB121)</f>
        <v>0.17619788137452286</v>
      </c>
      <c r="AH121" s="688">
        <f t="shared" ref="AH121:AH152" si="31">+W121/SUM($T121:$AB121)</f>
        <v>8.1366723052848644E-2</v>
      </c>
      <c r="AI121" s="688">
        <f t="shared" ref="AI121:AI152" si="32">+X121/SUM($T121:$AB121)</f>
        <v>0.13080294248121951</v>
      </c>
      <c r="AJ121" s="688">
        <f t="shared" ref="AJ121:AJ152" si="33">+Y121/SUM($T121:$AB121)</f>
        <v>7.6170094524040499E-2</v>
      </c>
      <c r="AK121" s="688">
        <f t="shared" ref="AK121:AK152" si="34">+Z121/SUM($T121:$AB121)</f>
        <v>4.6706283240629247E-2</v>
      </c>
      <c r="AL121" s="688" t="s">
        <v>47</v>
      </c>
      <c r="AM121" s="689">
        <f t="shared" ref="AM121:AM152" si="35">+AB121/SUM($T121:$AB121)</f>
        <v>0.15791218380270361</v>
      </c>
      <c r="AO121" s="700">
        <v>10051.517</v>
      </c>
      <c r="AP121" s="705">
        <v>28308.354000000003</v>
      </c>
      <c r="AQ121" s="705">
        <v>17764.517799999998</v>
      </c>
      <c r="AR121" s="705">
        <v>114136.0012</v>
      </c>
      <c r="AS121" s="701">
        <v>34893.123299999999</v>
      </c>
      <c r="AU121" s="617">
        <f t="shared" si="24"/>
        <v>4.8995100489950996E-2</v>
      </c>
      <c r="AV121" s="668">
        <f t="shared" si="27"/>
        <v>0.13798620137986201</v>
      </c>
      <c r="AW121" s="668">
        <f t="shared" si="27"/>
        <v>8.6591340865913385E-2</v>
      </c>
      <c r="AX121" s="668">
        <f t="shared" si="27"/>
        <v>0.55634436556344358</v>
      </c>
      <c r="AY121" s="618">
        <f t="shared" si="27"/>
        <v>0.17008299170082988</v>
      </c>
      <c r="BA121" s="617">
        <f t="shared" si="25"/>
        <v>0.17474352434393245</v>
      </c>
      <c r="BB121" s="618">
        <f t="shared" si="26"/>
        <v>0.12751239439778095</v>
      </c>
      <c r="BE121" s="981" t="s">
        <v>160</v>
      </c>
      <c r="BF121" s="981" t="s">
        <v>788</v>
      </c>
    </row>
    <row r="122" spans="1:58" ht="12.75" customHeight="1" outlineLevel="1" x14ac:dyDescent="0.2">
      <c r="A122" s="365" t="s">
        <v>844</v>
      </c>
      <c r="B122" s="366">
        <v>43374</v>
      </c>
      <c r="C122" s="616">
        <v>281513</v>
      </c>
      <c r="D122" s="615">
        <v>245159</v>
      </c>
      <c r="E122" s="614">
        <v>36354</v>
      </c>
      <c r="G122" s="616">
        <v>293.89999999999998</v>
      </c>
      <c r="H122" s="675">
        <v>172.8</v>
      </c>
      <c r="I122" s="676">
        <v>121.1</v>
      </c>
      <c r="K122" s="613">
        <v>250018</v>
      </c>
      <c r="L122" s="614">
        <v>28798</v>
      </c>
      <c r="N122" s="613">
        <v>116401.49319999998</v>
      </c>
      <c r="O122" s="614">
        <v>128757.50680000002</v>
      </c>
      <c r="Q122" s="613">
        <v>972076</v>
      </c>
      <c r="R122" s="676">
        <v>3.9650838843362877</v>
      </c>
      <c r="T122" s="613">
        <v>44088</v>
      </c>
      <c r="U122" s="615">
        <v>37228</v>
      </c>
      <c r="V122" s="615">
        <v>44283</v>
      </c>
      <c r="W122" s="615">
        <v>19791</v>
      </c>
      <c r="X122" s="615">
        <v>30371</v>
      </c>
      <c r="Y122" s="615">
        <v>17652</v>
      </c>
      <c r="Z122" s="615">
        <v>13312</v>
      </c>
      <c r="AA122" s="615" t="s">
        <v>47</v>
      </c>
      <c r="AB122" s="614">
        <v>38434</v>
      </c>
      <c r="AD122" s="366">
        <f t="shared" si="23"/>
        <v>43374</v>
      </c>
      <c r="AE122" s="687">
        <f t="shared" si="28"/>
        <v>0.17983431161001637</v>
      </c>
      <c r="AF122" s="688">
        <f t="shared" si="29"/>
        <v>0.15185247125334986</v>
      </c>
      <c r="AG122" s="688">
        <f t="shared" si="30"/>
        <v>0.18062971377758924</v>
      </c>
      <c r="AH122" s="688">
        <f t="shared" si="31"/>
        <v>8.0727201530435347E-2</v>
      </c>
      <c r="AI122" s="688">
        <f t="shared" si="32"/>
        <v>0.12388286785310758</v>
      </c>
      <c r="AJ122" s="688">
        <f t="shared" si="33"/>
        <v>7.2002251599982053E-2</v>
      </c>
      <c r="AK122" s="688">
        <f t="shared" si="34"/>
        <v>5.4299454639642031E-2</v>
      </c>
      <c r="AL122" s="688" t="s">
        <v>47</v>
      </c>
      <c r="AM122" s="689">
        <f t="shared" si="35"/>
        <v>0.15677172773587753</v>
      </c>
      <c r="AO122" s="700">
        <v>11130.2186</v>
      </c>
      <c r="AP122" s="705">
        <v>32581.631099999999</v>
      </c>
      <c r="AQ122" s="705">
        <v>21696.571499999998</v>
      </c>
      <c r="AR122" s="705">
        <v>138980.63709999999</v>
      </c>
      <c r="AS122" s="701">
        <v>40794.457600000002</v>
      </c>
      <c r="AU122" s="617">
        <f t="shared" si="24"/>
        <v>4.5395460453954609E-2</v>
      </c>
      <c r="AV122" s="668">
        <f t="shared" si="27"/>
        <v>0.13288671132886712</v>
      </c>
      <c r="AW122" s="668">
        <f t="shared" si="27"/>
        <v>8.849115088491151E-2</v>
      </c>
      <c r="AX122" s="668">
        <f t="shared" si="27"/>
        <v>0.56684331566843316</v>
      </c>
      <c r="AY122" s="618">
        <f t="shared" si="27"/>
        <v>0.16638336166383363</v>
      </c>
      <c r="BA122" s="617">
        <f t="shared" si="25"/>
        <v>0.14540553080178228</v>
      </c>
      <c r="BB122" s="618">
        <f t="shared" si="26"/>
        <v>0.117466623701353</v>
      </c>
      <c r="BE122" s="981" t="s">
        <v>161</v>
      </c>
      <c r="BF122" s="981" t="s">
        <v>844</v>
      </c>
    </row>
    <row r="123" spans="1:58" ht="12.75" customHeight="1" outlineLevel="1" x14ac:dyDescent="0.2">
      <c r="A123" s="365" t="s">
        <v>844</v>
      </c>
      <c r="B123" s="366">
        <v>43405</v>
      </c>
      <c r="C123" s="616">
        <v>253745</v>
      </c>
      <c r="D123" s="615">
        <v>221808</v>
      </c>
      <c r="E123" s="614">
        <v>31937</v>
      </c>
      <c r="G123" s="616">
        <v>290.8</v>
      </c>
      <c r="H123" s="675">
        <v>173.8</v>
      </c>
      <c r="I123" s="676">
        <v>117</v>
      </c>
      <c r="K123" s="613">
        <v>232659</v>
      </c>
      <c r="L123" s="614">
        <v>25611</v>
      </c>
      <c r="N123" s="613">
        <v>100035.408</v>
      </c>
      <c r="O123" s="614">
        <v>121772.592</v>
      </c>
      <c r="Q123" s="613">
        <v>864932</v>
      </c>
      <c r="R123" s="676">
        <v>3.8994625982832001</v>
      </c>
      <c r="T123" s="613">
        <v>45273</v>
      </c>
      <c r="U123" s="615">
        <v>33070</v>
      </c>
      <c r="V123" s="615">
        <v>35755</v>
      </c>
      <c r="W123" s="615">
        <v>17540</v>
      </c>
      <c r="X123" s="615">
        <v>28644</v>
      </c>
      <c r="Y123" s="615">
        <v>16198</v>
      </c>
      <c r="Z123" s="615">
        <v>11199</v>
      </c>
      <c r="AA123" s="615" t="s">
        <v>47</v>
      </c>
      <c r="AB123" s="614">
        <v>34129</v>
      </c>
      <c r="AD123" s="366">
        <f t="shared" si="23"/>
        <v>43405</v>
      </c>
      <c r="AE123" s="687">
        <f t="shared" si="28"/>
        <v>0.20410895909976196</v>
      </c>
      <c r="AF123" s="688">
        <f t="shared" si="29"/>
        <v>0.14909290918271659</v>
      </c>
      <c r="AG123" s="688">
        <f t="shared" si="30"/>
        <v>0.16119797302171246</v>
      </c>
      <c r="AH123" s="688">
        <f t="shared" si="31"/>
        <v>7.9077400274110948E-2</v>
      </c>
      <c r="AI123" s="688">
        <f t="shared" si="32"/>
        <v>0.12913871456394721</v>
      </c>
      <c r="AJ123" s="688">
        <f t="shared" si="33"/>
        <v>7.3027122556445209E-2</v>
      </c>
      <c r="AK123" s="688">
        <f t="shared" si="34"/>
        <v>5.0489612637957156E-2</v>
      </c>
      <c r="AL123" s="688" t="s">
        <v>47</v>
      </c>
      <c r="AM123" s="689">
        <f t="shared" si="35"/>
        <v>0.1538673086633485</v>
      </c>
      <c r="AO123" s="700">
        <v>10757.688</v>
      </c>
      <c r="AP123" s="705">
        <v>31408.0128</v>
      </c>
      <c r="AQ123" s="705">
        <v>19474.742399999999</v>
      </c>
      <c r="AR123" s="705">
        <v>121218.072</v>
      </c>
      <c r="AS123" s="701">
        <v>38971.6656</v>
      </c>
      <c r="AU123" s="617">
        <f t="shared" ref="AU123:AY124" si="36">+AO123/SUM($AO123:$AS123)</f>
        <v>4.8495150484951503E-2</v>
      </c>
      <c r="AV123" s="668">
        <f t="shared" si="36"/>
        <v>0.14158584141585842</v>
      </c>
      <c r="AW123" s="668">
        <f t="shared" si="36"/>
        <v>8.7791220877912204E-2</v>
      </c>
      <c r="AX123" s="668">
        <f t="shared" si="36"/>
        <v>0.5464453554644535</v>
      </c>
      <c r="AY123" s="618">
        <f t="shared" si="36"/>
        <v>0.17568243175682433</v>
      </c>
      <c r="BA123" s="617">
        <f t="shared" si="25"/>
        <v>0.13726956618914377</v>
      </c>
      <c r="BB123" s="618">
        <f t="shared" si="26"/>
        <v>0.11546472624972949</v>
      </c>
      <c r="BE123" s="981" t="s">
        <v>161</v>
      </c>
      <c r="BF123" s="981" t="s">
        <v>844</v>
      </c>
    </row>
    <row r="124" spans="1:58" ht="12.75" customHeight="1" outlineLevel="1" x14ac:dyDescent="0.2">
      <c r="A124" s="365" t="s">
        <v>844</v>
      </c>
      <c r="B124" s="366">
        <v>43435</v>
      </c>
      <c r="C124" s="616">
        <v>255204</v>
      </c>
      <c r="D124" s="615">
        <v>225424</v>
      </c>
      <c r="E124" s="614">
        <v>29780</v>
      </c>
      <c r="G124" s="616">
        <v>255.1</v>
      </c>
      <c r="H124" s="675">
        <v>192.1</v>
      </c>
      <c r="I124" s="676">
        <v>63</v>
      </c>
      <c r="K124" s="613">
        <v>169018</v>
      </c>
      <c r="L124" s="614">
        <v>28201</v>
      </c>
      <c r="N124" s="613">
        <v>95737.572799999994</v>
      </c>
      <c r="O124" s="614">
        <v>129686.42720000001</v>
      </c>
      <c r="Q124" s="613">
        <v>980020</v>
      </c>
      <c r="R124" s="676">
        <v>4.3474519128398041</v>
      </c>
      <c r="T124" s="613">
        <v>41575</v>
      </c>
      <c r="U124" s="615">
        <v>33377</v>
      </c>
      <c r="V124" s="615">
        <v>38107</v>
      </c>
      <c r="W124" s="615">
        <v>20023</v>
      </c>
      <c r="X124" s="615">
        <v>29347</v>
      </c>
      <c r="Y124" s="615">
        <v>16661</v>
      </c>
      <c r="Z124" s="615">
        <v>10841</v>
      </c>
      <c r="AA124" s="615" t="s">
        <v>47</v>
      </c>
      <c r="AB124" s="614">
        <v>35493</v>
      </c>
      <c r="AD124" s="366">
        <f t="shared" si="23"/>
        <v>43435</v>
      </c>
      <c r="AE124" s="687">
        <f t="shared" si="28"/>
        <v>0.18443022925686706</v>
      </c>
      <c r="AF124" s="688">
        <f t="shared" si="29"/>
        <v>0.14806320533749734</v>
      </c>
      <c r="AG124" s="688">
        <f t="shared" si="30"/>
        <v>0.16904588686209099</v>
      </c>
      <c r="AH124" s="688">
        <f t="shared" si="31"/>
        <v>8.8823727730853855E-2</v>
      </c>
      <c r="AI124" s="688">
        <f t="shared" si="32"/>
        <v>0.13018578323514798</v>
      </c>
      <c r="AJ124" s="688">
        <f t="shared" si="33"/>
        <v>7.3909610334303363E-2</v>
      </c>
      <c r="AK124" s="688">
        <f t="shared" si="34"/>
        <v>4.8091596280786429E-2</v>
      </c>
      <c r="AL124" s="688" t="s">
        <v>47</v>
      </c>
      <c r="AM124" s="689">
        <f t="shared" si="35"/>
        <v>0.15744996096245298</v>
      </c>
      <c r="AO124" s="700">
        <v>12105.2688</v>
      </c>
      <c r="AP124" s="705">
        <v>33272.582399999999</v>
      </c>
      <c r="AQ124" s="705">
        <v>22046.467199999999</v>
      </c>
      <c r="AR124" s="705">
        <v>114222.34080000001</v>
      </c>
      <c r="AS124" s="701">
        <v>43777.340800000005</v>
      </c>
      <c r="AU124" s="617">
        <f t="shared" si="36"/>
        <v>5.3699999999999998E-2</v>
      </c>
      <c r="AV124" s="668">
        <f t="shared" si="36"/>
        <v>0.14760000000000001</v>
      </c>
      <c r="AW124" s="668">
        <f t="shared" si="36"/>
        <v>9.7799999999999998E-2</v>
      </c>
      <c r="AX124" s="668">
        <f t="shared" si="36"/>
        <v>0.50670000000000004</v>
      </c>
      <c r="AY124" s="618">
        <f t="shared" si="36"/>
        <v>0.19420000000000001</v>
      </c>
      <c r="BA124" s="617">
        <f t="shared" si="25"/>
        <v>0.17619425149984025</v>
      </c>
      <c r="BB124" s="618">
        <f t="shared" si="26"/>
        <v>0.12510202995244518</v>
      </c>
      <c r="BE124" s="981" t="s">
        <v>161</v>
      </c>
      <c r="BF124" s="981" t="s">
        <v>844</v>
      </c>
    </row>
    <row r="125" spans="1:58" ht="12.75" customHeight="1" outlineLevel="1" x14ac:dyDescent="0.2">
      <c r="A125" s="365" t="s">
        <v>862</v>
      </c>
      <c r="B125" s="366">
        <v>43466</v>
      </c>
      <c r="C125" s="402">
        <v>215375</v>
      </c>
      <c r="D125" s="403">
        <v>191209</v>
      </c>
      <c r="E125" s="405">
        <v>24166</v>
      </c>
      <c r="G125" s="402">
        <v>245.6</v>
      </c>
      <c r="H125" s="412">
        <v>160.19999999999999</v>
      </c>
      <c r="I125" s="407">
        <v>85.4</v>
      </c>
      <c r="K125" s="406">
        <v>190415</v>
      </c>
      <c r="L125" s="405">
        <v>23691</v>
      </c>
      <c r="N125" s="406">
        <v>69217.65800000001</v>
      </c>
      <c r="O125" s="405">
        <v>121991.34199999999</v>
      </c>
      <c r="Q125" s="406">
        <v>874511</v>
      </c>
      <c r="R125" s="407">
        <v>4.5735870173475099</v>
      </c>
      <c r="T125" s="406">
        <v>36215</v>
      </c>
      <c r="U125" s="403">
        <v>27891</v>
      </c>
      <c r="V125" s="403">
        <v>35107</v>
      </c>
      <c r="W125" s="403">
        <v>16478</v>
      </c>
      <c r="X125" s="403">
        <v>22845</v>
      </c>
      <c r="Y125" s="403">
        <v>12581</v>
      </c>
      <c r="Z125" s="403">
        <v>9888</v>
      </c>
      <c r="AA125" s="403" t="s">
        <v>47</v>
      </c>
      <c r="AB125" s="405">
        <v>30204</v>
      </c>
      <c r="AD125" s="366">
        <f t="shared" si="23"/>
        <v>43466</v>
      </c>
      <c r="AE125" s="975">
        <f t="shared" si="28"/>
        <v>0.18940008054014193</v>
      </c>
      <c r="AF125" s="976">
        <f t="shared" si="29"/>
        <v>0.14586656485834873</v>
      </c>
      <c r="AG125" s="976">
        <f t="shared" si="30"/>
        <v>0.18360537422401665</v>
      </c>
      <c r="AH125" s="976">
        <f t="shared" si="31"/>
        <v>8.6177951874650258E-2</v>
      </c>
      <c r="AI125" s="976">
        <f t="shared" si="32"/>
        <v>0.11947659367498392</v>
      </c>
      <c r="AJ125" s="976">
        <f t="shared" si="33"/>
        <v>6.579711206062476E-2</v>
      </c>
      <c r="AK125" s="976">
        <f t="shared" si="34"/>
        <v>5.1713046980006172E-2</v>
      </c>
      <c r="AL125" s="976" t="s">
        <v>47</v>
      </c>
      <c r="AM125" s="977">
        <f t="shared" si="35"/>
        <v>0.15796327578722758</v>
      </c>
      <c r="AO125" s="406">
        <v>9694.2963</v>
      </c>
      <c r="AP125" s="403">
        <v>31415.6387</v>
      </c>
      <c r="AQ125" s="403">
        <v>18260.459500000001</v>
      </c>
      <c r="AR125" s="403">
        <v>97382.743699999992</v>
      </c>
      <c r="AS125" s="405">
        <v>34436.740900000004</v>
      </c>
      <c r="AU125" s="978">
        <f t="shared" ref="AU125:AY127" si="37">+AO125/SUM($AO125:$AS125)</f>
        <v>5.0705070507050705E-2</v>
      </c>
      <c r="AV125" s="979">
        <f t="shared" si="37"/>
        <v>0.16431643164316431</v>
      </c>
      <c r="AW125" s="979">
        <f t="shared" si="37"/>
        <v>9.5509550955095515E-2</v>
      </c>
      <c r="AX125" s="979">
        <f t="shared" si="37"/>
        <v>0.50935093509350937</v>
      </c>
      <c r="AY125" s="980">
        <f t="shared" si="37"/>
        <v>0.18011801180118014</v>
      </c>
      <c r="BA125" s="978">
        <f t="shared" si="25"/>
        <v>0.12691227056691962</v>
      </c>
      <c r="BB125" s="980">
        <f t="shared" si="26"/>
        <v>0.12390107160227813</v>
      </c>
      <c r="BE125" s="981" t="s">
        <v>853</v>
      </c>
      <c r="BF125" s="981" t="s">
        <v>862</v>
      </c>
    </row>
    <row r="126" spans="1:58" ht="12.75" customHeight="1" outlineLevel="1" x14ac:dyDescent="0.2">
      <c r="A126" s="365" t="s">
        <v>862</v>
      </c>
      <c r="B126" s="366">
        <v>43497</v>
      </c>
      <c r="C126" s="402">
        <v>229266</v>
      </c>
      <c r="D126" s="403">
        <v>190273</v>
      </c>
      <c r="E126" s="405">
        <v>38993</v>
      </c>
      <c r="G126" s="402">
        <v>288.10000000000002</v>
      </c>
      <c r="H126" s="412">
        <v>180.1</v>
      </c>
      <c r="I126" s="407">
        <v>108</v>
      </c>
      <c r="K126" s="406">
        <v>245782</v>
      </c>
      <c r="L126" s="405">
        <v>21696</v>
      </c>
      <c r="N126" s="406">
        <v>81703.226200000005</v>
      </c>
      <c r="O126" s="405">
        <v>108569.7738</v>
      </c>
      <c r="Q126" s="406">
        <v>834521</v>
      </c>
      <c r="R126" s="407">
        <v>4.3859139236780837</v>
      </c>
      <c r="T126" s="406">
        <v>33871</v>
      </c>
      <c r="U126" s="403">
        <v>25579</v>
      </c>
      <c r="V126" s="403">
        <v>37843</v>
      </c>
      <c r="W126" s="403">
        <v>14297</v>
      </c>
      <c r="X126" s="403">
        <v>23028</v>
      </c>
      <c r="Y126" s="403">
        <v>14155</v>
      </c>
      <c r="Z126" s="403">
        <v>11212</v>
      </c>
      <c r="AA126" s="403" t="s">
        <v>47</v>
      </c>
      <c r="AB126" s="405">
        <v>30288</v>
      </c>
      <c r="AD126" s="366">
        <f t="shared" si="23"/>
        <v>43497</v>
      </c>
      <c r="AE126" s="975">
        <f t="shared" si="28"/>
        <v>0.17801264498904207</v>
      </c>
      <c r="AF126" s="976">
        <f t="shared" si="29"/>
        <v>0.13443315656977081</v>
      </c>
      <c r="AG126" s="976">
        <f t="shared" si="30"/>
        <v>0.19888791368192019</v>
      </c>
      <c r="AH126" s="976">
        <f t="shared" si="31"/>
        <v>7.5139404960241338E-2</v>
      </c>
      <c r="AI126" s="976">
        <f t="shared" si="32"/>
        <v>0.12102610459707894</v>
      </c>
      <c r="AJ126" s="976">
        <f t="shared" si="33"/>
        <v>7.439310884886452E-2</v>
      </c>
      <c r="AK126" s="976">
        <f t="shared" si="34"/>
        <v>5.8925859160259206E-2</v>
      </c>
      <c r="AL126" s="976" t="s">
        <v>47</v>
      </c>
      <c r="AM126" s="977">
        <f t="shared" si="35"/>
        <v>0.15918180719282293</v>
      </c>
      <c r="AO126" s="406">
        <v>9608.7865000000002</v>
      </c>
      <c r="AP126" s="403">
        <v>28636.086499999998</v>
      </c>
      <c r="AQ126" s="403">
        <v>18209.126099999998</v>
      </c>
      <c r="AR126" s="403">
        <v>103736.83960000001</v>
      </c>
      <c r="AS126" s="405">
        <v>30082.1613</v>
      </c>
      <c r="AU126" s="978">
        <f t="shared" si="37"/>
        <v>5.0499999999999996E-2</v>
      </c>
      <c r="AV126" s="979">
        <f t="shared" si="37"/>
        <v>0.15049999999999997</v>
      </c>
      <c r="AW126" s="979">
        <f t="shared" si="37"/>
        <v>9.569999999999998E-2</v>
      </c>
      <c r="AX126" s="979">
        <f t="shared" si="37"/>
        <v>0.54519999999999991</v>
      </c>
      <c r="AY126" s="980">
        <f t="shared" si="37"/>
        <v>0.15809999999999996</v>
      </c>
      <c r="BA126" s="978">
        <f t="shared" si="25"/>
        <v>0.15864872122449977</v>
      </c>
      <c r="BB126" s="980">
        <f t="shared" si="26"/>
        <v>0.11402563684810772</v>
      </c>
      <c r="BE126" s="981" t="s">
        <v>853</v>
      </c>
      <c r="BF126" s="981" t="s">
        <v>862</v>
      </c>
    </row>
    <row r="127" spans="1:58" ht="12.75" customHeight="1" outlineLevel="1" x14ac:dyDescent="0.2">
      <c r="A127" s="365" t="s">
        <v>862</v>
      </c>
      <c r="B127" s="366">
        <v>43525</v>
      </c>
      <c r="C127" s="402">
        <v>236778</v>
      </c>
      <c r="D127" s="403">
        <v>199974</v>
      </c>
      <c r="E127" s="405">
        <v>36804</v>
      </c>
      <c r="G127" s="402">
        <v>296.39999999999998</v>
      </c>
      <c r="H127" s="412">
        <v>190.9</v>
      </c>
      <c r="I127" s="407">
        <v>105.5</v>
      </c>
      <c r="K127" s="406">
        <v>230773</v>
      </c>
      <c r="L127" s="405">
        <v>22726</v>
      </c>
      <c r="N127" s="406">
        <v>95767.548599999995</v>
      </c>
      <c r="O127" s="405">
        <v>104206.45140000001</v>
      </c>
      <c r="Q127" s="406">
        <v>770343</v>
      </c>
      <c r="R127" s="407">
        <v>3.852215788052447</v>
      </c>
      <c r="T127" s="406">
        <v>36330</v>
      </c>
      <c r="U127" s="403">
        <v>28818</v>
      </c>
      <c r="V127" s="403">
        <v>34634</v>
      </c>
      <c r="W127" s="403">
        <v>16744</v>
      </c>
      <c r="X127" s="403">
        <v>27684</v>
      </c>
      <c r="Y127" s="403">
        <v>15029</v>
      </c>
      <c r="Z127" s="403">
        <v>10499</v>
      </c>
      <c r="AA127" s="403" t="s">
        <v>47</v>
      </c>
      <c r="AB127" s="405">
        <v>30236</v>
      </c>
      <c r="AD127" s="366">
        <f t="shared" si="23"/>
        <v>43525</v>
      </c>
      <c r="AE127" s="975">
        <f t="shared" si="28"/>
        <v>0.18167361757028413</v>
      </c>
      <c r="AF127" s="976">
        <f t="shared" si="29"/>
        <v>0.14410873413543759</v>
      </c>
      <c r="AG127" s="976">
        <f t="shared" si="30"/>
        <v>0.17319251502695351</v>
      </c>
      <c r="AH127" s="976">
        <f t="shared" si="31"/>
        <v>8.3730885015051951E-2</v>
      </c>
      <c r="AI127" s="976">
        <f t="shared" si="32"/>
        <v>0.13843799693960215</v>
      </c>
      <c r="AJ127" s="976">
        <f t="shared" si="33"/>
        <v>7.5154770120115622E-2</v>
      </c>
      <c r="AK127" s="976">
        <f t="shared" si="34"/>
        <v>5.250182523728085E-2</v>
      </c>
      <c r="AL127" s="976" t="s">
        <v>47</v>
      </c>
      <c r="AM127" s="977">
        <f t="shared" si="35"/>
        <v>0.15119965595527418</v>
      </c>
      <c r="AO127" s="406">
        <v>9458.7702000000008</v>
      </c>
      <c r="AP127" s="403">
        <v>26756.521199999999</v>
      </c>
      <c r="AQ127" s="403">
        <v>17857.678200000002</v>
      </c>
      <c r="AR127" s="403">
        <v>114545.1072</v>
      </c>
      <c r="AS127" s="405">
        <v>31375.920600000001</v>
      </c>
      <c r="AU127" s="978">
        <f t="shared" si="37"/>
        <v>4.7295270472952705E-2</v>
      </c>
      <c r="AV127" s="979">
        <f t="shared" si="37"/>
        <v>0.1337866213378662</v>
      </c>
      <c r="AW127" s="979">
        <f t="shared" si="37"/>
        <v>8.9291070892910704E-2</v>
      </c>
      <c r="AX127" s="979">
        <f t="shared" si="37"/>
        <v>0.57274272572742724</v>
      </c>
      <c r="AY127" s="980">
        <f t="shared" si="37"/>
        <v>0.15688431156884311</v>
      </c>
      <c r="BA127" s="978">
        <f t="shared" si="25"/>
        <v>0.15948139513721277</v>
      </c>
      <c r="BB127" s="980">
        <f t="shared" si="26"/>
        <v>0.11364477382059668</v>
      </c>
      <c r="BE127" s="981" t="s">
        <v>853</v>
      </c>
      <c r="BF127" s="981" t="s">
        <v>862</v>
      </c>
    </row>
    <row r="128" spans="1:58" ht="12.75" customHeight="1" outlineLevel="1" x14ac:dyDescent="0.2">
      <c r="A128" s="365" t="s">
        <v>922</v>
      </c>
      <c r="B128" s="366">
        <v>43556</v>
      </c>
      <c r="C128" s="402">
        <v>254961</v>
      </c>
      <c r="D128" s="403">
        <v>221723</v>
      </c>
      <c r="E128" s="405">
        <v>33238</v>
      </c>
      <c r="G128" s="402">
        <v>306.2</v>
      </c>
      <c r="H128" s="412">
        <v>186.7</v>
      </c>
      <c r="I128" s="407">
        <v>119.5</v>
      </c>
      <c r="K128" s="406">
        <v>255351</v>
      </c>
      <c r="L128" s="405">
        <v>25871</v>
      </c>
      <c r="N128" s="406">
        <v>103810.7086</v>
      </c>
      <c r="O128" s="405">
        <v>117912.2914</v>
      </c>
      <c r="Q128" s="406">
        <v>880315</v>
      </c>
      <c r="R128" s="407">
        <v>3.9703368617599435</v>
      </c>
      <c r="T128" s="406">
        <v>37991</v>
      </c>
      <c r="U128" s="403">
        <v>32851</v>
      </c>
      <c r="V128" s="403">
        <v>40915</v>
      </c>
      <c r="W128" s="403">
        <v>19678</v>
      </c>
      <c r="X128" s="403">
        <v>25858</v>
      </c>
      <c r="Y128" s="403">
        <v>17888</v>
      </c>
      <c r="Z128" s="403">
        <v>11091</v>
      </c>
      <c r="AA128" s="403" t="s">
        <v>47</v>
      </c>
      <c r="AB128" s="405">
        <v>35451</v>
      </c>
      <c r="AD128" s="366">
        <f t="shared" si="23"/>
        <v>43556</v>
      </c>
      <c r="AE128" s="975">
        <f t="shared" si="28"/>
        <v>0.17134442525132709</v>
      </c>
      <c r="AF128" s="976">
        <f t="shared" si="29"/>
        <v>0.14816234671188824</v>
      </c>
      <c r="AG128" s="976">
        <f t="shared" si="30"/>
        <v>0.18453205125314018</v>
      </c>
      <c r="AH128" s="976">
        <f t="shared" si="31"/>
        <v>8.875037772355597E-2</v>
      </c>
      <c r="AI128" s="976">
        <f t="shared" si="32"/>
        <v>0.11662299355502136</v>
      </c>
      <c r="AJ128" s="976">
        <f t="shared" si="33"/>
        <v>8.0677241422856441E-2</v>
      </c>
      <c r="AK128" s="976">
        <f t="shared" si="34"/>
        <v>5.0021874140256085E-2</v>
      </c>
      <c r="AL128" s="976" t="s">
        <v>47</v>
      </c>
      <c r="AM128" s="977">
        <f t="shared" si="35"/>
        <v>0.1598886899419546</v>
      </c>
      <c r="AO128" s="406">
        <v>10709.2209</v>
      </c>
      <c r="AP128" s="403">
        <v>30642.118599999998</v>
      </c>
      <c r="AQ128" s="403">
        <v>20132.448400000001</v>
      </c>
      <c r="AR128" s="403">
        <v>123544.05560000001</v>
      </c>
      <c r="AS128" s="405">
        <v>36695.156500000005</v>
      </c>
      <c r="AU128" s="978">
        <f t="shared" ref="AU128:AY133" si="38">+AO128/SUM($AO128:$AS128)</f>
        <v>4.8299999999999996E-2</v>
      </c>
      <c r="AV128" s="979">
        <f t="shared" si="38"/>
        <v>0.13819999999999996</v>
      </c>
      <c r="AW128" s="979">
        <f t="shared" si="38"/>
        <v>9.0799999999999992E-2</v>
      </c>
      <c r="AX128" s="979">
        <f t="shared" si="38"/>
        <v>0.55719999999999992</v>
      </c>
      <c r="AY128" s="980">
        <f t="shared" si="38"/>
        <v>0.16550000000000001</v>
      </c>
      <c r="BA128" s="978">
        <f t="shared" si="25"/>
        <v>0.13016592846709041</v>
      </c>
      <c r="BB128" s="980">
        <f t="shared" si="26"/>
        <v>0.11668162527117169</v>
      </c>
      <c r="BE128" s="981" t="s">
        <v>854</v>
      </c>
      <c r="BF128" s="981" t="s">
        <v>922</v>
      </c>
    </row>
    <row r="129" spans="1:58" ht="12.75" customHeight="1" outlineLevel="1" x14ac:dyDescent="0.2">
      <c r="A129" s="365" t="s">
        <v>922</v>
      </c>
      <c r="B129" s="366">
        <v>43586</v>
      </c>
      <c r="C129" s="402">
        <v>274851</v>
      </c>
      <c r="D129" s="403">
        <v>234599</v>
      </c>
      <c r="E129" s="405">
        <v>40252</v>
      </c>
      <c r="G129" s="402">
        <v>321.39999999999998</v>
      </c>
      <c r="H129" s="412">
        <v>186.5</v>
      </c>
      <c r="I129" s="407">
        <v>134.9</v>
      </c>
      <c r="K129" s="406">
        <v>261742</v>
      </c>
      <c r="L129" s="405">
        <v>25323</v>
      </c>
      <c r="N129" s="406">
        <v>109839.2518</v>
      </c>
      <c r="O129" s="405">
        <v>124759.7482</v>
      </c>
      <c r="Q129" s="406">
        <v>958721</v>
      </c>
      <c r="R129" s="407">
        <v>4.0866371979420206</v>
      </c>
      <c r="T129" s="406">
        <v>41140</v>
      </c>
      <c r="U129" s="403">
        <v>38255</v>
      </c>
      <c r="V129" s="403">
        <v>42376</v>
      </c>
      <c r="W129" s="403">
        <v>19091</v>
      </c>
      <c r="X129" s="403">
        <v>28431</v>
      </c>
      <c r="Y129" s="403">
        <v>18047</v>
      </c>
      <c r="Z129" s="403">
        <v>11966</v>
      </c>
      <c r="AA129" s="403" t="s">
        <v>47</v>
      </c>
      <c r="AB129" s="405">
        <v>35293</v>
      </c>
      <c r="AD129" s="366">
        <f t="shared" si="23"/>
        <v>43586</v>
      </c>
      <c r="AE129" s="975">
        <f t="shared" si="28"/>
        <v>0.17536306633873119</v>
      </c>
      <c r="AF129" s="976">
        <f t="shared" si="29"/>
        <v>0.16306548621264369</v>
      </c>
      <c r="AG129" s="976">
        <f t="shared" si="30"/>
        <v>0.18063163099586954</v>
      </c>
      <c r="AH129" s="976">
        <f t="shared" si="31"/>
        <v>8.1377158470411215E-2</v>
      </c>
      <c r="AI129" s="976">
        <f t="shared" si="32"/>
        <v>0.12118977489247609</v>
      </c>
      <c r="AJ129" s="976">
        <f t="shared" si="33"/>
        <v>7.6927011624090463E-2</v>
      </c>
      <c r="AK129" s="976">
        <f t="shared" si="34"/>
        <v>5.1006185022101545E-2</v>
      </c>
      <c r="AL129" s="976" t="s">
        <v>47</v>
      </c>
      <c r="AM129" s="977">
        <f t="shared" si="35"/>
        <v>0.15043968644367622</v>
      </c>
      <c r="AO129" s="406">
        <v>11589.1906</v>
      </c>
      <c r="AP129" s="403">
        <v>32445.041700000002</v>
      </c>
      <c r="AQ129" s="403">
        <v>21278.129300000001</v>
      </c>
      <c r="AR129" s="403">
        <v>132290.37609999999</v>
      </c>
      <c r="AS129" s="405">
        <v>37019.722199999997</v>
      </c>
      <c r="AU129" s="978">
        <f t="shared" si="38"/>
        <v>4.9395060493950607E-2</v>
      </c>
      <c r="AV129" s="979">
        <f t="shared" si="38"/>
        <v>0.13828617138286173</v>
      </c>
      <c r="AW129" s="979">
        <f t="shared" si="38"/>
        <v>9.0690930906909314E-2</v>
      </c>
      <c r="AX129" s="979">
        <f t="shared" si="38"/>
        <v>0.56384361563843621</v>
      </c>
      <c r="AY129" s="980">
        <f t="shared" si="38"/>
        <v>0.15778422157784222</v>
      </c>
      <c r="BA129" s="978">
        <f t="shared" si="25"/>
        <v>0.15378502494823146</v>
      </c>
      <c r="BB129" s="980">
        <f t="shared" si="26"/>
        <v>0.10794163657986607</v>
      </c>
      <c r="BE129" s="981" t="s">
        <v>854</v>
      </c>
      <c r="BF129" s="981" t="s">
        <v>922</v>
      </c>
    </row>
    <row r="130" spans="1:58" ht="12.75" customHeight="1" outlineLevel="1" x14ac:dyDescent="0.2">
      <c r="A130" s="365" t="s">
        <v>922</v>
      </c>
      <c r="B130" s="366">
        <v>43617</v>
      </c>
      <c r="C130" s="402">
        <v>252781</v>
      </c>
      <c r="D130" s="403">
        <v>213995</v>
      </c>
      <c r="E130" s="405">
        <v>38786</v>
      </c>
      <c r="G130" s="402">
        <v>316</v>
      </c>
      <c r="H130" s="412">
        <v>200.6</v>
      </c>
      <c r="I130" s="407">
        <v>115.4</v>
      </c>
      <c r="K130" s="406">
        <v>220782</v>
      </c>
      <c r="L130" s="405">
        <v>22496</v>
      </c>
      <c r="N130" s="406">
        <v>102289.61</v>
      </c>
      <c r="O130" s="405">
        <v>111705.39</v>
      </c>
      <c r="Q130" s="406">
        <v>805014</v>
      </c>
      <c r="R130" s="407">
        <v>3.7618355569055351</v>
      </c>
      <c r="T130" s="406">
        <v>36512</v>
      </c>
      <c r="U130" s="403">
        <v>32516</v>
      </c>
      <c r="V130" s="403">
        <v>41998</v>
      </c>
      <c r="W130" s="403">
        <v>16707</v>
      </c>
      <c r="X130" s="403">
        <v>28960</v>
      </c>
      <c r="Y130" s="403">
        <v>15409</v>
      </c>
      <c r="Z130" s="403">
        <v>10012</v>
      </c>
      <c r="AA130" s="403" t="s">
        <v>47</v>
      </c>
      <c r="AB130" s="405">
        <v>31881</v>
      </c>
      <c r="AD130" s="366">
        <f t="shared" si="23"/>
        <v>43617</v>
      </c>
      <c r="AE130" s="975">
        <f t="shared" si="28"/>
        <v>0.17062080889740414</v>
      </c>
      <c r="AF130" s="976">
        <f t="shared" si="29"/>
        <v>0.15194747540830394</v>
      </c>
      <c r="AG130" s="976">
        <f t="shared" si="30"/>
        <v>0.19625692189069838</v>
      </c>
      <c r="AH130" s="976">
        <f t="shared" si="31"/>
        <v>7.8071917568167476E-2</v>
      </c>
      <c r="AI130" s="976">
        <f t="shared" si="32"/>
        <v>0.13533026472581136</v>
      </c>
      <c r="AJ130" s="976">
        <f t="shared" si="33"/>
        <v>7.2006355288674967E-2</v>
      </c>
      <c r="AK130" s="976">
        <f t="shared" si="34"/>
        <v>4.678613986308091E-2</v>
      </c>
      <c r="AL130" s="976" t="s">
        <v>47</v>
      </c>
      <c r="AM130" s="977">
        <f t="shared" si="35"/>
        <v>0.14898011635785882</v>
      </c>
      <c r="AO130" s="406">
        <v>10977.943499999999</v>
      </c>
      <c r="AP130" s="403">
        <v>28696.729499999998</v>
      </c>
      <c r="AQ130" s="403">
        <v>19131.152999999998</v>
      </c>
      <c r="AR130" s="403">
        <v>121249.567</v>
      </c>
      <c r="AS130" s="405">
        <v>33939.606999999996</v>
      </c>
      <c r="AU130" s="978">
        <f t="shared" si="38"/>
        <v>5.1300000000000005E-2</v>
      </c>
      <c r="AV130" s="979">
        <f t="shared" si="38"/>
        <v>0.1341</v>
      </c>
      <c r="AW130" s="979">
        <f t="shared" si="38"/>
        <v>8.9400000000000007E-2</v>
      </c>
      <c r="AX130" s="979">
        <f t="shared" si="38"/>
        <v>0.5666000000000001</v>
      </c>
      <c r="AY130" s="980">
        <f t="shared" si="38"/>
        <v>0.15859999999999999</v>
      </c>
      <c r="BA130" s="978">
        <f t="shared" si="25"/>
        <v>0.17567555326068249</v>
      </c>
      <c r="BB130" s="980">
        <f t="shared" si="26"/>
        <v>0.10512395149419379</v>
      </c>
      <c r="BE130" s="981" t="s">
        <v>854</v>
      </c>
      <c r="BF130" s="981" t="s">
        <v>922</v>
      </c>
    </row>
    <row r="131" spans="1:58" ht="12.75" customHeight="1" outlineLevel="1" x14ac:dyDescent="0.2">
      <c r="A131" s="365" t="s">
        <v>923</v>
      </c>
      <c r="B131" s="366">
        <v>43647</v>
      </c>
      <c r="C131" s="402">
        <v>272954</v>
      </c>
      <c r="D131" s="403">
        <v>232861</v>
      </c>
      <c r="E131" s="405">
        <v>40093</v>
      </c>
      <c r="G131" s="402">
        <v>320.39999999999998</v>
      </c>
      <c r="H131" s="412">
        <v>181.9</v>
      </c>
      <c r="I131" s="407">
        <v>138.5</v>
      </c>
      <c r="K131" s="406">
        <v>253434</v>
      </c>
      <c r="L131" s="405">
        <v>24913</v>
      </c>
      <c r="N131" s="406">
        <v>105718.89399999999</v>
      </c>
      <c r="O131" s="405">
        <v>127142.10600000001</v>
      </c>
      <c r="Q131" s="406">
        <v>1008381</v>
      </c>
      <c r="R131" s="407">
        <v>4.3303988216146116</v>
      </c>
      <c r="T131" s="406">
        <v>40523</v>
      </c>
      <c r="U131" s="403">
        <v>35714</v>
      </c>
      <c r="V131" s="403">
        <v>44497</v>
      </c>
      <c r="W131" s="403">
        <v>20733</v>
      </c>
      <c r="X131" s="403">
        <v>27588</v>
      </c>
      <c r="Y131" s="403">
        <v>17912</v>
      </c>
      <c r="Z131" s="403">
        <v>10975</v>
      </c>
      <c r="AA131" s="403" t="s">
        <v>47</v>
      </c>
      <c r="AB131" s="405">
        <v>34919</v>
      </c>
      <c r="AD131" s="366">
        <f t="shared" si="23"/>
        <v>43647</v>
      </c>
      <c r="AE131" s="975">
        <f t="shared" si="28"/>
        <v>0.1740222707967414</v>
      </c>
      <c r="AF131" s="976">
        <f t="shared" si="29"/>
        <v>0.15337046564259366</v>
      </c>
      <c r="AG131" s="976">
        <f t="shared" si="30"/>
        <v>0.19108824577752392</v>
      </c>
      <c r="AH131" s="976">
        <f t="shared" si="31"/>
        <v>8.9035948484288904E-2</v>
      </c>
      <c r="AI131" s="976">
        <f t="shared" si="32"/>
        <v>0.11847411116502979</v>
      </c>
      <c r="AJ131" s="976">
        <f t="shared" si="33"/>
        <v>7.6921425227925666E-2</v>
      </c>
      <c r="AK131" s="976">
        <f t="shared" si="34"/>
        <v>4.7131121140938155E-2</v>
      </c>
      <c r="AL131" s="976" t="s">
        <v>47</v>
      </c>
      <c r="AM131" s="977">
        <f t="shared" si="35"/>
        <v>0.1499564117649585</v>
      </c>
      <c r="AO131" s="406">
        <v>12690.924499999999</v>
      </c>
      <c r="AP131" s="403">
        <v>34463.428</v>
      </c>
      <c r="AQ131" s="403">
        <v>21795.7896</v>
      </c>
      <c r="AR131" s="403">
        <v>125302.50410000001</v>
      </c>
      <c r="AS131" s="405">
        <v>38585.0677</v>
      </c>
      <c r="AU131" s="978">
        <f t="shared" si="38"/>
        <v>5.4505450545054492E-2</v>
      </c>
      <c r="AV131" s="979">
        <f t="shared" si="38"/>
        <v>0.14801480148014801</v>
      </c>
      <c r="AW131" s="979">
        <f t="shared" si="38"/>
        <v>9.3609360936093594E-2</v>
      </c>
      <c r="AX131" s="979">
        <f t="shared" si="38"/>
        <v>0.53815381538153806</v>
      </c>
      <c r="AY131" s="980">
        <f t="shared" si="38"/>
        <v>0.16571657165716569</v>
      </c>
      <c r="BA131" s="978">
        <f t="shared" si="25"/>
        <v>0.15819897882683459</v>
      </c>
      <c r="BB131" s="980">
        <f t="shared" si="26"/>
        <v>0.10698657138808131</v>
      </c>
      <c r="BE131" s="981" t="s">
        <v>855</v>
      </c>
      <c r="BF131" s="981" t="s">
        <v>923</v>
      </c>
    </row>
    <row r="132" spans="1:58" ht="12.75" customHeight="1" outlineLevel="1" x14ac:dyDescent="0.2">
      <c r="A132" s="365" t="s">
        <v>923</v>
      </c>
      <c r="B132" s="366">
        <v>43678</v>
      </c>
      <c r="C132" s="402">
        <v>266440</v>
      </c>
      <c r="D132" s="403">
        <v>231522</v>
      </c>
      <c r="E132" s="405">
        <v>34918</v>
      </c>
      <c r="G132" s="402">
        <v>343.2</v>
      </c>
      <c r="H132" s="412">
        <v>183.5</v>
      </c>
      <c r="I132" s="407">
        <v>159.69999999999999</v>
      </c>
      <c r="K132" s="406">
        <v>256360</v>
      </c>
      <c r="L132" s="405">
        <v>25875</v>
      </c>
      <c r="N132" s="406">
        <v>104578.4874</v>
      </c>
      <c r="O132" s="405">
        <v>126943.5126</v>
      </c>
      <c r="Q132" s="406">
        <v>986311</v>
      </c>
      <c r="R132" s="407">
        <v>4.2601178289752157</v>
      </c>
      <c r="T132" s="406">
        <v>42374</v>
      </c>
      <c r="U132" s="403">
        <v>38906</v>
      </c>
      <c r="V132" s="403">
        <v>41525</v>
      </c>
      <c r="W132" s="403">
        <v>17464</v>
      </c>
      <c r="X132" s="403">
        <v>27422</v>
      </c>
      <c r="Y132" s="403">
        <v>18365</v>
      </c>
      <c r="Z132" s="403">
        <v>9971</v>
      </c>
      <c r="AA132" s="403" t="s">
        <v>47</v>
      </c>
      <c r="AB132" s="405">
        <v>35495</v>
      </c>
      <c r="AD132" s="366">
        <f t="shared" si="23"/>
        <v>43678</v>
      </c>
      <c r="AE132" s="975">
        <f t="shared" si="28"/>
        <v>0.18302364354143449</v>
      </c>
      <c r="AF132" s="976">
        <f t="shared" si="29"/>
        <v>0.16804450548975908</v>
      </c>
      <c r="AG132" s="976">
        <f t="shared" si="30"/>
        <v>0.17935660541978732</v>
      </c>
      <c r="AH132" s="976">
        <f t="shared" si="31"/>
        <v>7.5431276509359796E-2</v>
      </c>
      <c r="AI132" s="976">
        <f t="shared" si="32"/>
        <v>0.11844230785843246</v>
      </c>
      <c r="AJ132" s="976">
        <f t="shared" si="33"/>
        <v>7.9322915316902928E-2</v>
      </c>
      <c r="AK132" s="976">
        <f t="shared" si="34"/>
        <v>4.3067181520546644E-2</v>
      </c>
      <c r="AL132" s="976" t="s">
        <v>47</v>
      </c>
      <c r="AM132" s="977">
        <f t="shared" si="35"/>
        <v>0.15331156434377727</v>
      </c>
      <c r="AO132" s="406">
        <v>12502.188</v>
      </c>
      <c r="AP132" s="403">
        <v>33825.364200000004</v>
      </c>
      <c r="AQ132" s="403">
        <v>22087.198799999998</v>
      </c>
      <c r="AR132" s="403">
        <v>124489.37939999999</v>
      </c>
      <c r="AS132" s="405">
        <v>38617.869599999998</v>
      </c>
      <c r="AU132" s="978">
        <f t="shared" si="38"/>
        <v>5.3999999999999999E-2</v>
      </c>
      <c r="AV132" s="979">
        <f t="shared" si="38"/>
        <v>0.14610000000000001</v>
      </c>
      <c r="AW132" s="979">
        <f t="shared" si="38"/>
        <v>9.5399999999999999E-2</v>
      </c>
      <c r="AX132" s="979">
        <f t="shared" si="38"/>
        <v>0.53769999999999996</v>
      </c>
      <c r="AY132" s="980">
        <f t="shared" si="38"/>
        <v>0.1668</v>
      </c>
      <c r="BA132" s="978">
        <f t="shared" si="25"/>
        <v>0.13620689655172413</v>
      </c>
      <c r="BB132" s="980">
        <f t="shared" si="26"/>
        <v>0.11176043745302822</v>
      </c>
      <c r="BE132" s="981" t="s">
        <v>855</v>
      </c>
      <c r="BF132" s="981" t="s">
        <v>923</v>
      </c>
    </row>
    <row r="133" spans="1:58" ht="12.75" customHeight="1" outlineLevel="1" x14ac:dyDescent="0.2">
      <c r="A133" s="365" t="s">
        <v>923</v>
      </c>
      <c r="B133" s="366">
        <v>43709</v>
      </c>
      <c r="C133" s="402">
        <v>259206</v>
      </c>
      <c r="D133" s="403">
        <v>224014</v>
      </c>
      <c r="E133" s="405">
        <v>35192</v>
      </c>
      <c r="G133" s="402">
        <v>348.6</v>
      </c>
      <c r="H133" s="412">
        <v>200</v>
      </c>
      <c r="I133" s="407">
        <v>148.6</v>
      </c>
      <c r="K133" s="406">
        <v>234636</v>
      </c>
      <c r="L133" s="405">
        <v>24648</v>
      </c>
      <c r="N133" s="406">
        <v>103360.05960000001</v>
      </c>
      <c r="O133" s="405">
        <v>120653.94039999999</v>
      </c>
      <c r="Q133" s="406">
        <v>939718</v>
      </c>
      <c r="R133" s="407">
        <v>4.1949074611408212</v>
      </c>
      <c r="T133" s="406">
        <v>40837</v>
      </c>
      <c r="U133" s="403">
        <v>35387</v>
      </c>
      <c r="V133" s="403">
        <v>40705</v>
      </c>
      <c r="W133" s="403">
        <v>15889</v>
      </c>
      <c r="X133" s="403">
        <v>31397</v>
      </c>
      <c r="Y133" s="403">
        <v>15191</v>
      </c>
      <c r="Z133" s="403">
        <v>10651</v>
      </c>
      <c r="AA133" s="403" t="s">
        <v>47</v>
      </c>
      <c r="AB133" s="405">
        <v>33957</v>
      </c>
      <c r="AD133" s="366">
        <f t="shared" ref="AD133:AD164" si="39">+B133</f>
        <v>43709</v>
      </c>
      <c r="AE133" s="975">
        <f t="shared" si="28"/>
        <v>0.18229664217414984</v>
      </c>
      <c r="AF133" s="976">
        <f t="shared" si="29"/>
        <v>0.15796780558357959</v>
      </c>
      <c r="AG133" s="976">
        <f t="shared" si="30"/>
        <v>0.18170739328791952</v>
      </c>
      <c r="AH133" s="976">
        <f t="shared" si="31"/>
        <v>7.0928602676618421E-2</v>
      </c>
      <c r="AI133" s="976">
        <f t="shared" si="32"/>
        <v>0.14015641879525387</v>
      </c>
      <c r="AJ133" s="976">
        <f t="shared" si="33"/>
        <v>6.7812725990339884E-2</v>
      </c>
      <c r="AK133" s="976">
        <f t="shared" si="34"/>
        <v>4.7546135509387806E-2</v>
      </c>
      <c r="AL133" s="976" t="s">
        <v>47</v>
      </c>
      <c r="AM133" s="977">
        <f t="shared" si="35"/>
        <v>0.15158427598275107</v>
      </c>
      <c r="AO133" s="406">
        <v>12007.1504</v>
      </c>
      <c r="AP133" s="403">
        <v>32034.001999999997</v>
      </c>
      <c r="AQ133" s="403">
        <v>19130.795600000001</v>
      </c>
      <c r="AR133" s="403">
        <v>123498.9182</v>
      </c>
      <c r="AS133" s="405">
        <v>37365.535199999998</v>
      </c>
      <c r="AU133" s="978">
        <f t="shared" si="38"/>
        <v>5.3594640535946411E-2</v>
      </c>
      <c r="AV133" s="979">
        <f t="shared" si="38"/>
        <v>0.142985701429857</v>
      </c>
      <c r="AW133" s="979">
        <f t="shared" si="38"/>
        <v>8.5391460853914622E-2</v>
      </c>
      <c r="AX133" s="979">
        <f t="shared" si="38"/>
        <v>0.55124487551244883</v>
      </c>
      <c r="AY133" s="980">
        <f t="shared" si="38"/>
        <v>0.16678332166783322</v>
      </c>
      <c r="BA133" s="978">
        <f t="shared" si="25"/>
        <v>0.14998550946998757</v>
      </c>
      <c r="BB133" s="980">
        <f t="shared" si="26"/>
        <v>0.11002883748337157</v>
      </c>
      <c r="BE133" s="981" t="s">
        <v>855</v>
      </c>
      <c r="BF133" s="981" t="s">
        <v>923</v>
      </c>
    </row>
    <row r="134" spans="1:58" ht="12.75" customHeight="1" outlineLevel="1" x14ac:dyDescent="0.2">
      <c r="A134" s="365" t="s">
        <v>924</v>
      </c>
      <c r="B134" s="366">
        <v>43739</v>
      </c>
      <c r="C134" s="402">
        <v>269753</v>
      </c>
      <c r="D134" s="403">
        <v>241786</v>
      </c>
      <c r="E134" s="405">
        <v>27967</v>
      </c>
      <c r="G134" s="402">
        <v>365.1</v>
      </c>
      <c r="H134" s="412">
        <v>191.5</v>
      </c>
      <c r="I134" s="407">
        <v>173.6</v>
      </c>
      <c r="K134" s="406">
        <v>274583</v>
      </c>
      <c r="L134" s="405">
        <v>24929</v>
      </c>
      <c r="N134" s="406">
        <v>112865.70479999999</v>
      </c>
      <c r="O134" s="405">
        <v>128920.29520000001</v>
      </c>
      <c r="Q134" s="406">
        <v>1015763</v>
      </c>
      <c r="R134" s="407">
        <v>4.2010827756776656</v>
      </c>
      <c r="T134" s="406">
        <v>43296</v>
      </c>
      <c r="U134" s="403">
        <v>37372</v>
      </c>
      <c r="V134" s="403">
        <v>46949</v>
      </c>
      <c r="W134" s="403">
        <v>19957</v>
      </c>
      <c r="X134" s="403">
        <v>28961</v>
      </c>
      <c r="Y134" s="403">
        <v>16425</v>
      </c>
      <c r="Z134" s="403">
        <v>10715</v>
      </c>
      <c r="AA134" s="403" t="s">
        <v>47</v>
      </c>
      <c r="AB134" s="405">
        <v>38111</v>
      </c>
      <c r="AD134" s="366">
        <f t="shared" si="39"/>
        <v>43739</v>
      </c>
      <c r="AE134" s="975">
        <f t="shared" si="28"/>
        <v>0.17906743980213907</v>
      </c>
      <c r="AF134" s="976">
        <f t="shared" si="29"/>
        <v>0.15456643478117013</v>
      </c>
      <c r="AG134" s="976">
        <f t="shared" si="30"/>
        <v>0.19417584144656846</v>
      </c>
      <c r="AH134" s="976">
        <f t="shared" si="31"/>
        <v>8.2539932005988761E-2</v>
      </c>
      <c r="AI134" s="976">
        <f t="shared" si="32"/>
        <v>0.11977947441125623</v>
      </c>
      <c r="AJ134" s="976">
        <f t="shared" si="33"/>
        <v>6.793197290165684E-2</v>
      </c>
      <c r="AK134" s="976">
        <f t="shared" si="34"/>
        <v>4.4316048075570956E-2</v>
      </c>
      <c r="AL134" s="976" t="s">
        <v>47</v>
      </c>
      <c r="AM134" s="977">
        <f t="shared" si="35"/>
        <v>0.15762285657564953</v>
      </c>
      <c r="AO134" s="406">
        <v>11895.8712</v>
      </c>
      <c r="AP134" s="403">
        <v>34817.183999999994</v>
      </c>
      <c r="AQ134" s="403">
        <v>21929.9902</v>
      </c>
      <c r="AR134" s="403">
        <v>130008.33219999999</v>
      </c>
      <c r="AS134" s="405">
        <v>43158.800999999999</v>
      </c>
      <c r="AU134" s="978">
        <f t="shared" ref="AU134:AY135" si="40">+AO134/SUM($AO134:$AS134)</f>
        <v>4.9195080491950802E-2</v>
      </c>
      <c r="AV134" s="979">
        <f t="shared" si="40"/>
        <v>0.14398560143985598</v>
      </c>
      <c r="AW134" s="979">
        <f t="shared" si="40"/>
        <v>9.0690930906909301E-2</v>
      </c>
      <c r="AX134" s="979">
        <f t="shared" si="40"/>
        <v>0.53764623537646228</v>
      </c>
      <c r="AY134" s="980">
        <f t="shared" si="40"/>
        <v>0.17848215178482152</v>
      </c>
      <c r="BA134" s="978">
        <f t="shared" si="25"/>
        <v>0.10185262743869795</v>
      </c>
      <c r="BB134" s="980">
        <f t="shared" si="26"/>
        <v>0.10310357092635636</v>
      </c>
      <c r="BE134" s="981" t="s">
        <v>856</v>
      </c>
      <c r="BF134" s="981" t="s">
        <v>924</v>
      </c>
    </row>
    <row r="135" spans="1:58" ht="12.75" customHeight="1" outlineLevel="1" x14ac:dyDescent="0.2">
      <c r="A135" s="365" t="s">
        <v>924</v>
      </c>
      <c r="B135" s="366">
        <v>43770</v>
      </c>
      <c r="C135" s="402">
        <v>261441</v>
      </c>
      <c r="D135" s="403">
        <v>231590</v>
      </c>
      <c r="E135" s="405">
        <v>29851</v>
      </c>
      <c r="G135" s="402">
        <v>329.4</v>
      </c>
      <c r="H135" s="412">
        <v>193.2</v>
      </c>
      <c r="I135" s="407">
        <v>136.19999999999999</v>
      </c>
      <c r="K135" s="406">
        <v>216645</v>
      </c>
      <c r="L135" s="405">
        <v>23381</v>
      </c>
      <c r="N135" s="406">
        <v>106045.06099999999</v>
      </c>
      <c r="O135" s="405">
        <v>125544.93900000001</v>
      </c>
      <c r="Q135" s="406">
        <v>917410</v>
      </c>
      <c r="R135" s="407">
        <v>3.9613541171898614</v>
      </c>
      <c r="T135" s="406">
        <v>41361</v>
      </c>
      <c r="U135" s="403">
        <v>36926</v>
      </c>
      <c r="V135" s="403">
        <v>44143</v>
      </c>
      <c r="W135" s="403">
        <v>18428</v>
      </c>
      <c r="X135" s="403">
        <v>29490</v>
      </c>
      <c r="Y135" s="403">
        <v>15255</v>
      </c>
      <c r="Z135" s="403">
        <v>10799</v>
      </c>
      <c r="AA135" s="403" t="s">
        <v>47</v>
      </c>
      <c r="AB135" s="405">
        <v>35188</v>
      </c>
      <c r="AD135" s="366">
        <f t="shared" si="39"/>
        <v>43770</v>
      </c>
      <c r="AE135" s="975">
        <f t="shared" si="28"/>
        <v>0.17859579429163608</v>
      </c>
      <c r="AF135" s="976">
        <f t="shared" si="29"/>
        <v>0.15944557191588582</v>
      </c>
      <c r="AG135" s="976">
        <f t="shared" si="30"/>
        <v>0.19060840278077637</v>
      </c>
      <c r="AH135" s="976">
        <f t="shared" si="31"/>
        <v>7.957165680728874E-2</v>
      </c>
      <c r="AI135" s="976">
        <f t="shared" si="32"/>
        <v>0.12733710436547346</v>
      </c>
      <c r="AJ135" s="976">
        <f t="shared" si="33"/>
        <v>6.5870719806554692E-2</v>
      </c>
      <c r="AK135" s="976">
        <f t="shared" si="34"/>
        <v>4.6629819940411932E-2</v>
      </c>
      <c r="AL135" s="976" t="s">
        <v>47</v>
      </c>
      <c r="AM135" s="977">
        <f t="shared" si="35"/>
        <v>0.15194093009197288</v>
      </c>
      <c r="AO135" s="406">
        <v>11070.002</v>
      </c>
      <c r="AP135" s="403">
        <v>31426.762999999995</v>
      </c>
      <c r="AQ135" s="403">
        <v>18897.744000000002</v>
      </c>
      <c r="AR135" s="403">
        <v>130940.986</v>
      </c>
      <c r="AS135" s="405">
        <v>39254.505000000005</v>
      </c>
      <c r="AU135" s="978">
        <f t="shared" si="40"/>
        <v>4.7800000000000002E-2</v>
      </c>
      <c r="AV135" s="979">
        <f t="shared" si="40"/>
        <v>0.13569999999999999</v>
      </c>
      <c r="AW135" s="979">
        <f t="shared" si="40"/>
        <v>8.1600000000000006E-2</v>
      </c>
      <c r="AX135" s="979">
        <f t="shared" si="40"/>
        <v>0.56540000000000001</v>
      </c>
      <c r="AY135" s="980">
        <f t="shared" si="40"/>
        <v>0.16950000000000001</v>
      </c>
      <c r="BA135" s="978">
        <f t="shared" si="25"/>
        <v>0.13778762491633778</v>
      </c>
      <c r="BB135" s="980">
        <f t="shared" si="26"/>
        <v>0.10095859061272075</v>
      </c>
      <c r="BE135" s="981" t="s">
        <v>856</v>
      </c>
      <c r="BF135" s="981" t="s">
        <v>924</v>
      </c>
    </row>
    <row r="136" spans="1:58" ht="12.75" customHeight="1" outlineLevel="1" x14ac:dyDescent="0.2">
      <c r="A136" s="365" t="s">
        <v>924</v>
      </c>
      <c r="B136" s="366">
        <v>43800</v>
      </c>
      <c r="C136" s="402">
        <v>279287</v>
      </c>
      <c r="D136" s="403">
        <v>252037</v>
      </c>
      <c r="E136" s="405">
        <v>27250</v>
      </c>
      <c r="G136" s="402">
        <v>287.60000000000002</v>
      </c>
      <c r="H136" s="412">
        <v>207.7</v>
      </c>
      <c r="I136" s="407">
        <v>79.900000000000006</v>
      </c>
      <c r="K136" s="406">
        <v>163338</v>
      </c>
      <c r="L136" s="405">
        <v>28993</v>
      </c>
      <c r="N136" s="406">
        <v>112181.66869999999</v>
      </c>
      <c r="O136" s="405">
        <v>139855.33130000002</v>
      </c>
      <c r="Q136" s="406">
        <v>985380</v>
      </c>
      <c r="R136" s="407">
        <v>3.9096640572614336</v>
      </c>
      <c r="T136" s="406">
        <v>45297</v>
      </c>
      <c r="U136" s="403">
        <v>40790</v>
      </c>
      <c r="V136" s="403">
        <v>45388</v>
      </c>
      <c r="W136" s="403">
        <v>21433</v>
      </c>
      <c r="X136" s="403">
        <v>33574</v>
      </c>
      <c r="Y136" s="403">
        <v>17727</v>
      </c>
      <c r="Z136" s="403">
        <v>11351</v>
      </c>
      <c r="AA136" s="403" t="s">
        <v>47</v>
      </c>
      <c r="AB136" s="405">
        <v>36477</v>
      </c>
      <c r="AD136" s="366">
        <f t="shared" si="39"/>
        <v>43800</v>
      </c>
      <c r="AE136" s="975">
        <f t="shared" si="28"/>
        <v>0.17972361200934783</v>
      </c>
      <c r="AF136" s="976">
        <f t="shared" si="29"/>
        <v>0.16184131694949552</v>
      </c>
      <c r="AG136" s="976">
        <f t="shared" si="30"/>
        <v>0.18008467010796034</v>
      </c>
      <c r="AH136" s="976">
        <f t="shared" si="31"/>
        <v>8.5039101401778311E-2</v>
      </c>
      <c r="AI136" s="976">
        <f t="shared" si="32"/>
        <v>0.13321060003094784</v>
      </c>
      <c r="AJ136" s="976">
        <f t="shared" si="33"/>
        <v>7.0334911143998702E-2</v>
      </c>
      <c r="AK136" s="976">
        <f t="shared" si="34"/>
        <v>4.5037038212643384E-2</v>
      </c>
      <c r="AL136" s="976" t="s">
        <v>47</v>
      </c>
      <c r="AM136" s="977">
        <f t="shared" si="35"/>
        <v>0.14472875014382808</v>
      </c>
      <c r="AO136" s="406">
        <v>12274.2019</v>
      </c>
      <c r="AP136" s="403">
        <v>36469.753899999996</v>
      </c>
      <c r="AQ136" s="403">
        <v>22355.6819</v>
      </c>
      <c r="AR136" s="403">
        <v>131235.66590000002</v>
      </c>
      <c r="AS136" s="405">
        <v>49726.900099999999</v>
      </c>
      <c r="AU136" s="978">
        <f t="shared" ref="AU136:AY139" si="41">+AO136/SUM($AO136:$AS136)</f>
        <v>4.8695130486951302E-2</v>
      </c>
      <c r="AV136" s="979">
        <f t="shared" si="41"/>
        <v>0.14468553144685528</v>
      </c>
      <c r="AW136" s="979">
        <f t="shared" si="41"/>
        <v>8.8691130886911301E-2</v>
      </c>
      <c r="AX136" s="979">
        <f t="shared" si="41"/>
        <v>0.52064793520647945</v>
      </c>
      <c r="AY136" s="980">
        <f t="shared" si="41"/>
        <v>0.19728027197280271</v>
      </c>
      <c r="BA136" s="978">
        <f t="shared" si="25"/>
        <v>0.16683196806621853</v>
      </c>
      <c r="BB136" s="980">
        <f t="shared" si="26"/>
        <v>0.11503469728650952</v>
      </c>
      <c r="BE136" s="981" t="s">
        <v>856</v>
      </c>
      <c r="BF136" s="981" t="s">
        <v>924</v>
      </c>
    </row>
    <row r="137" spans="1:58" ht="12.75" customHeight="1" outlineLevel="1" x14ac:dyDescent="0.2">
      <c r="A137" s="365" t="s">
        <v>995</v>
      </c>
      <c r="B137" s="366">
        <v>43831</v>
      </c>
      <c r="C137" s="704">
        <v>204072</v>
      </c>
      <c r="D137" s="705">
        <v>184682</v>
      </c>
      <c r="E137" s="701">
        <v>19390</v>
      </c>
      <c r="G137" s="704">
        <v>273.5</v>
      </c>
      <c r="H137" s="706">
        <v>184.5</v>
      </c>
      <c r="I137" s="707">
        <v>89</v>
      </c>
      <c r="K137" s="700">
        <v>183136</v>
      </c>
      <c r="L137" s="701">
        <v>21825</v>
      </c>
      <c r="N137" s="700">
        <v>71287.252000000008</v>
      </c>
      <c r="O137" s="701">
        <v>113394.74799999999</v>
      </c>
      <c r="Q137" s="700">
        <v>916361</v>
      </c>
      <c r="R137" s="707">
        <v>4.9618316890655292</v>
      </c>
      <c r="T137" s="700">
        <v>35083</v>
      </c>
      <c r="U137" s="705">
        <v>29247</v>
      </c>
      <c r="V137" s="705">
        <v>34580</v>
      </c>
      <c r="W137" s="705">
        <v>15201</v>
      </c>
      <c r="X137" s="705">
        <v>22845</v>
      </c>
      <c r="Y137" s="705">
        <v>14998</v>
      </c>
      <c r="Z137" s="705">
        <v>8412</v>
      </c>
      <c r="AA137" s="705" t="s">
        <v>47</v>
      </c>
      <c r="AB137" s="701">
        <v>24316</v>
      </c>
      <c r="AD137" s="366">
        <f t="shared" si="39"/>
        <v>43831</v>
      </c>
      <c r="AE137" s="708">
        <f t="shared" si="28"/>
        <v>0.18996437118939583</v>
      </c>
      <c r="AF137" s="709">
        <f t="shared" si="29"/>
        <v>0.15836410695140837</v>
      </c>
      <c r="AG137" s="709">
        <f t="shared" si="30"/>
        <v>0.18724077062193392</v>
      </c>
      <c r="AH137" s="709">
        <f t="shared" si="31"/>
        <v>8.2309050151070484E-2</v>
      </c>
      <c r="AI137" s="709">
        <f t="shared" si="32"/>
        <v>0.12369911523591903</v>
      </c>
      <c r="AJ137" s="709">
        <f t="shared" si="33"/>
        <v>8.1209863440941721E-2</v>
      </c>
      <c r="AK137" s="709">
        <f t="shared" si="34"/>
        <v>4.5548564559621404E-2</v>
      </c>
      <c r="AL137" s="709" t="s">
        <v>47</v>
      </c>
      <c r="AM137" s="710">
        <f t="shared" si="35"/>
        <v>0.13166415784970922</v>
      </c>
      <c r="AO137" s="700">
        <v>10803.897000000001</v>
      </c>
      <c r="AP137" s="705">
        <v>31340.535399999997</v>
      </c>
      <c r="AQ137" s="705">
        <v>18228.113399999998</v>
      </c>
      <c r="AR137" s="705">
        <v>90531.116399999999</v>
      </c>
      <c r="AS137" s="701">
        <v>33796.805999999997</v>
      </c>
      <c r="AU137" s="711">
        <f t="shared" si="41"/>
        <v>5.8494150584941507E-2</v>
      </c>
      <c r="AV137" s="712">
        <f t="shared" si="41"/>
        <v>0.1696830316968303</v>
      </c>
      <c r="AW137" s="712">
        <f t="shared" si="41"/>
        <v>9.8690130986901298E-2</v>
      </c>
      <c r="AX137" s="712">
        <f t="shared" si="41"/>
        <v>0.49015098490150982</v>
      </c>
      <c r="AY137" s="713">
        <f t="shared" si="41"/>
        <v>0.18298170182981699</v>
      </c>
      <c r="BA137" s="711">
        <f t="shared" si="25"/>
        <v>0.10587759916127905</v>
      </c>
      <c r="BB137" s="713">
        <f t="shared" si="26"/>
        <v>0.11817610812098635</v>
      </c>
      <c r="BE137" s="981" t="s">
        <v>991</v>
      </c>
      <c r="BF137" s="981" t="s">
        <v>995</v>
      </c>
    </row>
    <row r="138" spans="1:58" ht="12.75" customHeight="1" outlineLevel="1" x14ac:dyDescent="0.2">
      <c r="A138" s="365" t="s">
        <v>995</v>
      </c>
      <c r="B138" s="366">
        <v>43862</v>
      </c>
      <c r="C138" s="704">
        <v>229643</v>
      </c>
      <c r="D138" s="705">
        <v>193299</v>
      </c>
      <c r="E138" s="701">
        <v>36344</v>
      </c>
      <c r="G138" s="704">
        <v>256.89999999999998</v>
      </c>
      <c r="H138" s="706">
        <v>175</v>
      </c>
      <c r="I138" s="707">
        <v>81.900000000000006</v>
      </c>
      <c r="K138" s="700">
        <v>192519</v>
      </c>
      <c r="L138" s="701">
        <v>20816</v>
      </c>
      <c r="N138" s="700">
        <v>88859.550300000003</v>
      </c>
      <c r="O138" s="701">
        <v>104439.4497</v>
      </c>
      <c r="Q138" s="700">
        <v>761333</v>
      </c>
      <c r="R138" s="707">
        <v>3.9386287564860658</v>
      </c>
      <c r="T138" s="700">
        <v>34145</v>
      </c>
      <c r="U138" s="705">
        <v>31628</v>
      </c>
      <c r="V138" s="705">
        <v>36629</v>
      </c>
      <c r="W138" s="705">
        <v>14768</v>
      </c>
      <c r="X138" s="705">
        <v>22806</v>
      </c>
      <c r="Y138" s="705">
        <v>18393</v>
      </c>
      <c r="Z138" s="705">
        <v>8722</v>
      </c>
      <c r="AA138" s="705" t="s">
        <v>47</v>
      </c>
      <c r="AB138" s="701">
        <v>26208</v>
      </c>
      <c r="AD138" s="366">
        <f t="shared" si="39"/>
        <v>43862</v>
      </c>
      <c r="AE138" s="708">
        <f t="shared" si="28"/>
        <v>0.17664343840371652</v>
      </c>
      <c r="AF138" s="709">
        <f t="shared" si="29"/>
        <v>0.163622160487121</v>
      </c>
      <c r="AG138" s="709">
        <f t="shared" si="30"/>
        <v>0.18949399634762726</v>
      </c>
      <c r="AH138" s="709">
        <f t="shared" si="31"/>
        <v>7.6399774442702753E-2</v>
      </c>
      <c r="AI138" s="709">
        <f t="shared" si="32"/>
        <v>0.11798302112271662</v>
      </c>
      <c r="AJ138" s="709">
        <f t="shared" si="33"/>
        <v>9.5153104775503233E-2</v>
      </c>
      <c r="AK138" s="709">
        <f t="shared" si="34"/>
        <v>4.5121806113844358E-2</v>
      </c>
      <c r="AL138" s="709" t="s">
        <v>47</v>
      </c>
      <c r="AM138" s="710">
        <f t="shared" si="35"/>
        <v>0.13558269830676828</v>
      </c>
      <c r="AO138" s="700">
        <v>9278.3520000000008</v>
      </c>
      <c r="AP138" s="705">
        <v>25206.189599999998</v>
      </c>
      <c r="AQ138" s="705">
        <v>20798.972399999999</v>
      </c>
      <c r="AR138" s="705">
        <v>106894.34700000001</v>
      </c>
      <c r="AS138" s="701">
        <v>31198.458599999998</v>
      </c>
      <c r="AU138" s="711">
        <f t="shared" si="41"/>
        <v>4.7980807676929235E-2</v>
      </c>
      <c r="AV138" s="712">
        <f t="shared" si="41"/>
        <v>0.13034786085565772</v>
      </c>
      <c r="AW138" s="712">
        <f t="shared" si="41"/>
        <v>0.10755697720911635</v>
      </c>
      <c r="AX138" s="712">
        <f t="shared" si="41"/>
        <v>0.5527788884446222</v>
      </c>
      <c r="AY138" s="713">
        <f t="shared" si="41"/>
        <v>0.16133546581367453</v>
      </c>
      <c r="BA138" s="711">
        <f t="shared" si="25"/>
        <v>0.18878136703390314</v>
      </c>
      <c r="BB138" s="713">
        <f t="shared" si="26"/>
        <v>0.10768808943657236</v>
      </c>
      <c r="BE138" s="981" t="s">
        <v>991</v>
      </c>
      <c r="BF138" s="981" t="s">
        <v>995</v>
      </c>
    </row>
    <row r="139" spans="1:58" ht="12.75" customHeight="1" outlineLevel="1" x14ac:dyDescent="0.2">
      <c r="A139" s="365" t="s">
        <v>995</v>
      </c>
      <c r="B139" s="366">
        <v>43891</v>
      </c>
      <c r="C139" s="704">
        <v>185800</v>
      </c>
      <c r="D139" s="705">
        <v>156304</v>
      </c>
      <c r="E139" s="701">
        <v>29496</v>
      </c>
      <c r="G139" s="704">
        <v>266.60000000000002</v>
      </c>
      <c r="H139" s="706">
        <v>181.3</v>
      </c>
      <c r="I139" s="707">
        <v>85.3</v>
      </c>
      <c r="K139" s="700">
        <v>179560</v>
      </c>
      <c r="L139" s="701">
        <v>17007</v>
      </c>
      <c r="N139" s="700">
        <v>76792.155200000008</v>
      </c>
      <c r="O139" s="701">
        <v>79511.844799999992</v>
      </c>
      <c r="Q139" s="700">
        <v>658893</v>
      </c>
      <c r="R139" s="707">
        <v>4.215458337598526</v>
      </c>
      <c r="T139" s="700">
        <v>25501</v>
      </c>
      <c r="U139" s="705">
        <v>25200</v>
      </c>
      <c r="V139" s="705">
        <v>31278</v>
      </c>
      <c r="W139" s="705">
        <v>11827</v>
      </c>
      <c r="X139" s="705">
        <v>17680</v>
      </c>
      <c r="Y139" s="705">
        <v>15172</v>
      </c>
      <c r="Z139" s="705">
        <v>6945</v>
      </c>
      <c r="AA139" s="705" t="s">
        <v>47</v>
      </c>
      <c r="AB139" s="701">
        <v>22701</v>
      </c>
      <c r="AD139" s="366">
        <f t="shared" si="39"/>
        <v>43891</v>
      </c>
      <c r="AE139" s="708">
        <f t="shared" si="28"/>
        <v>0.16315001535469342</v>
      </c>
      <c r="AF139" s="709">
        <f t="shared" si="29"/>
        <v>0.16122428088852492</v>
      </c>
      <c r="AG139" s="709">
        <f t="shared" si="30"/>
        <v>0.20011004196949533</v>
      </c>
      <c r="AH139" s="709">
        <f t="shared" si="31"/>
        <v>7.5666649605896197E-2</v>
      </c>
      <c r="AI139" s="709">
        <f t="shared" si="32"/>
        <v>0.11311290817893337</v>
      </c>
      <c r="AJ139" s="709">
        <f t="shared" si="33"/>
        <v>9.7067253557170635E-2</v>
      </c>
      <c r="AK139" s="709">
        <f t="shared" si="34"/>
        <v>4.4432644078206573E-2</v>
      </c>
      <c r="AL139" s="709" t="s">
        <v>47</v>
      </c>
      <c r="AM139" s="710">
        <f t="shared" si="35"/>
        <v>0.14523620636707954</v>
      </c>
      <c r="AO139" s="700">
        <v>8909.3279999999995</v>
      </c>
      <c r="AP139" s="705">
        <v>20585.236800000002</v>
      </c>
      <c r="AQ139" s="705">
        <v>15739.8128</v>
      </c>
      <c r="AR139" s="705">
        <v>89015.127999999997</v>
      </c>
      <c r="AS139" s="701">
        <v>22038.863999999998</v>
      </c>
      <c r="AU139" s="711">
        <f t="shared" si="41"/>
        <v>5.7005700570057001E-2</v>
      </c>
      <c r="AV139" s="712">
        <f t="shared" si="41"/>
        <v>0.13171317131713173</v>
      </c>
      <c r="AW139" s="712">
        <f t="shared" si="41"/>
        <v>0.10071007100710071</v>
      </c>
      <c r="AX139" s="712">
        <f t="shared" si="41"/>
        <v>0.56955695569556952</v>
      </c>
      <c r="AY139" s="713">
        <f t="shared" si="41"/>
        <v>0.14101410141014101</v>
      </c>
      <c r="BA139" s="711">
        <f t="shared" si="25"/>
        <v>0.1642682111828915</v>
      </c>
      <c r="BB139" s="713">
        <f t="shared" si="26"/>
        <v>0.10880719623298188</v>
      </c>
      <c r="BE139" s="981" t="s">
        <v>991</v>
      </c>
      <c r="BF139" s="981" t="s">
        <v>995</v>
      </c>
    </row>
    <row r="140" spans="1:58" ht="12.75" customHeight="1" outlineLevel="1" x14ac:dyDescent="0.2">
      <c r="A140" s="365" t="s">
        <v>1027</v>
      </c>
      <c r="B140" s="366">
        <v>43922</v>
      </c>
      <c r="C140" s="704">
        <v>58388</v>
      </c>
      <c r="D140" s="705">
        <v>51463</v>
      </c>
      <c r="E140" s="701">
        <v>6925</v>
      </c>
      <c r="G140" s="704">
        <v>237.3</v>
      </c>
      <c r="H140" s="706">
        <v>163.4</v>
      </c>
      <c r="I140" s="707">
        <v>73.900000000000006</v>
      </c>
      <c r="K140" s="700">
        <v>1048</v>
      </c>
      <c r="L140" s="701">
        <v>8214</v>
      </c>
      <c r="N140" s="700">
        <v>26024.839100000001</v>
      </c>
      <c r="O140" s="701">
        <v>25438.160899999999</v>
      </c>
      <c r="Q140" s="700">
        <v>145655</v>
      </c>
      <c r="R140" s="707">
        <v>2.83028583642617</v>
      </c>
      <c r="T140" s="700">
        <v>10008</v>
      </c>
      <c r="U140" s="705">
        <v>7270</v>
      </c>
      <c r="V140" s="705">
        <v>9779</v>
      </c>
      <c r="W140" s="705">
        <v>4792</v>
      </c>
      <c r="X140" s="705">
        <v>5967</v>
      </c>
      <c r="Y140" s="705">
        <v>4837</v>
      </c>
      <c r="Z140" s="705">
        <v>1500</v>
      </c>
      <c r="AA140" s="705" t="s">
        <v>47</v>
      </c>
      <c r="AB140" s="701">
        <v>7310</v>
      </c>
      <c r="AD140" s="366">
        <f t="shared" si="39"/>
        <v>43922</v>
      </c>
      <c r="AE140" s="708">
        <f t="shared" si="28"/>
        <v>0.19446981326389834</v>
      </c>
      <c r="AF140" s="709">
        <f t="shared" si="29"/>
        <v>0.14126654101004604</v>
      </c>
      <c r="AG140" s="709">
        <f t="shared" si="30"/>
        <v>0.19002001437926277</v>
      </c>
      <c r="AH140" s="709">
        <f t="shared" si="31"/>
        <v>9.3115442162330211E-2</v>
      </c>
      <c r="AI140" s="709">
        <f t="shared" si="32"/>
        <v>0.11594737967083148</v>
      </c>
      <c r="AJ140" s="709">
        <f t="shared" si="33"/>
        <v>9.3989856790315365E-2</v>
      </c>
      <c r="AK140" s="709">
        <f t="shared" si="34"/>
        <v>2.9147154266171812E-2</v>
      </c>
      <c r="AL140" s="709" t="s">
        <v>47</v>
      </c>
      <c r="AM140" s="710">
        <f t="shared" si="35"/>
        <v>0.14204379845714396</v>
      </c>
      <c r="AO140" s="700">
        <v>4358.9160999999995</v>
      </c>
      <c r="AP140" s="705">
        <v>6659.3121999999994</v>
      </c>
      <c r="AQ140" s="705">
        <v>10086.748</v>
      </c>
      <c r="AR140" s="705">
        <v>16406.404399999999</v>
      </c>
      <c r="AS140" s="701">
        <v>13951.6193</v>
      </c>
      <c r="AU140" s="711">
        <f t="shared" ref="AU140:AY142" si="42">+AO140/SUM($AO140:$AS140)</f>
        <v>8.4699999999999998E-2</v>
      </c>
      <c r="AV140" s="712">
        <f t="shared" si="42"/>
        <v>0.12940000000000002</v>
      </c>
      <c r="AW140" s="712">
        <f t="shared" si="42"/>
        <v>0.19600000000000001</v>
      </c>
      <c r="AX140" s="712">
        <f t="shared" si="42"/>
        <v>0.31880000000000003</v>
      </c>
      <c r="AY140" s="713">
        <f t="shared" si="42"/>
        <v>0.27110000000000006</v>
      </c>
      <c r="BA140" s="711">
        <f t="shared" si="25"/>
        <v>6.6078244274809164</v>
      </c>
      <c r="BB140" s="713">
        <f t="shared" si="26"/>
        <v>0.15960981676155683</v>
      </c>
      <c r="BE140" s="981" t="s">
        <v>992</v>
      </c>
      <c r="BF140" s="981" t="s">
        <v>1027</v>
      </c>
    </row>
    <row r="141" spans="1:58" ht="12.75" customHeight="1" outlineLevel="1" x14ac:dyDescent="0.2">
      <c r="A141" s="365" t="s">
        <v>1027</v>
      </c>
      <c r="B141" s="366">
        <v>43952</v>
      </c>
      <c r="C141" s="704">
        <v>59673</v>
      </c>
      <c r="D141" s="705">
        <v>56705</v>
      </c>
      <c r="E141" s="701">
        <v>2968</v>
      </c>
      <c r="G141" s="704">
        <v>200.10000000000002</v>
      </c>
      <c r="H141" s="706">
        <v>135.9</v>
      </c>
      <c r="I141" s="707">
        <v>64.2</v>
      </c>
      <c r="K141" s="700">
        <v>37807</v>
      </c>
      <c r="L141" s="701">
        <v>9568</v>
      </c>
      <c r="N141" s="700">
        <v>19642.612000000001</v>
      </c>
      <c r="O141" s="701">
        <v>37062.387999999999</v>
      </c>
      <c r="Q141" s="700">
        <v>318150</v>
      </c>
      <c r="R141" s="707">
        <v>5.610616347764747</v>
      </c>
      <c r="T141" s="700">
        <v>9968</v>
      </c>
      <c r="U141" s="705">
        <v>8771</v>
      </c>
      <c r="V141" s="705">
        <v>11350</v>
      </c>
      <c r="W141" s="705">
        <v>4645</v>
      </c>
      <c r="X141" s="705">
        <v>6125</v>
      </c>
      <c r="Y141" s="705">
        <v>4920</v>
      </c>
      <c r="Z141" s="705">
        <v>2433</v>
      </c>
      <c r="AA141" s="705" t="s">
        <v>47</v>
      </c>
      <c r="AB141" s="701">
        <v>8493</v>
      </c>
      <c r="AD141" s="366">
        <f t="shared" si="39"/>
        <v>43952</v>
      </c>
      <c r="AE141" s="708">
        <f t="shared" si="28"/>
        <v>0.17578696763953797</v>
      </c>
      <c r="AF141" s="709">
        <f t="shared" si="29"/>
        <v>0.15467771801428445</v>
      </c>
      <c r="AG141" s="709">
        <f t="shared" si="30"/>
        <v>0.2001587161625959</v>
      </c>
      <c r="AH141" s="709">
        <f t="shared" si="31"/>
        <v>8.1915175028657083E-2</v>
      </c>
      <c r="AI141" s="709">
        <f t="shared" si="32"/>
        <v>0.1080151662110925</v>
      </c>
      <c r="AJ141" s="709">
        <f t="shared" si="33"/>
        <v>8.6764835552420427E-2</v>
      </c>
      <c r="AK141" s="709">
        <f t="shared" si="34"/>
        <v>4.290626928842254E-2</v>
      </c>
      <c r="AL141" s="709" t="s">
        <v>47</v>
      </c>
      <c r="AM141" s="710">
        <f t="shared" si="35"/>
        <v>0.14977515210298917</v>
      </c>
      <c r="AO141" s="700">
        <v>5041.0745000000006</v>
      </c>
      <c r="AP141" s="705">
        <v>7093.7954999999993</v>
      </c>
      <c r="AQ141" s="705">
        <v>11681.23</v>
      </c>
      <c r="AR141" s="705">
        <v>14578.8555</v>
      </c>
      <c r="AS141" s="701">
        <v>18616.251499999998</v>
      </c>
      <c r="AU141" s="711">
        <f t="shared" si="42"/>
        <v>8.8422518400636585E-2</v>
      </c>
      <c r="AV141" s="712">
        <f t="shared" si="42"/>
        <v>0.12442808832305551</v>
      </c>
      <c r="AW141" s="712">
        <f t="shared" si="42"/>
        <v>0.20489357469663816</v>
      </c>
      <c r="AX141" s="712">
        <f t="shared" si="42"/>
        <v>0.25571911676944503</v>
      </c>
      <c r="AY141" s="713">
        <f t="shared" si="42"/>
        <v>0.32653670181022482</v>
      </c>
      <c r="BA141" s="711">
        <f t="shared" si="25"/>
        <v>7.8503980744306603E-2</v>
      </c>
      <c r="BB141" s="713">
        <f t="shared" si="26"/>
        <v>0.16873291596860948</v>
      </c>
      <c r="BE141" s="981" t="s">
        <v>992</v>
      </c>
      <c r="BF141" s="981" t="s">
        <v>1027</v>
      </c>
    </row>
    <row r="142" spans="1:58" ht="12.75" customHeight="1" outlineLevel="1" x14ac:dyDescent="0.2">
      <c r="A142" s="365" t="s">
        <v>1027</v>
      </c>
      <c r="B142" s="366">
        <v>43983</v>
      </c>
      <c r="C142" s="704">
        <v>140641</v>
      </c>
      <c r="D142" s="705">
        <v>122795</v>
      </c>
      <c r="E142" s="701">
        <v>17846</v>
      </c>
      <c r="G142" s="704">
        <v>157.6</v>
      </c>
      <c r="H142" s="706">
        <v>115.8</v>
      </c>
      <c r="I142" s="707">
        <v>41.8</v>
      </c>
      <c r="K142" s="700">
        <v>91487</v>
      </c>
      <c r="L142" s="701">
        <v>16657</v>
      </c>
      <c r="N142" s="700">
        <v>48970.646000000008</v>
      </c>
      <c r="O142" s="701">
        <v>73824.353999999992</v>
      </c>
      <c r="Q142" s="700">
        <v>546538</v>
      </c>
      <c r="R142" s="707">
        <v>4.4508164013192717</v>
      </c>
      <c r="T142" s="700">
        <v>19759</v>
      </c>
      <c r="U142" s="705">
        <v>21887</v>
      </c>
      <c r="V142" s="705">
        <v>24017</v>
      </c>
      <c r="W142" s="705">
        <v>7667</v>
      </c>
      <c r="X142" s="705">
        <v>13742</v>
      </c>
      <c r="Y142" s="705">
        <v>12504</v>
      </c>
      <c r="Z142" s="705">
        <v>6300</v>
      </c>
      <c r="AA142" s="705" t="s">
        <v>47</v>
      </c>
      <c r="AB142" s="701">
        <v>16919</v>
      </c>
      <c r="AD142" s="366">
        <f t="shared" si="39"/>
        <v>43983</v>
      </c>
      <c r="AE142" s="708">
        <f t="shared" si="28"/>
        <v>0.16091046052363694</v>
      </c>
      <c r="AF142" s="709">
        <f t="shared" si="29"/>
        <v>0.1782401563581579</v>
      </c>
      <c r="AG142" s="709">
        <f t="shared" si="30"/>
        <v>0.19558613950079401</v>
      </c>
      <c r="AH142" s="709">
        <f t="shared" si="31"/>
        <v>6.243739565943239E-2</v>
      </c>
      <c r="AI142" s="709">
        <f t="shared" si="32"/>
        <v>0.11191009405920437</v>
      </c>
      <c r="AJ142" s="709">
        <f t="shared" si="33"/>
        <v>0.10182825033592573</v>
      </c>
      <c r="AK142" s="709">
        <f t="shared" si="34"/>
        <v>5.1305020562726497E-2</v>
      </c>
      <c r="AL142" s="709" t="s">
        <v>47</v>
      </c>
      <c r="AM142" s="710">
        <f t="shared" si="35"/>
        <v>0.13778248300012216</v>
      </c>
      <c r="AO142" s="700">
        <v>7502.7745000000004</v>
      </c>
      <c r="AP142" s="705">
        <v>15152.903</v>
      </c>
      <c r="AQ142" s="705">
        <v>13114.506000000001</v>
      </c>
      <c r="AR142" s="705">
        <v>63300.822499999995</v>
      </c>
      <c r="AS142" s="701">
        <v>23723.994000000002</v>
      </c>
      <c r="AU142" s="711">
        <f t="shared" si="42"/>
        <v>6.1100000000000002E-2</v>
      </c>
      <c r="AV142" s="712">
        <f t="shared" si="42"/>
        <v>0.1234</v>
      </c>
      <c r="AW142" s="712">
        <f t="shared" si="42"/>
        <v>0.10680000000000001</v>
      </c>
      <c r="AX142" s="712">
        <f t="shared" si="42"/>
        <v>0.51549999999999996</v>
      </c>
      <c r="AY142" s="713">
        <f t="shared" si="42"/>
        <v>0.19320000000000001</v>
      </c>
      <c r="BA142" s="711">
        <f t="shared" si="25"/>
        <v>0.19506596565632275</v>
      </c>
      <c r="BB142" s="713">
        <f t="shared" si="26"/>
        <v>0.13564884563703733</v>
      </c>
      <c r="BE142" s="981" t="s">
        <v>992</v>
      </c>
      <c r="BF142" s="981" t="s">
        <v>1027</v>
      </c>
    </row>
    <row r="143" spans="1:58" ht="12.75" customHeight="1" outlineLevel="1" x14ac:dyDescent="0.2">
      <c r="A143" s="365" t="s">
        <v>1028</v>
      </c>
      <c r="B143" s="366">
        <v>44013</v>
      </c>
      <c r="C143" s="704">
        <v>190772</v>
      </c>
      <c r="D143" s="705">
        <v>163424</v>
      </c>
      <c r="E143" s="701">
        <v>27348</v>
      </c>
      <c r="G143" s="704">
        <v>138.30000000000001</v>
      </c>
      <c r="H143" s="706">
        <v>107</v>
      </c>
      <c r="I143" s="707">
        <v>31.3</v>
      </c>
      <c r="K143" s="700">
        <v>162230</v>
      </c>
      <c r="L143" s="701">
        <v>18365</v>
      </c>
      <c r="N143" s="700">
        <v>68507.340800000005</v>
      </c>
      <c r="O143" s="701">
        <v>94916.659199999995</v>
      </c>
      <c r="Q143" s="700">
        <v>834033</v>
      </c>
      <c r="R143" s="707">
        <v>5.1034915312316427</v>
      </c>
      <c r="T143" s="700">
        <v>28046</v>
      </c>
      <c r="U143" s="705">
        <v>31481</v>
      </c>
      <c r="V143" s="705">
        <v>34371</v>
      </c>
      <c r="W143" s="705">
        <v>10092</v>
      </c>
      <c r="X143" s="705">
        <v>15366</v>
      </c>
      <c r="Y143" s="705">
        <v>16582</v>
      </c>
      <c r="Z143" s="705">
        <v>5807</v>
      </c>
      <c r="AA143" s="705" t="s">
        <v>47</v>
      </c>
      <c r="AB143" s="701">
        <v>21679</v>
      </c>
      <c r="AD143" s="366">
        <f t="shared" si="39"/>
        <v>44013</v>
      </c>
      <c r="AE143" s="708">
        <f t="shared" si="28"/>
        <v>0.17161494027804974</v>
      </c>
      <c r="AF143" s="709">
        <f t="shared" si="29"/>
        <v>0.19263388486391228</v>
      </c>
      <c r="AG143" s="709">
        <f t="shared" si="30"/>
        <v>0.21031794595653025</v>
      </c>
      <c r="AH143" s="709">
        <f t="shared" si="31"/>
        <v>6.1753475621695711E-2</v>
      </c>
      <c r="AI143" s="709">
        <f t="shared" si="32"/>
        <v>9.4025357352653216E-2</v>
      </c>
      <c r="AJ143" s="709">
        <f t="shared" si="33"/>
        <v>0.10146612492657137</v>
      </c>
      <c r="AK143" s="709">
        <f t="shared" si="34"/>
        <v>3.5533336596827884E-2</v>
      </c>
      <c r="AL143" s="709" t="s">
        <v>47</v>
      </c>
      <c r="AM143" s="710">
        <f t="shared" si="35"/>
        <v>0.13265493440375956</v>
      </c>
      <c r="AO143" s="700">
        <v>10753.299199999999</v>
      </c>
      <c r="AP143" s="705">
        <v>25330.720000000001</v>
      </c>
      <c r="AQ143" s="705">
        <v>16326.0576</v>
      </c>
      <c r="AR143" s="705">
        <v>85389.04</v>
      </c>
      <c r="AS143" s="701">
        <v>25608.540800000002</v>
      </c>
      <c r="AU143" s="711">
        <f t="shared" ref="AU143:AY148" si="43">+AO143/SUM($AO143:$AS143)</f>
        <v>6.5806580658065814E-2</v>
      </c>
      <c r="AV143" s="712">
        <f t="shared" si="43"/>
        <v>0.15501550155015503</v>
      </c>
      <c r="AW143" s="712">
        <f t="shared" si="43"/>
        <v>9.9909990999099918E-2</v>
      </c>
      <c r="AX143" s="712">
        <f t="shared" si="43"/>
        <v>0.52255225522552262</v>
      </c>
      <c r="AY143" s="713">
        <f t="shared" si="43"/>
        <v>0.15671567156715677</v>
      </c>
      <c r="BA143" s="711">
        <f t="shared" si="25"/>
        <v>0.1685754792578438</v>
      </c>
      <c r="BB143" s="713">
        <f t="shared" si="26"/>
        <v>0.11237639514392012</v>
      </c>
      <c r="BE143" s="981" t="s">
        <v>1003</v>
      </c>
      <c r="BF143" s="981" t="s">
        <v>1028</v>
      </c>
    </row>
    <row r="144" spans="1:58" ht="12.75" customHeight="1" outlineLevel="1" x14ac:dyDescent="0.2">
      <c r="A144" s="365" t="s">
        <v>1028</v>
      </c>
      <c r="B144" s="366">
        <v>44044</v>
      </c>
      <c r="C144" s="704">
        <v>200367</v>
      </c>
      <c r="D144" s="705">
        <v>173822</v>
      </c>
      <c r="E144" s="701">
        <v>26545</v>
      </c>
      <c r="G144" s="704">
        <v>140.19999999999999</v>
      </c>
      <c r="H144" s="706">
        <v>110.1</v>
      </c>
      <c r="I144" s="707">
        <v>30.1</v>
      </c>
      <c r="K144" s="700">
        <v>201572</v>
      </c>
      <c r="L144" s="701">
        <v>17514</v>
      </c>
      <c r="N144" s="700">
        <v>76777.1774</v>
      </c>
      <c r="O144" s="701">
        <v>97044.8226</v>
      </c>
      <c r="Q144" s="700">
        <v>917259</v>
      </c>
      <c r="R144" s="707">
        <v>5.2770017604215811</v>
      </c>
      <c r="T144" s="700">
        <v>28792</v>
      </c>
      <c r="U144" s="705">
        <v>34124</v>
      </c>
      <c r="V144" s="705">
        <v>41830</v>
      </c>
      <c r="W144" s="705">
        <v>11553</v>
      </c>
      <c r="X144" s="705">
        <v>11807</v>
      </c>
      <c r="Y144" s="705">
        <v>17694</v>
      </c>
      <c r="Z144" s="705">
        <v>7323</v>
      </c>
      <c r="AA144" s="705" t="s">
        <v>47</v>
      </c>
      <c r="AB144" s="701">
        <v>20699</v>
      </c>
      <c r="AD144" s="366">
        <f t="shared" si="39"/>
        <v>44044</v>
      </c>
      <c r="AE144" s="708">
        <f t="shared" si="28"/>
        <v>0.16564071291321006</v>
      </c>
      <c r="AF144" s="709">
        <f t="shared" si="29"/>
        <v>0.19631577130627884</v>
      </c>
      <c r="AG144" s="709">
        <f t="shared" si="30"/>
        <v>0.24064847947900725</v>
      </c>
      <c r="AH144" s="709">
        <f t="shared" si="31"/>
        <v>6.6464544188882882E-2</v>
      </c>
      <c r="AI144" s="709">
        <f t="shared" si="32"/>
        <v>6.7925809161095835E-2</v>
      </c>
      <c r="AJ144" s="709">
        <f t="shared" si="33"/>
        <v>0.10179378904856692</v>
      </c>
      <c r="AK144" s="709">
        <f t="shared" si="34"/>
        <v>4.2129304691005738E-2</v>
      </c>
      <c r="AL144" s="709" t="s">
        <v>47</v>
      </c>
      <c r="AM144" s="710">
        <f t="shared" si="35"/>
        <v>0.11908158921195246</v>
      </c>
      <c r="AO144" s="700">
        <v>10759.5818</v>
      </c>
      <c r="AP144" s="705">
        <v>29897.383999999998</v>
      </c>
      <c r="AQ144" s="705">
        <v>16617.3832</v>
      </c>
      <c r="AR144" s="705">
        <v>88875.188599999994</v>
      </c>
      <c r="AS144" s="701">
        <v>27620.315800000004</v>
      </c>
      <c r="AU144" s="711">
        <f t="shared" si="43"/>
        <v>6.1918575572671802E-2</v>
      </c>
      <c r="AV144" s="712">
        <f t="shared" si="43"/>
        <v>0.1720516154846454</v>
      </c>
      <c r="AW144" s="712">
        <f t="shared" si="43"/>
        <v>9.5628688606581982E-2</v>
      </c>
      <c r="AX144" s="712">
        <f t="shared" si="43"/>
        <v>0.51145343603080928</v>
      </c>
      <c r="AY144" s="713">
        <f t="shared" si="43"/>
        <v>0.1589476843052916</v>
      </c>
      <c r="BA144" s="711">
        <f t="shared" si="25"/>
        <v>0.13168991725041176</v>
      </c>
      <c r="BB144" s="713">
        <f t="shared" si="26"/>
        <v>0.10075824694227428</v>
      </c>
      <c r="BE144" s="981" t="s">
        <v>1003</v>
      </c>
      <c r="BF144" s="981" t="s">
        <v>1028</v>
      </c>
    </row>
    <row r="145" spans="1:58" ht="12.75" customHeight="1" outlineLevel="1" x14ac:dyDescent="0.2">
      <c r="A145" s="365" t="s">
        <v>1028</v>
      </c>
      <c r="B145" s="366">
        <v>44075</v>
      </c>
      <c r="C145" s="704">
        <v>227822</v>
      </c>
      <c r="D145" s="705">
        <v>199165</v>
      </c>
      <c r="E145" s="701">
        <v>28657</v>
      </c>
      <c r="G145" s="704">
        <v>141.69999999999999</v>
      </c>
      <c r="H145" s="706">
        <v>113.5</v>
      </c>
      <c r="I145" s="707">
        <v>28.2</v>
      </c>
      <c r="K145" s="700">
        <v>208773</v>
      </c>
      <c r="L145" s="701">
        <v>18928</v>
      </c>
      <c r="N145" s="700">
        <v>91297.236000000004</v>
      </c>
      <c r="O145" s="701">
        <v>107867.764</v>
      </c>
      <c r="Q145" s="700">
        <v>1018758</v>
      </c>
      <c r="R145" s="707">
        <v>5.1151457334370996</v>
      </c>
      <c r="T145" s="700">
        <v>31780</v>
      </c>
      <c r="U145" s="705">
        <v>33978</v>
      </c>
      <c r="V145" s="705">
        <v>50907</v>
      </c>
      <c r="W145" s="705">
        <v>13358</v>
      </c>
      <c r="X145" s="705">
        <v>17837</v>
      </c>
      <c r="Y145" s="705">
        <v>18961</v>
      </c>
      <c r="Z145" s="705">
        <v>8696</v>
      </c>
      <c r="AA145" s="705" t="s">
        <v>47</v>
      </c>
      <c r="AB145" s="701">
        <v>23648</v>
      </c>
      <c r="AD145" s="366">
        <f t="shared" si="39"/>
        <v>44075</v>
      </c>
      <c r="AE145" s="708">
        <f t="shared" si="28"/>
        <v>0.15956618883840032</v>
      </c>
      <c r="AF145" s="709">
        <f t="shared" si="29"/>
        <v>0.17060226445409585</v>
      </c>
      <c r="AG145" s="709">
        <f t="shared" si="30"/>
        <v>0.25560213893003286</v>
      </c>
      <c r="AH145" s="709">
        <f t="shared" si="31"/>
        <v>6.7070017322320694E-2</v>
      </c>
      <c r="AI145" s="709">
        <f t="shared" si="32"/>
        <v>8.9558908442748469E-2</v>
      </c>
      <c r="AJ145" s="709">
        <f t="shared" si="33"/>
        <v>9.5202470313559107E-2</v>
      </c>
      <c r="AK145" s="709">
        <f t="shared" si="34"/>
        <v>4.3662290061004694E-2</v>
      </c>
      <c r="AL145" s="709" t="s">
        <v>47</v>
      </c>
      <c r="AM145" s="710">
        <f t="shared" si="35"/>
        <v>0.11873572163783798</v>
      </c>
      <c r="AO145" s="700">
        <v>12945.725</v>
      </c>
      <c r="AP145" s="705">
        <v>33320.304499999998</v>
      </c>
      <c r="AQ145" s="705">
        <v>19378.754499999999</v>
      </c>
      <c r="AR145" s="705">
        <v>101116.0705</v>
      </c>
      <c r="AS145" s="701">
        <v>32424.062000000002</v>
      </c>
      <c r="AU145" s="711">
        <f t="shared" si="43"/>
        <v>6.4993500649935004E-2</v>
      </c>
      <c r="AV145" s="712">
        <f t="shared" si="43"/>
        <v>0.16728327167283269</v>
      </c>
      <c r="AW145" s="712">
        <f t="shared" si="43"/>
        <v>9.7290270972902701E-2</v>
      </c>
      <c r="AX145" s="712">
        <f t="shared" si="43"/>
        <v>0.50764923507649229</v>
      </c>
      <c r="AY145" s="713">
        <f t="shared" si="43"/>
        <v>0.16278372162783722</v>
      </c>
      <c r="BA145" s="711">
        <f t="shared" si="25"/>
        <v>0.13726391822697379</v>
      </c>
      <c r="BB145" s="713">
        <f t="shared" si="26"/>
        <v>9.503677855044812E-2</v>
      </c>
      <c r="BE145" s="981" t="s">
        <v>1003</v>
      </c>
      <c r="BF145" s="981" t="s">
        <v>1028</v>
      </c>
    </row>
    <row r="146" spans="1:58" ht="12.75" customHeight="1" outlineLevel="1" x14ac:dyDescent="0.2">
      <c r="A146" s="365" t="s">
        <v>993</v>
      </c>
      <c r="B146" s="366">
        <v>44105</v>
      </c>
      <c r="C146" s="704">
        <v>238625</v>
      </c>
      <c r="D146" s="705">
        <v>205699</v>
      </c>
      <c r="E146" s="701">
        <v>32926</v>
      </c>
      <c r="G146" s="704">
        <v>132.5</v>
      </c>
      <c r="H146" s="706">
        <v>109.3</v>
      </c>
      <c r="I146" s="707">
        <v>23.2</v>
      </c>
      <c r="K146" s="700">
        <v>223759</v>
      </c>
      <c r="L146" s="701">
        <v>18764</v>
      </c>
      <c r="N146" s="700">
        <v>92338.281100000007</v>
      </c>
      <c r="O146" s="701">
        <v>113360.71889999999</v>
      </c>
      <c r="Q146" s="700">
        <v>1083467</v>
      </c>
      <c r="R146" s="707">
        <v>5.2672448577776265</v>
      </c>
      <c r="T146" s="700">
        <v>34074</v>
      </c>
      <c r="U146" s="705">
        <v>34288</v>
      </c>
      <c r="V146" s="705">
        <v>50544</v>
      </c>
      <c r="W146" s="705">
        <v>13624</v>
      </c>
      <c r="X146" s="705">
        <v>19154</v>
      </c>
      <c r="Y146" s="705">
        <v>19051</v>
      </c>
      <c r="Z146" s="705">
        <v>9419</v>
      </c>
      <c r="AA146" s="705" t="s">
        <v>47</v>
      </c>
      <c r="AB146" s="701">
        <v>25545</v>
      </c>
      <c r="AD146" s="366">
        <f t="shared" si="39"/>
        <v>44105</v>
      </c>
      <c r="AE146" s="708">
        <f t="shared" si="28"/>
        <v>0.16564980870106322</v>
      </c>
      <c r="AF146" s="709">
        <f t="shared" si="29"/>
        <v>0.16669016378300333</v>
      </c>
      <c r="AG146" s="709">
        <f t="shared" si="30"/>
        <v>0.24571825823168805</v>
      </c>
      <c r="AH146" s="709">
        <f t="shared" si="31"/>
        <v>6.6232699235290404E-2</v>
      </c>
      <c r="AI146" s="709">
        <f t="shared" si="32"/>
        <v>9.3116641305985931E-2</v>
      </c>
      <c r="AJ146" s="709">
        <f t="shared" si="33"/>
        <v>9.2615909654397935E-2</v>
      </c>
      <c r="AK146" s="709">
        <f t="shared" si="34"/>
        <v>4.5790208022401663E-2</v>
      </c>
      <c r="AL146" s="709" t="s">
        <v>47</v>
      </c>
      <c r="AM146" s="710">
        <f t="shared" si="35"/>
        <v>0.12418631106616949</v>
      </c>
      <c r="AO146" s="700">
        <v>12815.047700000001</v>
      </c>
      <c r="AP146" s="705">
        <v>32603.291499999999</v>
      </c>
      <c r="AQ146" s="705">
        <v>19829.383600000001</v>
      </c>
      <c r="AR146" s="705">
        <v>105297.3181</v>
      </c>
      <c r="AS146" s="701">
        <v>35153.9591</v>
      </c>
      <c r="AU146" s="711">
        <f t="shared" si="43"/>
        <v>6.2299999999999994E-2</v>
      </c>
      <c r="AV146" s="712">
        <f t="shared" si="43"/>
        <v>0.15849999999999997</v>
      </c>
      <c r="AW146" s="712">
        <f t="shared" si="43"/>
        <v>9.6399999999999986E-2</v>
      </c>
      <c r="AX146" s="712">
        <f t="shared" si="43"/>
        <v>0.51189999999999991</v>
      </c>
      <c r="AY146" s="713">
        <f t="shared" si="43"/>
        <v>0.17089999999999997</v>
      </c>
      <c r="BA146" s="711">
        <f t="shared" si="25"/>
        <v>0.14714938840448877</v>
      </c>
      <c r="BB146" s="713">
        <f t="shared" si="26"/>
        <v>9.1220667091235247E-2</v>
      </c>
      <c r="BE146" s="981" t="s">
        <v>1004</v>
      </c>
      <c r="BF146" s="981" t="s">
        <v>993</v>
      </c>
    </row>
    <row r="147" spans="1:58" ht="12.75" customHeight="1" outlineLevel="1" x14ac:dyDescent="0.2">
      <c r="A147" s="365" t="s">
        <v>993</v>
      </c>
      <c r="B147" s="366">
        <v>44136</v>
      </c>
      <c r="C147" s="704">
        <v>256739</v>
      </c>
      <c r="D147" s="705">
        <v>214486</v>
      </c>
      <c r="E147" s="701">
        <v>42253</v>
      </c>
      <c r="G147" s="704">
        <v>119.39999999999999</v>
      </c>
      <c r="H147" s="706">
        <v>98.1</v>
      </c>
      <c r="I147" s="707">
        <v>21.3</v>
      </c>
      <c r="K147" s="700">
        <v>225021</v>
      </c>
      <c r="L147" s="701">
        <v>19501</v>
      </c>
      <c r="N147" s="700">
        <v>97376.643999999986</v>
      </c>
      <c r="O147" s="701">
        <v>117109.35600000001</v>
      </c>
      <c r="Q147" s="700">
        <v>1048988</v>
      </c>
      <c r="R147" s="707">
        <v>4.8907061533153682</v>
      </c>
      <c r="T147" s="700">
        <v>39220</v>
      </c>
      <c r="U147" s="705">
        <v>34342</v>
      </c>
      <c r="V147" s="705">
        <v>52165</v>
      </c>
      <c r="W147" s="705">
        <v>14812</v>
      </c>
      <c r="X147" s="705">
        <v>18333</v>
      </c>
      <c r="Y147" s="705">
        <v>20340</v>
      </c>
      <c r="Z147" s="705">
        <v>8913</v>
      </c>
      <c r="AA147" s="705" t="s">
        <v>47</v>
      </c>
      <c r="AB147" s="701">
        <v>26361</v>
      </c>
      <c r="AD147" s="366">
        <f t="shared" si="39"/>
        <v>44136</v>
      </c>
      <c r="AE147" s="708">
        <f t="shared" si="28"/>
        <v>0.18285575748533703</v>
      </c>
      <c r="AF147" s="709">
        <f t="shared" si="29"/>
        <v>0.16011301436923622</v>
      </c>
      <c r="AG147" s="709">
        <f t="shared" si="30"/>
        <v>0.2432093469970068</v>
      </c>
      <c r="AH147" s="709">
        <f t="shared" si="31"/>
        <v>6.9058120343518922E-2</v>
      </c>
      <c r="AI147" s="709">
        <f t="shared" si="32"/>
        <v>8.5474110198334619E-2</v>
      </c>
      <c r="AJ147" s="709">
        <f t="shared" si="33"/>
        <v>9.4831364284848424E-2</v>
      </c>
      <c r="AK147" s="709">
        <f t="shared" si="34"/>
        <v>4.1555159777328127E-2</v>
      </c>
      <c r="AL147" s="709" t="s">
        <v>47</v>
      </c>
      <c r="AM147" s="710">
        <f t="shared" si="35"/>
        <v>0.12290312654438984</v>
      </c>
      <c r="AO147" s="700">
        <v>13105.0946</v>
      </c>
      <c r="AP147" s="705">
        <v>34510.797399999996</v>
      </c>
      <c r="AQ147" s="705">
        <v>20419.067200000001</v>
      </c>
      <c r="AR147" s="705">
        <v>109409.3086</v>
      </c>
      <c r="AS147" s="701">
        <v>37041.732199999999</v>
      </c>
      <c r="AU147" s="711">
        <f t="shared" si="43"/>
        <v>6.1100000000000002E-2</v>
      </c>
      <c r="AV147" s="712">
        <f t="shared" si="43"/>
        <v>0.16089999999999999</v>
      </c>
      <c r="AW147" s="712">
        <f t="shared" si="43"/>
        <v>9.5200000000000007E-2</v>
      </c>
      <c r="AX147" s="712">
        <f t="shared" si="43"/>
        <v>0.5101</v>
      </c>
      <c r="AY147" s="713">
        <f t="shared" si="43"/>
        <v>0.17269999999999999</v>
      </c>
      <c r="BA147" s="711">
        <f t="shared" si="25"/>
        <v>0.18777358557645732</v>
      </c>
      <c r="BB147" s="713">
        <f t="shared" si="26"/>
        <v>9.0919687065822472E-2</v>
      </c>
      <c r="BE147" s="981" t="s">
        <v>1004</v>
      </c>
      <c r="BF147" s="981" t="s">
        <v>993</v>
      </c>
    </row>
    <row r="148" spans="1:58" ht="12.75" customHeight="1" outlineLevel="1" x14ac:dyDescent="0.2">
      <c r="A148" s="365" t="s">
        <v>993</v>
      </c>
      <c r="B148" s="366">
        <v>44166</v>
      </c>
      <c r="C148" s="704">
        <v>269254</v>
      </c>
      <c r="D148" s="705">
        <v>232984</v>
      </c>
      <c r="E148" s="701">
        <v>36270</v>
      </c>
      <c r="G148" s="704">
        <v>96.8</v>
      </c>
      <c r="H148" s="706">
        <v>82.8</v>
      </c>
      <c r="I148" s="707">
        <v>14</v>
      </c>
      <c r="K148" s="700">
        <v>197802</v>
      </c>
      <c r="L148" s="701">
        <v>20524</v>
      </c>
      <c r="N148" s="700">
        <v>102443.06479999999</v>
      </c>
      <c r="O148" s="701">
        <v>130540.93520000001</v>
      </c>
      <c r="Q148" s="700">
        <v>1204907</v>
      </c>
      <c r="R148" s="707">
        <v>5.1716298114892005</v>
      </c>
      <c r="T148" s="700">
        <v>42214</v>
      </c>
      <c r="U148" s="705">
        <v>37675</v>
      </c>
      <c r="V148" s="705">
        <v>54596</v>
      </c>
      <c r="W148" s="705">
        <v>15639</v>
      </c>
      <c r="X148" s="705">
        <v>21372</v>
      </c>
      <c r="Y148" s="705">
        <v>24413</v>
      </c>
      <c r="Z148" s="705">
        <v>9646</v>
      </c>
      <c r="AA148" s="705" t="s">
        <v>47</v>
      </c>
      <c r="AB148" s="701">
        <v>27429</v>
      </c>
      <c r="AD148" s="366">
        <f t="shared" si="39"/>
        <v>44166</v>
      </c>
      <c r="AE148" s="708">
        <f t="shared" si="28"/>
        <v>0.18118840778765924</v>
      </c>
      <c r="AF148" s="709">
        <f t="shared" si="29"/>
        <v>0.16170638327095424</v>
      </c>
      <c r="AG148" s="709">
        <f t="shared" si="30"/>
        <v>0.23433368815025923</v>
      </c>
      <c r="AH148" s="709">
        <f t="shared" si="31"/>
        <v>6.712478110084813E-2</v>
      </c>
      <c r="AI148" s="709">
        <f t="shared" si="32"/>
        <v>9.1731621055523127E-2</v>
      </c>
      <c r="AJ148" s="709">
        <f t="shared" si="33"/>
        <v>0.10478401950348522</v>
      </c>
      <c r="AK148" s="709">
        <f t="shared" si="34"/>
        <v>4.1401984685643649E-2</v>
      </c>
      <c r="AL148" s="709" t="s">
        <v>47</v>
      </c>
      <c r="AM148" s="710">
        <f t="shared" si="35"/>
        <v>0.11772911444562717</v>
      </c>
      <c r="AO148" s="700">
        <v>15563.331199999999</v>
      </c>
      <c r="AP148" s="705">
        <v>39863.562400000003</v>
      </c>
      <c r="AQ148" s="705">
        <v>23834.263200000001</v>
      </c>
      <c r="AR148" s="705">
        <v>111762.42480000001</v>
      </c>
      <c r="AS148" s="701">
        <v>41960.418400000002</v>
      </c>
      <c r="AU148" s="711">
        <f t="shared" si="43"/>
        <v>6.6799999999999998E-2</v>
      </c>
      <c r="AV148" s="712">
        <f t="shared" si="43"/>
        <v>0.1711</v>
      </c>
      <c r="AW148" s="712">
        <f t="shared" si="43"/>
        <v>0.1023</v>
      </c>
      <c r="AX148" s="712">
        <f t="shared" si="43"/>
        <v>0.47970000000000002</v>
      </c>
      <c r="AY148" s="713">
        <f t="shared" si="43"/>
        <v>0.18010000000000001</v>
      </c>
      <c r="BA148" s="711">
        <f t="shared" si="25"/>
        <v>0.18336518336518337</v>
      </c>
      <c r="BB148" s="713">
        <f t="shared" si="26"/>
        <v>8.8091886138103898E-2</v>
      </c>
      <c r="BE148" s="981" t="s">
        <v>1004</v>
      </c>
      <c r="BF148" s="981" t="s">
        <v>993</v>
      </c>
    </row>
    <row r="149" spans="1:58" ht="12.75" customHeight="1" outlineLevel="1" x14ac:dyDescent="0.2">
      <c r="A149" s="365" t="s">
        <v>1124</v>
      </c>
      <c r="B149" s="366">
        <v>44197</v>
      </c>
      <c r="C149" s="984">
        <v>186877</v>
      </c>
      <c r="D149" s="985">
        <v>162580</v>
      </c>
      <c r="E149" s="986">
        <v>24297</v>
      </c>
      <c r="G149" s="984">
        <v>100.8</v>
      </c>
      <c r="H149" s="987">
        <v>87</v>
      </c>
      <c r="I149" s="988">
        <v>13.8</v>
      </c>
      <c r="K149" s="989">
        <v>190156</v>
      </c>
      <c r="L149" s="986">
        <v>15597</v>
      </c>
      <c r="N149" s="989">
        <v>63324.91</v>
      </c>
      <c r="O149" s="986">
        <v>99255.09</v>
      </c>
      <c r="Q149" s="989">
        <v>869169</v>
      </c>
      <c r="R149" s="988">
        <v>5.3461003813507197</v>
      </c>
      <c r="T149" s="989">
        <v>26614</v>
      </c>
      <c r="U149" s="985">
        <v>26577</v>
      </c>
      <c r="V149" s="985">
        <v>43017</v>
      </c>
      <c r="W149" s="985">
        <v>10211</v>
      </c>
      <c r="X149" s="985">
        <v>16294</v>
      </c>
      <c r="Y149" s="985">
        <v>17107</v>
      </c>
      <c r="Z149" s="985">
        <v>6386</v>
      </c>
      <c r="AA149" s="985" t="s">
        <v>47</v>
      </c>
      <c r="AB149" s="986">
        <v>16374</v>
      </c>
      <c r="AD149" s="366">
        <f t="shared" si="39"/>
        <v>44197</v>
      </c>
      <c r="AE149" s="990">
        <f t="shared" si="28"/>
        <v>0.16369787181695167</v>
      </c>
      <c r="AF149" s="991">
        <f t="shared" si="29"/>
        <v>0.16347029154877599</v>
      </c>
      <c r="AG149" s="991">
        <f t="shared" si="30"/>
        <v>0.26458974043547789</v>
      </c>
      <c r="AH149" s="991">
        <f t="shared" si="31"/>
        <v>6.2806003198425386E-2</v>
      </c>
      <c r="AI149" s="991">
        <f t="shared" si="32"/>
        <v>0.10022142945011686</v>
      </c>
      <c r="AJ149" s="991">
        <f t="shared" si="33"/>
        <v>0.10522204453192274</v>
      </c>
      <c r="AK149" s="991">
        <f t="shared" si="34"/>
        <v>3.9279124123508424E-2</v>
      </c>
      <c r="AL149" s="991" t="s">
        <v>47</v>
      </c>
      <c r="AM149" s="992">
        <f t="shared" si="35"/>
        <v>0.10071349489482101</v>
      </c>
      <c r="AO149" s="989">
        <v>7722.55</v>
      </c>
      <c r="AP149" s="985">
        <v>27215.892</v>
      </c>
      <c r="AQ149" s="985">
        <v>17217.221999999998</v>
      </c>
      <c r="AR149" s="985">
        <v>82606.898000000001</v>
      </c>
      <c r="AS149" s="986">
        <v>27801.180000000004</v>
      </c>
      <c r="AU149" s="993">
        <f t="shared" ref="AU149:AY153" si="44">+AO149/SUM($AO149:$AS149)</f>
        <v>4.7504750475047507E-2</v>
      </c>
      <c r="AV149" s="994">
        <f t="shared" si="44"/>
        <v>0.16741674167416742</v>
      </c>
      <c r="AW149" s="994">
        <f t="shared" si="44"/>
        <v>0.1059105910591059</v>
      </c>
      <c r="AX149" s="994">
        <f t="shared" si="44"/>
        <v>0.50815081508150817</v>
      </c>
      <c r="AY149" s="995">
        <f t="shared" si="44"/>
        <v>0.17101710171017104</v>
      </c>
      <c r="BA149" s="993">
        <f t="shared" ref="BA149:BA180" si="45">+E149/K149</f>
        <v>0.12777403815814384</v>
      </c>
      <c r="BB149" s="995">
        <f t="shared" ref="BB149:BB180" si="46">+L149/D149</f>
        <v>9.5934309263131998E-2</v>
      </c>
      <c r="BE149" s="981" t="s">
        <v>1122</v>
      </c>
      <c r="BF149" s="981" t="s">
        <v>1124</v>
      </c>
    </row>
    <row r="150" spans="1:58" ht="12.75" customHeight="1" outlineLevel="1" x14ac:dyDescent="0.2">
      <c r="A150" s="365" t="s">
        <v>1124</v>
      </c>
      <c r="B150" s="366">
        <v>44228</v>
      </c>
      <c r="C150" s="984">
        <v>189372</v>
      </c>
      <c r="D150" s="985">
        <v>158488</v>
      </c>
      <c r="E150" s="986">
        <v>30884</v>
      </c>
      <c r="G150" s="984">
        <v>97.800000000000011</v>
      </c>
      <c r="H150" s="987">
        <v>80.7</v>
      </c>
      <c r="I150" s="988">
        <v>17.100000000000001</v>
      </c>
      <c r="K150" s="989">
        <v>183641</v>
      </c>
      <c r="L150" s="986">
        <v>13348</v>
      </c>
      <c r="N150" s="989">
        <v>64583.859999999993</v>
      </c>
      <c r="O150" s="986">
        <v>93904.140000000014</v>
      </c>
      <c r="Q150" s="989">
        <v>876306</v>
      </c>
      <c r="R150" s="988">
        <v>5.5291630912119532</v>
      </c>
      <c r="T150" s="989">
        <v>24962</v>
      </c>
      <c r="U150" s="985">
        <v>26786</v>
      </c>
      <c r="V150" s="985">
        <v>43973</v>
      </c>
      <c r="W150" s="985">
        <v>10258</v>
      </c>
      <c r="X150" s="985">
        <v>16336</v>
      </c>
      <c r="Y150" s="985">
        <v>17118</v>
      </c>
      <c r="Z150" s="985">
        <v>7314</v>
      </c>
      <c r="AA150" s="985" t="s">
        <v>47</v>
      </c>
      <c r="AB150" s="986">
        <v>11741</v>
      </c>
      <c r="AD150" s="366">
        <f t="shared" si="39"/>
        <v>44228</v>
      </c>
      <c r="AE150" s="990">
        <f t="shared" si="28"/>
        <v>0.15750088334763515</v>
      </c>
      <c r="AF150" s="991">
        <f t="shared" si="29"/>
        <v>0.16900964110847508</v>
      </c>
      <c r="AG150" s="991">
        <f t="shared" si="30"/>
        <v>0.27745318257533691</v>
      </c>
      <c r="AH150" s="991">
        <f t="shared" si="31"/>
        <v>6.47241431527939E-2</v>
      </c>
      <c r="AI150" s="991">
        <f t="shared" si="32"/>
        <v>0.10307404977032962</v>
      </c>
      <c r="AJ150" s="991">
        <f t="shared" si="33"/>
        <v>0.10800817727525112</v>
      </c>
      <c r="AK150" s="991">
        <f t="shared" si="34"/>
        <v>4.614860431073646E-2</v>
      </c>
      <c r="AL150" s="991" t="s">
        <v>47</v>
      </c>
      <c r="AM150" s="992">
        <f t="shared" si="35"/>
        <v>7.4081318459441728E-2</v>
      </c>
      <c r="AO150" s="989">
        <v>9651.9192000000003</v>
      </c>
      <c r="AP150" s="985">
        <v>26483.344799999999</v>
      </c>
      <c r="AQ150" s="985">
        <v>17845.748800000001</v>
      </c>
      <c r="AR150" s="985">
        <v>77183.656000000003</v>
      </c>
      <c r="AS150" s="986">
        <v>27323.331200000001</v>
      </c>
      <c r="AU150" s="993">
        <f t="shared" si="44"/>
        <v>6.0900000000000003E-2</v>
      </c>
      <c r="AV150" s="994">
        <f t="shared" si="44"/>
        <v>0.1671</v>
      </c>
      <c r="AW150" s="994">
        <f t="shared" si="44"/>
        <v>0.11260000000000001</v>
      </c>
      <c r="AX150" s="994">
        <f t="shared" si="44"/>
        <v>0.48700000000000004</v>
      </c>
      <c r="AY150" s="995">
        <f t="shared" si="44"/>
        <v>0.1724</v>
      </c>
      <c r="BA150" s="993">
        <f t="shared" si="45"/>
        <v>0.16817595199329125</v>
      </c>
      <c r="BB150" s="995">
        <f t="shared" si="46"/>
        <v>8.4220887385795765E-2</v>
      </c>
      <c r="BE150" s="981" t="s">
        <v>1122</v>
      </c>
      <c r="BF150" s="981" t="s">
        <v>1124</v>
      </c>
    </row>
    <row r="151" spans="1:58" ht="12.75" customHeight="1" outlineLevel="1" x14ac:dyDescent="0.2">
      <c r="A151" s="365" t="s">
        <v>1124</v>
      </c>
      <c r="B151" s="366">
        <v>44256</v>
      </c>
      <c r="C151" s="984">
        <v>211904</v>
      </c>
      <c r="D151" s="985">
        <v>177450</v>
      </c>
      <c r="E151" s="986">
        <v>34454</v>
      </c>
      <c r="G151" s="984">
        <v>101.1</v>
      </c>
      <c r="H151" s="987">
        <v>83.3</v>
      </c>
      <c r="I151" s="988">
        <v>17.8</v>
      </c>
      <c r="K151" s="989">
        <v>185718</v>
      </c>
      <c r="L151" s="986">
        <v>16941</v>
      </c>
      <c r="N151" s="989">
        <v>81325.334999999992</v>
      </c>
      <c r="O151" s="986">
        <v>96124.665000000008</v>
      </c>
      <c r="Q151" s="989">
        <v>915537</v>
      </c>
      <c r="R151" s="988">
        <v>5.1594082840236686</v>
      </c>
      <c r="T151" s="989">
        <v>23239</v>
      </c>
      <c r="U151" s="985">
        <v>32643</v>
      </c>
      <c r="V151" s="985">
        <v>49444</v>
      </c>
      <c r="W151" s="985">
        <v>12681</v>
      </c>
      <c r="X151" s="985">
        <v>17798</v>
      </c>
      <c r="Y151" s="985">
        <v>19435</v>
      </c>
      <c r="Z151" s="985">
        <v>7113</v>
      </c>
      <c r="AA151" s="985" t="s">
        <v>47</v>
      </c>
      <c r="AB151" s="986">
        <v>15097</v>
      </c>
      <c r="AD151" s="366">
        <f t="shared" si="39"/>
        <v>44256</v>
      </c>
      <c r="AE151" s="990">
        <f t="shared" si="28"/>
        <v>0.1309608340377571</v>
      </c>
      <c r="AF151" s="991">
        <f t="shared" si="29"/>
        <v>0.18395604395604395</v>
      </c>
      <c r="AG151" s="991">
        <f t="shared" si="30"/>
        <v>0.2786362355593125</v>
      </c>
      <c r="AH151" s="991">
        <f t="shared" si="31"/>
        <v>7.1462383770076077E-2</v>
      </c>
      <c r="AI151" s="991">
        <f t="shared" si="32"/>
        <v>0.10029867568329107</v>
      </c>
      <c r="AJ151" s="991">
        <f t="shared" si="33"/>
        <v>0.10952380952380952</v>
      </c>
      <c r="AK151" s="991">
        <f t="shared" si="34"/>
        <v>4.0084530853761624E-2</v>
      </c>
      <c r="AL151" s="991" t="s">
        <v>47</v>
      </c>
      <c r="AM151" s="992">
        <f t="shared" si="35"/>
        <v>8.5077486615948161E-2</v>
      </c>
      <c r="AO151" s="989">
        <v>10948.664999999999</v>
      </c>
      <c r="AP151" s="985">
        <v>22571.640000000003</v>
      </c>
      <c r="AQ151" s="985">
        <v>18312.84</v>
      </c>
      <c r="AR151" s="985">
        <v>97349.069999999992</v>
      </c>
      <c r="AS151" s="986">
        <v>28250.04</v>
      </c>
      <c r="AU151" s="993">
        <f t="shared" si="44"/>
        <v>6.1706170617061698E-2</v>
      </c>
      <c r="AV151" s="994">
        <f t="shared" si="44"/>
        <v>0.12721272127212724</v>
      </c>
      <c r="AW151" s="994">
        <f t="shared" si="44"/>
        <v>0.1032103210321032</v>
      </c>
      <c r="AX151" s="994">
        <f t="shared" si="44"/>
        <v>0.54865486548654863</v>
      </c>
      <c r="AY151" s="995">
        <f t="shared" si="44"/>
        <v>0.15921592159215922</v>
      </c>
      <c r="BA151" s="993">
        <f t="shared" si="45"/>
        <v>0.18551782810497636</v>
      </c>
      <c r="BB151" s="995">
        <f t="shared" si="46"/>
        <v>9.5469146238377003E-2</v>
      </c>
      <c r="BE151" s="981" t="s">
        <v>1122</v>
      </c>
      <c r="BF151" s="981" t="s">
        <v>1124</v>
      </c>
    </row>
    <row r="152" spans="1:58" ht="12.75" customHeight="1" outlineLevel="1" x14ac:dyDescent="0.2">
      <c r="A152" s="365" t="s">
        <v>1125</v>
      </c>
      <c r="B152" s="366">
        <v>44287</v>
      </c>
      <c r="C152" s="984">
        <v>195829</v>
      </c>
      <c r="D152" s="985">
        <v>164157</v>
      </c>
      <c r="E152" s="986">
        <v>31672</v>
      </c>
      <c r="G152" s="984">
        <v>97.1</v>
      </c>
      <c r="H152" s="987">
        <v>72.8</v>
      </c>
      <c r="I152" s="988">
        <v>24.3</v>
      </c>
      <c r="K152" s="989">
        <v>175942</v>
      </c>
      <c r="L152" s="986">
        <v>16775</v>
      </c>
      <c r="N152" s="989">
        <v>72212.664300000004</v>
      </c>
      <c r="O152" s="986">
        <v>91944.335699999996</v>
      </c>
      <c r="Q152" s="989">
        <v>821159</v>
      </c>
      <c r="R152" s="988">
        <v>5.0022783067429355</v>
      </c>
      <c r="T152" s="989">
        <v>20890</v>
      </c>
      <c r="U152" s="985">
        <v>27647</v>
      </c>
      <c r="V152" s="985">
        <v>48552</v>
      </c>
      <c r="W152" s="985">
        <v>13420</v>
      </c>
      <c r="X152" s="985">
        <v>16475</v>
      </c>
      <c r="Y152" s="985">
        <v>17290</v>
      </c>
      <c r="Z152" s="985">
        <v>5828</v>
      </c>
      <c r="AA152" s="985" t="s">
        <v>47</v>
      </c>
      <c r="AB152" s="986">
        <v>14055</v>
      </c>
      <c r="AD152" s="366">
        <f t="shared" si="39"/>
        <v>44287</v>
      </c>
      <c r="AE152" s="990">
        <f t="shared" si="28"/>
        <v>0.12725622422437058</v>
      </c>
      <c r="AF152" s="991">
        <f t="shared" si="29"/>
        <v>0.16841803882868231</v>
      </c>
      <c r="AG152" s="991">
        <f t="shared" si="30"/>
        <v>0.29576563899194064</v>
      </c>
      <c r="AH152" s="991">
        <f t="shared" si="31"/>
        <v>8.1751006658260086E-2</v>
      </c>
      <c r="AI152" s="991">
        <f t="shared" si="32"/>
        <v>0.10036123954506966</v>
      </c>
      <c r="AJ152" s="991">
        <f t="shared" si="33"/>
        <v>0.10532599889130527</v>
      </c>
      <c r="AK152" s="991">
        <f t="shared" si="34"/>
        <v>3.5502598122529046E-2</v>
      </c>
      <c r="AL152" s="991" t="s">
        <v>47</v>
      </c>
      <c r="AM152" s="992">
        <f t="shared" si="35"/>
        <v>8.5619254737842432E-2</v>
      </c>
      <c r="AO152" s="989">
        <v>10325.4753</v>
      </c>
      <c r="AP152" s="985">
        <v>30204.887999999999</v>
      </c>
      <c r="AQ152" s="985">
        <v>18254.258399999999</v>
      </c>
      <c r="AR152" s="985">
        <v>77285.115600000005</v>
      </c>
      <c r="AS152" s="986">
        <v>27693.285899999999</v>
      </c>
      <c r="AU152" s="993">
        <f t="shared" si="44"/>
        <v>6.3051323175621496E-2</v>
      </c>
      <c r="AV152" s="994">
        <f t="shared" si="44"/>
        <v>0.18444266238973536</v>
      </c>
      <c r="AW152" s="994">
        <f t="shared" si="44"/>
        <v>0.11146752205292702</v>
      </c>
      <c r="AX152" s="994">
        <f t="shared" si="44"/>
        <v>0.47193263833199683</v>
      </c>
      <c r="AY152" s="995">
        <f t="shared" si="44"/>
        <v>0.16910585404971931</v>
      </c>
      <c r="BA152" s="993">
        <f t="shared" si="45"/>
        <v>0.18001386820656806</v>
      </c>
      <c r="BB152" s="995">
        <f t="shared" si="46"/>
        <v>0.1021887583228251</v>
      </c>
      <c r="BE152" s="981" t="s">
        <v>1097</v>
      </c>
      <c r="BF152" s="981" t="s">
        <v>1125</v>
      </c>
    </row>
    <row r="153" spans="1:58" ht="12.75" customHeight="1" outlineLevel="1" x14ac:dyDescent="0.2">
      <c r="A153" s="365" t="s">
        <v>1125</v>
      </c>
      <c r="B153" s="366">
        <v>44317</v>
      </c>
      <c r="C153" s="984">
        <v>210376</v>
      </c>
      <c r="D153" s="985">
        <v>175574</v>
      </c>
      <c r="E153" s="986">
        <v>34802</v>
      </c>
      <c r="G153" s="984">
        <v>96.5</v>
      </c>
      <c r="H153" s="987">
        <v>66.599999999999994</v>
      </c>
      <c r="I153" s="988">
        <v>29.9</v>
      </c>
      <c r="K153" s="989">
        <v>177281</v>
      </c>
      <c r="L153" s="986">
        <v>18909</v>
      </c>
      <c r="N153" s="989">
        <v>79254.103600000002</v>
      </c>
      <c r="O153" s="986">
        <v>96319.896399999998</v>
      </c>
      <c r="Q153" s="989">
        <v>976129</v>
      </c>
      <c r="R153" s="988">
        <v>5.5596443664779525</v>
      </c>
      <c r="T153" s="989">
        <v>17296</v>
      </c>
      <c r="U153" s="985">
        <v>28961</v>
      </c>
      <c r="V153" s="985">
        <v>54204</v>
      </c>
      <c r="W153" s="985">
        <v>15566</v>
      </c>
      <c r="X153" s="985">
        <v>17404</v>
      </c>
      <c r="Y153" s="985">
        <v>20083</v>
      </c>
      <c r="Z153" s="985">
        <v>7060</v>
      </c>
      <c r="AA153" s="985" t="s">
        <v>47</v>
      </c>
      <c r="AB153" s="986">
        <v>15000</v>
      </c>
      <c r="AD153" s="366">
        <f t="shared" si="39"/>
        <v>44317</v>
      </c>
      <c r="AE153" s="990">
        <f t="shared" ref="AE153:AE184" si="47">+T153/SUM($T153:$AB153)</f>
        <v>9.851116907970428E-2</v>
      </c>
      <c r="AF153" s="991">
        <f t="shared" ref="AF153:AF184" si="48">+U153/SUM($T153:$AB153)</f>
        <v>0.16495039128800393</v>
      </c>
      <c r="AG153" s="991">
        <f t="shared" ref="AG153:AG184" si="49">+V153/SUM($T153:$AB153)</f>
        <v>0.30872452641051634</v>
      </c>
      <c r="AH153" s="991">
        <f t="shared" ref="AH153:AH184" si="50">+W153/SUM($T153:$AB153)</f>
        <v>8.8657773930080758E-2</v>
      </c>
      <c r="AI153" s="991">
        <f t="shared" ref="AI153:AI184" si="51">+X153/SUM($T153:$AB153)</f>
        <v>9.9126294326039158E-2</v>
      </c>
      <c r="AJ153" s="991">
        <f t="shared" ref="AJ153:AJ184" si="52">+Y153/SUM($T153:$AB153)</f>
        <v>0.1143848177976238</v>
      </c>
      <c r="AK153" s="991">
        <f t="shared" ref="AK153:AK184" si="53">+Z153/SUM($T153:$AB153)</f>
        <v>4.0210965177076334E-2</v>
      </c>
      <c r="AL153" s="991" t="s">
        <v>47</v>
      </c>
      <c r="AM153" s="992">
        <f t="shared" ref="AM153:AM184" si="54">+AB153/SUM($T153:$AB153)</f>
        <v>8.5434061990955379E-2</v>
      </c>
      <c r="AO153" s="989">
        <v>10481.767800000001</v>
      </c>
      <c r="AP153" s="985">
        <v>26739.920199999997</v>
      </c>
      <c r="AQ153" s="985">
        <v>18470.3848</v>
      </c>
      <c r="AR153" s="985">
        <v>92632.842399999994</v>
      </c>
      <c r="AS153" s="986">
        <v>27424.658800000001</v>
      </c>
      <c r="AU153" s="993">
        <f t="shared" si="44"/>
        <v>5.9640359640359651E-2</v>
      </c>
      <c r="AV153" s="994">
        <f t="shared" si="44"/>
        <v>0.15214785214785215</v>
      </c>
      <c r="AW153" s="994">
        <f t="shared" si="44"/>
        <v>0.1050949050949051</v>
      </c>
      <c r="AX153" s="994">
        <f t="shared" si="44"/>
        <v>0.52707292707292708</v>
      </c>
      <c r="AY153" s="995">
        <f t="shared" si="44"/>
        <v>0.15604395604395604</v>
      </c>
      <c r="BA153" s="993">
        <f t="shared" si="45"/>
        <v>0.19630981323435676</v>
      </c>
      <c r="BB153" s="995">
        <f t="shared" si="46"/>
        <v>0.10769817854579836</v>
      </c>
      <c r="BE153" s="981" t="s">
        <v>1097</v>
      </c>
      <c r="BF153" s="981" t="s">
        <v>1125</v>
      </c>
    </row>
    <row r="154" spans="1:58" ht="12.75" customHeight="1" outlineLevel="1" x14ac:dyDescent="0.2">
      <c r="A154" s="365" t="s">
        <v>1125</v>
      </c>
      <c r="B154" s="366">
        <v>44348</v>
      </c>
      <c r="C154" s="984">
        <v>201054</v>
      </c>
      <c r="D154" s="985">
        <v>169651</v>
      </c>
      <c r="E154" s="986">
        <v>31403</v>
      </c>
      <c r="G154" s="984">
        <v>93</v>
      </c>
      <c r="H154" s="987">
        <v>71.3</v>
      </c>
      <c r="I154" s="988">
        <v>21.7</v>
      </c>
      <c r="K154" s="989">
        <v>151286</v>
      </c>
      <c r="L154" s="986">
        <v>23769</v>
      </c>
      <c r="N154" s="989">
        <v>75409.869500000001</v>
      </c>
      <c r="O154" s="986">
        <v>94241.130499999999</v>
      </c>
      <c r="Q154" s="989">
        <v>993199</v>
      </c>
      <c r="R154" s="988">
        <v>5.8543657272871954</v>
      </c>
      <c r="T154" s="989">
        <v>11640</v>
      </c>
      <c r="U154" s="985">
        <v>22698</v>
      </c>
      <c r="V154" s="985">
        <v>58118</v>
      </c>
      <c r="W154" s="985">
        <v>16488</v>
      </c>
      <c r="X154" s="985">
        <v>18216</v>
      </c>
      <c r="Y154" s="985">
        <v>19655</v>
      </c>
      <c r="Z154" s="985">
        <v>6461</v>
      </c>
      <c r="AA154" s="985" t="s">
        <v>47</v>
      </c>
      <c r="AB154" s="986">
        <v>16375</v>
      </c>
      <c r="AD154" s="366">
        <f t="shared" si="39"/>
        <v>44348</v>
      </c>
      <c r="AE154" s="990">
        <f t="shared" si="47"/>
        <v>6.8611443492817614E-2</v>
      </c>
      <c r="AF154" s="991">
        <f t="shared" si="48"/>
        <v>0.13379231481099432</v>
      </c>
      <c r="AG154" s="991">
        <f t="shared" si="49"/>
        <v>0.34257387224360597</v>
      </c>
      <c r="AH154" s="991">
        <f t="shared" si="50"/>
        <v>9.7187756040341647E-2</v>
      </c>
      <c r="AI154" s="991">
        <f t="shared" si="51"/>
        <v>0.10737337239391456</v>
      </c>
      <c r="AJ154" s="991">
        <f t="shared" si="52"/>
        <v>0.11585549156798368</v>
      </c>
      <c r="AK154" s="991">
        <f t="shared" si="53"/>
        <v>3.8084066701640426E-2</v>
      </c>
      <c r="AL154" s="991" t="s">
        <v>47</v>
      </c>
      <c r="AM154" s="992">
        <f t="shared" si="54"/>
        <v>9.6521682748701751E-2</v>
      </c>
      <c r="AO154" s="989">
        <v>10229.9553</v>
      </c>
      <c r="AP154" s="985">
        <v>25142.278200000001</v>
      </c>
      <c r="AQ154" s="985">
        <v>18729.470399999998</v>
      </c>
      <c r="AR154" s="985">
        <v>89456.972299999994</v>
      </c>
      <c r="AS154" s="986">
        <v>26075.358700000001</v>
      </c>
      <c r="AU154" s="993">
        <f t="shared" ref="AU154:AY155" si="55">+AO154/SUM($AO154:$AS154)</f>
        <v>6.0306030603060307E-2</v>
      </c>
      <c r="AV154" s="994">
        <f t="shared" si="55"/>
        <v>0.14821482148214821</v>
      </c>
      <c r="AW154" s="994">
        <f t="shared" si="55"/>
        <v>0.1104110411041104</v>
      </c>
      <c r="AX154" s="994">
        <f t="shared" si="55"/>
        <v>0.52735273527352733</v>
      </c>
      <c r="AY154" s="995">
        <f t="shared" si="55"/>
        <v>0.15371537153715373</v>
      </c>
      <c r="BA154" s="993">
        <f t="shared" si="45"/>
        <v>0.20757373451608213</v>
      </c>
      <c r="BB154" s="995">
        <f t="shared" si="46"/>
        <v>0.14010527494680255</v>
      </c>
      <c r="BE154" s="981" t="s">
        <v>1097</v>
      </c>
      <c r="BF154" s="981" t="s">
        <v>1125</v>
      </c>
    </row>
    <row r="155" spans="1:58" ht="12.75" customHeight="1" outlineLevel="1" x14ac:dyDescent="0.2">
      <c r="A155" s="365" t="s">
        <v>1126</v>
      </c>
      <c r="B155" s="366">
        <v>44378</v>
      </c>
      <c r="C155" s="984">
        <v>183757</v>
      </c>
      <c r="D155" s="985">
        <v>162206</v>
      </c>
      <c r="E155" s="986">
        <v>21551</v>
      </c>
      <c r="G155" s="984">
        <v>85.1</v>
      </c>
      <c r="H155" s="987">
        <v>57.3</v>
      </c>
      <c r="I155" s="988">
        <v>27.8</v>
      </c>
      <c r="K155" s="989">
        <v>147822</v>
      </c>
      <c r="L155" s="986">
        <v>23604</v>
      </c>
      <c r="N155" s="989">
        <v>64428.2232</v>
      </c>
      <c r="O155" s="986">
        <v>97777.776799999992</v>
      </c>
      <c r="Q155" s="989">
        <v>1061013</v>
      </c>
      <c r="R155" s="988">
        <v>6.541145210411452</v>
      </c>
      <c r="T155" s="989">
        <v>9395</v>
      </c>
      <c r="U155" s="985">
        <v>17686</v>
      </c>
      <c r="V155" s="985">
        <v>57301</v>
      </c>
      <c r="W155" s="985">
        <v>18646</v>
      </c>
      <c r="X155" s="985">
        <v>17917</v>
      </c>
      <c r="Y155" s="985">
        <v>18903</v>
      </c>
      <c r="Z155" s="985">
        <v>6011</v>
      </c>
      <c r="AA155" s="985" t="s">
        <v>47</v>
      </c>
      <c r="AB155" s="986">
        <v>16347</v>
      </c>
      <c r="AD155" s="366">
        <f t="shared" si="39"/>
        <v>44378</v>
      </c>
      <c r="AE155" s="990">
        <f t="shared" si="47"/>
        <v>5.7920175579201753E-2</v>
      </c>
      <c r="AF155" s="991">
        <f t="shared" si="48"/>
        <v>0.10903419109034192</v>
      </c>
      <c r="AG155" s="991">
        <f t="shared" si="49"/>
        <v>0.35326066853260668</v>
      </c>
      <c r="AH155" s="991">
        <f t="shared" si="50"/>
        <v>0.11495259114952591</v>
      </c>
      <c r="AI155" s="991">
        <f t="shared" si="51"/>
        <v>0.11045830610458306</v>
      </c>
      <c r="AJ155" s="991">
        <f t="shared" si="52"/>
        <v>0.11653699616536996</v>
      </c>
      <c r="AK155" s="991">
        <f t="shared" si="53"/>
        <v>3.7057815370578152E-2</v>
      </c>
      <c r="AL155" s="991" t="s">
        <v>47</v>
      </c>
      <c r="AM155" s="992">
        <f t="shared" si="54"/>
        <v>0.10077925600779256</v>
      </c>
      <c r="AO155" s="989">
        <v>10364.963400000001</v>
      </c>
      <c r="AP155" s="985">
        <v>25466.342000000001</v>
      </c>
      <c r="AQ155" s="985">
        <v>18669.910599999999</v>
      </c>
      <c r="AR155" s="985">
        <v>80794.808600000004</v>
      </c>
      <c r="AS155" s="986">
        <v>26909.975399999999</v>
      </c>
      <c r="AU155" s="993">
        <f t="shared" si="55"/>
        <v>6.3899999999999998E-2</v>
      </c>
      <c r="AV155" s="994">
        <f t="shared" si="55"/>
        <v>0.157</v>
      </c>
      <c r="AW155" s="994">
        <f t="shared" si="55"/>
        <v>0.11509999999999999</v>
      </c>
      <c r="AX155" s="994">
        <f t="shared" si="55"/>
        <v>0.49810000000000004</v>
      </c>
      <c r="AY155" s="995">
        <f t="shared" si="55"/>
        <v>0.16589999999999999</v>
      </c>
      <c r="BA155" s="993">
        <f t="shared" si="45"/>
        <v>0.14579020714102095</v>
      </c>
      <c r="BB155" s="995">
        <f t="shared" si="46"/>
        <v>0.1455186614551866</v>
      </c>
      <c r="BE155" s="981" t="s">
        <v>1098</v>
      </c>
      <c r="BF155" s="981" t="s">
        <v>1126</v>
      </c>
    </row>
    <row r="156" spans="1:58" ht="12.75" customHeight="1" outlineLevel="1" x14ac:dyDescent="0.2">
      <c r="A156" s="365" t="s">
        <v>1126</v>
      </c>
      <c r="B156" s="366">
        <v>44409</v>
      </c>
      <c r="C156" s="984">
        <v>185549</v>
      </c>
      <c r="D156" s="985">
        <v>158557</v>
      </c>
      <c r="E156" s="986">
        <v>26992</v>
      </c>
      <c r="G156" s="984">
        <v>76.400000000000006</v>
      </c>
      <c r="H156" s="987">
        <v>48.3</v>
      </c>
      <c r="I156" s="988">
        <v>28.1</v>
      </c>
      <c r="K156" s="989">
        <v>148857</v>
      </c>
      <c r="L156" s="986">
        <v>22641</v>
      </c>
      <c r="N156" s="989">
        <v>64881.524400000002</v>
      </c>
      <c r="O156" s="986">
        <v>93675.475600000005</v>
      </c>
      <c r="Q156" s="989">
        <v>1074324</v>
      </c>
      <c r="R156" s="988">
        <v>6.7756327377536154</v>
      </c>
      <c r="T156" s="989">
        <v>8953</v>
      </c>
      <c r="U156" s="985">
        <v>23280</v>
      </c>
      <c r="V156" s="985">
        <v>52640</v>
      </c>
      <c r="W156" s="985">
        <v>17476</v>
      </c>
      <c r="X156" s="985">
        <v>13303</v>
      </c>
      <c r="Y156" s="985">
        <v>19257</v>
      </c>
      <c r="Z156" s="985">
        <v>8074</v>
      </c>
      <c r="AA156" s="985" t="s">
        <v>47</v>
      </c>
      <c r="AB156" s="986">
        <v>15574</v>
      </c>
      <c r="AD156" s="366">
        <f t="shared" si="39"/>
        <v>44409</v>
      </c>
      <c r="AE156" s="990">
        <f t="shared" si="47"/>
        <v>5.6465498211999469E-2</v>
      </c>
      <c r="AF156" s="991">
        <f t="shared" si="48"/>
        <v>0.14682417048758489</v>
      </c>
      <c r="AG156" s="991">
        <f t="shared" si="49"/>
        <v>0.33199417244271778</v>
      </c>
      <c r="AH156" s="991">
        <f t="shared" si="50"/>
        <v>0.11021903794849802</v>
      </c>
      <c r="AI156" s="991">
        <f t="shared" si="51"/>
        <v>8.3900426975787881E-2</v>
      </c>
      <c r="AJ156" s="991">
        <f t="shared" si="52"/>
        <v>0.12145159154121231</v>
      </c>
      <c r="AK156" s="991">
        <f t="shared" si="53"/>
        <v>5.0921750537661535E-2</v>
      </c>
      <c r="AL156" s="991" t="s">
        <v>47</v>
      </c>
      <c r="AM156" s="992">
        <f t="shared" si="54"/>
        <v>9.8223351854538121E-2</v>
      </c>
      <c r="AO156" s="989">
        <v>9497.5643</v>
      </c>
      <c r="AP156" s="985">
        <v>23212.7448</v>
      </c>
      <c r="AQ156" s="985">
        <v>18630.447499999998</v>
      </c>
      <c r="AR156" s="985">
        <v>80800.647200000007</v>
      </c>
      <c r="AS156" s="986">
        <v>26431.451899999996</v>
      </c>
      <c r="AU156" s="993">
        <f t="shared" ref="AU156:AY160" si="56">+AO156/SUM($AO156:$AS156)</f>
        <v>5.989401059894011E-2</v>
      </c>
      <c r="AV156" s="994">
        <f t="shared" si="56"/>
        <v>0.14638536146385364</v>
      </c>
      <c r="AW156" s="994">
        <f t="shared" si="56"/>
        <v>0.11748825117488251</v>
      </c>
      <c r="AX156" s="994">
        <f t="shared" si="56"/>
        <v>0.50954904509549059</v>
      </c>
      <c r="AY156" s="995">
        <f t="shared" si="56"/>
        <v>0.1666833316668333</v>
      </c>
      <c r="BA156" s="993">
        <f t="shared" si="45"/>
        <v>0.18132838899077638</v>
      </c>
      <c r="BB156" s="995">
        <f t="shared" si="46"/>
        <v>0.14279407405538702</v>
      </c>
      <c r="BE156" s="981" t="s">
        <v>1098</v>
      </c>
      <c r="BF156" s="981" t="s">
        <v>1126</v>
      </c>
    </row>
    <row r="157" spans="1:58" ht="12.75" customHeight="1" outlineLevel="1" x14ac:dyDescent="0.2">
      <c r="A157" s="365" t="s">
        <v>1126</v>
      </c>
      <c r="B157" s="366">
        <v>44440</v>
      </c>
      <c r="C157" s="984">
        <v>164011</v>
      </c>
      <c r="D157" s="985">
        <v>142595</v>
      </c>
      <c r="E157" s="986">
        <v>21416</v>
      </c>
      <c r="G157" s="984">
        <v>85.9</v>
      </c>
      <c r="H157" s="987">
        <v>52.4</v>
      </c>
      <c r="I157" s="988">
        <v>33.5</v>
      </c>
      <c r="K157" s="989">
        <v>159073</v>
      </c>
      <c r="L157" s="986">
        <v>21436</v>
      </c>
      <c r="N157" s="989">
        <v>54599.625500000002</v>
      </c>
      <c r="O157" s="986">
        <v>87995.374500000005</v>
      </c>
      <c r="Q157" s="989">
        <v>980910</v>
      </c>
      <c r="R157" s="988">
        <v>6.8789929520670432</v>
      </c>
      <c r="T157" s="989">
        <v>17984</v>
      </c>
      <c r="U157" s="985">
        <v>20681</v>
      </c>
      <c r="V157" s="985">
        <v>40499</v>
      </c>
      <c r="W157" s="985">
        <v>12643</v>
      </c>
      <c r="X157" s="985">
        <v>10536</v>
      </c>
      <c r="Y157" s="985">
        <v>18575</v>
      </c>
      <c r="Z157" s="985">
        <v>7684</v>
      </c>
      <c r="AA157" s="985" t="s">
        <v>47</v>
      </c>
      <c r="AB157" s="986">
        <v>13993</v>
      </c>
      <c r="AD157" s="366">
        <f t="shared" si="39"/>
        <v>44440</v>
      </c>
      <c r="AE157" s="990">
        <f t="shared" si="47"/>
        <v>0.12611942915249483</v>
      </c>
      <c r="AF157" s="991">
        <f t="shared" si="48"/>
        <v>0.14503313580420071</v>
      </c>
      <c r="AG157" s="991">
        <f t="shared" si="49"/>
        <v>0.28401416599460011</v>
      </c>
      <c r="AH157" s="991">
        <f t="shared" si="50"/>
        <v>8.8663697885620119E-2</v>
      </c>
      <c r="AI157" s="991">
        <f t="shared" si="51"/>
        <v>7.3887583716119073E-2</v>
      </c>
      <c r="AJ157" s="991">
        <f t="shared" si="52"/>
        <v>0.13026403450331359</v>
      </c>
      <c r="AK157" s="991">
        <f t="shared" si="53"/>
        <v>5.3886882429257689E-2</v>
      </c>
      <c r="AL157" s="991" t="s">
        <v>47</v>
      </c>
      <c r="AM157" s="992">
        <f t="shared" si="54"/>
        <v>9.8131070514393917E-2</v>
      </c>
      <c r="AO157" s="989">
        <v>9539.6054999999997</v>
      </c>
      <c r="AP157" s="985">
        <v>22145.003499999999</v>
      </c>
      <c r="AQ157" s="985">
        <v>16555.279500000001</v>
      </c>
      <c r="AR157" s="985">
        <v>69130.055999999997</v>
      </c>
      <c r="AS157" s="986">
        <v>25225.055499999999</v>
      </c>
      <c r="AU157" s="993">
        <f t="shared" si="56"/>
        <v>6.6900000000000001E-2</v>
      </c>
      <c r="AV157" s="994">
        <f t="shared" si="56"/>
        <v>0.15529999999999999</v>
      </c>
      <c r="AW157" s="994">
        <f t="shared" si="56"/>
        <v>0.11610000000000001</v>
      </c>
      <c r="AX157" s="994">
        <f t="shared" si="56"/>
        <v>0.48479999999999995</v>
      </c>
      <c r="AY157" s="995">
        <f t="shared" si="56"/>
        <v>0.1769</v>
      </c>
      <c r="BA157" s="993">
        <f t="shared" si="45"/>
        <v>0.13463001263570815</v>
      </c>
      <c r="BB157" s="995">
        <f t="shared" si="46"/>
        <v>0.15032785160770012</v>
      </c>
      <c r="BE157" s="981" t="s">
        <v>1098</v>
      </c>
      <c r="BF157" s="981" t="s">
        <v>1126</v>
      </c>
    </row>
    <row r="158" spans="1:58" ht="12.75" customHeight="1" outlineLevel="1" x14ac:dyDescent="0.2">
      <c r="A158" s="365" t="s">
        <v>1127</v>
      </c>
      <c r="B158" s="366">
        <v>44470</v>
      </c>
      <c r="C158" s="984">
        <v>177584</v>
      </c>
      <c r="D158" s="985">
        <v>150397</v>
      </c>
      <c r="E158" s="986">
        <v>27187</v>
      </c>
      <c r="G158" s="984">
        <v>93.5</v>
      </c>
      <c r="H158" s="987">
        <v>59.7</v>
      </c>
      <c r="I158" s="988">
        <v>33.799999999999997</v>
      </c>
      <c r="K158" s="989">
        <v>163928</v>
      </c>
      <c r="L158" s="986">
        <v>21670</v>
      </c>
      <c r="N158" s="989">
        <v>64896.305500000002</v>
      </c>
      <c r="O158" s="986">
        <v>85500.694499999998</v>
      </c>
      <c r="Q158" s="989">
        <v>902288</v>
      </c>
      <c r="R158" s="988">
        <v>5.9993749875329963</v>
      </c>
      <c r="T158" s="989">
        <v>19095</v>
      </c>
      <c r="U158" s="985">
        <v>25999</v>
      </c>
      <c r="V158" s="985">
        <v>42665</v>
      </c>
      <c r="W158" s="985">
        <v>12727</v>
      </c>
      <c r="X158" s="985">
        <v>12048</v>
      </c>
      <c r="Y158" s="985">
        <v>18063</v>
      </c>
      <c r="Z158" s="985">
        <v>6588</v>
      </c>
      <c r="AA158" s="985" t="s">
        <v>47</v>
      </c>
      <c r="AB158" s="986">
        <v>13212</v>
      </c>
      <c r="AD158" s="366">
        <f t="shared" si="39"/>
        <v>44470</v>
      </c>
      <c r="AE158" s="990">
        <f t="shared" si="47"/>
        <v>0.12696396869618409</v>
      </c>
      <c r="AF158" s="991">
        <f t="shared" si="48"/>
        <v>0.17286913967698825</v>
      </c>
      <c r="AG158" s="991">
        <f t="shared" si="49"/>
        <v>0.28368252026303714</v>
      </c>
      <c r="AH158" s="991">
        <f t="shared" si="50"/>
        <v>8.462269859106232E-2</v>
      </c>
      <c r="AI158" s="991">
        <f t="shared" si="51"/>
        <v>8.0107980877278134E-2</v>
      </c>
      <c r="AJ158" s="991">
        <f t="shared" si="52"/>
        <v>0.12010212969673598</v>
      </c>
      <c r="AK158" s="991">
        <f t="shared" si="53"/>
        <v>4.3804065240663048E-2</v>
      </c>
      <c r="AL158" s="991" t="s">
        <v>47</v>
      </c>
      <c r="AM158" s="992">
        <f t="shared" si="54"/>
        <v>8.7847496958051025E-2</v>
      </c>
      <c r="AO158" s="989">
        <v>8452.3114000000005</v>
      </c>
      <c r="AP158" s="985">
        <v>20559.269899999999</v>
      </c>
      <c r="AQ158" s="985">
        <v>15701.446800000002</v>
      </c>
      <c r="AR158" s="985">
        <v>78507.233999999997</v>
      </c>
      <c r="AS158" s="986">
        <v>27176.7379</v>
      </c>
      <c r="AU158" s="993">
        <f t="shared" si="56"/>
        <v>5.62E-2</v>
      </c>
      <c r="AV158" s="994">
        <f t="shared" si="56"/>
        <v>0.13669999999999999</v>
      </c>
      <c r="AW158" s="994">
        <f t="shared" si="56"/>
        <v>0.10440000000000001</v>
      </c>
      <c r="AX158" s="994">
        <f t="shared" si="56"/>
        <v>0.52200000000000002</v>
      </c>
      <c r="AY158" s="995">
        <f t="shared" si="56"/>
        <v>0.1807</v>
      </c>
      <c r="BA158" s="993">
        <f t="shared" si="45"/>
        <v>0.16584720121028745</v>
      </c>
      <c r="BB158" s="995">
        <f t="shared" si="46"/>
        <v>0.14408532085081485</v>
      </c>
      <c r="BE158" s="981" t="s">
        <v>1123</v>
      </c>
      <c r="BF158" s="981" t="s">
        <v>1127</v>
      </c>
    </row>
    <row r="159" spans="1:58" ht="12.75" customHeight="1" outlineLevel="1" x14ac:dyDescent="0.2">
      <c r="A159" s="365" t="s">
        <v>1127</v>
      </c>
      <c r="B159" s="366">
        <v>44501</v>
      </c>
      <c r="C159" s="984">
        <v>187182</v>
      </c>
      <c r="D159" s="985">
        <v>161449</v>
      </c>
      <c r="E159" s="986">
        <v>25733</v>
      </c>
      <c r="G159" s="984">
        <v>103.8</v>
      </c>
      <c r="H159" s="987">
        <v>71.599999999999994</v>
      </c>
      <c r="I159" s="988">
        <v>32.200000000000003</v>
      </c>
      <c r="K159" s="989">
        <v>189757</v>
      </c>
      <c r="L159" s="986">
        <v>24355</v>
      </c>
      <c r="N159" s="989">
        <v>75364.393200000006</v>
      </c>
      <c r="O159" s="986">
        <v>86084.606799999994</v>
      </c>
      <c r="Q159" s="989">
        <v>863464</v>
      </c>
      <c r="R159" s="988">
        <v>5.3482152258607982</v>
      </c>
      <c r="T159" s="989">
        <v>28435</v>
      </c>
      <c r="U159" s="985">
        <v>21690</v>
      </c>
      <c r="V159" s="985">
        <v>41356</v>
      </c>
      <c r="W159" s="985">
        <v>14322</v>
      </c>
      <c r="X159" s="985">
        <v>16593</v>
      </c>
      <c r="Y159" s="985">
        <v>17748</v>
      </c>
      <c r="Z159" s="985">
        <v>5807</v>
      </c>
      <c r="AA159" s="985" t="s">
        <v>47</v>
      </c>
      <c r="AB159" s="986">
        <v>15498</v>
      </c>
      <c r="AD159" s="366">
        <f t="shared" si="39"/>
        <v>44501</v>
      </c>
      <c r="AE159" s="990">
        <f t="shared" si="47"/>
        <v>0.17612372947494256</v>
      </c>
      <c r="AF159" s="991">
        <f t="shared" si="48"/>
        <v>0.13434583057188337</v>
      </c>
      <c r="AG159" s="991">
        <f t="shared" si="49"/>
        <v>0.25615519451963159</v>
      </c>
      <c r="AH159" s="991">
        <f t="shared" si="50"/>
        <v>8.8709127959913037E-2</v>
      </c>
      <c r="AI159" s="991">
        <f t="shared" si="51"/>
        <v>0.10277548947345601</v>
      </c>
      <c r="AJ159" s="991">
        <f t="shared" si="52"/>
        <v>0.10992945140570706</v>
      </c>
      <c r="AK159" s="991">
        <f t="shared" si="53"/>
        <v>3.5968014667170436E-2</v>
      </c>
      <c r="AL159" s="991" t="s">
        <v>47</v>
      </c>
      <c r="AM159" s="992">
        <f t="shared" si="54"/>
        <v>9.5993161927295928E-2</v>
      </c>
      <c r="AO159" s="989">
        <v>9541.6358999999993</v>
      </c>
      <c r="AP159" s="985">
        <v>22941.902900000001</v>
      </c>
      <c r="AQ159" s="985">
        <v>16112.610199999999</v>
      </c>
      <c r="AR159" s="985">
        <v>84986.753599999996</v>
      </c>
      <c r="AS159" s="986">
        <v>27849.952499999999</v>
      </c>
      <c r="AU159" s="993">
        <f t="shared" si="56"/>
        <v>5.9105910591059109E-2</v>
      </c>
      <c r="AV159" s="994">
        <f t="shared" si="56"/>
        <v>0.14211421142114214</v>
      </c>
      <c r="AW159" s="994">
        <f t="shared" si="56"/>
        <v>9.9809980998099818E-2</v>
      </c>
      <c r="AX159" s="994">
        <f t="shared" si="56"/>
        <v>0.52645264526452651</v>
      </c>
      <c r="AY159" s="995">
        <f t="shared" si="56"/>
        <v>0.17251725172517252</v>
      </c>
      <c r="BA159" s="993">
        <f t="shared" si="45"/>
        <v>0.13561028051666077</v>
      </c>
      <c r="BB159" s="995">
        <f t="shared" si="46"/>
        <v>0.15085259122075703</v>
      </c>
      <c r="BE159" s="981" t="s">
        <v>1123</v>
      </c>
      <c r="BF159" s="981" t="s">
        <v>1127</v>
      </c>
    </row>
    <row r="160" spans="1:58" ht="12.75" customHeight="1" outlineLevel="1" x14ac:dyDescent="0.2">
      <c r="A160" s="365" t="s">
        <v>1127</v>
      </c>
      <c r="B160" s="366">
        <v>44531</v>
      </c>
      <c r="C160" s="984">
        <v>233048</v>
      </c>
      <c r="D160" s="985">
        <v>193990</v>
      </c>
      <c r="E160" s="986">
        <v>39058</v>
      </c>
      <c r="G160" s="984">
        <v>114.3</v>
      </c>
      <c r="H160" s="987">
        <v>89.8</v>
      </c>
      <c r="I160" s="988">
        <v>24.5</v>
      </c>
      <c r="K160" s="989">
        <v>197101</v>
      </c>
      <c r="L160" s="986">
        <v>28876</v>
      </c>
      <c r="N160" s="989">
        <v>92028.856</v>
      </c>
      <c r="O160" s="986">
        <v>101961.144</v>
      </c>
      <c r="Q160" s="989">
        <v>901849</v>
      </c>
      <c r="R160" s="988">
        <v>4.6489458219495852</v>
      </c>
      <c r="T160" s="989">
        <v>33692</v>
      </c>
      <c r="U160" s="985">
        <v>27657</v>
      </c>
      <c r="V160" s="985">
        <v>48636</v>
      </c>
      <c r="W160" s="985">
        <v>18929</v>
      </c>
      <c r="X160" s="985">
        <v>19589</v>
      </c>
      <c r="Y160" s="985">
        <v>20913</v>
      </c>
      <c r="Z160" s="985">
        <v>7128</v>
      </c>
      <c r="AA160" s="985" t="s">
        <v>47</v>
      </c>
      <c r="AB160" s="986">
        <v>17446</v>
      </c>
      <c r="AD160" s="366">
        <f t="shared" si="39"/>
        <v>44531</v>
      </c>
      <c r="AE160" s="990">
        <f t="shared" si="47"/>
        <v>0.17367905562142377</v>
      </c>
      <c r="AF160" s="991">
        <f t="shared" si="48"/>
        <v>0.14256920459817515</v>
      </c>
      <c r="AG160" s="991">
        <f t="shared" si="49"/>
        <v>0.25071395432754268</v>
      </c>
      <c r="AH160" s="991">
        <f t="shared" si="50"/>
        <v>9.7577194700757777E-2</v>
      </c>
      <c r="AI160" s="991">
        <f t="shared" si="51"/>
        <v>0.1009794319294809</v>
      </c>
      <c r="AJ160" s="991">
        <f t="shared" si="52"/>
        <v>0.10780452600649518</v>
      </c>
      <c r="AK160" s="991">
        <f t="shared" si="53"/>
        <v>3.6744162070209807E-2</v>
      </c>
      <c r="AL160" s="991" t="s">
        <v>47</v>
      </c>
      <c r="AM160" s="992">
        <f t="shared" si="54"/>
        <v>8.9932470745914733E-2</v>
      </c>
      <c r="AO160" s="989">
        <v>12298.966</v>
      </c>
      <c r="AP160" s="985">
        <v>28380.737000000001</v>
      </c>
      <c r="AQ160" s="985">
        <v>20330.152000000002</v>
      </c>
      <c r="AR160" s="985">
        <v>96781.611000000004</v>
      </c>
      <c r="AS160" s="986">
        <v>36198.534</v>
      </c>
      <c r="AU160" s="993">
        <f t="shared" si="56"/>
        <v>6.3399999999999998E-2</v>
      </c>
      <c r="AV160" s="994">
        <f t="shared" si="56"/>
        <v>0.14630000000000001</v>
      </c>
      <c r="AW160" s="994">
        <f t="shared" si="56"/>
        <v>0.1048</v>
      </c>
      <c r="AX160" s="994">
        <f t="shared" si="56"/>
        <v>0.49890000000000001</v>
      </c>
      <c r="AY160" s="995">
        <f t="shared" si="56"/>
        <v>0.18659999999999999</v>
      </c>
      <c r="BA160" s="993">
        <f t="shared" si="45"/>
        <v>0.19816236345832847</v>
      </c>
      <c r="BB160" s="995">
        <f t="shared" si="46"/>
        <v>0.14885303366152894</v>
      </c>
      <c r="BE160" s="981" t="s">
        <v>1123</v>
      </c>
      <c r="BF160" s="981" t="s">
        <v>1127</v>
      </c>
    </row>
    <row r="161" spans="1:58" ht="12.75" customHeight="1" outlineLevel="1" x14ac:dyDescent="0.2">
      <c r="A161" s="365" t="s">
        <v>1181</v>
      </c>
      <c r="B161" s="366">
        <v>44562</v>
      </c>
      <c r="C161" s="1047">
        <v>142956</v>
      </c>
      <c r="D161" s="1048">
        <v>116774</v>
      </c>
      <c r="E161" s="1049">
        <v>26182</v>
      </c>
      <c r="G161" s="1047">
        <v>114.4</v>
      </c>
      <c r="H161" s="1050">
        <v>82.5</v>
      </c>
      <c r="I161" s="1051">
        <v>31.9</v>
      </c>
      <c r="K161" s="1052">
        <v>134629</v>
      </c>
      <c r="L161" s="1049">
        <v>17665</v>
      </c>
      <c r="N161" s="1052">
        <v>50002.626800000005</v>
      </c>
      <c r="O161" s="1049">
        <v>66771.373200000002</v>
      </c>
      <c r="Q161" s="1052">
        <v>614041</v>
      </c>
      <c r="R161" s="1051">
        <v>5.2583708702279619</v>
      </c>
      <c r="T161" s="1052">
        <v>13104</v>
      </c>
      <c r="U161" s="1048">
        <v>13083</v>
      </c>
      <c r="V161" s="1048">
        <v>34660</v>
      </c>
      <c r="W161" s="1048">
        <v>10023</v>
      </c>
      <c r="X161" s="1048">
        <v>11993</v>
      </c>
      <c r="Y161" s="1048">
        <v>15788</v>
      </c>
      <c r="Z161" s="1048">
        <v>4728</v>
      </c>
      <c r="AA161" s="1048" t="s">
        <v>47</v>
      </c>
      <c r="AB161" s="1049">
        <v>13395</v>
      </c>
      <c r="AD161" s="366">
        <f t="shared" si="39"/>
        <v>44562</v>
      </c>
      <c r="AE161" s="1053">
        <f t="shared" si="47"/>
        <v>0.11221676058026615</v>
      </c>
      <c r="AF161" s="1054">
        <f t="shared" si="48"/>
        <v>0.11203692602805419</v>
      </c>
      <c r="AG161" s="1054">
        <f t="shared" si="49"/>
        <v>0.29681264665079554</v>
      </c>
      <c r="AH161" s="1054">
        <f t="shared" si="50"/>
        <v>8.5832462705739285E-2</v>
      </c>
      <c r="AI161" s="1054">
        <f t="shared" si="51"/>
        <v>0.10270265641324268</v>
      </c>
      <c r="AJ161" s="1054">
        <f t="shared" si="52"/>
        <v>0.13520132906297636</v>
      </c>
      <c r="AK161" s="1054">
        <f t="shared" si="53"/>
        <v>4.0488464898008121E-2</v>
      </c>
      <c r="AL161" s="1054" t="s">
        <v>47</v>
      </c>
      <c r="AM161" s="1055">
        <f t="shared" si="54"/>
        <v>0.11470875366091766</v>
      </c>
      <c r="AO161" s="1052">
        <v>7134.8914000000004</v>
      </c>
      <c r="AP161" s="1048">
        <v>18555.388600000002</v>
      </c>
      <c r="AQ161" s="1048">
        <v>13020.300999999999</v>
      </c>
      <c r="AR161" s="1048">
        <v>58316.935600000004</v>
      </c>
      <c r="AS161" s="1049">
        <v>19734.806</v>
      </c>
      <c r="AU161" s="1056">
        <f t="shared" ref="AU161:AY162" si="57">+AO161/SUM($AO161:$AS161)</f>
        <v>6.110611061106111E-2</v>
      </c>
      <c r="AV161" s="1057">
        <f t="shared" si="57"/>
        <v>0.15891589158915895</v>
      </c>
      <c r="AW161" s="1057">
        <f t="shared" si="57"/>
        <v>0.11151115111511151</v>
      </c>
      <c r="AX161" s="1057">
        <f t="shared" si="57"/>
        <v>0.49944994499449946</v>
      </c>
      <c r="AY161" s="1058">
        <f t="shared" si="57"/>
        <v>0.16901690169016903</v>
      </c>
      <c r="BA161" s="1056">
        <f t="shared" si="45"/>
        <v>0.19447518736676347</v>
      </c>
      <c r="BB161" s="1058">
        <f t="shared" si="46"/>
        <v>0.15127511261068388</v>
      </c>
      <c r="BE161" s="981" t="s">
        <v>1182</v>
      </c>
      <c r="BF161" s="981" t="s">
        <v>1181</v>
      </c>
    </row>
    <row r="162" spans="1:58" ht="12.75" customHeight="1" outlineLevel="1" x14ac:dyDescent="0.2">
      <c r="A162" s="365" t="s">
        <v>1181</v>
      </c>
      <c r="B162" s="366">
        <v>44593</v>
      </c>
      <c r="C162" s="1047">
        <v>163086</v>
      </c>
      <c r="D162" s="1048">
        <v>123319</v>
      </c>
      <c r="E162" s="1049">
        <v>39767</v>
      </c>
      <c r="G162" s="1047">
        <v>120.10000000000001</v>
      </c>
      <c r="H162" s="1050">
        <v>84.9</v>
      </c>
      <c r="I162" s="1051">
        <v>35.200000000000003</v>
      </c>
      <c r="K162" s="1052">
        <v>152590</v>
      </c>
      <c r="L162" s="1049">
        <v>14840</v>
      </c>
      <c r="N162" s="1052">
        <v>48365.711799999997</v>
      </c>
      <c r="O162" s="1049">
        <v>74953.28820000001</v>
      </c>
      <c r="Q162" s="1052">
        <v>607057</v>
      </c>
      <c r="R162" s="1051">
        <v>4.9226558762234527</v>
      </c>
      <c r="T162" s="1052">
        <v>17435</v>
      </c>
      <c r="U162" s="1048">
        <v>11497</v>
      </c>
      <c r="V162" s="1048">
        <v>34777</v>
      </c>
      <c r="W162" s="1048">
        <v>13330</v>
      </c>
      <c r="X162" s="1048">
        <v>11931</v>
      </c>
      <c r="Y162" s="1048">
        <v>16620</v>
      </c>
      <c r="Z162" s="1048">
        <v>4017</v>
      </c>
      <c r="AA162" s="1048" t="s">
        <v>47</v>
      </c>
      <c r="AB162" s="1049">
        <v>13712</v>
      </c>
      <c r="AD162" s="366">
        <f t="shared" si="39"/>
        <v>44593</v>
      </c>
      <c r="AE162" s="1053">
        <f t="shared" si="47"/>
        <v>0.14138129566409069</v>
      </c>
      <c r="AF162" s="1054">
        <f t="shared" si="48"/>
        <v>9.3229753728135967E-2</v>
      </c>
      <c r="AG162" s="1054">
        <f t="shared" si="49"/>
        <v>0.28200844963063276</v>
      </c>
      <c r="AH162" s="1054">
        <f t="shared" si="50"/>
        <v>0.10809364331530422</v>
      </c>
      <c r="AI162" s="1054">
        <f t="shared" si="51"/>
        <v>9.67490816500296E-2</v>
      </c>
      <c r="AJ162" s="1054">
        <f t="shared" si="52"/>
        <v>0.13477241949740104</v>
      </c>
      <c r="AK162" s="1054">
        <f t="shared" si="53"/>
        <v>3.2574055903794225E-2</v>
      </c>
      <c r="AL162" s="1054" t="s">
        <v>47</v>
      </c>
      <c r="AM162" s="1055">
        <f t="shared" si="54"/>
        <v>0.1111913006106115</v>
      </c>
      <c r="AO162" s="1052">
        <v>6992.1872999999996</v>
      </c>
      <c r="AP162" s="1048">
        <v>18448.522400000002</v>
      </c>
      <c r="AQ162" s="1048">
        <v>14884.603300000001</v>
      </c>
      <c r="AR162" s="1048">
        <v>63176.323700000001</v>
      </c>
      <c r="AS162" s="1049">
        <v>19817.363300000001</v>
      </c>
      <c r="AU162" s="1056">
        <f t="shared" si="57"/>
        <v>5.6699999999999993E-2</v>
      </c>
      <c r="AV162" s="1057">
        <f t="shared" si="57"/>
        <v>0.14960000000000001</v>
      </c>
      <c r="AW162" s="1057">
        <f t="shared" si="57"/>
        <v>0.1207</v>
      </c>
      <c r="AX162" s="1057">
        <f t="shared" si="57"/>
        <v>0.51229999999999998</v>
      </c>
      <c r="AY162" s="1058">
        <f t="shared" si="57"/>
        <v>0.16070000000000001</v>
      </c>
      <c r="BA162" s="1056">
        <f t="shared" si="45"/>
        <v>0.26061340848024117</v>
      </c>
      <c r="BB162" s="1058">
        <f t="shared" si="46"/>
        <v>0.12033830958733042</v>
      </c>
      <c r="BE162" s="981" t="s">
        <v>1182</v>
      </c>
      <c r="BF162" s="981" t="s">
        <v>1181</v>
      </c>
    </row>
    <row r="163" spans="1:58" ht="12.75" customHeight="1" outlineLevel="1" x14ac:dyDescent="0.2">
      <c r="A163" s="365" t="s">
        <v>1181</v>
      </c>
      <c r="B163" s="366">
        <v>44621</v>
      </c>
      <c r="C163" s="1047">
        <v>171852</v>
      </c>
      <c r="D163" s="1048">
        <v>135401</v>
      </c>
      <c r="E163" s="1049">
        <v>36451</v>
      </c>
      <c r="G163" s="1047">
        <v>125.6</v>
      </c>
      <c r="H163" s="1050">
        <v>86.3</v>
      </c>
      <c r="I163" s="1051">
        <v>39.299999999999997</v>
      </c>
      <c r="K163" s="1052">
        <v>168834</v>
      </c>
      <c r="L163" s="1049">
        <v>17416</v>
      </c>
      <c r="N163" s="1052">
        <v>49786.947700000004</v>
      </c>
      <c r="O163" s="1049">
        <v>85614.052299999996</v>
      </c>
      <c r="Q163" s="1052">
        <v>782410</v>
      </c>
      <c r="R163" s="1051">
        <v>5.7784654470794159</v>
      </c>
      <c r="T163" s="1052">
        <v>19206</v>
      </c>
      <c r="U163" s="1048">
        <v>12760</v>
      </c>
      <c r="V163" s="1048">
        <v>39366</v>
      </c>
      <c r="W163" s="1048">
        <v>17029</v>
      </c>
      <c r="X163" s="1048">
        <v>12414</v>
      </c>
      <c r="Y163" s="1048">
        <v>17459</v>
      </c>
      <c r="Z163" s="1048">
        <v>4693</v>
      </c>
      <c r="AA163" s="1048" t="s">
        <v>47</v>
      </c>
      <c r="AB163" s="1049">
        <v>12474</v>
      </c>
      <c r="AD163" s="366">
        <f t="shared" si="39"/>
        <v>44621</v>
      </c>
      <c r="AE163" s="1053">
        <f t="shared" si="47"/>
        <v>0.14184533349089001</v>
      </c>
      <c r="AF163" s="1054">
        <f t="shared" si="48"/>
        <v>9.4238594988220181E-2</v>
      </c>
      <c r="AG163" s="1054">
        <f t="shared" si="49"/>
        <v>0.29073640519641658</v>
      </c>
      <c r="AH163" s="1054">
        <f t="shared" si="50"/>
        <v>0.12576716567824461</v>
      </c>
      <c r="AI163" s="1054">
        <f t="shared" si="51"/>
        <v>9.1683222428194766E-2</v>
      </c>
      <c r="AJ163" s="1054">
        <f t="shared" si="52"/>
        <v>0.12894291770370972</v>
      </c>
      <c r="AK163" s="1054">
        <f t="shared" si="53"/>
        <v>3.4660009896529564E-2</v>
      </c>
      <c r="AL163" s="1054" t="s">
        <v>47</v>
      </c>
      <c r="AM163" s="1055">
        <f t="shared" si="54"/>
        <v>9.2126350617794547E-2</v>
      </c>
      <c r="AO163" s="1052">
        <v>7690.7768000000005</v>
      </c>
      <c r="AP163" s="1048">
        <v>19592.524699999998</v>
      </c>
      <c r="AQ163" s="1048">
        <v>15070.131299999999</v>
      </c>
      <c r="AR163" s="1048">
        <v>71342.786900000006</v>
      </c>
      <c r="AS163" s="1049">
        <v>21704.780299999999</v>
      </c>
      <c r="AU163" s="1056">
        <f t="shared" ref="AU163:AY166" si="58">+AO163/SUM($AO163:$AS163)</f>
        <v>5.6800000000000003E-2</v>
      </c>
      <c r="AV163" s="1057">
        <f t="shared" si="58"/>
        <v>0.1447</v>
      </c>
      <c r="AW163" s="1057">
        <f t="shared" si="58"/>
        <v>0.1113</v>
      </c>
      <c r="AX163" s="1057">
        <f t="shared" si="58"/>
        <v>0.52690000000000003</v>
      </c>
      <c r="AY163" s="1058">
        <f t="shared" si="58"/>
        <v>0.1603</v>
      </c>
      <c r="BA163" s="1056">
        <f t="shared" si="45"/>
        <v>0.21589845647203762</v>
      </c>
      <c r="BB163" s="1058">
        <f t="shared" si="46"/>
        <v>0.1286253425011632</v>
      </c>
      <c r="BE163" s="981" t="s">
        <v>1182</v>
      </c>
      <c r="BF163" s="981" t="s">
        <v>1181</v>
      </c>
    </row>
    <row r="164" spans="1:58" ht="12.75" customHeight="1" outlineLevel="1" x14ac:dyDescent="0.2">
      <c r="A164" s="365" t="s">
        <v>1189</v>
      </c>
      <c r="B164" s="366">
        <v>44652</v>
      </c>
      <c r="C164" s="1047">
        <v>179261</v>
      </c>
      <c r="D164" s="1048">
        <v>136731</v>
      </c>
      <c r="E164" s="1049">
        <v>42530</v>
      </c>
      <c r="G164" s="1047">
        <v>128.9</v>
      </c>
      <c r="H164" s="1050">
        <v>82.5</v>
      </c>
      <c r="I164" s="1051">
        <v>46.4</v>
      </c>
      <c r="K164" s="1052">
        <v>174340</v>
      </c>
      <c r="L164" s="1049">
        <v>18516</v>
      </c>
      <c r="N164" s="1052">
        <v>57180.904200000004</v>
      </c>
      <c r="O164" s="1049">
        <v>79550.095799999996</v>
      </c>
      <c r="Q164" s="1052">
        <v>675328</v>
      </c>
      <c r="R164" s="1051">
        <v>4.9390993995509431</v>
      </c>
      <c r="T164" s="1052">
        <v>21232</v>
      </c>
      <c r="U164" s="1048">
        <v>9501</v>
      </c>
      <c r="V164" s="1048">
        <v>45214</v>
      </c>
      <c r="W164" s="1048">
        <v>16373</v>
      </c>
      <c r="X164" s="1048">
        <v>11571</v>
      </c>
      <c r="Y164" s="1048">
        <v>17410</v>
      </c>
      <c r="Z164" s="1048">
        <v>4176</v>
      </c>
      <c r="AA164" s="1048" t="s">
        <v>47</v>
      </c>
      <c r="AB164" s="1049">
        <v>11254</v>
      </c>
      <c r="AD164" s="366">
        <f t="shared" si="39"/>
        <v>44652</v>
      </c>
      <c r="AE164" s="1053">
        <f t="shared" si="47"/>
        <v>0.15528300092883107</v>
      </c>
      <c r="AF164" s="1054">
        <f t="shared" si="48"/>
        <v>6.9486802553919744E-2</v>
      </c>
      <c r="AG164" s="1054">
        <f t="shared" si="49"/>
        <v>0.33067848549341405</v>
      </c>
      <c r="AH164" s="1054">
        <f t="shared" si="50"/>
        <v>0.11974607075206062</v>
      </c>
      <c r="AI164" s="1054">
        <f t="shared" si="51"/>
        <v>8.4626017508831211E-2</v>
      </c>
      <c r="AJ164" s="1054">
        <f t="shared" si="52"/>
        <v>0.12733030549034235</v>
      </c>
      <c r="AK164" s="1054">
        <f t="shared" si="53"/>
        <v>3.0541720604690962E-2</v>
      </c>
      <c r="AL164" s="1054" t="s">
        <v>47</v>
      </c>
      <c r="AM164" s="1055">
        <f t="shared" si="54"/>
        <v>8.2307596667909988E-2</v>
      </c>
      <c r="AO164" s="1052">
        <v>7055.3195999999998</v>
      </c>
      <c r="AP164" s="1048">
        <v>18663.781500000001</v>
      </c>
      <c r="AQ164" s="1048">
        <v>15067.756200000002</v>
      </c>
      <c r="AR164" s="1048">
        <v>75078.992100000003</v>
      </c>
      <c r="AS164" s="1049">
        <v>20865.150600000001</v>
      </c>
      <c r="AU164" s="1056">
        <f t="shared" si="58"/>
        <v>5.16E-2</v>
      </c>
      <c r="AV164" s="1057">
        <f t="shared" si="58"/>
        <v>0.13650000000000001</v>
      </c>
      <c r="AW164" s="1057">
        <f t="shared" si="58"/>
        <v>0.11020000000000001</v>
      </c>
      <c r="AX164" s="1057">
        <f t="shared" si="58"/>
        <v>0.54910000000000003</v>
      </c>
      <c r="AY164" s="1058">
        <f t="shared" si="58"/>
        <v>0.15260000000000001</v>
      </c>
      <c r="BA164" s="1056">
        <f t="shared" si="45"/>
        <v>0.2439486061718481</v>
      </c>
      <c r="BB164" s="1058">
        <f t="shared" si="46"/>
        <v>0.13541918072712114</v>
      </c>
      <c r="BE164" s="981" t="s">
        <v>1188</v>
      </c>
      <c r="BF164" s="981" t="s">
        <v>1189</v>
      </c>
    </row>
    <row r="165" spans="1:58" ht="12.75" customHeight="1" outlineLevel="1" x14ac:dyDescent="0.2">
      <c r="A165" s="365" t="s">
        <v>1189</v>
      </c>
      <c r="B165" s="366">
        <v>44682</v>
      </c>
      <c r="C165" s="1047">
        <v>218597</v>
      </c>
      <c r="D165" s="1048">
        <v>175214</v>
      </c>
      <c r="E165" s="1049">
        <v>43383</v>
      </c>
      <c r="G165" s="1047">
        <v>123.9</v>
      </c>
      <c r="H165" s="1050">
        <v>85.2</v>
      </c>
      <c r="I165" s="1051">
        <v>38.700000000000003</v>
      </c>
      <c r="K165" s="1052">
        <v>188956</v>
      </c>
      <c r="L165" s="1049">
        <v>22350</v>
      </c>
      <c r="N165" s="1052">
        <v>84102.720000000001</v>
      </c>
      <c r="O165" s="1049">
        <v>91111.28</v>
      </c>
      <c r="Q165" s="1052">
        <v>849634</v>
      </c>
      <c r="R165" s="1051">
        <v>4.8491216455306079</v>
      </c>
      <c r="T165" s="1052">
        <v>25360</v>
      </c>
      <c r="U165" s="1048">
        <v>24293</v>
      </c>
      <c r="V165" s="1048">
        <v>51768</v>
      </c>
      <c r="W165" s="1048">
        <v>17365</v>
      </c>
      <c r="X165" s="1048">
        <v>13464</v>
      </c>
      <c r="Y165" s="1048">
        <v>19274</v>
      </c>
      <c r="Z165" s="1048">
        <v>4244</v>
      </c>
      <c r="AA165" s="1048" t="s">
        <v>47</v>
      </c>
      <c r="AB165" s="1049">
        <v>19446</v>
      </c>
      <c r="AD165" s="366">
        <f t="shared" ref="AD165:AD208" si="59">+B165</f>
        <v>44682</v>
      </c>
      <c r="AE165" s="1053">
        <f t="shared" si="47"/>
        <v>0.14473729268209162</v>
      </c>
      <c r="AF165" s="1054">
        <f t="shared" si="48"/>
        <v>0.13864759665323548</v>
      </c>
      <c r="AG165" s="1054">
        <f t="shared" si="49"/>
        <v>0.29545584256965768</v>
      </c>
      <c r="AH165" s="1054">
        <f t="shared" si="50"/>
        <v>9.9107377264373853E-2</v>
      </c>
      <c r="AI165" s="1054">
        <f t="shared" si="51"/>
        <v>7.6843174632164099E-2</v>
      </c>
      <c r="AJ165" s="1054">
        <f t="shared" si="52"/>
        <v>0.11000262536098714</v>
      </c>
      <c r="AK165" s="1054">
        <f t="shared" si="53"/>
        <v>2.4221808759574005E-2</v>
      </c>
      <c r="AL165" s="1054" t="s">
        <v>47</v>
      </c>
      <c r="AM165" s="1055">
        <f t="shared" si="54"/>
        <v>0.11098428207791615</v>
      </c>
      <c r="AO165" s="1052">
        <v>8357.7078000000001</v>
      </c>
      <c r="AP165" s="1048">
        <v>22059.442600000002</v>
      </c>
      <c r="AQ165" s="1048">
        <v>17276.100399999999</v>
      </c>
      <c r="AR165" s="1048">
        <v>101939.5052</v>
      </c>
      <c r="AS165" s="1049">
        <v>25563.722600000001</v>
      </c>
      <c r="AU165" s="1056">
        <f t="shared" si="58"/>
        <v>4.7704770477047707E-2</v>
      </c>
      <c r="AV165" s="1057">
        <f t="shared" si="58"/>
        <v>0.12591259125912593</v>
      </c>
      <c r="AW165" s="1057">
        <f t="shared" si="58"/>
        <v>9.8609860986098599E-2</v>
      </c>
      <c r="AX165" s="1057">
        <f t="shared" si="58"/>
        <v>0.58185818581858184</v>
      </c>
      <c r="AY165" s="1058">
        <f t="shared" si="58"/>
        <v>0.14591459145914593</v>
      </c>
      <c r="BA165" s="1056">
        <f t="shared" si="45"/>
        <v>0.22959313279281948</v>
      </c>
      <c r="BB165" s="1058">
        <f t="shared" si="46"/>
        <v>0.12755830013583389</v>
      </c>
      <c r="BE165" s="981" t="s">
        <v>1188</v>
      </c>
      <c r="BF165" s="981" t="s">
        <v>1189</v>
      </c>
    </row>
    <row r="166" spans="1:58" ht="12.75" customHeight="1" outlineLevel="1" x14ac:dyDescent="0.2">
      <c r="A166" s="365" t="s">
        <v>1189</v>
      </c>
      <c r="B166" s="366">
        <v>44713</v>
      </c>
      <c r="C166" s="1047">
        <v>210351</v>
      </c>
      <c r="D166" s="1048">
        <v>165688</v>
      </c>
      <c r="E166" s="1049">
        <v>44663</v>
      </c>
      <c r="G166" s="1047">
        <v>145.5</v>
      </c>
      <c r="H166" s="1050">
        <v>102.2</v>
      </c>
      <c r="I166" s="1051">
        <v>43.3</v>
      </c>
      <c r="K166" s="1052">
        <v>187237</v>
      </c>
      <c r="L166" s="1049">
        <v>26387</v>
      </c>
      <c r="N166" s="1052">
        <v>83440.476800000004</v>
      </c>
      <c r="O166" s="1049">
        <v>82247.523199999996</v>
      </c>
      <c r="Q166" s="1052">
        <v>843703</v>
      </c>
      <c r="R166" s="1051">
        <v>5.0921189223118146</v>
      </c>
      <c r="T166" s="1052">
        <v>19100</v>
      </c>
      <c r="U166" s="1048">
        <v>24804</v>
      </c>
      <c r="V166" s="1048">
        <v>46511</v>
      </c>
      <c r="W166" s="1048">
        <v>16458</v>
      </c>
      <c r="X166" s="1048">
        <v>16673</v>
      </c>
      <c r="Y166" s="1048">
        <v>16652</v>
      </c>
      <c r="Z166" s="1048">
        <v>4016</v>
      </c>
      <c r="AA166" s="1048" t="s">
        <v>47</v>
      </c>
      <c r="AB166" s="1049">
        <v>21474</v>
      </c>
      <c r="AD166" s="366">
        <f t="shared" si="59"/>
        <v>44713</v>
      </c>
      <c r="AE166" s="1053">
        <f t="shared" si="47"/>
        <v>0.11527690599198494</v>
      </c>
      <c r="AF166" s="1054">
        <f t="shared" si="48"/>
        <v>0.14970305634686881</v>
      </c>
      <c r="AG166" s="1054">
        <f t="shared" si="49"/>
        <v>0.28071435469074407</v>
      </c>
      <c r="AH166" s="1054">
        <f t="shared" si="50"/>
        <v>9.9331273236444403E-2</v>
      </c>
      <c r="AI166" s="1054">
        <f t="shared" si="51"/>
        <v>0.10062889285886727</v>
      </c>
      <c r="AJ166" s="1054">
        <f t="shared" si="52"/>
        <v>0.10050214861667713</v>
      </c>
      <c r="AK166" s="1054">
        <f t="shared" si="53"/>
        <v>2.4238327458838298E-2</v>
      </c>
      <c r="AL166" s="1054" t="s">
        <v>47</v>
      </c>
      <c r="AM166" s="1055">
        <f t="shared" si="54"/>
        <v>0.12960504079957511</v>
      </c>
      <c r="AO166" s="1052">
        <v>8483.2255999999998</v>
      </c>
      <c r="AP166" s="1048">
        <v>20230.504799999999</v>
      </c>
      <c r="AQ166" s="1048">
        <v>17496.6528</v>
      </c>
      <c r="AR166" s="1048">
        <v>94906.0864</v>
      </c>
      <c r="AS166" s="1049">
        <v>24571.5304</v>
      </c>
      <c r="AU166" s="1056">
        <f t="shared" si="58"/>
        <v>5.1199999999999996E-2</v>
      </c>
      <c r="AV166" s="1057">
        <f t="shared" si="58"/>
        <v>0.12209999999999999</v>
      </c>
      <c r="AW166" s="1057">
        <f t="shared" si="58"/>
        <v>0.1056</v>
      </c>
      <c r="AX166" s="1057">
        <f t="shared" si="58"/>
        <v>0.57279999999999998</v>
      </c>
      <c r="AY166" s="1058">
        <f t="shared" si="58"/>
        <v>0.14829999999999999</v>
      </c>
      <c r="BA166" s="1056">
        <f t="shared" si="45"/>
        <v>0.2385372549229052</v>
      </c>
      <c r="BB166" s="1058">
        <f t="shared" si="46"/>
        <v>0.15925715803196369</v>
      </c>
      <c r="BE166" s="981" t="s">
        <v>1188</v>
      </c>
      <c r="BF166" s="981" t="s">
        <v>1189</v>
      </c>
    </row>
    <row r="167" spans="1:58" ht="12.75" customHeight="1" outlineLevel="1" x14ac:dyDescent="0.2">
      <c r="A167" s="365" t="s">
        <v>1191</v>
      </c>
      <c r="B167" s="366">
        <v>44743</v>
      </c>
      <c r="C167" s="1047">
        <v>208561</v>
      </c>
      <c r="D167" s="1048">
        <v>169197</v>
      </c>
      <c r="E167" s="1049">
        <v>39364</v>
      </c>
      <c r="G167" s="1047">
        <v>150</v>
      </c>
      <c r="H167" s="1050">
        <v>100.5</v>
      </c>
      <c r="I167" s="1051">
        <v>49.5</v>
      </c>
      <c r="K167" s="1052">
        <v>203096</v>
      </c>
      <c r="L167" s="1049">
        <v>22121</v>
      </c>
      <c r="N167" s="1052">
        <v>87271.812600000005</v>
      </c>
      <c r="O167" s="1049">
        <v>81925.187399999995</v>
      </c>
      <c r="Q167" s="1052">
        <v>871250</v>
      </c>
      <c r="R167" s="1051">
        <v>5.1493229785398089</v>
      </c>
      <c r="T167" s="1052">
        <v>27941</v>
      </c>
      <c r="U167" s="1048">
        <v>27415</v>
      </c>
      <c r="V167" s="1048">
        <v>46065</v>
      </c>
      <c r="W167" s="1048">
        <v>16769</v>
      </c>
      <c r="X167" s="1048">
        <v>17568</v>
      </c>
      <c r="Y167" s="1048">
        <v>14239</v>
      </c>
      <c r="Z167" s="1048">
        <v>3975</v>
      </c>
      <c r="AA167" s="1048" t="s">
        <v>47</v>
      </c>
      <c r="AB167" s="1049">
        <v>15225</v>
      </c>
      <c r="AD167" s="366">
        <f t="shared" si="59"/>
        <v>44743</v>
      </c>
      <c r="AE167" s="1053">
        <f t="shared" si="47"/>
        <v>0.16513886180015011</v>
      </c>
      <c r="AF167" s="1054">
        <f t="shared" si="48"/>
        <v>0.1620300596346271</v>
      </c>
      <c r="AG167" s="1054">
        <f t="shared" si="49"/>
        <v>0.27225660029433146</v>
      </c>
      <c r="AH167" s="1054">
        <f t="shared" si="50"/>
        <v>9.9109322269307382E-2</v>
      </c>
      <c r="AI167" s="1054">
        <f t="shared" si="51"/>
        <v>0.10383162822035852</v>
      </c>
      <c r="AJ167" s="1054">
        <f t="shared" si="52"/>
        <v>8.4156338469358202E-2</v>
      </c>
      <c r="AK167" s="1054">
        <f t="shared" si="53"/>
        <v>2.3493324349722514E-2</v>
      </c>
      <c r="AL167" s="1054" t="s">
        <v>47</v>
      </c>
      <c r="AM167" s="1055">
        <f t="shared" si="54"/>
        <v>8.9983864962144722E-2</v>
      </c>
      <c r="AO167" s="1052">
        <v>8612.1273000000001</v>
      </c>
      <c r="AP167" s="1048">
        <v>21572.6175</v>
      </c>
      <c r="AQ167" s="1048">
        <v>16361.349899999999</v>
      </c>
      <c r="AR167" s="1048">
        <v>97254.435599999997</v>
      </c>
      <c r="AS167" s="1049">
        <v>25396.469700000001</v>
      </c>
      <c r="AU167" s="1056">
        <f t="shared" ref="AU167:AU190" si="60">+AO167/SUM($AO167:$AS167)</f>
        <v>5.0900000000000001E-2</v>
      </c>
      <c r="AV167" s="1057">
        <f t="shared" ref="AV167:AV190" si="61">+AP167/SUM($AO167:$AS167)</f>
        <v>0.1275</v>
      </c>
      <c r="AW167" s="1057">
        <f t="shared" ref="AW167:AW190" si="62">+AQ167/SUM($AO167:$AS167)</f>
        <v>9.6699999999999994E-2</v>
      </c>
      <c r="AX167" s="1057">
        <f t="shared" ref="AX167:AX190" si="63">+AR167/SUM($AO167:$AS167)</f>
        <v>0.57479999999999998</v>
      </c>
      <c r="AY167" s="1058">
        <f t="shared" ref="AY167:AY190" si="64">+AS167/SUM($AO167:$AS167)</f>
        <v>0.15010000000000001</v>
      </c>
      <c r="BA167" s="1056">
        <f t="shared" si="45"/>
        <v>0.19381967148540591</v>
      </c>
      <c r="BB167" s="1058">
        <f t="shared" si="46"/>
        <v>0.13074108878999036</v>
      </c>
      <c r="BE167" s="981" t="s">
        <v>1190</v>
      </c>
      <c r="BF167" s="981" t="s">
        <v>1191</v>
      </c>
    </row>
    <row r="168" spans="1:58" ht="12.75" customHeight="1" outlineLevel="1" x14ac:dyDescent="0.2">
      <c r="A168" s="365" t="s">
        <v>1191</v>
      </c>
      <c r="B168" s="366">
        <v>44774</v>
      </c>
      <c r="C168" s="1047">
        <v>238171</v>
      </c>
      <c r="D168" s="1048">
        <v>194394</v>
      </c>
      <c r="E168" s="1049">
        <v>43777</v>
      </c>
      <c r="G168" s="1047">
        <v>164.8</v>
      </c>
      <c r="H168" s="1050">
        <v>110.4</v>
      </c>
      <c r="I168" s="1051">
        <v>54.4</v>
      </c>
      <c r="K168" s="1052">
        <v>217174</v>
      </c>
      <c r="L168" s="1049">
        <v>23491</v>
      </c>
      <c r="N168" s="1052">
        <v>106838.9424</v>
      </c>
      <c r="O168" s="1049">
        <v>87555.0576</v>
      </c>
      <c r="Q168" s="1052">
        <v>968779</v>
      </c>
      <c r="R168" s="1051">
        <v>4.9835848843071284</v>
      </c>
      <c r="T168" s="1052">
        <v>30546</v>
      </c>
      <c r="U168" s="1048">
        <v>32626</v>
      </c>
      <c r="V168" s="1048">
        <v>56585</v>
      </c>
      <c r="W168" s="1048">
        <v>15400</v>
      </c>
      <c r="X168" s="1048">
        <v>18088</v>
      </c>
      <c r="Y168" s="1048">
        <v>17791</v>
      </c>
      <c r="Z168" s="1048">
        <v>4081</v>
      </c>
      <c r="AA168" s="1048" t="s">
        <v>47</v>
      </c>
      <c r="AB168" s="1049">
        <v>19277</v>
      </c>
      <c r="AD168" s="366">
        <f t="shared" si="59"/>
        <v>44774</v>
      </c>
      <c r="AE168" s="1053">
        <f t="shared" si="47"/>
        <v>0.15713447945924258</v>
      </c>
      <c r="AF168" s="1054">
        <f t="shared" si="48"/>
        <v>0.16783439818101381</v>
      </c>
      <c r="AG168" s="1054">
        <f t="shared" si="49"/>
        <v>0.29108408695741639</v>
      </c>
      <c r="AH168" s="1054">
        <f t="shared" si="50"/>
        <v>7.9220552074652506E-2</v>
      </c>
      <c r="AI168" s="1054">
        <f t="shared" si="51"/>
        <v>9.3048139345864589E-2</v>
      </c>
      <c r="AJ168" s="1054">
        <f t="shared" si="52"/>
        <v>9.1520314412996281E-2</v>
      </c>
      <c r="AK168" s="1054">
        <f t="shared" si="53"/>
        <v>2.0993446299782916E-2</v>
      </c>
      <c r="AL168" s="1054" t="s">
        <v>47</v>
      </c>
      <c r="AM168" s="1055">
        <f t="shared" si="54"/>
        <v>9.9164583269030937E-2</v>
      </c>
      <c r="AO168" s="1052">
        <v>9428.1090000000004</v>
      </c>
      <c r="AP168" s="1048">
        <v>23793.8256</v>
      </c>
      <c r="AQ168" s="1048">
        <v>18681.2634</v>
      </c>
      <c r="AR168" s="1048">
        <v>113642.73240000001</v>
      </c>
      <c r="AS168" s="1049">
        <v>28848.069600000003</v>
      </c>
      <c r="AU168" s="1056">
        <f t="shared" si="60"/>
        <v>4.8500000000000001E-2</v>
      </c>
      <c r="AV168" s="1057">
        <f t="shared" si="61"/>
        <v>0.12239999999999999</v>
      </c>
      <c r="AW168" s="1057">
        <f t="shared" si="62"/>
        <v>9.6100000000000005E-2</v>
      </c>
      <c r="AX168" s="1057">
        <f t="shared" si="63"/>
        <v>0.58460000000000001</v>
      </c>
      <c r="AY168" s="1058">
        <f t="shared" si="64"/>
        <v>0.1484</v>
      </c>
      <c r="BA168" s="1056">
        <f t="shared" si="45"/>
        <v>0.20157569506478676</v>
      </c>
      <c r="BB168" s="1058">
        <f t="shared" si="46"/>
        <v>0.12084220706400403</v>
      </c>
      <c r="BE168" s="981" t="s">
        <v>1190</v>
      </c>
      <c r="BF168" s="981" t="s">
        <v>1191</v>
      </c>
    </row>
    <row r="169" spans="1:58" ht="12.75" customHeight="1" outlineLevel="1" x14ac:dyDescent="0.2">
      <c r="A169" s="365" t="s">
        <v>1191</v>
      </c>
      <c r="B169" s="366">
        <v>44805</v>
      </c>
      <c r="C169" s="1047">
        <v>206284</v>
      </c>
      <c r="D169" s="1048">
        <v>180836</v>
      </c>
      <c r="E169" s="1049">
        <v>25448</v>
      </c>
      <c r="G169" s="1047">
        <v>176.3</v>
      </c>
      <c r="H169" s="1050">
        <v>112.1</v>
      </c>
      <c r="I169" s="1051">
        <v>64.2</v>
      </c>
      <c r="K169" s="1052">
        <v>189007</v>
      </c>
      <c r="L169" s="1049">
        <v>24417</v>
      </c>
      <c r="N169" s="1052">
        <v>95101.652400000006</v>
      </c>
      <c r="O169" s="1049">
        <v>85734.347599999994</v>
      </c>
      <c r="Q169" s="1052">
        <v>933235</v>
      </c>
      <c r="R169" s="1051">
        <v>5.1606704417262046</v>
      </c>
      <c r="T169" s="1052">
        <v>29303</v>
      </c>
      <c r="U169" s="1048">
        <v>26156</v>
      </c>
      <c r="V169" s="1048">
        <v>49990</v>
      </c>
      <c r="W169" s="1048">
        <v>14988</v>
      </c>
      <c r="X169" s="1048">
        <v>17162</v>
      </c>
      <c r="Y169" s="1048">
        <v>16336</v>
      </c>
      <c r="Z169" s="1048">
        <v>6154</v>
      </c>
      <c r="AA169" s="1048" t="s">
        <v>47</v>
      </c>
      <c r="AB169" s="1049">
        <v>20747</v>
      </c>
      <c r="AD169" s="366">
        <f t="shared" si="59"/>
        <v>44805</v>
      </c>
      <c r="AE169" s="1053">
        <f t="shared" si="47"/>
        <v>0.1620418500741003</v>
      </c>
      <c r="AF169" s="1054">
        <f t="shared" si="48"/>
        <v>0.14463934172399301</v>
      </c>
      <c r="AG169" s="1054">
        <f t="shared" si="49"/>
        <v>0.27643831980357891</v>
      </c>
      <c r="AH169" s="1054">
        <f t="shared" si="50"/>
        <v>8.2881727089738774E-2</v>
      </c>
      <c r="AI169" s="1054">
        <f t="shared" si="51"/>
        <v>9.4903669623305098E-2</v>
      </c>
      <c r="AJ169" s="1054">
        <f t="shared" si="52"/>
        <v>9.033599504523436E-2</v>
      </c>
      <c r="AK169" s="1054">
        <f t="shared" si="53"/>
        <v>3.4030834568338164E-2</v>
      </c>
      <c r="AL169" s="1054" t="s">
        <v>47</v>
      </c>
      <c r="AM169" s="1055">
        <f t="shared" si="54"/>
        <v>0.11472826207171138</v>
      </c>
      <c r="AO169" s="1052">
        <v>9258.8032000000003</v>
      </c>
      <c r="AP169" s="1048">
        <v>22694.918000000001</v>
      </c>
      <c r="AQ169" s="1048">
        <v>17143.252799999998</v>
      </c>
      <c r="AR169" s="1048">
        <v>103040.35279999999</v>
      </c>
      <c r="AS169" s="1049">
        <v>28680.589599999999</v>
      </c>
      <c r="AU169" s="1056">
        <f t="shared" si="60"/>
        <v>5.1205120512051214E-2</v>
      </c>
      <c r="AV169" s="1057">
        <f t="shared" si="61"/>
        <v>0.12551255125512553</v>
      </c>
      <c r="AW169" s="1057">
        <f t="shared" si="62"/>
        <v>9.4809480948094813E-2</v>
      </c>
      <c r="AX169" s="1057">
        <f t="shared" si="63"/>
        <v>0.56985698569856991</v>
      </c>
      <c r="AY169" s="1058">
        <f t="shared" si="64"/>
        <v>0.15861586158615862</v>
      </c>
      <c r="BA169" s="1056">
        <f t="shared" si="45"/>
        <v>0.13464051595972637</v>
      </c>
      <c r="BB169" s="1058">
        <f t="shared" si="46"/>
        <v>0.13502289367161405</v>
      </c>
      <c r="BE169" s="981" t="s">
        <v>1190</v>
      </c>
      <c r="BF169" s="981" t="s">
        <v>1191</v>
      </c>
    </row>
    <row r="170" spans="1:58" ht="12.75" customHeight="1" outlineLevel="1" x14ac:dyDescent="0.2">
      <c r="A170" s="365" t="s">
        <v>1193</v>
      </c>
      <c r="B170" s="366">
        <v>44835</v>
      </c>
      <c r="C170" s="1047">
        <v>207879</v>
      </c>
      <c r="D170" s="1048">
        <v>168701</v>
      </c>
      <c r="E170" s="1049">
        <v>39178</v>
      </c>
      <c r="G170" s="1047">
        <v>188.89999999999998</v>
      </c>
      <c r="H170" s="1050">
        <v>114.6</v>
      </c>
      <c r="I170" s="1051">
        <v>74.3</v>
      </c>
      <c r="K170" s="1052">
        <v>187336</v>
      </c>
      <c r="L170" s="1049">
        <v>21464</v>
      </c>
      <c r="N170" s="1052">
        <v>89833.282500000001</v>
      </c>
      <c r="O170" s="1049">
        <v>78867.717499999999</v>
      </c>
      <c r="Q170" s="1052">
        <v>828862</v>
      </c>
      <c r="R170" s="1051">
        <v>4.9132014629433138</v>
      </c>
      <c r="T170" s="1052">
        <v>28163</v>
      </c>
      <c r="U170" s="1048">
        <v>23728</v>
      </c>
      <c r="V170" s="1048">
        <v>49088</v>
      </c>
      <c r="W170" s="1048">
        <v>15363</v>
      </c>
      <c r="X170" s="1048">
        <v>14774</v>
      </c>
      <c r="Y170" s="1048">
        <v>16340</v>
      </c>
      <c r="Z170" s="1048">
        <v>5065</v>
      </c>
      <c r="AA170" s="1048" t="s">
        <v>47</v>
      </c>
      <c r="AB170" s="1049">
        <v>16180</v>
      </c>
      <c r="AD170" s="366">
        <f t="shared" si="59"/>
        <v>44835</v>
      </c>
      <c r="AE170" s="1053">
        <f t="shared" si="47"/>
        <v>0.16694032637625147</v>
      </c>
      <c r="AF170" s="1054">
        <f t="shared" si="48"/>
        <v>0.14065121131469285</v>
      </c>
      <c r="AG170" s="1054">
        <f t="shared" si="49"/>
        <v>0.29097634276026818</v>
      </c>
      <c r="AH170" s="1054">
        <f t="shared" si="50"/>
        <v>9.1066442996781294E-2</v>
      </c>
      <c r="AI170" s="1054">
        <f t="shared" si="51"/>
        <v>8.7575058831897853E-2</v>
      </c>
      <c r="AJ170" s="1054">
        <f t="shared" si="52"/>
        <v>9.6857754251604908E-2</v>
      </c>
      <c r="AK170" s="1054">
        <f t="shared" si="53"/>
        <v>3.0023532759141915E-2</v>
      </c>
      <c r="AL170" s="1054" t="s">
        <v>47</v>
      </c>
      <c r="AM170" s="1055">
        <f t="shared" si="54"/>
        <v>9.5909330709361529E-2</v>
      </c>
      <c r="AO170" s="1052">
        <v>8266.3490000000002</v>
      </c>
      <c r="AP170" s="1048">
        <v>21003.2745</v>
      </c>
      <c r="AQ170" s="1048">
        <v>14980.648800000001</v>
      </c>
      <c r="AR170" s="1048">
        <v>95552.246400000004</v>
      </c>
      <c r="AS170" s="1049">
        <v>28915.3514</v>
      </c>
      <c r="AU170" s="1056">
        <f t="shared" si="60"/>
        <v>4.8995100489951003E-2</v>
      </c>
      <c r="AV170" s="1057">
        <f t="shared" si="61"/>
        <v>0.12448755124487551</v>
      </c>
      <c r="AW170" s="1057">
        <f t="shared" si="62"/>
        <v>8.8791120887911218E-2</v>
      </c>
      <c r="AX170" s="1057">
        <f t="shared" si="63"/>
        <v>0.56634336566343368</v>
      </c>
      <c r="AY170" s="1058">
        <f t="shared" si="64"/>
        <v>0.1713828617138286</v>
      </c>
      <c r="BA170" s="1056">
        <f t="shared" si="45"/>
        <v>0.20913225434513388</v>
      </c>
      <c r="BB170" s="1058">
        <f t="shared" si="46"/>
        <v>0.12723101819194907</v>
      </c>
      <c r="BE170" s="981" t="s">
        <v>1192</v>
      </c>
      <c r="BF170" s="981" t="s">
        <v>1193</v>
      </c>
    </row>
    <row r="171" spans="1:58" ht="12.75" customHeight="1" outlineLevel="1" x14ac:dyDescent="0.2">
      <c r="A171" s="365" t="s">
        <v>1193</v>
      </c>
      <c r="B171" s="366">
        <v>44866</v>
      </c>
      <c r="C171" s="1047">
        <v>232733</v>
      </c>
      <c r="D171" s="1048">
        <v>192052</v>
      </c>
      <c r="E171" s="1049">
        <v>40681</v>
      </c>
      <c r="G171" s="1047">
        <v>198</v>
      </c>
      <c r="H171" s="1050">
        <v>122.5</v>
      </c>
      <c r="I171" s="1051">
        <v>75.5</v>
      </c>
      <c r="K171" s="1052">
        <v>197706</v>
      </c>
      <c r="L171" s="1049">
        <v>29416</v>
      </c>
      <c r="N171" s="1052">
        <v>108067.66039999999</v>
      </c>
      <c r="O171" s="1049">
        <v>83984.339600000007</v>
      </c>
      <c r="Q171" s="1052">
        <v>826808</v>
      </c>
      <c r="R171" s="1051">
        <v>4.3051256951242376</v>
      </c>
      <c r="T171" s="1052">
        <v>27063</v>
      </c>
      <c r="U171" s="1048">
        <v>29757</v>
      </c>
      <c r="V171" s="1048">
        <v>58644</v>
      </c>
      <c r="W171" s="1048">
        <v>17519</v>
      </c>
      <c r="X171" s="1048">
        <v>17096</v>
      </c>
      <c r="Y171" s="1048">
        <v>16163</v>
      </c>
      <c r="Z171" s="1048">
        <v>5435</v>
      </c>
      <c r="AA171" s="1048" t="s">
        <v>47</v>
      </c>
      <c r="AB171" s="1049">
        <v>20375</v>
      </c>
      <c r="AD171" s="366">
        <f t="shared" si="59"/>
        <v>44866</v>
      </c>
      <c r="AE171" s="1053">
        <f t="shared" si="47"/>
        <v>0.14091496053152272</v>
      </c>
      <c r="AF171" s="1054">
        <f t="shared" si="48"/>
        <v>0.15494241143023765</v>
      </c>
      <c r="AG171" s="1054">
        <f t="shared" si="49"/>
        <v>0.30535479974173663</v>
      </c>
      <c r="AH171" s="1054">
        <f t="shared" si="50"/>
        <v>9.1220086226646943E-2</v>
      </c>
      <c r="AI171" s="1054">
        <f t="shared" si="51"/>
        <v>8.9017557744777459E-2</v>
      </c>
      <c r="AJ171" s="1054">
        <f t="shared" si="52"/>
        <v>8.4159498469164595E-2</v>
      </c>
      <c r="AK171" s="1054">
        <f t="shared" si="53"/>
        <v>2.829962718430425E-2</v>
      </c>
      <c r="AL171" s="1054" t="s">
        <v>47</v>
      </c>
      <c r="AM171" s="1055">
        <f t="shared" si="54"/>
        <v>0.10609105867160977</v>
      </c>
      <c r="AO171" s="1052">
        <v>8488.6984000000011</v>
      </c>
      <c r="AP171" s="1048">
        <v>22527.6996</v>
      </c>
      <c r="AQ171" s="1048">
        <v>16382.035599999999</v>
      </c>
      <c r="AR171" s="1048">
        <v>115154.37920000001</v>
      </c>
      <c r="AS171" s="1049">
        <v>29499.187199999997</v>
      </c>
      <c r="AU171" s="1056">
        <f t="shared" si="60"/>
        <v>4.4200000000000003E-2</v>
      </c>
      <c r="AV171" s="1057">
        <f t="shared" si="61"/>
        <v>0.1173</v>
      </c>
      <c r="AW171" s="1057">
        <f t="shared" si="62"/>
        <v>8.5300000000000001E-2</v>
      </c>
      <c r="AX171" s="1057">
        <f t="shared" si="63"/>
        <v>0.59960000000000002</v>
      </c>
      <c r="AY171" s="1058">
        <f t="shared" si="64"/>
        <v>0.15359999999999999</v>
      </c>
      <c r="BA171" s="1056">
        <f t="shared" si="45"/>
        <v>0.20576512599516453</v>
      </c>
      <c r="BB171" s="1058">
        <f t="shared" si="46"/>
        <v>0.15316685064461708</v>
      </c>
      <c r="BE171" s="981" t="s">
        <v>1192</v>
      </c>
      <c r="BF171" s="981" t="s">
        <v>1193</v>
      </c>
    </row>
    <row r="172" spans="1:58" ht="12.75" customHeight="1" outlineLevel="1" x14ac:dyDescent="0.2">
      <c r="A172" s="365" t="s">
        <v>1193</v>
      </c>
      <c r="B172" s="366">
        <v>44896</v>
      </c>
      <c r="C172" s="1047">
        <v>231010</v>
      </c>
      <c r="D172" s="1048">
        <v>202155</v>
      </c>
      <c r="E172" s="1049">
        <v>28855</v>
      </c>
      <c r="G172" s="1047">
        <v>188</v>
      </c>
      <c r="H172" s="1050">
        <v>128.30000000000001</v>
      </c>
      <c r="I172" s="1051">
        <v>59.7</v>
      </c>
      <c r="K172" s="1052">
        <v>175274</v>
      </c>
      <c r="L172" s="1049">
        <v>28875</v>
      </c>
      <c r="N172" s="1052">
        <v>108941.32950000001</v>
      </c>
      <c r="O172" s="1049">
        <v>93213.670499999993</v>
      </c>
      <c r="Q172" s="1052">
        <v>1001418</v>
      </c>
      <c r="R172" s="1051">
        <v>4.9537137345106474</v>
      </c>
      <c r="T172" s="1052">
        <v>32553</v>
      </c>
      <c r="U172" s="1048">
        <v>33242</v>
      </c>
      <c r="V172" s="1048">
        <v>55997</v>
      </c>
      <c r="W172" s="1048">
        <v>20796</v>
      </c>
      <c r="X172" s="1048">
        <v>16889</v>
      </c>
      <c r="Y172" s="1048">
        <v>16495</v>
      </c>
      <c r="Z172" s="1048">
        <v>6037</v>
      </c>
      <c r="AA172" s="1048" t="s">
        <v>47</v>
      </c>
      <c r="AB172" s="1049">
        <v>20146</v>
      </c>
      <c r="AD172" s="366">
        <f t="shared" si="59"/>
        <v>44896</v>
      </c>
      <c r="AE172" s="1053">
        <f t="shared" si="47"/>
        <v>0.16102990279735846</v>
      </c>
      <c r="AF172" s="1054">
        <f t="shared" si="48"/>
        <v>0.16443817862531226</v>
      </c>
      <c r="AG172" s="1054">
        <f t="shared" si="49"/>
        <v>0.27700032153545545</v>
      </c>
      <c r="AH172" s="1054">
        <f t="shared" si="50"/>
        <v>0.10287155895228908</v>
      </c>
      <c r="AI172" s="1054">
        <f t="shared" si="51"/>
        <v>8.3544804729044547E-2</v>
      </c>
      <c r="AJ172" s="1054">
        <f t="shared" si="52"/>
        <v>8.1595805198980978E-2</v>
      </c>
      <c r="AK172" s="1054">
        <f t="shared" si="53"/>
        <v>2.986322376394351E-2</v>
      </c>
      <c r="AL172" s="1054" t="s">
        <v>47</v>
      </c>
      <c r="AM172" s="1055">
        <f t="shared" si="54"/>
        <v>9.9656204397615689E-2</v>
      </c>
      <c r="AO172" s="1052">
        <v>10532.2755</v>
      </c>
      <c r="AP172" s="1048">
        <v>27129.201000000005</v>
      </c>
      <c r="AQ172" s="1048">
        <v>18476.967000000001</v>
      </c>
      <c r="AR172" s="1048">
        <v>111892.7925</v>
      </c>
      <c r="AS172" s="1049">
        <v>34123.764000000003</v>
      </c>
      <c r="AU172" s="1056">
        <f t="shared" si="60"/>
        <v>5.21E-2</v>
      </c>
      <c r="AV172" s="1057">
        <f t="shared" si="61"/>
        <v>0.13420000000000001</v>
      </c>
      <c r="AW172" s="1057">
        <f t="shared" si="62"/>
        <v>9.1400000000000009E-2</v>
      </c>
      <c r="AX172" s="1057">
        <f t="shared" si="63"/>
        <v>0.55349999999999999</v>
      </c>
      <c r="AY172" s="1058">
        <f t="shared" si="64"/>
        <v>0.16880000000000001</v>
      </c>
      <c r="BA172" s="1056">
        <f t="shared" si="45"/>
        <v>0.16462795394639251</v>
      </c>
      <c r="BB172" s="1058">
        <f t="shared" si="46"/>
        <v>0.14283594271722194</v>
      </c>
      <c r="BE172" s="981" t="s">
        <v>1192</v>
      </c>
      <c r="BF172" s="981" t="s">
        <v>1193</v>
      </c>
    </row>
    <row r="173" spans="1:58" ht="12.75" customHeight="1" outlineLevel="1" x14ac:dyDescent="0.2">
      <c r="A173" s="365" t="s">
        <v>1232</v>
      </c>
      <c r="B173" s="366">
        <v>44927</v>
      </c>
      <c r="C173" s="984">
        <v>162413</v>
      </c>
      <c r="D173" s="985">
        <v>130681</v>
      </c>
      <c r="E173" s="986">
        <v>31732</v>
      </c>
      <c r="G173" s="984">
        <v>180.8</v>
      </c>
      <c r="H173" s="987">
        <v>112.5</v>
      </c>
      <c r="I173" s="988">
        <v>68.3</v>
      </c>
      <c r="K173" s="989">
        <v>147835</v>
      </c>
      <c r="L173" s="986">
        <v>19859</v>
      </c>
      <c r="N173" s="989">
        <v>57460.435699999995</v>
      </c>
      <c r="O173" s="986">
        <v>73220.564299999998</v>
      </c>
      <c r="Q173" s="989">
        <v>784651</v>
      </c>
      <c r="R173" s="988">
        <v>6.0043235053297721</v>
      </c>
      <c r="T173" s="989">
        <v>22699</v>
      </c>
      <c r="U173" s="985">
        <v>20046</v>
      </c>
      <c r="V173" s="985">
        <v>37330</v>
      </c>
      <c r="W173" s="985">
        <v>12425</v>
      </c>
      <c r="X173" s="985">
        <v>11027</v>
      </c>
      <c r="Y173" s="985">
        <v>11491</v>
      </c>
      <c r="Z173" s="985">
        <v>3274</v>
      </c>
      <c r="AA173" s="985" t="s">
        <v>47</v>
      </c>
      <c r="AB173" s="986">
        <v>12389</v>
      </c>
      <c r="AD173" s="366">
        <f t="shared" si="59"/>
        <v>44927</v>
      </c>
      <c r="AE173" s="990">
        <f t="shared" si="47"/>
        <v>0.17369778315133799</v>
      </c>
      <c r="AF173" s="991">
        <f t="shared" si="48"/>
        <v>0.15339643865596375</v>
      </c>
      <c r="AG173" s="991">
        <f t="shared" si="49"/>
        <v>0.28565744063788923</v>
      </c>
      <c r="AH173" s="991">
        <f t="shared" si="50"/>
        <v>9.5078856145881963E-2</v>
      </c>
      <c r="AI173" s="991">
        <f t="shared" si="51"/>
        <v>8.4381050037878491E-2</v>
      </c>
      <c r="AJ173" s="991">
        <f t="shared" si="52"/>
        <v>8.7931680963567765E-2</v>
      </c>
      <c r="AK173" s="991">
        <f t="shared" si="53"/>
        <v>2.5053374247212677E-2</v>
      </c>
      <c r="AL173" s="991" t="s">
        <v>47</v>
      </c>
      <c r="AM173" s="992">
        <f t="shared" si="54"/>
        <v>9.4803376160268141E-2</v>
      </c>
      <c r="AO173" s="989">
        <v>7109.0463999999993</v>
      </c>
      <c r="AP173" s="985">
        <v>19758.967199999999</v>
      </c>
      <c r="AQ173" s="985">
        <v>13826.049800000001</v>
      </c>
      <c r="AR173" s="985">
        <v>67705.826100000006</v>
      </c>
      <c r="AS173" s="986">
        <v>22281.110500000003</v>
      </c>
      <c r="AU173" s="993">
        <f t="shared" si="60"/>
        <v>5.4399999999999997E-2</v>
      </c>
      <c r="AV173" s="994">
        <f t="shared" si="61"/>
        <v>0.1512</v>
      </c>
      <c r="AW173" s="994">
        <f t="shared" si="62"/>
        <v>0.10580000000000001</v>
      </c>
      <c r="AX173" s="994">
        <f t="shared" si="63"/>
        <v>0.5181</v>
      </c>
      <c r="AY173" s="995">
        <f t="shared" si="64"/>
        <v>0.17050000000000001</v>
      </c>
      <c r="BA173" s="993">
        <f t="shared" si="45"/>
        <v>0.21464470524571314</v>
      </c>
      <c r="BB173" s="995">
        <f t="shared" si="46"/>
        <v>0.1519654731751364</v>
      </c>
      <c r="BE173" s="981" t="s">
        <v>1243</v>
      </c>
      <c r="BF173" s="981" t="s">
        <v>1232</v>
      </c>
    </row>
    <row r="174" spans="1:58" ht="12.75" customHeight="1" outlineLevel="1" x14ac:dyDescent="0.2">
      <c r="A174" s="365" t="s">
        <v>1232</v>
      </c>
      <c r="B174" s="366">
        <v>44958</v>
      </c>
      <c r="C174" s="984">
        <v>153649</v>
      </c>
      <c r="D174" s="985">
        <v>119906</v>
      </c>
      <c r="E174" s="986">
        <v>33743</v>
      </c>
      <c r="G174" s="984">
        <v>187.39999999999998</v>
      </c>
      <c r="H174" s="987">
        <v>116.1</v>
      </c>
      <c r="I174" s="988">
        <v>71.3</v>
      </c>
      <c r="K174" s="989">
        <v>152120</v>
      </c>
      <c r="L174" s="986">
        <v>16869</v>
      </c>
      <c r="N174" s="989">
        <v>52602.762199999997</v>
      </c>
      <c r="O174" s="986">
        <v>67303.237800000003</v>
      </c>
      <c r="Q174" s="989">
        <v>726577</v>
      </c>
      <c r="R174" s="988">
        <v>6.0595549847380452</v>
      </c>
      <c r="T174" s="989">
        <v>18571</v>
      </c>
      <c r="U174" s="985">
        <v>16278</v>
      </c>
      <c r="V174" s="985">
        <v>35658</v>
      </c>
      <c r="W174" s="985">
        <v>12348</v>
      </c>
      <c r="X174" s="985">
        <v>11953</v>
      </c>
      <c r="Y174" s="985">
        <v>8721</v>
      </c>
      <c r="Z174" s="985">
        <v>4183</v>
      </c>
      <c r="AA174" s="985" t="s">
        <v>47</v>
      </c>
      <c r="AB174" s="986">
        <v>12194</v>
      </c>
      <c r="AD174" s="366">
        <f t="shared" si="59"/>
        <v>44958</v>
      </c>
      <c r="AE174" s="990">
        <f t="shared" si="47"/>
        <v>0.15487965573032209</v>
      </c>
      <c r="AF174" s="991">
        <f t="shared" si="48"/>
        <v>0.13575634246826682</v>
      </c>
      <c r="AG174" s="991">
        <f t="shared" si="49"/>
        <v>0.29738294997748238</v>
      </c>
      <c r="AH174" s="991">
        <f t="shared" si="50"/>
        <v>0.10298066819008223</v>
      </c>
      <c r="AI174" s="991">
        <f t="shared" si="51"/>
        <v>9.9686421029806682E-2</v>
      </c>
      <c r="AJ174" s="991">
        <f t="shared" si="52"/>
        <v>7.2731973379146997E-2</v>
      </c>
      <c r="AK174" s="991">
        <f t="shared" si="53"/>
        <v>3.4885660434006635E-2</v>
      </c>
      <c r="AL174" s="991" t="s">
        <v>47</v>
      </c>
      <c r="AM174" s="992">
        <f t="shared" si="54"/>
        <v>0.10169632879088619</v>
      </c>
      <c r="AO174" s="989">
        <v>6462.9334000000008</v>
      </c>
      <c r="AP174" s="985">
        <v>16594.990399999999</v>
      </c>
      <c r="AQ174" s="985">
        <v>13309.566000000001</v>
      </c>
      <c r="AR174" s="985">
        <v>62914.678200000009</v>
      </c>
      <c r="AS174" s="986">
        <v>20623.831999999999</v>
      </c>
      <c r="AU174" s="993">
        <f t="shared" si="60"/>
        <v>5.3900000000000003E-2</v>
      </c>
      <c r="AV174" s="994">
        <f t="shared" si="61"/>
        <v>0.1384</v>
      </c>
      <c r="AW174" s="994">
        <f t="shared" si="62"/>
        <v>0.111</v>
      </c>
      <c r="AX174" s="994">
        <f t="shared" si="63"/>
        <v>0.52470000000000006</v>
      </c>
      <c r="AY174" s="995">
        <f t="shared" si="64"/>
        <v>0.17199999999999999</v>
      </c>
      <c r="BA174" s="993">
        <f t="shared" si="45"/>
        <v>0.22181830134104655</v>
      </c>
      <c r="BB174" s="995">
        <f t="shared" si="46"/>
        <v>0.14068520340933732</v>
      </c>
      <c r="BE174" s="981" t="s">
        <v>1243</v>
      </c>
      <c r="BF174" s="981" t="s">
        <v>1232</v>
      </c>
    </row>
    <row r="175" spans="1:58" ht="12.75" customHeight="1" outlineLevel="1" x14ac:dyDescent="0.2">
      <c r="A175" s="365" t="s">
        <v>1232</v>
      </c>
      <c r="B175" s="366">
        <v>44986</v>
      </c>
      <c r="C175" s="984">
        <v>229765</v>
      </c>
      <c r="D175" s="985">
        <v>186353</v>
      </c>
      <c r="E175" s="986">
        <v>43412</v>
      </c>
      <c r="G175" s="984">
        <v>203.89999999999998</v>
      </c>
      <c r="H175" s="987">
        <v>131.6</v>
      </c>
      <c r="I175" s="988">
        <v>72.3</v>
      </c>
      <c r="K175" s="989">
        <v>207552</v>
      </c>
      <c r="L175" s="986">
        <v>26475</v>
      </c>
      <c r="N175" s="989">
        <v>91033.440499999997</v>
      </c>
      <c r="O175" s="986">
        <v>95319.559500000003</v>
      </c>
      <c r="Q175" s="989">
        <v>953882</v>
      </c>
      <c r="R175" s="988">
        <v>5.1186833590014649</v>
      </c>
      <c r="T175" s="989">
        <v>29972</v>
      </c>
      <c r="U175" s="985">
        <v>23390</v>
      </c>
      <c r="V175" s="985">
        <v>55669</v>
      </c>
      <c r="W175" s="985">
        <v>17290</v>
      </c>
      <c r="X175" s="985">
        <v>18290</v>
      </c>
      <c r="Y175" s="985">
        <v>16261</v>
      </c>
      <c r="Z175" s="985">
        <v>6729</v>
      </c>
      <c r="AA175" s="985">
        <v>209</v>
      </c>
      <c r="AB175" s="986">
        <v>18543</v>
      </c>
      <c r="AD175" s="366">
        <f t="shared" si="59"/>
        <v>44986</v>
      </c>
      <c r="AE175" s="990">
        <f t="shared" si="47"/>
        <v>0.16083454519111579</v>
      </c>
      <c r="AF175" s="991">
        <f t="shared" si="48"/>
        <v>0.12551448058255033</v>
      </c>
      <c r="AG175" s="991">
        <f t="shared" si="49"/>
        <v>0.29872875671440763</v>
      </c>
      <c r="AH175" s="991">
        <f t="shared" si="50"/>
        <v>9.2780905056532498E-2</v>
      </c>
      <c r="AI175" s="991">
        <f t="shared" si="51"/>
        <v>9.8147064978830495E-2</v>
      </c>
      <c r="AJ175" s="991">
        <f t="shared" si="52"/>
        <v>8.7259126496487843E-2</v>
      </c>
      <c r="AK175" s="991">
        <f t="shared" si="53"/>
        <v>3.6108890117143272E-2</v>
      </c>
      <c r="AL175" s="991">
        <f t="shared" ref="AL175:AL190" si="65">+AA175/SUM($T175:$AB175)</f>
        <v>1.1215274237602829E-3</v>
      </c>
      <c r="AM175" s="992">
        <f t="shared" si="54"/>
        <v>9.9504703439171893E-2</v>
      </c>
      <c r="AO175" s="989">
        <v>8851.7674999999999</v>
      </c>
      <c r="AP175" s="985">
        <v>24449.513600000002</v>
      </c>
      <c r="AQ175" s="985">
        <v>18467.582299999998</v>
      </c>
      <c r="AR175" s="985">
        <v>102158.71460000001</v>
      </c>
      <c r="AS175" s="986">
        <v>32444.0573</v>
      </c>
      <c r="AU175" s="993">
        <f t="shared" si="60"/>
        <v>4.7495250474952497E-2</v>
      </c>
      <c r="AV175" s="994">
        <f t="shared" si="61"/>
        <v>0.13118688131186881</v>
      </c>
      <c r="AW175" s="994">
        <f t="shared" si="62"/>
        <v>9.9090090990900881E-2</v>
      </c>
      <c r="AX175" s="994">
        <f t="shared" si="63"/>
        <v>0.54814518548145186</v>
      </c>
      <c r="AY175" s="995">
        <f t="shared" si="64"/>
        <v>0.17408259174082591</v>
      </c>
      <c r="BA175" s="993">
        <f t="shared" si="45"/>
        <v>0.20916204131976565</v>
      </c>
      <c r="BB175" s="995">
        <f t="shared" si="46"/>
        <v>0.14206908394283965</v>
      </c>
      <c r="BE175" s="981" t="s">
        <v>1243</v>
      </c>
      <c r="BF175" s="981" t="s">
        <v>1232</v>
      </c>
    </row>
    <row r="176" spans="1:58" ht="12.75" customHeight="1" outlineLevel="1" x14ac:dyDescent="0.2">
      <c r="A176" s="365" t="s">
        <v>1245</v>
      </c>
      <c r="B176" s="366">
        <v>45017</v>
      </c>
      <c r="C176" s="984">
        <v>184169</v>
      </c>
      <c r="D176" s="985">
        <v>151497</v>
      </c>
      <c r="E176" s="986">
        <v>32672</v>
      </c>
      <c r="G176" s="984">
        <v>206.1</v>
      </c>
      <c r="H176" s="987">
        <v>132.6</v>
      </c>
      <c r="I176" s="988">
        <v>73.5</v>
      </c>
      <c r="K176" s="989">
        <v>169970</v>
      </c>
      <c r="L176" s="986">
        <v>21772</v>
      </c>
      <c r="N176" s="989">
        <v>75384.907200000001</v>
      </c>
      <c r="O176" s="986">
        <v>76112.092799999999</v>
      </c>
      <c r="Q176" s="989">
        <v>757546</v>
      </c>
      <c r="R176" s="988">
        <v>5.0004026482372588</v>
      </c>
      <c r="T176" s="989">
        <v>24390</v>
      </c>
      <c r="U176" s="985">
        <v>21507</v>
      </c>
      <c r="V176" s="985">
        <v>43617</v>
      </c>
      <c r="W176" s="985">
        <v>14321</v>
      </c>
      <c r="X176" s="985">
        <v>12757</v>
      </c>
      <c r="Y176" s="985">
        <v>13728</v>
      </c>
      <c r="Z176" s="985">
        <v>6553</v>
      </c>
      <c r="AA176" s="985">
        <v>127</v>
      </c>
      <c r="AB176" s="986">
        <v>14497</v>
      </c>
      <c r="AD176" s="366">
        <f t="shared" si="59"/>
        <v>45017</v>
      </c>
      <c r="AE176" s="990">
        <f t="shared" si="47"/>
        <v>0.16099328699578208</v>
      </c>
      <c r="AF176" s="991">
        <f t="shared" si="48"/>
        <v>0.14196320719222164</v>
      </c>
      <c r="AG176" s="991">
        <f t="shared" si="49"/>
        <v>0.28790669122160834</v>
      </c>
      <c r="AH176" s="991">
        <f t="shared" si="50"/>
        <v>9.4529924684977257E-2</v>
      </c>
      <c r="AI176" s="991">
        <f t="shared" si="51"/>
        <v>8.4206287913292016E-2</v>
      </c>
      <c r="AJ176" s="991">
        <f t="shared" si="52"/>
        <v>9.0615655755559521E-2</v>
      </c>
      <c r="AK176" s="991">
        <f t="shared" si="53"/>
        <v>4.3254981946837232E-2</v>
      </c>
      <c r="AL176" s="991">
        <f t="shared" si="65"/>
        <v>8.3830042839132127E-4</v>
      </c>
      <c r="AM176" s="992">
        <f t="shared" si="54"/>
        <v>9.5691663861330586E-2</v>
      </c>
      <c r="AO176" s="989">
        <v>7120.3590000000004</v>
      </c>
      <c r="AP176" s="985">
        <v>20603.592000000001</v>
      </c>
      <c r="AQ176" s="985">
        <v>15785.9874</v>
      </c>
      <c r="AR176" s="985">
        <v>83641.493700000006</v>
      </c>
      <c r="AS176" s="986">
        <v>25163.651699999999</v>
      </c>
      <c r="AU176" s="993">
        <f t="shared" si="60"/>
        <v>4.674756315894172E-2</v>
      </c>
      <c r="AV176" s="994">
        <f t="shared" si="61"/>
        <v>0.13526954445991646</v>
      </c>
      <c r="AW176" s="994">
        <f t="shared" si="62"/>
        <v>0.10364034215237716</v>
      </c>
      <c r="AX176" s="994">
        <f t="shared" si="63"/>
        <v>0.54913467276705796</v>
      </c>
      <c r="AY176" s="995">
        <f t="shared" si="64"/>
        <v>0.16520787746170679</v>
      </c>
      <c r="BA176" s="993">
        <f t="shared" si="45"/>
        <v>0.19222215685120903</v>
      </c>
      <c r="BB176" s="995">
        <f t="shared" si="46"/>
        <v>0.14371241674752636</v>
      </c>
      <c r="BE176" s="981" t="s">
        <v>1244</v>
      </c>
      <c r="BF176" s="981" t="s">
        <v>1245</v>
      </c>
    </row>
    <row r="177" spans="1:58" ht="12.75" customHeight="1" outlineLevel="1" x14ac:dyDescent="0.2">
      <c r="A177" s="365" t="s">
        <v>1245</v>
      </c>
      <c r="B177" s="366">
        <v>45047</v>
      </c>
      <c r="C177" s="984">
        <v>210313</v>
      </c>
      <c r="D177" s="985">
        <v>166381</v>
      </c>
      <c r="E177" s="986">
        <v>43932</v>
      </c>
      <c r="G177" s="984">
        <v>251.7</v>
      </c>
      <c r="H177" s="987">
        <v>129.5</v>
      </c>
      <c r="I177" s="988">
        <v>122.2</v>
      </c>
      <c r="K177" s="989">
        <v>217575</v>
      </c>
      <c r="L177" s="986">
        <v>26766</v>
      </c>
      <c r="N177" s="989">
        <v>79763.051399999997</v>
      </c>
      <c r="O177" s="986">
        <v>86617.948600000003</v>
      </c>
      <c r="Q177" s="989">
        <v>930599</v>
      </c>
      <c r="R177" s="988">
        <v>5.5931807117399224</v>
      </c>
      <c r="T177" s="989">
        <v>26223</v>
      </c>
      <c r="U177" s="985">
        <v>27388</v>
      </c>
      <c r="V177" s="985">
        <v>46535</v>
      </c>
      <c r="W177" s="985">
        <v>16448</v>
      </c>
      <c r="X177" s="985">
        <v>14299</v>
      </c>
      <c r="Y177" s="985">
        <v>10919</v>
      </c>
      <c r="Z177" s="985">
        <v>6708</v>
      </c>
      <c r="AA177" s="985">
        <v>363</v>
      </c>
      <c r="AB177" s="986">
        <v>17498</v>
      </c>
      <c r="AD177" s="366">
        <f t="shared" si="59"/>
        <v>45047</v>
      </c>
      <c r="AE177" s="990">
        <f t="shared" si="47"/>
        <v>0.15760814035256429</v>
      </c>
      <c r="AF177" s="991">
        <f t="shared" si="48"/>
        <v>0.16461014178301608</v>
      </c>
      <c r="AG177" s="991">
        <f t="shared" si="49"/>
        <v>0.27968938761036416</v>
      </c>
      <c r="AH177" s="991">
        <f t="shared" si="50"/>
        <v>9.8857441654996658E-2</v>
      </c>
      <c r="AI177" s="991">
        <f t="shared" si="51"/>
        <v>8.5941303394017343E-2</v>
      </c>
      <c r="AJ177" s="991">
        <f t="shared" si="52"/>
        <v>6.5626483793221585E-2</v>
      </c>
      <c r="AK177" s="991">
        <f t="shared" si="53"/>
        <v>4.0317103515425438E-2</v>
      </c>
      <c r="AL177" s="991">
        <f t="shared" si="65"/>
        <v>2.1817395015055804E-3</v>
      </c>
      <c r="AM177" s="992">
        <f t="shared" si="54"/>
        <v>0.10516825839488884</v>
      </c>
      <c r="AO177" s="989">
        <v>8601.8977000000014</v>
      </c>
      <c r="AP177" s="985">
        <v>24025.416400000002</v>
      </c>
      <c r="AQ177" s="985">
        <v>17386.8145</v>
      </c>
      <c r="AR177" s="985">
        <v>87466.491699999984</v>
      </c>
      <c r="AS177" s="986">
        <v>28900.379699999998</v>
      </c>
      <c r="AU177" s="993">
        <f t="shared" si="60"/>
        <v>5.1700000000000017E-2</v>
      </c>
      <c r="AV177" s="994">
        <f t="shared" si="61"/>
        <v>0.14440000000000003</v>
      </c>
      <c r="AW177" s="994">
        <f t="shared" si="62"/>
        <v>0.10450000000000002</v>
      </c>
      <c r="AX177" s="994">
        <f t="shared" si="63"/>
        <v>0.52569999999999995</v>
      </c>
      <c r="AY177" s="995">
        <f t="shared" si="64"/>
        <v>0.17370000000000002</v>
      </c>
      <c r="BA177" s="993">
        <f t="shared" si="45"/>
        <v>0.20191658048948638</v>
      </c>
      <c r="BB177" s="995">
        <f t="shared" si="46"/>
        <v>0.1608717341523371</v>
      </c>
      <c r="BE177" s="981" t="s">
        <v>1244</v>
      </c>
      <c r="BF177" s="981" t="s">
        <v>1245</v>
      </c>
    </row>
    <row r="178" spans="1:58" ht="12.75" customHeight="1" outlineLevel="1" x14ac:dyDescent="0.2">
      <c r="A178" s="365" t="s">
        <v>1245</v>
      </c>
      <c r="B178" s="366">
        <v>45078</v>
      </c>
      <c r="C178" s="984">
        <v>214420</v>
      </c>
      <c r="D178" s="985">
        <v>179870</v>
      </c>
      <c r="E178" s="986">
        <v>34550</v>
      </c>
      <c r="G178" s="984">
        <v>223.6</v>
      </c>
      <c r="H178" s="987">
        <v>138.1</v>
      </c>
      <c r="I178" s="988">
        <v>85.5</v>
      </c>
      <c r="K178" s="989">
        <v>180204</v>
      </c>
      <c r="L178" s="986">
        <v>27455</v>
      </c>
      <c r="N178" s="989">
        <v>78315.398000000001</v>
      </c>
      <c r="O178" s="986">
        <v>101554.602</v>
      </c>
      <c r="Q178" s="989">
        <v>864283</v>
      </c>
      <c r="R178" s="988">
        <v>4.8050425307166282</v>
      </c>
      <c r="T178" s="989">
        <v>27139</v>
      </c>
      <c r="U178" s="985">
        <v>29772</v>
      </c>
      <c r="V178" s="985">
        <v>52618</v>
      </c>
      <c r="W178" s="985">
        <v>15392</v>
      </c>
      <c r="X178" s="985">
        <v>16306</v>
      </c>
      <c r="Y178" s="985">
        <v>12464</v>
      </c>
      <c r="Z178" s="985">
        <v>6665</v>
      </c>
      <c r="AA178" s="985">
        <v>411</v>
      </c>
      <c r="AB178" s="986">
        <v>19103</v>
      </c>
      <c r="AD178" s="366">
        <f t="shared" si="59"/>
        <v>45078</v>
      </c>
      <c r="AE178" s="990">
        <f t="shared" si="47"/>
        <v>0.15088119197197977</v>
      </c>
      <c r="AF178" s="991">
        <f t="shared" si="48"/>
        <v>0.16551954189136597</v>
      </c>
      <c r="AG178" s="991">
        <f t="shared" si="49"/>
        <v>0.29253349641407683</v>
      </c>
      <c r="AH178" s="991">
        <f t="shared" si="50"/>
        <v>8.5572913771056872E-2</v>
      </c>
      <c r="AI178" s="991">
        <f t="shared" si="51"/>
        <v>9.0654361483293491E-2</v>
      </c>
      <c r="AJ178" s="991">
        <f t="shared" si="52"/>
        <v>6.9294490465336075E-2</v>
      </c>
      <c r="AK178" s="991">
        <f t="shared" si="53"/>
        <v>3.7054539389559125E-2</v>
      </c>
      <c r="AL178" s="991">
        <f t="shared" si="65"/>
        <v>2.2849835992661367E-3</v>
      </c>
      <c r="AM178" s="992">
        <f t="shared" si="54"/>
        <v>0.10620448101406571</v>
      </c>
      <c r="AO178" s="989">
        <v>8687.7210000000014</v>
      </c>
      <c r="AP178" s="985">
        <v>24768.098999999998</v>
      </c>
      <c r="AQ178" s="985">
        <v>18418.688000000002</v>
      </c>
      <c r="AR178" s="985">
        <v>96662.137999999992</v>
      </c>
      <c r="AS178" s="986">
        <v>31333.353999999999</v>
      </c>
      <c r="AU178" s="993">
        <f t="shared" si="60"/>
        <v>4.830000000000001E-2</v>
      </c>
      <c r="AV178" s="994">
        <f t="shared" si="61"/>
        <v>0.13769999999999999</v>
      </c>
      <c r="AW178" s="994">
        <f t="shared" si="62"/>
        <v>0.1024</v>
      </c>
      <c r="AX178" s="994">
        <f t="shared" si="63"/>
        <v>0.53739999999999999</v>
      </c>
      <c r="AY178" s="995">
        <f t="shared" si="64"/>
        <v>0.17419999999999999</v>
      </c>
      <c r="BA178" s="993">
        <f t="shared" si="45"/>
        <v>0.19172715367028478</v>
      </c>
      <c r="BB178" s="995">
        <f t="shared" si="46"/>
        <v>0.15263801634513816</v>
      </c>
      <c r="BE178" s="981" t="s">
        <v>1244</v>
      </c>
      <c r="BF178" s="981" t="s">
        <v>1245</v>
      </c>
    </row>
    <row r="179" spans="1:58" ht="12.75" customHeight="1" outlineLevel="1" x14ac:dyDescent="0.2">
      <c r="A179" s="365" t="s">
        <v>1247</v>
      </c>
      <c r="B179" s="366">
        <v>45108</v>
      </c>
      <c r="C179" s="984">
        <v>244300</v>
      </c>
      <c r="D179" s="985">
        <v>215722</v>
      </c>
      <c r="E179" s="986">
        <v>28578</v>
      </c>
      <c r="G179" s="984">
        <v>198.8</v>
      </c>
      <c r="H179" s="987">
        <v>125.2</v>
      </c>
      <c r="I179" s="988">
        <v>73.599999999999994</v>
      </c>
      <c r="K179" s="989">
        <v>174364</v>
      </c>
      <c r="L179" s="986">
        <v>29182</v>
      </c>
      <c r="N179" s="989">
        <v>101777.63959999999</v>
      </c>
      <c r="O179" s="986">
        <v>113944.36040000001</v>
      </c>
      <c r="Q179" s="989">
        <v>905343</v>
      </c>
      <c r="R179" s="988">
        <v>4.1968042202464284</v>
      </c>
      <c r="T179" s="989">
        <v>29740</v>
      </c>
      <c r="U179" s="985">
        <v>41602</v>
      </c>
      <c r="V179" s="985">
        <v>56522</v>
      </c>
      <c r="W179" s="985">
        <v>17354</v>
      </c>
      <c r="X179" s="985">
        <v>20833</v>
      </c>
      <c r="Y179" s="985">
        <v>22554</v>
      </c>
      <c r="Z179" s="985">
        <v>6734</v>
      </c>
      <c r="AA179" s="985">
        <v>776</v>
      </c>
      <c r="AB179" s="986">
        <v>19607</v>
      </c>
      <c r="AD179" s="366">
        <f t="shared" si="59"/>
        <v>45108</v>
      </c>
      <c r="AE179" s="990">
        <f t="shared" si="47"/>
        <v>0.13786261948248207</v>
      </c>
      <c r="AF179" s="991">
        <f t="shared" si="48"/>
        <v>0.19285005701782851</v>
      </c>
      <c r="AG179" s="991">
        <f t="shared" si="49"/>
        <v>0.26201314654972602</v>
      </c>
      <c r="AH179" s="991">
        <f t="shared" si="50"/>
        <v>8.0446129741055625E-2</v>
      </c>
      <c r="AI179" s="991">
        <f t="shared" si="51"/>
        <v>9.6573367574934413E-2</v>
      </c>
      <c r="AJ179" s="991">
        <f t="shared" si="52"/>
        <v>0.1045512279693309</v>
      </c>
      <c r="AK179" s="991">
        <f t="shared" si="53"/>
        <v>3.1216102205616488E-2</v>
      </c>
      <c r="AL179" s="991">
        <f t="shared" si="65"/>
        <v>3.5972223509887725E-3</v>
      </c>
      <c r="AM179" s="992">
        <f t="shared" si="54"/>
        <v>9.0890127108037191E-2</v>
      </c>
      <c r="AO179" s="989">
        <v>9642.7734</v>
      </c>
      <c r="AP179" s="985">
        <v>29187.186600000001</v>
      </c>
      <c r="AQ179" s="985">
        <v>20428.8734</v>
      </c>
      <c r="AR179" s="985">
        <v>124536.31060000001</v>
      </c>
      <c r="AS179" s="986">
        <v>31905.283800000001</v>
      </c>
      <c r="AU179" s="993">
        <f t="shared" si="60"/>
        <v>4.4704470447044696E-2</v>
      </c>
      <c r="AV179" s="994">
        <f t="shared" si="61"/>
        <v>0.13531353135313529</v>
      </c>
      <c r="AW179" s="994">
        <f t="shared" si="62"/>
        <v>9.4709470947094698E-2</v>
      </c>
      <c r="AX179" s="994">
        <f t="shared" si="63"/>
        <v>0.5773577357735773</v>
      </c>
      <c r="AY179" s="995">
        <f t="shared" si="64"/>
        <v>0.14791479147914791</v>
      </c>
      <c r="BA179" s="993">
        <f t="shared" si="45"/>
        <v>0.16389851116056067</v>
      </c>
      <c r="BB179" s="995">
        <f t="shared" si="46"/>
        <v>0.13527595701875561</v>
      </c>
      <c r="BE179" s="981" t="s">
        <v>1246</v>
      </c>
      <c r="BF179" s="981" t="s">
        <v>1247</v>
      </c>
    </row>
    <row r="180" spans="1:58" ht="12.75" customHeight="1" outlineLevel="1" x14ac:dyDescent="0.2">
      <c r="A180" s="365" t="s">
        <v>1247</v>
      </c>
      <c r="B180" s="366">
        <v>45139</v>
      </c>
      <c r="C180" s="984">
        <v>229583</v>
      </c>
      <c r="D180" s="985">
        <v>196968</v>
      </c>
      <c r="E180" s="986">
        <v>32615</v>
      </c>
      <c r="G180" s="984">
        <v>244.7</v>
      </c>
      <c r="H180" s="987">
        <v>139.9</v>
      </c>
      <c r="I180" s="988">
        <v>104.8</v>
      </c>
      <c r="K180" s="989">
        <v>215283</v>
      </c>
      <c r="L180" s="986">
        <v>33126</v>
      </c>
      <c r="N180" s="989">
        <v>98602.180800000002</v>
      </c>
      <c r="O180" s="986">
        <v>98365.819199999998</v>
      </c>
      <c r="Q180" s="989">
        <v>1017979</v>
      </c>
      <c r="R180" s="988">
        <v>5.1682456033467368</v>
      </c>
      <c r="T180" s="989">
        <v>29649</v>
      </c>
      <c r="U180" s="985">
        <v>28809</v>
      </c>
      <c r="V180" s="985">
        <v>58362</v>
      </c>
      <c r="W180" s="985">
        <v>18179</v>
      </c>
      <c r="X180" s="985">
        <v>16179</v>
      </c>
      <c r="Y180" s="985">
        <v>15712</v>
      </c>
      <c r="Z180" s="985">
        <v>7429</v>
      </c>
      <c r="AA180" s="985">
        <v>1418</v>
      </c>
      <c r="AB180" s="986">
        <v>21231</v>
      </c>
      <c r="AD180" s="366">
        <f t="shared" si="59"/>
        <v>45139</v>
      </c>
      <c r="AE180" s="990">
        <f t="shared" si="47"/>
        <v>0.15052698915559887</v>
      </c>
      <c r="AF180" s="991">
        <f t="shared" si="48"/>
        <v>0.14626233702936517</v>
      </c>
      <c r="AG180" s="991">
        <f t="shared" si="49"/>
        <v>0.29630193737053734</v>
      </c>
      <c r="AH180" s="991">
        <f t="shared" si="50"/>
        <v>9.2294179765241055E-2</v>
      </c>
      <c r="AI180" s="991">
        <f t="shared" si="51"/>
        <v>8.2140246131351291E-2</v>
      </c>
      <c r="AJ180" s="991">
        <f t="shared" si="52"/>
        <v>7.9769302627838018E-2</v>
      </c>
      <c r="AK180" s="991">
        <f t="shared" si="53"/>
        <v>3.7716786483083548E-2</v>
      </c>
      <c r="AL180" s="991">
        <f t="shared" si="65"/>
        <v>7.1991389464278466E-3</v>
      </c>
      <c r="AM180" s="992">
        <f t="shared" si="54"/>
        <v>0.10778908249055684</v>
      </c>
      <c r="AO180" s="989">
        <v>9178.7088000000003</v>
      </c>
      <c r="AP180" s="985">
        <v>25999.776000000002</v>
      </c>
      <c r="AQ180" s="985">
        <v>19086.199199999999</v>
      </c>
      <c r="AR180" s="985">
        <v>110892.98399999998</v>
      </c>
      <c r="AS180" s="986">
        <v>31830.0288</v>
      </c>
      <c r="AU180" s="993">
        <f t="shared" si="60"/>
        <v>4.6595340465953407E-2</v>
      </c>
      <c r="AV180" s="994">
        <f t="shared" si="61"/>
        <v>0.13198680131986801</v>
      </c>
      <c r="AW180" s="994">
        <f t="shared" si="62"/>
        <v>9.6890310968903104E-2</v>
      </c>
      <c r="AX180" s="994">
        <f t="shared" si="63"/>
        <v>0.56294370562943696</v>
      </c>
      <c r="AY180" s="995">
        <f t="shared" si="64"/>
        <v>0.16158384161583841</v>
      </c>
      <c r="BA180" s="993">
        <f t="shared" si="45"/>
        <v>0.1514982604292954</v>
      </c>
      <c r="BB180" s="995">
        <f t="shared" si="46"/>
        <v>0.16817960277811625</v>
      </c>
      <c r="BE180" s="981" t="s">
        <v>1246</v>
      </c>
      <c r="BF180" s="981" t="s">
        <v>1247</v>
      </c>
    </row>
    <row r="181" spans="1:58" ht="12.75" customHeight="1" outlineLevel="1" x14ac:dyDescent="0.2">
      <c r="A181" s="365" t="s">
        <v>1247</v>
      </c>
      <c r="B181" s="366">
        <v>45170</v>
      </c>
      <c r="C181" s="984">
        <v>212924</v>
      </c>
      <c r="D181" s="985">
        <v>187464</v>
      </c>
      <c r="E181" s="986">
        <v>25460</v>
      </c>
      <c r="G181" s="984">
        <v>265.8</v>
      </c>
      <c r="H181" s="987">
        <v>155.80000000000001</v>
      </c>
      <c r="I181" s="988">
        <v>110</v>
      </c>
      <c r="K181" s="989">
        <v>198804</v>
      </c>
      <c r="L181" s="986">
        <v>29404</v>
      </c>
      <c r="N181" s="989">
        <v>102805.2576</v>
      </c>
      <c r="O181" s="986">
        <v>84658.742400000003</v>
      </c>
      <c r="Q181" s="989">
        <v>875313</v>
      </c>
      <c r="R181" s="988">
        <v>4.6692324926385869</v>
      </c>
      <c r="T181" s="989">
        <v>27963</v>
      </c>
      <c r="U181" s="985">
        <v>29652</v>
      </c>
      <c r="V181" s="985">
        <v>53663</v>
      </c>
      <c r="W181" s="985">
        <v>16085</v>
      </c>
      <c r="X181" s="985">
        <v>16769</v>
      </c>
      <c r="Y181" s="985">
        <v>16153</v>
      </c>
      <c r="Z181" s="985">
        <v>5995</v>
      </c>
      <c r="AA181" s="985">
        <v>2049</v>
      </c>
      <c r="AB181" s="986">
        <v>19135</v>
      </c>
      <c r="AD181" s="366">
        <f t="shared" si="59"/>
        <v>45170</v>
      </c>
      <c r="AE181" s="990">
        <f t="shared" si="47"/>
        <v>0.14916463961080528</v>
      </c>
      <c r="AF181" s="991">
        <f t="shared" si="48"/>
        <v>0.15817436947893995</v>
      </c>
      <c r="AG181" s="991">
        <f t="shared" si="49"/>
        <v>0.28625762813126787</v>
      </c>
      <c r="AH181" s="991">
        <f t="shared" si="50"/>
        <v>8.5803140869713648E-2</v>
      </c>
      <c r="AI181" s="991">
        <f t="shared" si="51"/>
        <v>8.945184142021935E-2</v>
      </c>
      <c r="AJ181" s="991">
        <f t="shared" si="52"/>
        <v>8.6165877181752226E-2</v>
      </c>
      <c r="AK181" s="991">
        <f t="shared" si="53"/>
        <v>3.1979473392224643E-2</v>
      </c>
      <c r="AL181" s="991">
        <f t="shared" si="65"/>
        <v>1.0930098578927154E-2</v>
      </c>
      <c r="AM181" s="992">
        <f t="shared" si="54"/>
        <v>0.10207293133614988</v>
      </c>
      <c r="AO181" s="989">
        <v>7929.7271999999994</v>
      </c>
      <c r="AP181" s="985">
        <v>22683.144</v>
      </c>
      <c r="AQ181" s="985">
        <v>16590.563999999998</v>
      </c>
      <c r="AR181" s="985">
        <v>111128.65919999999</v>
      </c>
      <c r="AS181" s="986">
        <v>29131.905600000002</v>
      </c>
      <c r="AU181" s="993">
        <f t="shared" si="60"/>
        <v>4.2299999999999997E-2</v>
      </c>
      <c r="AV181" s="994">
        <f t="shared" si="61"/>
        <v>0.121</v>
      </c>
      <c r="AW181" s="994">
        <f t="shared" si="62"/>
        <v>8.8499999999999995E-2</v>
      </c>
      <c r="AX181" s="994">
        <f t="shared" si="63"/>
        <v>0.59279999999999999</v>
      </c>
      <c r="AY181" s="995">
        <f t="shared" si="64"/>
        <v>0.15540000000000001</v>
      </c>
      <c r="BA181" s="993">
        <f t="shared" ref="BA181:BA190" si="66">+E181/K181</f>
        <v>0.12806583368543892</v>
      </c>
      <c r="BB181" s="995">
        <f t="shared" ref="BB181:BB190" si="67">+L181/D181</f>
        <v>0.15685144881150515</v>
      </c>
      <c r="BE181" s="981" t="s">
        <v>1246</v>
      </c>
      <c r="BF181" s="981" t="s">
        <v>1247</v>
      </c>
    </row>
    <row r="182" spans="1:58" ht="12.75" customHeight="1" outlineLevel="1" x14ac:dyDescent="0.2">
      <c r="A182" s="365" t="s">
        <v>1249</v>
      </c>
      <c r="B182" s="366">
        <v>45200</v>
      </c>
      <c r="C182" s="984">
        <v>235847</v>
      </c>
      <c r="D182" s="985">
        <v>206819</v>
      </c>
      <c r="E182" s="986">
        <v>29028</v>
      </c>
      <c r="G182" s="984">
        <v>263.10000000000002</v>
      </c>
      <c r="H182" s="987">
        <v>149.80000000000001</v>
      </c>
      <c r="I182" s="988">
        <v>113.3</v>
      </c>
      <c r="K182" s="989">
        <v>187182</v>
      </c>
      <c r="L182" s="986">
        <v>33660</v>
      </c>
      <c r="N182" s="989">
        <v>113192.0387</v>
      </c>
      <c r="O182" s="986">
        <v>93626.961299999995</v>
      </c>
      <c r="Q182" s="989">
        <v>911370</v>
      </c>
      <c r="R182" s="988">
        <v>4.4066067430942031</v>
      </c>
      <c r="T182" s="989">
        <v>32286</v>
      </c>
      <c r="U182" s="985">
        <v>32893</v>
      </c>
      <c r="V182" s="985">
        <v>56715</v>
      </c>
      <c r="W182" s="985">
        <v>17775</v>
      </c>
      <c r="X182" s="985">
        <v>19949</v>
      </c>
      <c r="Y182" s="985">
        <v>16335</v>
      </c>
      <c r="Z182" s="985">
        <v>5776</v>
      </c>
      <c r="AA182" s="985">
        <v>2717</v>
      </c>
      <c r="AB182" s="986">
        <v>22373</v>
      </c>
      <c r="AD182" s="366">
        <f t="shared" si="59"/>
        <v>45200</v>
      </c>
      <c r="AE182" s="990">
        <f t="shared" si="47"/>
        <v>0.15610751429994343</v>
      </c>
      <c r="AF182" s="991">
        <f t="shared" si="48"/>
        <v>0.15904244774416276</v>
      </c>
      <c r="AG182" s="991">
        <f t="shared" si="49"/>
        <v>0.27422528877907737</v>
      </c>
      <c r="AH182" s="991">
        <f t="shared" si="50"/>
        <v>8.594471494398484E-2</v>
      </c>
      <c r="AI182" s="991">
        <f t="shared" si="51"/>
        <v>9.6456321711254775E-2</v>
      </c>
      <c r="AJ182" s="991">
        <f t="shared" si="52"/>
        <v>7.8982105125737959E-2</v>
      </c>
      <c r="AK182" s="991">
        <f t="shared" si="53"/>
        <v>2.7927801604301347E-2</v>
      </c>
      <c r="AL182" s="991">
        <f t="shared" si="65"/>
        <v>1.3137090886233856E-2</v>
      </c>
      <c r="AM182" s="992">
        <f t="shared" si="54"/>
        <v>0.10817671490530367</v>
      </c>
      <c r="AO182" s="989">
        <v>8831.1713</v>
      </c>
      <c r="AP182" s="985">
        <v>24694.188600000001</v>
      </c>
      <c r="AQ182" s="985">
        <v>17207.340799999998</v>
      </c>
      <c r="AR182" s="985">
        <v>124236.17330000001</v>
      </c>
      <c r="AS182" s="986">
        <v>31829.444100000001</v>
      </c>
      <c r="AU182" s="993">
        <f t="shared" si="60"/>
        <v>4.2704270427042702E-2</v>
      </c>
      <c r="AV182" s="994">
        <f t="shared" si="61"/>
        <v>0.11941194119411942</v>
      </c>
      <c r="AW182" s="994">
        <f t="shared" si="62"/>
        <v>8.3208320832083196E-2</v>
      </c>
      <c r="AX182" s="994">
        <f t="shared" si="63"/>
        <v>0.60076007600760084</v>
      </c>
      <c r="AY182" s="995">
        <f t="shared" si="64"/>
        <v>0.15391539153915393</v>
      </c>
      <c r="BA182" s="993">
        <f t="shared" si="66"/>
        <v>0.15507901400775714</v>
      </c>
      <c r="BB182" s="995">
        <f t="shared" si="67"/>
        <v>0.16275100450152066</v>
      </c>
      <c r="BE182" s="981" t="s">
        <v>1248</v>
      </c>
      <c r="BF182" s="981" t="s">
        <v>1249</v>
      </c>
    </row>
    <row r="183" spans="1:58" ht="12.75" customHeight="1" outlineLevel="1" x14ac:dyDescent="0.2">
      <c r="A183" s="365" t="s">
        <v>1249</v>
      </c>
      <c r="B183" s="366">
        <v>45231</v>
      </c>
      <c r="C183" s="984">
        <v>223933</v>
      </c>
      <c r="D183" s="985">
        <v>201834</v>
      </c>
      <c r="E183" s="986">
        <v>22099</v>
      </c>
      <c r="G183" s="984">
        <v>251.5</v>
      </c>
      <c r="H183" s="987">
        <v>148.19999999999999</v>
      </c>
      <c r="I183" s="988">
        <v>103.3</v>
      </c>
      <c r="K183" s="989">
        <v>190758</v>
      </c>
      <c r="L183" s="986">
        <v>35277</v>
      </c>
      <c r="N183" s="989">
        <v>103399.5582</v>
      </c>
      <c r="O183" s="986">
        <v>98434.441800000001</v>
      </c>
      <c r="Q183" s="989">
        <v>897135</v>
      </c>
      <c r="R183" s="988">
        <v>4.4449151282737303</v>
      </c>
      <c r="T183" s="989">
        <v>27032</v>
      </c>
      <c r="U183" s="985">
        <v>30105</v>
      </c>
      <c r="V183" s="985">
        <v>56015</v>
      </c>
      <c r="W183" s="985">
        <v>14790</v>
      </c>
      <c r="X183" s="985">
        <v>17840</v>
      </c>
      <c r="Y183" s="985">
        <v>20567</v>
      </c>
      <c r="Z183" s="985">
        <v>5496</v>
      </c>
      <c r="AA183" s="985">
        <v>3539</v>
      </c>
      <c r="AB183" s="986">
        <v>26450</v>
      </c>
      <c r="AD183" s="366">
        <f t="shared" si="59"/>
        <v>45231</v>
      </c>
      <c r="AE183" s="990">
        <f t="shared" si="47"/>
        <v>0.13393184498151947</v>
      </c>
      <c r="AF183" s="991">
        <f t="shared" si="48"/>
        <v>0.14915722821724783</v>
      </c>
      <c r="AG183" s="991">
        <f t="shared" si="49"/>
        <v>0.27753004944657489</v>
      </c>
      <c r="AH183" s="991">
        <f t="shared" si="50"/>
        <v>7.3278040369808853E-2</v>
      </c>
      <c r="AI183" s="991">
        <f t="shared" si="51"/>
        <v>8.8389468573183902E-2</v>
      </c>
      <c r="AJ183" s="991">
        <f t="shared" si="52"/>
        <v>0.10190057175698841</v>
      </c>
      <c r="AK183" s="991">
        <f t="shared" si="53"/>
        <v>2.7230298165819435E-2</v>
      </c>
      <c r="AL183" s="991">
        <f t="shared" si="65"/>
        <v>1.7534211282539118E-2</v>
      </c>
      <c r="AM183" s="992">
        <f t="shared" si="54"/>
        <v>0.13104828720631806</v>
      </c>
      <c r="AO183" s="989">
        <v>9223.8137999999999</v>
      </c>
      <c r="AP183" s="985">
        <v>26198.053199999998</v>
      </c>
      <c r="AQ183" s="985">
        <v>17599.924800000001</v>
      </c>
      <c r="AR183" s="985">
        <v>116882.06939999999</v>
      </c>
      <c r="AS183" s="986">
        <v>31909.955399999999</v>
      </c>
      <c r="AU183" s="993">
        <f t="shared" si="60"/>
        <v>4.5704570457045707E-2</v>
      </c>
      <c r="AV183" s="994">
        <f t="shared" si="61"/>
        <v>0.12981298129812982</v>
      </c>
      <c r="AW183" s="994">
        <f t="shared" si="62"/>
        <v>8.7208720872087211E-2</v>
      </c>
      <c r="AX183" s="994">
        <f t="shared" si="63"/>
        <v>0.57915791579157916</v>
      </c>
      <c r="AY183" s="995">
        <f t="shared" si="64"/>
        <v>0.15811581158115812</v>
      </c>
      <c r="BA183" s="993">
        <f t="shared" si="66"/>
        <v>0.11584835236267942</v>
      </c>
      <c r="BB183" s="995">
        <f t="shared" si="67"/>
        <v>0.17478224679687268</v>
      </c>
      <c r="BE183" s="981" t="s">
        <v>1248</v>
      </c>
      <c r="BF183" s="981" t="s">
        <v>1249</v>
      </c>
    </row>
    <row r="184" spans="1:58" ht="12.75" customHeight="1" outlineLevel="1" x14ac:dyDescent="0.2">
      <c r="A184" s="365" t="s">
        <v>1249</v>
      </c>
      <c r="B184" s="366">
        <v>45261</v>
      </c>
      <c r="C184" s="984">
        <v>261150</v>
      </c>
      <c r="D184" s="985">
        <v>236735</v>
      </c>
      <c r="E184" s="986">
        <v>24415</v>
      </c>
      <c r="G184" s="984">
        <v>210.10000000000002</v>
      </c>
      <c r="H184" s="987">
        <v>144.30000000000001</v>
      </c>
      <c r="I184" s="988">
        <v>65.8</v>
      </c>
      <c r="K184" s="989">
        <v>160480</v>
      </c>
      <c r="L184" s="986">
        <v>44187</v>
      </c>
      <c r="N184" s="989">
        <v>126298.1225</v>
      </c>
      <c r="O184" s="986">
        <v>110436.8775</v>
      </c>
      <c r="Q184" s="989">
        <v>1046981</v>
      </c>
      <c r="R184" s="988">
        <v>4.4225864363106426</v>
      </c>
      <c r="T184" s="989">
        <v>32421</v>
      </c>
      <c r="U184" s="985">
        <v>43575</v>
      </c>
      <c r="V184" s="985">
        <v>58119</v>
      </c>
      <c r="W184" s="985">
        <v>20384</v>
      </c>
      <c r="X184" s="985">
        <v>22528</v>
      </c>
      <c r="Y184" s="985">
        <v>21300</v>
      </c>
      <c r="Z184" s="985">
        <v>6585</v>
      </c>
      <c r="AA184" s="985">
        <v>5458</v>
      </c>
      <c r="AB184" s="986">
        <v>26365</v>
      </c>
      <c r="AD184" s="366">
        <f t="shared" si="59"/>
        <v>45261</v>
      </c>
      <c r="AE184" s="990">
        <f t="shared" si="47"/>
        <v>0.13695059877077745</v>
      </c>
      <c r="AF184" s="991">
        <f t="shared" si="48"/>
        <v>0.18406657232770821</v>
      </c>
      <c r="AG184" s="991">
        <f t="shared" si="49"/>
        <v>0.24550235495385136</v>
      </c>
      <c r="AH184" s="991">
        <f t="shared" si="50"/>
        <v>8.6104716243901411E-2</v>
      </c>
      <c r="AI184" s="991">
        <f t="shared" si="51"/>
        <v>9.5161256256996216E-2</v>
      </c>
      <c r="AJ184" s="991">
        <f t="shared" si="52"/>
        <v>8.9974021585316921E-2</v>
      </c>
      <c r="AK184" s="991">
        <f t="shared" si="53"/>
        <v>2.7815912307009947E-2</v>
      </c>
      <c r="AL184" s="991">
        <f t="shared" si="65"/>
        <v>2.3055315014678859E-2</v>
      </c>
      <c r="AM184" s="992">
        <f t="shared" si="54"/>
        <v>0.11136925253975964</v>
      </c>
      <c r="AO184" s="989">
        <v>10653.074999999999</v>
      </c>
      <c r="AP184" s="985">
        <v>29213.098999999998</v>
      </c>
      <c r="AQ184" s="985">
        <v>22537.172000000002</v>
      </c>
      <c r="AR184" s="985">
        <v>135956.9105</v>
      </c>
      <c r="AS184" s="986">
        <v>38374.743499999997</v>
      </c>
      <c r="AU184" s="993">
        <f t="shared" si="60"/>
        <v>4.4999999999999998E-2</v>
      </c>
      <c r="AV184" s="994">
        <f t="shared" si="61"/>
        <v>0.1234</v>
      </c>
      <c r="AW184" s="994">
        <f t="shared" si="62"/>
        <v>9.5200000000000007E-2</v>
      </c>
      <c r="AX184" s="994">
        <f t="shared" si="63"/>
        <v>0.57430000000000003</v>
      </c>
      <c r="AY184" s="995">
        <f t="shared" si="64"/>
        <v>0.16209999999999999</v>
      </c>
      <c r="BA184" s="993">
        <f t="shared" si="66"/>
        <v>0.15213733798604187</v>
      </c>
      <c r="BB184" s="995">
        <f t="shared" si="67"/>
        <v>0.18665174139861027</v>
      </c>
      <c r="BE184" s="981" t="s">
        <v>1248</v>
      </c>
      <c r="BF184" s="981" t="s">
        <v>1249</v>
      </c>
    </row>
    <row r="185" spans="1:58" ht="12.75" customHeight="1" outlineLevel="1" x14ac:dyDescent="0.2">
      <c r="A185" s="365" t="s">
        <v>1306</v>
      </c>
      <c r="B185" s="366">
        <v>45292</v>
      </c>
      <c r="C185" s="704">
        <v>170346</v>
      </c>
      <c r="D185" s="705">
        <v>152247</v>
      </c>
      <c r="E185" s="701">
        <v>18099</v>
      </c>
      <c r="G185" s="704">
        <v>216.5</v>
      </c>
      <c r="H185" s="706">
        <v>133.9</v>
      </c>
      <c r="I185" s="707">
        <v>82.6</v>
      </c>
      <c r="K185" s="700">
        <v>143027</v>
      </c>
      <c r="L185" s="701">
        <v>31483</v>
      </c>
      <c r="N185" s="700">
        <v>62269.022999999994</v>
      </c>
      <c r="O185" s="701">
        <v>89977.977000000014</v>
      </c>
      <c r="Q185" s="700">
        <v>891928</v>
      </c>
      <c r="R185" s="707">
        <v>5.8584274238572842</v>
      </c>
      <c r="T185" s="700">
        <v>18922</v>
      </c>
      <c r="U185" s="705">
        <v>22145</v>
      </c>
      <c r="V185" s="705">
        <v>40767</v>
      </c>
      <c r="W185" s="705">
        <v>13799</v>
      </c>
      <c r="X185" s="705">
        <v>13352</v>
      </c>
      <c r="Y185" s="705">
        <v>14237</v>
      </c>
      <c r="Z185" s="705">
        <v>5155</v>
      </c>
      <c r="AA185" s="705">
        <v>4280</v>
      </c>
      <c r="AB185" s="701">
        <v>19590</v>
      </c>
      <c r="AD185" s="366">
        <f t="shared" si="59"/>
        <v>45292</v>
      </c>
      <c r="AE185" s="708">
        <f t="shared" ref="AE185:AE190" si="68">+T185/SUM($T185:$AB185)</f>
        <v>0.12428487917660118</v>
      </c>
      <c r="AF185" s="709">
        <f t="shared" ref="AF185:AF190" si="69">+U185/SUM($T185:$AB185)</f>
        <v>0.1454544260313832</v>
      </c>
      <c r="AG185" s="709">
        <f t="shared" ref="AG185:AG190" si="70">+V185/SUM($T185:$AB185)</f>
        <v>0.2677688230309957</v>
      </c>
      <c r="AH185" s="709">
        <f t="shared" ref="AH185:AH190" si="71">+W185/SUM($T185:$AB185)</f>
        <v>9.0635611867557322E-2</v>
      </c>
      <c r="AI185" s="709">
        <f t="shared" ref="AI185:AI190" si="72">+X185/SUM($T185:$AB185)</f>
        <v>8.7699593423844147E-2</v>
      </c>
      <c r="AJ185" s="709">
        <f t="shared" ref="AJ185:AJ190" si="73">+Y185/SUM($T185:$AB185)</f>
        <v>9.3512515845960834E-2</v>
      </c>
      <c r="AK185" s="709">
        <f t="shared" ref="AK185:AK190" si="74">+Z185/SUM($T185:$AB185)</f>
        <v>3.3859452074589319E-2</v>
      </c>
      <c r="AL185" s="709">
        <f t="shared" si="65"/>
        <v>2.8112212391705582E-2</v>
      </c>
      <c r="AM185" s="710">
        <f t="shared" ref="AM185:AM190" si="75">+AB185/SUM($T185:$AB185)</f>
        <v>0.12867248615736271</v>
      </c>
      <c r="AO185" s="700">
        <v>8053.8663000000006</v>
      </c>
      <c r="AP185" s="705">
        <v>23978.9025</v>
      </c>
      <c r="AQ185" s="705">
        <v>17036.439299999998</v>
      </c>
      <c r="AR185" s="705">
        <v>76671.589200000002</v>
      </c>
      <c r="AS185" s="701">
        <v>26506.202700000002</v>
      </c>
      <c r="AU185" s="711">
        <f t="shared" si="60"/>
        <v>5.2900000000000003E-2</v>
      </c>
      <c r="AV185" s="712">
        <f t="shared" si="61"/>
        <v>0.1575</v>
      </c>
      <c r="AW185" s="712">
        <f t="shared" si="62"/>
        <v>0.11189999999999999</v>
      </c>
      <c r="AX185" s="712">
        <f t="shared" si="63"/>
        <v>0.50360000000000005</v>
      </c>
      <c r="AY185" s="713">
        <f t="shared" si="64"/>
        <v>0.1741</v>
      </c>
      <c r="BA185" s="711">
        <f t="shared" si="66"/>
        <v>0.12654254091884748</v>
      </c>
      <c r="BB185" s="713">
        <f t="shared" si="67"/>
        <v>0.20678896792711843</v>
      </c>
      <c r="BE185" s="981" t="s">
        <v>1307</v>
      </c>
      <c r="BF185" s="981" t="s">
        <v>1306</v>
      </c>
    </row>
    <row r="186" spans="1:58" ht="12.75" customHeight="1" outlineLevel="1" x14ac:dyDescent="0.2">
      <c r="A186" s="365" t="s">
        <v>1306</v>
      </c>
      <c r="B186" s="366">
        <v>45323</v>
      </c>
      <c r="C186" s="704">
        <v>184530</v>
      </c>
      <c r="D186" s="705">
        <v>155511</v>
      </c>
      <c r="E186" s="701">
        <v>29019</v>
      </c>
      <c r="G186" s="704">
        <v>217.6</v>
      </c>
      <c r="H186" s="706">
        <v>126</v>
      </c>
      <c r="I186" s="707">
        <v>91.6</v>
      </c>
      <c r="K186" s="700">
        <v>177254</v>
      </c>
      <c r="L186" s="701">
        <v>28086</v>
      </c>
      <c r="N186" s="700">
        <v>71410.651199999993</v>
      </c>
      <c r="O186" s="701">
        <v>84100.348800000007</v>
      </c>
      <c r="Q186" s="700">
        <v>839187</v>
      </c>
      <c r="R186" s="707">
        <v>5.3963192314370048</v>
      </c>
      <c r="T186" s="700">
        <v>16548</v>
      </c>
      <c r="U186" s="705">
        <v>23908</v>
      </c>
      <c r="V186" s="705">
        <v>45450</v>
      </c>
      <c r="W186" s="705">
        <v>13396</v>
      </c>
      <c r="X186" s="705">
        <v>15913</v>
      </c>
      <c r="Y186" s="705">
        <v>11961</v>
      </c>
      <c r="Z186" s="705">
        <v>5443</v>
      </c>
      <c r="AA186" s="705">
        <v>4398</v>
      </c>
      <c r="AB186" s="701">
        <v>18494</v>
      </c>
      <c r="AD186" s="366">
        <f t="shared" si="59"/>
        <v>45323</v>
      </c>
      <c r="AE186" s="708">
        <f t="shared" si="68"/>
        <v>0.10641047900148543</v>
      </c>
      <c r="AF186" s="709">
        <f t="shared" si="69"/>
        <v>0.15373832076187535</v>
      </c>
      <c r="AG186" s="709">
        <f t="shared" si="70"/>
        <v>0.29226228369697321</v>
      </c>
      <c r="AH186" s="709">
        <f t="shared" si="71"/>
        <v>8.6141816334535826E-2</v>
      </c>
      <c r="AI186" s="709">
        <f t="shared" si="72"/>
        <v>0.10232716656699527</v>
      </c>
      <c r="AJ186" s="709">
        <f t="shared" si="73"/>
        <v>7.6914173273916309E-2</v>
      </c>
      <c r="AK186" s="709">
        <f t="shared" si="74"/>
        <v>3.5000739497527508E-2</v>
      </c>
      <c r="AL186" s="709">
        <f t="shared" si="65"/>
        <v>2.8280957617146055E-2</v>
      </c>
      <c r="AM186" s="710">
        <f t="shared" si="75"/>
        <v>0.11892406324954505</v>
      </c>
      <c r="AO186" s="700">
        <v>8786.3715000000011</v>
      </c>
      <c r="AP186" s="705">
        <v>20496.3498</v>
      </c>
      <c r="AQ186" s="705">
        <v>16717.432499999999</v>
      </c>
      <c r="AR186" s="705">
        <v>83089.527300000002</v>
      </c>
      <c r="AS186" s="701">
        <v>26421.318899999998</v>
      </c>
      <c r="AU186" s="711">
        <f t="shared" si="60"/>
        <v>5.6500000000000009E-2</v>
      </c>
      <c r="AV186" s="712">
        <f t="shared" si="61"/>
        <v>0.1318</v>
      </c>
      <c r="AW186" s="712">
        <f t="shared" si="62"/>
        <v>0.1075</v>
      </c>
      <c r="AX186" s="712">
        <f t="shared" si="63"/>
        <v>0.5343</v>
      </c>
      <c r="AY186" s="713">
        <f t="shared" si="64"/>
        <v>0.1699</v>
      </c>
      <c r="BA186" s="711">
        <f t="shared" si="66"/>
        <v>0.16371421801482619</v>
      </c>
      <c r="BB186" s="713">
        <f t="shared" si="67"/>
        <v>0.18060458745683586</v>
      </c>
      <c r="BE186" s="981" t="s">
        <v>1307</v>
      </c>
      <c r="BF186" s="981" t="s">
        <v>1306</v>
      </c>
    </row>
    <row r="187" spans="1:58" ht="12.75" customHeight="1" outlineLevel="1" x14ac:dyDescent="0.2">
      <c r="A187" s="365" t="s">
        <v>1306</v>
      </c>
      <c r="B187" s="366">
        <v>45352</v>
      </c>
      <c r="C187" s="704">
        <v>207164</v>
      </c>
      <c r="D187" s="705">
        <v>176230</v>
      </c>
      <c r="E187" s="701">
        <v>30934</v>
      </c>
      <c r="G187" s="704">
        <v>222.3</v>
      </c>
      <c r="H187" s="706">
        <v>131</v>
      </c>
      <c r="I187" s="707">
        <v>91.3</v>
      </c>
      <c r="K187" s="700">
        <v>181901</v>
      </c>
      <c r="L187" s="701">
        <v>30607</v>
      </c>
      <c r="N187" s="700">
        <v>80871.947</v>
      </c>
      <c r="O187" s="701">
        <v>95358.053</v>
      </c>
      <c r="Q187" s="700">
        <v>863036</v>
      </c>
      <c r="R187" s="707">
        <v>4.8972138682403674</v>
      </c>
      <c r="T187" s="700">
        <v>21465</v>
      </c>
      <c r="U187" s="705">
        <v>30780</v>
      </c>
      <c r="V187" s="705">
        <v>47694</v>
      </c>
      <c r="W187" s="705">
        <v>14856</v>
      </c>
      <c r="X187" s="705">
        <v>17009</v>
      </c>
      <c r="Y187" s="705">
        <v>10999</v>
      </c>
      <c r="Z187" s="705">
        <v>6415</v>
      </c>
      <c r="AA187" s="705">
        <v>6109</v>
      </c>
      <c r="AB187" s="701">
        <v>20903</v>
      </c>
      <c r="AD187" s="366">
        <f t="shared" si="59"/>
        <v>45352</v>
      </c>
      <c r="AE187" s="708">
        <f t="shared" si="68"/>
        <v>0.12180105543891505</v>
      </c>
      <c r="AF187" s="709">
        <f t="shared" si="69"/>
        <v>0.17465811723316121</v>
      </c>
      <c r="AG187" s="709">
        <f t="shared" si="70"/>
        <v>0.27063496566986323</v>
      </c>
      <c r="AH187" s="709">
        <f t="shared" si="71"/>
        <v>8.4298927537876642E-2</v>
      </c>
      <c r="AI187" s="709">
        <f t="shared" si="72"/>
        <v>9.6515916699767348E-2</v>
      </c>
      <c r="AJ187" s="709">
        <f t="shared" si="73"/>
        <v>6.2412756057424953E-2</v>
      </c>
      <c r="AK187" s="709">
        <f t="shared" si="74"/>
        <v>3.6401293763831354E-2</v>
      </c>
      <c r="AL187" s="709">
        <f t="shared" si="65"/>
        <v>3.4664926516484139E-2</v>
      </c>
      <c r="AM187" s="710">
        <f t="shared" si="75"/>
        <v>0.11861204108267605</v>
      </c>
      <c r="AO187" s="700">
        <v>8282.81</v>
      </c>
      <c r="AP187" s="705">
        <v>23808.672999999999</v>
      </c>
      <c r="AQ187" s="705">
        <v>18768.494999999999</v>
      </c>
      <c r="AR187" s="705">
        <v>94917.477999999988</v>
      </c>
      <c r="AS187" s="701">
        <v>30452.544000000002</v>
      </c>
      <c r="AU187" s="711">
        <f t="shared" si="60"/>
        <v>4.7E-2</v>
      </c>
      <c r="AV187" s="712">
        <f t="shared" si="61"/>
        <v>0.1351</v>
      </c>
      <c r="AW187" s="712">
        <f t="shared" si="62"/>
        <v>0.1065</v>
      </c>
      <c r="AX187" s="712">
        <f t="shared" si="63"/>
        <v>0.53859999999999997</v>
      </c>
      <c r="AY187" s="713">
        <f t="shared" si="64"/>
        <v>0.17280000000000001</v>
      </c>
      <c r="BA187" s="711">
        <f t="shared" si="66"/>
        <v>0.17005953788049544</v>
      </c>
      <c r="BB187" s="713">
        <f t="shared" si="67"/>
        <v>0.17367644555410544</v>
      </c>
      <c r="BE187" s="981" t="s">
        <v>1307</v>
      </c>
      <c r="BF187" s="981" t="s">
        <v>1306</v>
      </c>
    </row>
    <row r="188" spans="1:58" ht="12.75" customHeight="1" outlineLevel="1" x14ac:dyDescent="0.2">
      <c r="A188" s="365" t="s">
        <v>1316</v>
      </c>
      <c r="B188" s="366">
        <v>45383</v>
      </c>
      <c r="C188" s="704">
        <v>234046</v>
      </c>
      <c r="D188" s="705">
        <v>208348</v>
      </c>
      <c r="E188" s="701">
        <v>25698</v>
      </c>
      <c r="G188" s="704">
        <v>242.6</v>
      </c>
      <c r="H188" s="706">
        <v>128.69999999999999</v>
      </c>
      <c r="I188" s="707">
        <v>113.9</v>
      </c>
      <c r="K188" s="700">
        <v>207651</v>
      </c>
      <c r="L188" s="701">
        <v>36271</v>
      </c>
      <c r="N188" s="700">
        <v>99381.996000000014</v>
      </c>
      <c r="O188" s="701">
        <v>108966.00399999999</v>
      </c>
      <c r="Q188" s="700">
        <v>968593</v>
      </c>
      <c r="R188" s="707">
        <v>4.6489191160942269</v>
      </c>
      <c r="T188" s="700">
        <v>29860</v>
      </c>
      <c r="U188" s="705">
        <v>33442</v>
      </c>
      <c r="V188" s="705">
        <v>53455</v>
      </c>
      <c r="W188" s="705">
        <v>17432</v>
      </c>
      <c r="X188" s="705">
        <v>18933</v>
      </c>
      <c r="Y188" s="705">
        <v>15674</v>
      </c>
      <c r="Z188" s="705">
        <v>7166</v>
      </c>
      <c r="AA188" s="705">
        <v>7037</v>
      </c>
      <c r="AB188" s="701">
        <v>25349</v>
      </c>
      <c r="AD188" s="366">
        <f t="shared" si="59"/>
        <v>45383</v>
      </c>
      <c r="AE188" s="708">
        <f t="shared" si="68"/>
        <v>0.14331791041910649</v>
      </c>
      <c r="AF188" s="709">
        <f t="shared" si="69"/>
        <v>0.16051030007487474</v>
      </c>
      <c r="AG188" s="709">
        <f t="shared" si="70"/>
        <v>0.25656593775798187</v>
      </c>
      <c r="AH188" s="709">
        <f t="shared" si="71"/>
        <v>8.3667709793230557E-2</v>
      </c>
      <c r="AI188" s="709">
        <f t="shared" si="72"/>
        <v>9.0872002611016189E-2</v>
      </c>
      <c r="AJ188" s="709">
        <f t="shared" si="73"/>
        <v>7.5229903814771446E-2</v>
      </c>
      <c r="AK188" s="709">
        <f t="shared" si="74"/>
        <v>3.4394378635744044E-2</v>
      </c>
      <c r="AL188" s="709">
        <f t="shared" si="65"/>
        <v>3.3775222224355403E-2</v>
      </c>
      <c r="AM188" s="710">
        <f t="shared" si="75"/>
        <v>0.1216666346689193</v>
      </c>
      <c r="AO188" s="700">
        <v>10354.8956</v>
      </c>
      <c r="AP188" s="705">
        <v>26960.231199999998</v>
      </c>
      <c r="AQ188" s="705">
        <v>21605.687600000001</v>
      </c>
      <c r="AR188" s="705">
        <v>113966.35600000001</v>
      </c>
      <c r="AS188" s="701">
        <v>35481.664400000001</v>
      </c>
      <c r="AU188" s="711">
        <f t="shared" si="60"/>
        <v>4.9695030496950302E-2</v>
      </c>
      <c r="AV188" s="712">
        <f t="shared" si="61"/>
        <v>0.12938706129387059</v>
      </c>
      <c r="AW188" s="712">
        <f t="shared" si="62"/>
        <v>0.10368963103689631</v>
      </c>
      <c r="AX188" s="712">
        <f t="shared" si="63"/>
        <v>0.54694530546945308</v>
      </c>
      <c r="AY188" s="713">
        <f t="shared" si="64"/>
        <v>0.17028297170282972</v>
      </c>
      <c r="BA188" s="711">
        <f t="shared" si="66"/>
        <v>0.12375572474970022</v>
      </c>
      <c r="BB188" s="713">
        <f t="shared" si="67"/>
        <v>0.17408854416649067</v>
      </c>
      <c r="BE188" s="981" t="s">
        <v>1313</v>
      </c>
      <c r="BF188" s="981" t="s">
        <v>1316</v>
      </c>
    </row>
    <row r="189" spans="1:58" ht="12.75" customHeight="1" outlineLevel="1" x14ac:dyDescent="0.2">
      <c r="A189" s="365" t="s">
        <v>1316</v>
      </c>
      <c r="B189" s="366">
        <v>45413</v>
      </c>
      <c r="C189" s="704">
        <v>208587</v>
      </c>
      <c r="D189" s="705">
        <v>183426</v>
      </c>
      <c r="E189" s="701">
        <v>25161</v>
      </c>
      <c r="G189" s="704">
        <v>246</v>
      </c>
      <c r="H189" s="706">
        <v>124.4</v>
      </c>
      <c r="I189" s="707">
        <v>121.6</v>
      </c>
      <c r="K189" s="700">
        <v>152829</v>
      </c>
      <c r="L189" s="701">
        <v>32908</v>
      </c>
      <c r="N189" s="700">
        <v>84577.728600000002</v>
      </c>
      <c r="O189" s="701">
        <v>98848.271399999998</v>
      </c>
      <c r="Q189" s="700">
        <v>880443</v>
      </c>
      <c r="R189" s="707">
        <v>4.7999901867783192</v>
      </c>
      <c r="T189" s="700">
        <v>25811</v>
      </c>
      <c r="U189" s="705">
        <v>27536</v>
      </c>
      <c r="V189" s="705">
        <v>49362</v>
      </c>
      <c r="W189" s="705">
        <v>15071</v>
      </c>
      <c r="X189" s="705">
        <v>15458</v>
      </c>
      <c r="Y189" s="705">
        <v>15621</v>
      </c>
      <c r="Z189" s="705">
        <v>6448</v>
      </c>
      <c r="AA189" s="705">
        <v>5255</v>
      </c>
      <c r="AB189" s="701">
        <v>22864</v>
      </c>
      <c r="AD189" s="366">
        <f t="shared" si="59"/>
        <v>45413</v>
      </c>
      <c r="AE189" s="708">
        <f t="shared" si="68"/>
        <v>0.14071614711109656</v>
      </c>
      <c r="AF189" s="709">
        <f t="shared" si="69"/>
        <v>0.15012048455507943</v>
      </c>
      <c r="AG189" s="709">
        <f t="shared" si="70"/>
        <v>0.26911124922311996</v>
      </c>
      <c r="AH189" s="709">
        <f t="shared" si="71"/>
        <v>8.2163924416385897E-2</v>
      </c>
      <c r="AI189" s="709">
        <f t="shared" si="72"/>
        <v>8.4273767077731626E-2</v>
      </c>
      <c r="AJ189" s="709">
        <f t="shared" si="73"/>
        <v>8.5162408818815219E-2</v>
      </c>
      <c r="AK189" s="709">
        <f t="shared" si="74"/>
        <v>3.5153140776116802E-2</v>
      </c>
      <c r="AL189" s="709">
        <f t="shared" si="65"/>
        <v>2.8649155517756479E-2</v>
      </c>
      <c r="AM189" s="710">
        <f t="shared" si="75"/>
        <v>0.12464972250389802</v>
      </c>
      <c r="AO189" s="700">
        <v>9318.0407999999989</v>
      </c>
      <c r="AP189" s="705">
        <v>27587.270400000001</v>
      </c>
      <c r="AQ189" s="705">
        <v>19259.73</v>
      </c>
      <c r="AR189" s="705">
        <v>101012.6982</v>
      </c>
      <c r="AS189" s="701">
        <v>26248.260600000001</v>
      </c>
      <c r="AU189" s="711">
        <f t="shared" si="60"/>
        <v>5.0799999999999991E-2</v>
      </c>
      <c r="AV189" s="712">
        <f t="shared" si="61"/>
        <v>0.15040000000000001</v>
      </c>
      <c r="AW189" s="712">
        <f t="shared" si="62"/>
        <v>0.105</v>
      </c>
      <c r="AX189" s="712">
        <f t="shared" si="63"/>
        <v>0.55069999999999997</v>
      </c>
      <c r="AY189" s="713">
        <f t="shared" si="64"/>
        <v>0.1431</v>
      </c>
      <c r="BA189" s="711">
        <f t="shared" si="66"/>
        <v>0.16463498419802525</v>
      </c>
      <c r="BB189" s="713">
        <f t="shared" si="67"/>
        <v>0.17940749948207996</v>
      </c>
      <c r="BE189" s="981" t="s">
        <v>1313</v>
      </c>
      <c r="BF189" s="981" t="s">
        <v>1316</v>
      </c>
    </row>
    <row r="190" spans="1:58" ht="12.75" customHeight="1" outlineLevel="1" x14ac:dyDescent="0.2">
      <c r="A190" s="365" t="s">
        <v>1316</v>
      </c>
      <c r="B190" s="366">
        <v>45444</v>
      </c>
      <c r="C190" s="704">
        <v>229790</v>
      </c>
      <c r="D190" s="705">
        <v>202584</v>
      </c>
      <c r="E190" s="701">
        <v>27206</v>
      </c>
      <c r="G190" s="704">
        <v>235.29999999999998</v>
      </c>
      <c r="H190" s="706">
        <v>133.69999999999999</v>
      </c>
      <c r="I190" s="707">
        <v>101.6</v>
      </c>
      <c r="K190" s="700">
        <v>196160</v>
      </c>
      <c r="L190" s="701">
        <v>38312</v>
      </c>
      <c r="N190" s="700">
        <v>98860.991999999998</v>
      </c>
      <c r="O190" s="701">
        <v>103723.008</v>
      </c>
      <c r="Q190" s="700">
        <v>958540</v>
      </c>
      <c r="R190" s="707">
        <v>4.7315681396359039</v>
      </c>
      <c r="T190" s="700">
        <v>28642</v>
      </c>
      <c r="U190" s="705">
        <v>29975</v>
      </c>
      <c r="V190" s="705">
        <v>48498</v>
      </c>
      <c r="W190" s="705">
        <v>17403</v>
      </c>
      <c r="X190" s="705">
        <v>17148</v>
      </c>
      <c r="Y190" s="705">
        <v>19448</v>
      </c>
      <c r="Z190" s="705">
        <v>7486</v>
      </c>
      <c r="AA190" s="705">
        <v>5257</v>
      </c>
      <c r="AB190" s="701">
        <v>28727</v>
      </c>
      <c r="AD190" s="366">
        <f t="shared" si="59"/>
        <v>45444</v>
      </c>
      <c r="AE190" s="708">
        <f t="shared" si="68"/>
        <v>0.14138332740986456</v>
      </c>
      <c r="AF190" s="709">
        <f t="shared" si="69"/>
        <v>0.14796331398333532</v>
      </c>
      <c r="AG190" s="709">
        <f t="shared" si="70"/>
        <v>0.23939699087785807</v>
      </c>
      <c r="AH190" s="709">
        <f t="shared" si="71"/>
        <v>8.5905106030091216E-2</v>
      </c>
      <c r="AI190" s="709">
        <f t="shared" si="72"/>
        <v>8.4646368913635819E-2</v>
      </c>
      <c r="AJ190" s="709">
        <f t="shared" si="73"/>
        <v>9.5999684081664885E-2</v>
      </c>
      <c r="AK190" s="709">
        <f t="shared" si="74"/>
        <v>3.6952572759941557E-2</v>
      </c>
      <c r="AL190" s="709">
        <f t="shared" si="65"/>
        <v>2.594972949492556E-2</v>
      </c>
      <c r="AM190" s="710">
        <f t="shared" si="75"/>
        <v>0.14180290644868301</v>
      </c>
      <c r="AO190" s="700">
        <v>9521.4480000000003</v>
      </c>
      <c r="AP190" s="705">
        <v>24715.248</v>
      </c>
      <c r="AQ190" s="705">
        <v>19204.963199999998</v>
      </c>
      <c r="AR190" s="705">
        <v>116161.66560000001</v>
      </c>
      <c r="AS190" s="701">
        <v>32980.675199999998</v>
      </c>
      <c r="AU190" s="711">
        <f t="shared" si="60"/>
        <v>4.7E-2</v>
      </c>
      <c r="AV190" s="712">
        <f t="shared" si="61"/>
        <v>0.122</v>
      </c>
      <c r="AW190" s="712">
        <f t="shared" si="62"/>
        <v>9.4799999999999995E-2</v>
      </c>
      <c r="AX190" s="712">
        <f t="shared" si="63"/>
        <v>0.57340000000000002</v>
      </c>
      <c r="AY190" s="713">
        <f t="shared" si="64"/>
        <v>0.1628</v>
      </c>
      <c r="BA190" s="711">
        <f t="shared" si="66"/>
        <v>0.13869290375203916</v>
      </c>
      <c r="BB190" s="713">
        <f t="shared" si="67"/>
        <v>0.1891166133554476</v>
      </c>
      <c r="BE190" s="981" t="s">
        <v>1313</v>
      </c>
      <c r="BF190" s="981" t="s">
        <v>1316</v>
      </c>
    </row>
    <row r="191" spans="1:58" ht="12.75" customHeight="1" outlineLevel="1" x14ac:dyDescent="0.2">
      <c r="A191" s="365" t="s">
        <v>1317</v>
      </c>
      <c r="B191" s="366">
        <v>45474</v>
      </c>
      <c r="C191" s="704">
        <v>264696</v>
      </c>
      <c r="D191" s="705">
        <v>227496</v>
      </c>
      <c r="E191" s="701">
        <v>37200</v>
      </c>
      <c r="G191" s="704">
        <v>255.8</v>
      </c>
      <c r="H191" s="706">
        <v>130.80000000000001</v>
      </c>
      <c r="I191" s="707">
        <v>125</v>
      </c>
      <c r="K191" s="700">
        <v>232616</v>
      </c>
      <c r="L191" s="701">
        <v>40551</v>
      </c>
      <c r="N191" s="700">
        <v>108515.592</v>
      </c>
      <c r="O191" s="701">
        <v>118980.408</v>
      </c>
      <c r="Q191" s="700">
        <v>1087536</v>
      </c>
      <c r="R191" s="707">
        <v>4.7804620740584447</v>
      </c>
      <c r="T191" s="700">
        <v>26048</v>
      </c>
      <c r="U191" s="705">
        <v>37036</v>
      </c>
      <c r="V191" s="705">
        <v>62677</v>
      </c>
      <c r="W191" s="705">
        <v>19869</v>
      </c>
      <c r="X191" s="705">
        <v>19218</v>
      </c>
      <c r="Y191" s="705">
        <v>17795</v>
      </c>
      <c r="Z191" s="705">
        <v>8422</v>
      </c>
      <c r="AA191" s="705">
        <v>6078</v>
      </c>
      <c r="AB191" s="701">
        <v>30353</v>
      </c>
      <c r="AD191" s="366">
        <f t="shared" si="59"/>
        <v>45474</v>
      </c>
      <c r="AE191" s="708">
        <f t="shared" ref="AE191:AM193" si="76">+T191/SUM($T191:$AB191)</f>
        <v>0.11449871646094877</v>
      </c>
      <c r="AF191" s="709">
        <f t="shared" si="76"/>
        <v>0.1627984667862292</v>
      </c>
      <c r="AG191" s="709">
        <f t="shared" si="76"/>
        <v>0.27550814080247565</v>
      </c>
      <c r="AH191" s="709">
        <f t="shared" si="76"/>
        <v>8.7337799345922562E-2</v>
      </c>
      <c r="AI191" s="709">
        <f t="shared" si="76"/>
        <v>8.4476210570735316E-2</v>
      </c>
      <c r="AJ191" s="709">
        <f t="shared" si="76"/>
        <v>7.8221155536800646E-2</v>
      </c>
      <c r="AK191" s="709">
        <f t="shared" si="76"/>
        <v>3.7020431128459402E-2</v>
      </c>
      <c r="AL191" s="709">
        <f t="shared" si="76"/>
        <v>2.6716953265112354E-2</v>
      </c>
      <c r="AM191" s="710">
        <f t="shared" si="76"/>
        <v>0.13342212610331611</v>
      </c>
      <c r="AO191" s="700">
        <v>9418.3343999999997</v>
      </c>
      <c r="AP191" s="705">
        <v>30438.964800000002</v>
      </c>
      <c r="AQ191" s="705">
        <v>19928.649600000001</v>
      </c>
      <c r="AR191" s="705">
        <v>128899.23359999999</v>
      </c>
      <c r="AS191" s="701">
        <v>38810.817600000002</v>
      </c>
      <c r="AU191" s="711">
        <f t="shared" ref="AU191:AY193" si="77">+AO191/SUM($AO191:$AS191)</f>
        <v>4.1399999999999999E-2</v>
      </c>
      <c r="AV191" s="712">
        <f t="shared" si="77"/>
        <v>0.1338</v>
      </c>
      <c r="AW191" s="712">
        <f t="shared" si="77"/>
        <v>8.7599999999999997E-2</v>
      </c>
      <c r="AX191" s="712">
        <f t="shared" si="77"/>
        <v>0.56659999999999999</v>
      </c>
      <c r="AY191" s="713">
        <f t="shared" si="77"/>
        <v>0.1706</v>
      </c>
      <c r="BA191" s="711">
        <f t="shared" ref="BA191:BA196" si="78">+E191/K191</f>
        <v>0.15992021185129141</v>
      </c>
      <c r="BB191" s="713">
        <f t="shared" ref="BB191:BB196" si="79">+L191/D191</f>
        <v>0.17824928789956745</v>
      </c>
      <c r="BE191" s="981" t="s">
        <v>1314</v>
      </c>
      <c r="BF191" s="981" t="s">
        <v>1317</v>
      </c>
    </row>
    <row r="192" spans="1:58" ht="12.75" customHeight="1" outlineLevel="1" x14ac:dyDescent="0.2">
      <c r="A192" s="365" t="s">
        <v>1317</v>
      </c>
      <c r="B192" s="366">
        <v>45505</v>
      </c>
      <c r="C192" s="704">
        <v>259846</v>
      </c>
      <c r="D192" s="705">
        <v>223450</v>
      </c>
      <c r="E192" s="701">
        <v>36396</v>
      </c>
      <c r="G192" s="704">
        <v>268.89999999999998</v>
      </c>
      <c r="H192" s="706">
        <v>133.69999999999999</v>
      </c>
      <c r="I192" s="707">
        <v>135.19999999999999</v>
      </c>
      <c r="K192" s="700">
        <v>244356</v>
      </c>
      <c r="L192" s="701">
        <v>40008</v>
      </c>
      <c r="N192" s="700">
        <v>111278.1</v>
      </c>
      <c r="O192" s="701">
        <v>112171.9</v>
      </c>
      <c r="Q192" s="700">
        <v>1056020</v>
      </c>
      <c r="R192" s="707">
        <v>4.7259789662116809</v>
      </c>
      <c r="T192" s="700">
        <v>27983</v>
      </c>
      <c r="U192" s="705">
        <v>37071</v>
      </c>
      <c r="V192" s="705">
        <v>60642</v>
      </c>
      <c r="W192" s="705">
        <v>18862</v>
      </c>
      <c r="X192" s="705">
        <v>18439</v>
      </c>
      <c r="Y192" s="705">
        <v>16945</v>
      </c>
      <c r="Z192" s="705">
        <v>8471</v>
      </c>
      <c r="AA192" s="705">
        <v>6705</v>
      </c>
      <c r="AB192" s="701">
        <v>28332</v>
      </c>
      <c r="AD192" s="366">
        <f t="shared" si="59"/>
        <v>45505</v>
      </c>
      <c r="AE192" s="708">
        <f t="shared" si="76"/>
        <v>0.12523159543522042</v>
      </c>
      <c r="AF192" s="709">
        <f t="shared" si="76"/>
        <v>0.1659028865518013</v>
      </c>
      <c r="AG192" s="709">
        <f t="shared" si="76"/>
        <v>0.27138957261132246</v>
      </c>
      <c r="AH192" s="709">
        <f t="shared" si="76"/>
        <v>8.441262027299172E-2</v>
      </c>
      <c r="AI192" s="709">
        <f t="shared" si="76"/>
        <v>8.2519579324233608E-2</v>
      </c>
      <c r="AJ192" s="709">
        <f t="shared" si="76"/>
        <v>7.5833519803087945E-2</v>
      </c>
      <c r="AK192" s="709">
        <f t="shared" si="76"/>
        <v>3.7910046990378157E-2</v>
      </c>
      <c r="AL192" s="709">
        <f t="shared" si="76"/>
        <v>3.0006712911165807E-2</v>
      </c>
      <c r="AM192" s="710">
        <f t="shared" si="76"/>
        <v>0.12679346609979861</v>
      </c>
      <c r="AO192" s="700">
        <v>11306.57</v>
      </c>
      <c r="AP192" s="705">
        <v>31260.654999999999</v>
      </c>
      <c r="AQ192" s="705">
        <v>20825.54</v>
      </c>
      <c r="AR192" s="705">
        <v>121802.595</v>
      </c>
      <c r="AS192" s="701">
        <v>38232.294999999998</v>
      </c>
      <c r="AU192" s="711">
        <f t="shared" si="77"/>
        <v>5.0605060506050611E-2</v>
      </c>
      <c r="AV192" s="712">
        <f t="shared" si="77"/>
        <v>0.13991399139913993</v>
      </c>
      <c r="AW192" s="712">
        <f t="shared" si="77"/>
        <v>9.320932093209322E-2</v>
      </c>
      <c r="AX192" s="712">
        <f t="shared" si="77"/>
        <v>0.54515451545154525</v>
      </c>
      <c r="AY192" s="713">
        <f t="shared" si="77"/>
        <v>0.17111711171117114</v>
      </c>
      <c r="BA192" s="711">
        <f t="shared" si="78"/>
        <v>0.14894661886755389</v>
      </c>
      <c r="BB192" s="713">
        <f t="shared" si="79"/>
        <v>0.17904676661445512</v>
      </c>
      <c r="BE192" s="981" t="s">
        <v>1314</v>
      </c>
      <c r="BF192" s="981" t="s">
        <v>1317</v>
      </c>
    </row>
    <row r="193" spans="1:58" ht="12.75" customHeight="1" outlineLevel="1" x14ac:dyDescent="0.2">
      <c r="A193" s="365" t="s">
        <v>1317</v>
      </c>
      <c r="B193" s="366">
        <v>45536</v>
      </c>
      <c r="C193" s="704">
        <v>262430</v>
      </c>
      <c r="D193" s="705">
        <v>222875</v>
      </c>
      <c r="E193" s="701">
        <v>39555</v>
      </c>
      <c r="G193" s="704">
        <v>266.39999999999998</v>
      </c>
      <c r="H193" s="706">
        <v>144.80000000000001</v>
      </c>
      <c r="I193" s="707">
        <v>121.6</v>
      </c>
      <c r="K193" s="700">
        <v>214602</v>
      </c>
      <c r="L193" s="701">
        <v>41934</v>
      </c>
      <c r="N193" s="700">
        <v>106980</v>
      </c>
      <c r="O193" s="701">
        <v>115895</v>
      </c>
      <c r="Q193" s="700">
        <v>992379</v>
      </c>
      <c r="R193" s="707">
        <v>4.4526259113853053</v>
      </c>
      <c r="T193" s="700">
        <v>27629</v>
      </c>
      <c r="U193" s="705">
        <v>35344</v>
      </c>
      <c r="V193" s="705">
        <v>60307</v>
      </c>
      <c r="W193" s="705">
        <v>19800</v>
      </c>
      <c r="X193" s="705">
        <v>23282</v>
      </c>
      <c r="Y193" s="705">
        <v>14687</v>
      </c>
      <c r="Z193" s="705">
        <v>8679</v>
      </c>
      <c r="AA193" s="705">
        <v>5958</v>
      </c>
      <c r="AB193" s="701">
        <v>27189</v>
      </c>
      <c r="AD193" s="366">
        <f t="shared" si="59"/>
        <v>45536</v>
      </c>
      <c r="AE193" s="708">
        <f t="shared" si="76"/>
        <v>0.12396634885025239</v>
      </c>
      <c r="AF193" s="709">
        <f t="shared" si="76"/>
        <v>0.15858216489063376</v>
      </c>
      <c r="AG193" s="709">
        <f t="shared" si="76"/>
        <v>0.27058665171060009</v>
      </c>
      <c r="AH193" s="709">
        <f t="shared" si="76"/>
        <v>8.8839035333707239E-2</v>
      </c>
      <c r="AI193" s="709">
        <f t="shared" si="76"/>
        <v>0.10446214245653393</v>
      </c>
      <c r="AJ193" s="709">
        <f t="shared" si="76"/>
        <v>6.5897924845765565E-2</v>
      </c>
      <c r="AK193" s="709">
        <f t="shared" si="76"/>
        <v>3.8941110487941674E-2</v>
      </c>
      <c r="AL193" s="709">
        <f t="shared" si="76"/>
        <v>2.6732473359506449E-2</v>
      </c>
      <c r="AM193" s="710">
        <f t="shared" si="76"/>
        <v>0.12199214806505888</v>
      </c>
      <c r="AO193" s="700">
        <v>11099.174999999999</v>
      </c>
      <c r="AP193" s="705">
        <v>30422.437500000004</v>
      </c>
      <c r="AQ193" s="705">
        <v>19746.724999999999</v>
      </c>
      <c r="AR193" s="705">
        <v>123428.17499999999</v>
      </c>
      <c r="AS193" s="701">
        <v>38178.487500000003</v>
      </c>
      <c r="AU193" s="711">
        <f t="shared" si="77"/>
        <v>4.9799999999999997E-2</v>
      </c>
      <c r="AV193" s="712">
        <f t="shared" si="77"/>
        <v>0.13650000000000001</v>
      </c>
      <c r="AW193" s="712">
        <f t="shared" si="77"/>
        <v>8.8599999999999998E-2</v>
      </c>
      <c r="AX193" s="712">
        <f t="shared" si="77"/>
        <v>0.55379999999999996</v>
      </c>
      <c r="AY193" s="713">
        <f t="shared" si="77"/>
        <v>0.17130000000000001</v>
      </c>
      <c r="BA193" s="711">
        <f t="shared" si="78"/>
        <v>0.18431794671065507</v>
      </c>
      <c r="BB193" s="713">
        <f t="shared" si="79"/>
        <v>0.18815030846887268</v>
      </c>
      <c r="BE193" s="981" t="s">
        <v>1314</v>
      </c>
      <c r="BF193" s="981" t="s">
        <v>1317</v>
      </c>
    </row>
    <row r="194" spans="1:58" ht="12.75" customHeight="1" outlineLevel="1" x14ac:dyDescent="0.2">
      <c r="A194" s="365" t="s">
        <v>1318</v>
      </c>
      <c r="B194" s="366">
        <v>45566</v>
      </c>
      <c r="C194" s="704">
        <v>291016</v>
      </c>
      <c r="D194" s="705">
        <v>250155</v>
      </c>
      <c r="E194" s="701">
        <v>40861</v>
      </c>
      <c r="G194" s="704">
        <v>262.8</v>
      </c>
      <c r="H194" s="706">
        <v>131</v>
      </c>
      <c r="I194" s="707">
        <v>131.80000000000001</v>
      </c>
      <c r="K194" s="700">
        <v>231908</v>
      </c>
      <c r="L194" s="701">
        <v>46211</v>
      </c>
      <c r="N194" s="700">
        <v>128829.825</v>
      </c>
      <c r="O194" s="701">
        <v>121325.175</v>
      </c>
      <c r="Q194" s="700">
        <v>1073409</v>
      </c>
      <c r="R194" s="707">
        <v>4.2909755951310187</v>
      </c>
      <c r="T194" s="700">
        <v>29236</v>
      </c>
      <c r="U194" s="705">
        <v>42246</v>
      </c>
      <c r="V194" s="705">
        <v>64031</v>
      </c>
      <c r="W194" s="705">
        <v>20526</v>
      </c>
      <c r="X194" s="705">
        <v>21263</v>
      </c>
      <c r="Y194" s="705">
        <v>23105</v>
      </c>
      <c r="Z194" s="705">
        <v>9945</v>
      </c>
      <c r="AA194" s="705">
        <v>7399</v>
      </c>
      <c r="AB194" s="701">
        <v>32404</v>
      </c>
      <c r="AD194" s="366">
        <f t="shared" si="59"/>
        <v>45566</v>
      </c>
      <c r="AE194" s="708">
        <f t="shared" ref="AE194" si="80">+T194/SUM($T194:$AB194)</f>
        <v>0.11687153964541984</v>
      </c>
      <c r="AF194" s="709">
        <f t="shared" ref="AF194" si="81">+U194/SUM($T194:$AB194)</f>
        <v>0.16887929483720093</v>
      </c>
      <c r="AG194" s="709">
        <f t="shared" ref="AG194" si="82">+V194/SUM($T194:$AB194)</f>
        <v>0.2559653015130619</v>
      </c>
      <c r="AH194" s="709">
        <f t="shared" ref="AH194" si="83">+W194/SUM($T194:$AB194)</f>
        <v>8.2053127061222045E-2</v>
      </c>
      <c r="AI194" s="709">
        <f t="shared" ref="AI194" si="84">+X194/SUM($T194:$AB194)</f>
        <v>8.4999300433731093E-2</v>
      </c>
      <c r="AJ194" s="709">
        <f t="shared" ref="AJ194" si="85">+Y194/SUM($T194:$AB194)</f>
        <v>9.2362735104235372E-2</v>
      </c>
      <c r="AK194" s="709">
        <f t="shared" ref="AK194" si="86">+Z194/SUM($T194:$AB194)</f>
        <v>3.9755351681957186E-2</v>
      </c>
      <c r="AL194" s="709">
        <f t="shared" ref="AL194" si="87">+AA194/SUM($T194:$AB194)</f>
        <v>2.9577661849653214E-2</v>
      </c>
      <c r="AM194" s="710">
        <f t="shared" ref="AM194" si="88">+AB194/SUM($T194:$AB194)</f>
        <v>0.12953568787351841</v>
      </c>
      <c r="AO194" s="700">
        <v>12332.6415</v>
      </c>
      <c r="AP194" s="705">
        <v>32345.041499999999</v>
      </c>
      <c r="AQ194" s="705">
        <v>22113.702000000001</v>
      </c>
      <c r="AR194" s="705">
        <v>138060.54449999999</v>
      </c>
      <c r="AS194" s="701">
        <v>45303.070500000002</v>
      </c>
      <c r="AU194" s="711">
        <f t="shared" ref="AU194" si="89">+AO194/SUM($AO194:$AS194)</f>
        <v>4.9300000000000004E-2</v>
      </c>
      <c r="AV194" s="712">
        <f t="shared" ref="AV194" si="90">+AP194/SUM($AO194:$AS194)</f>
        <v>0.12930000000000003</v>
      </c>
      <c r="AW194" s="712">
        <f t="shared" ref="AW194" si="91">+AQ194/SUM($AO194:$AS194)</f>
        <v>8.840000000000002E-2</v>
      </c>
      <c r="AX194" s="712">
        <f t="shared" ref="AX194" si="92">+AR194/SUM($AO194:$AS194)</f>
        <v>0.55190000000000006</v>
      </c>
      <c r="AY194" s="713">
        <f t="shared" ref="AY194" si="93">+AS194/SUM($AO194:$AS194)</f>
        <v>0.18110000000000004</v>
      </c>
      <c r="BA194" s="711">
        <f t="shared" si="78"/>
        <v>0.1761948703796333</v>
      </c>
      <c r="BB194" s="713">
        <f t="shared" si="79"/>
        <v>0.1847294677300074</v>
      </c>
      <c r="BE194" s="981" t="s">
        <v>1315</v>
      </c>
      <c r="BF194" s="981" t="s">
        <v>1318</v>
      </c>
    </row>
    <row r="195" spans="1:58" ht="12.75" customHeight="1" outlineLevel="1" x14ac:dyDescent="0.2">
      <c r="A195" s="365" t="s">
        <v>1318</v>
      </c>
      <c r="B195" s="366">
        <v>45597</v>
      </c>
      <c r="C195" s="704">
        <v>278212</v>
      </c>
      <c r="D195" s="705">
        <v>241463</v>
      </c>
      <c r="E195" s="701">
        <v>36749</v>
      </c>
      <c r="G195" s="704">
        <v>251</v>
      </c>
      <c r="H195" s="706">
        <v>133.69999999999999</v>
      </c>
      <c r="I195" s="707">
        <v>117.3</v>
      </c>
      <c r="K195" s="700">
        <v>220532</v>
      </c>
      <c r="L195" s="701">
        <v>44240</v>
      </c>
      <c r="N195" s="700">
        <v>134736.35399999999</v>
      </c>
      <c r="O195" s="701">
        <v>106726.64600000001</v>
      </c>
      <c r="Q195" s="700">
        <v>946628</v>
      </c>
      <c r="R195" s="707">
        <v>3.9203853178333739</v>
      </c>
      <c r="T195" s="700">
        <v>30236</v>
      </c>
      <c r="U195" s="705">
        <v>41434</v>
      </c>
      <c r="V195" s="705">
        <v>60006</v>
      </c>
      <c r="W195" s="705">
        <v>17005</v>
      </c>
      <c r="X195" s="705">
        <v>21714</v>
      </c>
      <c r="Y195" s="705">
        <v>25322</v>
      </c>
      <c r="Z195" s="705">
        <v>8745</v>
      </c>
      <c r="AA195" s="705">
        <v>8048</v>
      </c>
      <c r="AB195" s="701">
        <v>28953</v>
      </c>
      <c r="AD195" s="366">
        <f t="shared" si="59"/>
        <v>45597</v>
      </c>
      <c r="AE195" s="708">
        <f t="shared" ref="AE195" si="94">+T195/SUM($T195:$AB195)</f>
        <v>0.12522001300406274</v>
      </c>
      <c r="AF195" s="709">
        <f t="shared" ref="AF195" si="95">+U195/SUM($T195:$AB195)</f>
        <v>0.1715956481945474</v>
      </c>
      <c r="AG195" s="709">
        <f t="shared" ref="AG195" si="96">+V195/SUM($T195:$AB195)</f>
        <v>0.24851012370425282</v>
      </c>
      <c r="AH195" s="709">
        <f t="shared" ref="AH195" si="97">+W195/SUM($T195:$AB195)</f>
        <v>7.0424868406339686E-2</v>
      </c>
      <c r="AI195" s="709">
        <f t="shared" ref="AI195" si="98">+X195/SUM($T195:$AB195)</f>
        <v>8.9926821086460454E-2</v>
      </c>
      <c r="AJ195" s="709">
        <f t="shared" ref="AJ195" si="99">+Y195/SUM($T195:$AB195)</f>
        <v>0.10486906896708813</v>
      </c>
      <c r="AK195" s="709">
        <f t="shared" ref="AK195" si="100">+Z195/SUM($T195:$AB195)</f>
        <v>3.6216728857009148E-2</v>
      </c>
      <c r="AL195" s="709">
        <f t="shared" ref="AL195" si="101">+AA195/SUM($T195:$AB195)</f>
        <v>3.3330158243706075E-2</v>
      </c>
      <c r="AM195" s="710">
        <f t="shared" ref="AM195" si="102">+AB195/SUM($T195:$AB195)</f>
        <v>0.11990656953653354</v>
      </c>
      <c r="AO195" s="700">
        <v>10576.079400000001</v>
      </c>
      <c r="AP195" s="705">
        <v>29096.291499999999</v>
      </c>
      <c r="AQ195" s="705">
        <v>20331.184600000001</v>
      </c>
      <c r="AR195" s="705">
        <v>139275.8584</v>
      </c>
      <c r="AS195" s="701">
        <v>42183.5861</v>
      </c>
      <c r="AU195" s="711">
        <f t="shared" ref="AU195" si="103">+AO195/SUM($AO195:$AS195)</f>
        <v>4.3800000000000006E-2</v>
      </c>
      <c r="AV195" s="712">
        <f t="shared" ref="AV195" si="104">+AP195/SUM($AO195:$AS195)</f>
        <v>0.1205</v>
      </c>
      <c r="AW195" s="712">
        <f t="shared" ref="AW195" si="105">+AQ195/SUM($AO195:$AS195)</f>
        <v>8.4199999999999997E-2</v>
      </c>
      <c r="AX195" s="712">
        <f t="shared" ref="AX195" si="106">+AR195/SUM($AO195:$AS195)</f>
        <v>0.57679999999999998</v>
      </c>
      <c r="AY195" s="713">
        <f t="shared" ref="AY195" si="107">+AS195/SUM($AO195:$AS195)</f>
        <v>0.17469999999999999</v>
      </c>
      <c r="BA195" s="711">
        <f t="shared" si="78"/>
        <v>0.16663794823426986</v>
      </c>
      <c r="BB195" s="713">
        <f t="shared" si="79"/>
        <v>0.18321647623031273</v>
      </c>
      <c r="BE195" s="981" t="s">
        <v>1315</v>
      </c>
      <c r="BF195" s="981" t="s">
        <v>1318</v>
      </c>
    </row>
    <row r="196" spans="1:58" ht="12.75" customHeight="1" outlineLevel="1" x14ac:dyDescent="0.2">
      <c r="A196" s="365" t="s">
        <v>1318</v>
      </c>
      <c r="B196" s="366">
        <v>45627</v>
      </c>
      <c r="C196" s="704">
        <v>272645</v>
      </c>
      <c r="D196" s="705">
        <v>243751</v>
      </c>
      <c r="E196" s="701">
        <v>28894</v>
      </c>
      <c r="G196" s="704">
        <v>232.7</v>
      </c>
      <c r="H196" s="706">
        <v>146.6</v>
      </c>
      <c r="I196" s="707">
        <v>86.1</v>
      </c>
      <c r="K196" s="700">
        <v>177758</v>
      </c>
      <c r="L196" s="701">
        <v>51954</v>
      </c>
      <c r="N196" s="700">
        <v>123094.255</v>
      </c>
      <c r="O196" s="701">
        <v>120656.745</v>
      </c>
      <c r="Q196" s="700">
        <v>1118246</v>
      </c>
      <c r="R196" s="707">
        <v>4.5876570762786617</v>
      </c>
      <c r="T196" s="700">
        <v>32517</v>
      </c>
      <c r="U196" s="705">
        <v>40367</v>
      </c>
      <c r="V196" s="705">
        <v>60438</v>
      </c>
      <c r="W196" s="705">
        <v>15987</v>
      </c>
      <c r="X196" s="705">
        <v>24827</v>
      </c>
      <c r="Y196" s="705">
        <v>20098</v>
      </c>
      <c r="Z196" s="705">
        <v>9036</v>
      </c>
      <c r="AA196" s="705">
        <v>10091</v>
      </c>
      <c r="AB196" s="701">
        <v>30390</v>
      </c>
      <c r="AD196" s="366">
        <f t="shared" si="59"/>
        <v>45627</v>
      </c>
      <c r="AE196" s="708">
        <f t="shared" ref="AE196" si="108">+T196/SUM($T196:$AB196)</f>
        <v>0.13340252963064766</v>
      </c>
      <c r="AF196" s="709">
        <f t="shared" ref="AF196" si="109">+U196/SUM($T196:$AB196)</f>
        <v>0.16560752571271503</v>
      </c>
      <c r="AG196" s="709">
        <f t="shared" ref="AG196" si="110">+V196/SUM($T196:$AB196)</f>
        <v>0.24794975200101743</v>
      </c>
      <c r="AH196" s="709">
        <f t="shared" ref="AH196" si="111">+W196/SUM($T196:$AB196)</f>
        <v>6.5587423231084185E-2</v>
      </c>
      <c r="AI196" s="709">
        <f t="shared" ref="AI196" si="112">+X196/SUM($T196:$AB196)</f>
        <v>0.10185394111203647</v>
      </c>
      <c r="AJ196" s="709">
        <f t="shared" ref="AJ196" si="113">+Y196/SUM($T196:$AB196)</f>
        <v>8.2452995064635631E-2</v>
      </c>
      <c r="AK196" s="709">
        <f t="shared" ref="AK196" si="114">+Z196/SUM($T196:$AB196)</f>
        <v>3.707061714618607E-2</v>
      </c>
      <c r="AL196" s="709">
        <f t="shared" ref="AL196" si="115">+AA196/SUM($T196:$AB196)</f>
        <v>4.1398804517725055E-2</v>
      </c>
      <c r="AM196" s="710">
        <f t="shared" ref="AM196" si="116">+AB196/SUM($T196:$AB196)</f>
        <v>0.12467641158395247</v>
      </c>
      <c r="AO196" s="700">
        <v>13991.3074</v>
      </c>
      <c r="AP196" s="705">
        <v>33564.512699999999</v>
      </c>
      <c r="AQ196" s="705">
        <v>23326.970699999998</v>
      </c>
      <c r="AR196" s="705">
        <v>130796.78659999999</v>
      </c>
      <c r="AS196" s="701">
        <v>42071.422599999998</v>
      </c>
      <c r="AU196" s="711">
        <f t="shared" ref="AU196" si="117">+AO196/SUM($AO196:$AS196)</f>
        <v>5.7400000000000007E-2</v>
      </c>
      <c r="AV196" s="712">
        <f t="shared" ref="AV196" si="118">+AP196/SUM($AO196:$AS196)</f>
        <v>0.13770000000000002</v>
      </c>
      <c r="AW196" s="712">
        <f t="shared" ref="AW196" si="119">+AQ196/SUM($AO196:$AS196)</f>
        <v>9.5700000000000007E-2</v>
      </c>
      <c r="AX196" s="712">
        <f t="shared" ref="AX196" si="120">+AR196/SUM($AO196:$AS196)</f>
        <v>0.53660000000000008</v>
      </c>
      <c r="AY196" s="713">
        <f t="shared" ref="AY196" si="121">+AS196/SUM($AO196:$AS196)</f>
        <v>0.1726</v>
      </c>
      <c r="BA196" s="711">
        <f t="shared" si="78"/>
        <v>0.16254683333520853</v>
      </c>
      <c r="BB196" s="713">
        <f t="shared" si="79"/>
        <v>0.21314374094875507</v>
      </c>
      <c r="BE196" s="981" t="s">
        <v>1315</v>
      </c>
      <c r="BF196" s="981" t="s">
        <v>1318</v>
      </c>
    </row>
    <row r="197" spans="1:58" ht="12.75" customHeight="1" outlineLevel="1" x14ac:dyDescent="0.2">
      <c r="A197" s="365" t="s">
        <v>1377</v>
      </c>
      <c r="B197" s="366">
        <v>45658</v>
      </c>
      <c r="C197" s="413">
        <v>187425</v>
      </c>
      <c r="D197" s="414">
        <v>160054</v>
      </c>
      <c r="E197" s="415">
        <v>27371</v>
      </c>
      <c r="G197" s="413">
        <v>235.5</v>
      </c>
      <c r="H197" s="420">
        <v>133.1</v>
      </c>
      <c r="I197" s="418">
        <v>102.4</v>
      </c>
      <c r="K197" s="416">
        <v>165694</v>
      </c>
      <c r="L197" s="415">
        <v>38797</v>
      </c>
      <c r="N197" s="416">
        <v>64821.87</v>
      </c>
      <c r="O197" s="415">
        <v>95232.13</v>
      </c>
      <c r="Q197" s="416">
        <v>901389</v>
      </c>
      <c r="R197" s="418">
        <v>5.6317805240731253</v>
      </c>
      <c r="T197" s="416">
        <v>19652</v>
      </c>
      <c r="U197" s="414">
        <v>21128</v>
      </c>
      <c r="V197" s="414">
        <v>43587</v>
      </c>
      <c r="W197" s="414">
        <v>11577</v>
      </c>
      <c r="X197" s="414">
        <v>14753</v>
      </c>
      <c r="Y197" s="414">
        <v>9938</v>
      </c>
      <c r="Z197" s="414">
        <v>7402</v>
      </c>
      <c r="AA197" s="414">
        <v>6587</v>
      </c>
      <c r="AB197" s="415">
        <v>25430</v>
      </c>
      <c r="AD197" s="366">
        <f t="shared" si="59"/>
        <v>45658</v>
      </c>
      <c r="AE197" s="1232">
        <f t="shared" ref="AE197" si="122">+T197/SUM($T197:$AB197)</f>
        <v>0.12278356054831495</v>
      </c>
      <c r="AF197" s="1233">
        <f t="shared" ref="AF197" si="123">+U197/SUM($T197:$AB197)</f>
        <v>0.13200544816124557</v>
      </c>
      <c r="AG197" s="1233">
        <f t="shared" ref="AG197" si="124">+V197/SUM($T197:$AB197)</f>
        <v>0.27232683969160409</v>
      </c>
      <c r="AH197" s="1233">
        <f t="shared" ref="AH197" si="125">+W197/SUM($T197:$AB197)</f>
        <v>7.2331838004673424E-2</v>
      </c>
      <c r="AI197" s="1233">
        <f t="shared" ref="AI197" si="126">+X197/SUM($T197:$AB197)</f>
        <v>9.2175140889949644E-2</v>
      </c>
      <c r="AJ197" s="1233">
        <f t="shared" ref="AJ197" si="127">+Y197/SUM($T197:$AB197)</f>
        <v>6.2091544103864943E-2</v>
      </c>
      <c r="AK197" s="1233">
        <f t="shared" ref="AK197" si="128">+Z197/SUM($T197:$AB197)</f>
        <v>4.6246891674060008E-2</v>
      </c>
      <c r="AL197" s="1233">
        <f t="shared" ref="AL197" si="129">+AA197/SUM($T197:$AB197)</f>
        <v>4.1154860234670798E-2</v>
      </c>
      <c r="AM197" s="1234">
        <f t="shared" ref="AM197" si="130">+AB197/SUM($T197:$AB197)</f>
        <v>0.15888387669161658</v>
      </c>
      <c r="AO197" s="416">
        <v>9475.1967999999997</v>
      </c>
      <c r="AP197" s="414">
        <v>27945.428400000001</v>
      </c>
      <c r="AQ197" s="414">
        <v>18278.166799999999</v>
      </c>
      <c r="AR197" s="414">
        <v>76361.763400000011</v>
      </c>
      <c r="AS197" s="415">
        <v>27977.439200000001</v>
      </c>
      <c r="AU197" s="1229">
        <f t="shared" ref="AU197" si="131">+AO197/SUM($AO197:$AS197)</f>
        <v>5.9205920592059202E-2</v>
      </c>
      <c r="AV197" s="1231">
        <f t="shared" ref="AV197" si="132">+AP197/SUM($AO197:$AS197)</f>
        <v>0.17461746174617462</v>
      </c>
      <c r="AW197" s="1231">
        <f t="shared" ref="AW197" si="133">+AQ197/SUM($AO197:$AS197)</f>
        <v>0.1142114211421142</v>
      </c>
      <c r="AX197" s="1231">
        <f t="shared" ref="AX197" si="134">+AR197/SUM($AO197:$AS197)</f>
        <v>0.47714771477147722</v>
      </c>
      <c r="AY197" s="1230">
        <f t="shared" ref="AY197" si="135">+AS197/SUM($AO197:$AS197)</f>
        <v>0.17481748174817482</v>
      </c>
      <c r="BA197" s="1229">
        <f t="shared" ref="BA197" si="136">+E197/K197</f>
        <v>0.16519004912670343</v>
      </c>
      <c r="BB197" s="1230">
        <f t="shared" ref="BB197" si="137">+L197/D197</f>
        <v>0.24239944018893622</v>
      </c>
      <c r="BE197" s="981" t="s">
        <v>1376</v>
      </c>
      <c r="BF197" s="981" t="s">
        <v>1377</v>
      </c>
    </row>
    <row r="198" spans="1:58" ht="12.75" customHeight="1" outlineLevel="1" x14ac:dyDescent="0.2">
      <c r="A198" s="365" t="s">
        <v>1377</v>
      </c>
      <c r="B198" s="366">
        <v>45689</v>
      </c>
      <c r="C198" s="413">
        <v>219276</v>
      </c>
      <c r="D198" s="414">
        <v>174042</v>
      </c>
      <c r="E198" s="415">
        <v>45234</v>
      </c>
      <c r="G198" s="413">
        <v>252.39999999999998</v>
      </c>
      <c r="H198" s="420">
        <v>132.19999999999999</v>
      </c>
      <c r="I198" s="418">
        <v>120.2</v>
      </c>
      <c r="K198" s="416">
        <v>202906</v>
      </c>
      <c r="L198" s="415">
        <v>35345</v>
      </c>
      <c r="N198" s="416">
        <v>82495.907999999996</v>
      </c>
      <c r="O198" s="415">
        <v>91546.092000000004</v>
      </c>
      <c r="Q198" s="416">
        <v>929078</v>
      </c>
      <c r="R198" s="418">
        <v>5.3382401948954854</v>
      </c>
      <c r="T198" s="416">
        <v>15986</v>
      </c>
      <c r="U198" s="414">
        <v>27602</v>
      </c>
      <c r="V198" s="414">
        <v>46535</v>
      </c>
      <c r="W198" s="414">
        <v>15883</v>
      </c>
      <c r="X198" s="414">
        <v>16027</v>
      </c>
      <c r="Y198" s="414">
        <v>11778</v>
      </c>
      <c r="Z198" s="414">
        <v>8312</v>
      </c>
      <c r="AA198" s="414">
        <v>7035</v>
      </c>
      <c r="AB198" s="415">
        <v>24884</v>
      </c>
      <c r="AD198" s="366">
        <f t="shared" si="59"/>
        <v>45689</v>
      </c>
      <c r="AE198" s="1232">
        <f t="shared" ref="AE198" si="138">+T198/SUM($T198:$AB198)</f>
        <v>9.1851392192689119E-2</v>
      </c>
      <c r="AF198" s="1233">
        <f t="shared" ref="AF198" si="139">+U198/SUM($T198:$AB198)</f>
        <v>0.15859390262120637</v>
      </c>
      <c r="AG198" s="1233">
        <f t="shared" ref="AG198" si="140">+V198/SUM($T198:$AB198)</f>
        <v>0.26737798922099265</v>
      </c>
      <c r="AH198" s="1233">
        <f t="shared" ref="AH198" si="141">+W198/SUM($T198:$AB198)</f>
        <v>9.1259581020673164E-2</v>
      </c>
      <c r="AI198" s="1233">
        <f t="shared" ref="AI198" si="142">+X198/SUM($T198:$AB198)</f>
        <v>9.2086967513588677E-2</v>
      </c>
      <c r="AJ198" s="1233">
        <f t="shared" ref="AJ198" si="143">+Y198/SUM($T198:$AB198)</f>
        <v>6.7673320233047202E-2</v>
      </c>
      <c r="AK198" s="1233">
        <f t="shared" ref="AK198" si="144">+Z198/SUM($T198:$AB198)</f>
        <v>4.7758587007733763E-2</v>
      </c>
      <c r="AL198" s="1233">
        <f t="shared" ref="AL198" si="145">+AA198/SUM($T198:$AB198)</f>
        <v>4.0421277622642811E-2</v>
      </c>
      <c r="AM198" s="1234">
        <f t="shared" ref="AM198" si="146">+AB198/SUM($T198:$AB198)</f>
        <v>0.14297698256742625</v>
      </c>
      <c r="AO198" s="416">
        <v>9485.2890000000007</v>
      </c>
      <c r="AP198" s="414">
        <v>26837.276400000002</v>
      </c>
      <c r="AQ198" s="414">
        <v>18796.536</v>
      </c>
      <c r="AR198" s="414">
        <v>89857.88459999999</v>
      </c>
      <c r="AS198" s="415">
        <v>29047.609799999998</v>
      </c>
      <c r="AU198" s="1229">
        <f t="shared" ref="AU198" si="147">+AO198/SUM($AO198:$AS198)</f>
        <v>5.4505450545054505E-2</v>
      </c>
      <c r="AV198" s="1231">
        <f t="shared" ref="AV198" si="148">+AP198/SUM($AO198:$AS198)</f>
        <v>0.15421542154215423</v>
      </c>
      <c r="AW198" s="1231">
        <f t="shared" ref="AW198" si="149">+AQ198/SUM($AO198:$AS198)</f>
        <v>0.10801080108010801</v>
      </c>
      <c r="AX198" s="1231">
        <f t="shared" ref="AX198" si="150">+AR198/SUM($AO198:$AS198)</f>
        <v>0.51635163516351623</v>
      </c>
      <c r="AY198" s="1230">
        <f t="shared" ref="AY198" si="151">+AS198/SUM($AO198:$AS198)</f>
        <v>0.16691669166916689</v>
      </c>
      <c r="BA198" s="1229">
        <f t="shared" ref="BA198" si="152">+E198/K198</f>
        <v>0.22293081525435424</v>
      </c>
      <c r="BB198" s="1230">
        <f t="shared" ref="BB198" si="153">+L198/D198</f>
        <v>0.20308316383401709</v>
      </c>
      <c r="BE198" s="981" t="s">
        <v>1376</v>
      </c>
      <c r="BF198" s="981" t="s">
        <v>1377</v>
      </c>
    </row>
    <row r="199" spans="1:58" ht="12.75" customHeight="1" outlineLevel="1" x14ac:dyDescent="0.2">
      <c r="A199" s="365" t="s">
        <v>1377</v>
      </c>
      <c r="B199" s="366">
        <v>45717</v>
      </c>
      <c r="C199" s="413"/>
      <c r="D199" s="414"/>
      <c r="E199" s="415"/>
      <c r="G199" s="413"/>
      <c r="H199" s="420"/>
      <c r="I199" s="418"/>
      <c r="K199" s="416"/>
      <c r="L199" s="415"/>
      <c r="N199" s="416"/>
      <c r="O199" s="415"/>
      <c r="Q199" s="416"/>
      <c r="R199" s="418"/>
      <c r="T199" s="416"/>
      <c r="U199" s="414"/>
      <c r="V199" s="414"/>
      <c r="W199" s="414"/>
      <c r="X199" s="414"/>
      <c r="Y199" s="414"/>
      <c r="Z199" s="414"/>
      <c r="AA199" s="414"/>
      <c r="AB199" s="415"/>
      <c r="AD199" s="366">
        <f t="shared" si="59"/>
        <v>45717</v>
      </c>
      <c r="AE199" s="1232"/>
      <c r="AF199" s="1233"/>
      <c r="AG199" s="1233"/>
      <c r="AH199" s="1233"/>
      <c r="AI199" s="1233"/>
      <c r="AJ199" s="1233"/>
      <c r="AK199" s="1233"/>
      <c r="AL199" s="1233"/>
      <c r="AM199" s="1234"/>
      <c r="AO199" s="416"/>
      <c r="AP199" s="414"/>
      <c r="AQ199" s="414"/>
      <c r="AR199" s="414"/>
      <c r="AS199" s="415"/>
      <c r="AU199" s="1229"/>
      <c r="AV199" s="1231"/>
      <c r="AW199" s="1231"/>
      <c r="AX199" s="1231"/>
      <c r="AY199" s="1230"/>
      <c r="BA199" s="1229"/>
      <c r="BB199" s="1230"/>
      <c r="BE199" s="981" t="s">
        <v>1376</v>
      </c>
      <c r="BF199" s="981" t="s">
        <v>1377</v>
      </c>
    </row>
    <row r="200" spans="1:58" ht="12.75" customHeight="1" outlineLevel="1" x14ac:dyDescent="0.2">
      <c r="A200" s="365" t="s">
        <v>1379</v>
      </c>
      <c r="B200" s="366">
        <v>45748</v>
      </c>
      <c r="C200" s="413"/>
      <c r="D200" s="414"/>
      <c r="E200" s="415"/>
      <c r="G200" s="413"/>
      <c r="H200" s="420"/>
      <c r="I200" s="418"/>
      <c r="K200" s="416"/>
      <c r="L200" s="415"/>
      <c r="N200" s="416"/>
      <c r="O200" s="415"/>
      <c r="Q200" s="416"/>
      <c r="R200" s="418"/>
      <c r="T200" s="416"/>
      <c r="U200" s="414"/>
      <c r="V200" s="414"/>
      <c r="W200" s="414"/>
      <c r="X200" s="414"/>
      <c r="Y200" s="414"/>
      <c r="Z200" s="414"/>
      <c r="AA200" s="414"/>
      <c r="AB200" s="415"/>
      <c r="AD200" s="366">
        <f t="shared" si="59"/>
        <v>45748</v>
      </c>
      <c r="AE200" s="1232"/>
      <c r="AF200" s="1233"/>
      <c r="AG200" s="1233"/>
      <c r="AH200" s="1233"/>
      <c r="AI200" s="1233"/>
      <c r="AJ200" s="1233"/>
      <c r="AK200" s="1233"/>
      <c r="AL200" s="1233"/>
      <c r="AM200" s="1234"/>
      <c r="AO200" s="416"/>
      <c r="AP200" s="414"/>
      <c r="AQ200" s="414"/>
      <c r="AR200" s="414"/>
      <c r="AS200" s="415"/>
      <c r="AU200" s="1229"/>
      <c r="AV200" s="1231"/>
      <c r="AW200" s="1231"/>
      <c r="AX200" s="1231"/>
      <c r="AY200" s="1230"/>
      <c r="BA200" s="1229"/>
      <c r="BB200" s="1230"/>
      <c r="BE200" s="981" t="s">
        <v>1378</v>
      </c>
      <c r="BF200" s="981" t="s">
        <v>1379</v>
      </c>
    </row>
    <row r="201" spans="1:58" ht="12.75" customHeight="1" outlineLevel="1" x14ac:dyDescent="0.2">
      <c r="A201" s="365" t="s">
        <v>1379</v>
      </c>
      <c r="B201" s="366">
        <v>45778</v>
      </c>
      <c r="C201" s="413"/>
      <c r="D201" s="414"/>
      <c r="E201" s="415"/>
      <c r="G201" s="413"/>
      <c r="H201" s="420"/>
      <c r="I201" s="418"/>
      <c r="K201" s="416"/>
      <c r="L201" s="415"/>
      <c r="N201" s="416"/>
      <c r="O201" s="415"/>
      <c r="Q201" s="416"/>
      <c r="R201" s="418"/>
      <c r="T201" s="416"/>
      <c r="U201" s="414"/>
      <c r="V201" s="414"/>
      <c r="W201" s="414"/>
      <c r="X201" s="414"/>
      <c r="Y201" s="414"/>
      <c r="Z201" s="414"/>
      <c r="AA201" s="414"/>
      <c r="AB201" s="415"/>
      <c r="AD201" s="366">
        <f t="shared" si="59"/>
        <v>45778</v>
      </c>
      <c r="AE201" s="1232"/>
      <c r="AF201" s="1233"/>
      <c r="AG201" s="1233"/>
      <c r="AH201" s="1233"/>
      <c r="AI201" s="1233"/>
      <c r="AJ201" s="1233"/>
      <c r="AK201" s="1233"/>
      <c r="AL201" s="1233"/>
      <c r="AM201" s="1234"/>
      <c r="AO201" s="416"/>
      <c r="AP201" s="414"/>
      <c r="AQ201" s="414"/>
      <c r="AR201" s="414"/>
      <c r="AS201" s="415"/>
      <c r="AU201" s="1229"/>
      <c r="AV201" s="1231"/>
      <c r="AW201" s="1231"/>
      <c r="AX201" s="1231"/>
      <c r="AY201" s="1230"/>
      <c r="BA201" s="1229"/>
      <c r="BB201" s="1230"/>
      <c r="BE201" s="981" t="s">
        <v>1378</v>
      </c>
      <c r="BF201" s="981" t="s">
        <v>1379</v>
      </c>
    </row>
    <row r="202" spans="1:58" ht="12.75" customHeight="1" outlineLevel="1" x14ac:dyDescent="0.2">
      <c r="A202" s="365" t="s">
        <v>1379</v>
      </c>
      <c r="B202" s="366">
        <v>45809</v>
      </c>
      <c r="C202" s="413"/>
      <c r="D202" s="414"/>
      <c r="E202" s="415"/>
      <c r="G202" s="413"/>
      <c r="H202" s="420"/>
      <c r="I202" s="418"/>
      <c r="K202" s="416"/>
      <c r="L202" s="415"/>
      <c r="N202" s="416"/>
      <c r="O202" s="415"/>
      <c r="Q202" s="416"/>
      <c r="R202" s="418"/>
      <c r="T202" s="416"/>
      <c r="U202" s="414"/>
      <c r="V202" s="414"/>
      <c r="W202" s="414"/>
      <c r="X202" s="414"/>
      <c r="Y202" s="414"/>
      <c r="Z202" s="414"/>
      <c r="AA202" s="414"/>
      <c r="AB202" s="415"/>
      <c r="AD202" s="366">
        <f t="shared" si="59"/>
        <v>45809</v>
      </c>
      <c r="AE202" s="1232"/>
      <c r="AF202" s="1233"/>
      <c r="AG202" s="1233"/>
      <c r="AH202" s="1233"/>
      <c r="AI202" s="1233"/>
      <c r="AJ202" s="1233"/>
      <c r="AK202" s="1233"/>
      <c r="AL202" s="1233"/>
      <c r="AM202" s="1234"/>
      <c r="AO202" s="416"/>
      <c r="AP202" s="414"/>
      <c r="AQ202" s="414"/>
      <c r="AR202" s="414"/>
      <c r="AS202" s="415"/>
      <c r="AU202" s="1229"/>
      <c r="AV202" s="1231"/>
      <c r="AW202" s="1231"/>
      <c r="AX202" s="1231"/>
      <c r="AY202" s="1230"/>
      <c r="BA202" s="1229"/>
      <c r="BB202" s="1230"/>
      <c r="BE202" s="981" t="s">
        <v>1378</v>
      </c>
      <c r="BF202" s="981" t="s">
        <v>1379</v>
      </c>
    </row>
    <row r="203" spans="1:58" ht="12.75" customHeight="1" outlineLevel="1" x14ac:dyDescent="0.2">
      <c r="A203" s="365" t="s">
        <v>1381</v>
      </c>
      <c r="B203" s="366">
        <v>45839</v>
      </c>
      <c r="C203" s="413"/>
      <c r="D203" s="414"/>
      <c r="E203" s="415"/>
      <c r="G203" s="413"/>
      <c r="H203" s="420"/>
      <c r="I203" s="418"/>
      <c r="K203" s="416"/>
      <c r="L203" s="415"/>
      <c r="N203" s="416"/>
      <c r="O203" s="415"/>
      <c r="Q203" s="416"/>
      <c r="R203" s="418"/>
      <c r="T203" s="416"/>
      <c r="U203" s="414"/>
      <c r="V203" s="414"/>
      <c r="W203" s="414"/>
      <c r="X203" s="414"/>
      <c r="Y203" s="414"/>
      <c r="Z203" s="414"/>
      <c r="AA203" s="414"/>
      <c r="AB203" s="415"/>
      <c r="AD203" s="366">
        <f t="shared" si="59"/>
        <v>45839</v>
      </c>
      <c r="AE203" s="1232"/>
      <c r="AF203" s="1233"/>
      <c r="AG203" s="1233"/>
      <c r="AH203" s="1233"/>
      <c r="AI203" s="1233"/>
      <c r="AJ203" s="1233"/>
      <c r="AK203" s="1233"/>
      <c r="AL203" s="1233"/>
      <c r="AM203" s="1234"/>
      <c r="AO203" s="416"/>
      <c r="AP203" s="414"/>
      <c r="AQ203" s="414"/>
      <c r="AR203" s="414"/>
      <c r="AS203" s="415"/>
      <c r="AU203" s="1229"/>
      <c r="AV203" s="1231"/>
      <c r="AW203" s="1231"/>
      <c r="AX203" s="1231"/>
      <c r="AY203" s="1230"/>
      <c r="BA203" s="1229"/>
      <c r="BB203" s="1230"/>
      <c r="BE203" s="981" t="s">
        <v>1380</v>
      </c>
      <c r="BF203" s="981" t="s">
        <v>1381</v>
      </c>
    </row>
    <row r="204" spans="1:58" ht="12.75" customHeight="1" outlineLevel="1" x14ac:dyDescent="0.2">
      <c r="A204" s="365" t="s">
        <v>1381</v>
      </c>
      <c r="B204" s="366">
        <v>45870</v>
      </c>
      <c r="C204" s="413"/>
      <c r="D204" s="414"/>
      <c r="E204" s="415"/>
      <c r="G204" s="413"/>
      <c r="H204" s="420"/>
      <c r="I204" s="418"/>
      <c r="K204" s="416"/>
      <c r="L204" s="415"/>
      <c r="N204" s="416"/>
      <c r="O204" s="415"/>
      <c r="Q204" s="416"/>
      <c r="R204" s="418"/>
      <c r="T204" s="416"/>
      <c r="U204" s="414"/>
      <c r="V204" s="414"/>
      <c r="W204" s="414"/>
      <c r="X204" s="414"/>
      <c r="Y204" s="414"/>
      <c r="Z204" s="414"/>
      <c r="AA204" s="414"/>
      <c r="AB204" s="415"/>
      <c r="AD204" s="366">
        <f t="shared" si="59"/>
        <v>45870</v>
      </c>
      <c r="AE204" s="1232"/>
      <c r="AF204" s="1233"/>
      <c r="AG204" s="1233"/>
      <c r="AH204" s="1233"/>
      <c r="AI204" s="1233"/>
      <c r="AJ204" s="1233"/>
      <c r="AK204" s="1233"/>
      <c r="AL204" s="1233"/>
      <c r="AM204" s="1234"/>
      <c r="AO204" s="416"/>
      <c r="AP204" s="414"/>
      <c r="AQ204" s="414"/>
      <c r="AR204" s="414"/>
      <c r="AS204" s="415"/>
      <c r="AU204" s="1229"/>
      <c r="AV204" s="1231"/>
      <c r="AW204" s="1231"/>
      <c r="AX204" s="1231"/>
      <c r="AY204" s="1230"/>
      <c r="BA204" s="1229"/>
      <c r="BB204" s="1230"/>
      <c r="BE204" s="981" t="s">
        <v>1380</v>
      </c>
      <c r="BF204" s="981" t="s">
        <v>1381</v>
      </c>
    </row>
    <row r="205" spans="1:58" ht="12.75" customHeight="1" outlineLevel="1" x14ac:dyDescent="0.2">
      <c r="A205" s="365" t="s">
        <v>1381</v>
      </c>
      <c r="B205" s="366">
        <v>45901</v>
      </c>
      <c r="C205" s="413"/>
      <c r="D205" s="414"/>
      <c r="E205" s="415"/>
      <c r="G205" s="413"/>
      <c r="H205" s="420"/>
      <c r="I205" s="418"/>
      <c r="K205" s="416"/>
      <c r="L205" s="415"/>
      <c r="N205" s="416"/>
      <c r="O205" s="415"/>
      <c r="Q205" s="416"/>
      <c r="R205" s="418"/>
      <c r="T205" s="416"/>
      <c r="U205" s="414"/>
      <c r="V205" s="414"/>
      <c r="W205" s="414"/>
      <c r="X205" s="414"/>
      <c r="Y205" s="414"/>
      <c r="Z205" s="414"/>
      <c r="AA205" s="414"/>
      <c r="AB205" s="415"/>
      <c r="AD205" s="366">
        <f t="shared" si="59"/>
        <v>45901</v>
      </c>
      <c r="AE205" s="1232"/>
      <c r="AF205" s="1233"/>
      <c r="AG205" s="1233"/>
      <c r="AH205" s="1233"/>
      <c r="AI205" s="1233"/>
      <c r="AJ205" s="1233"/>
      <c r="AK205" s="1233"/>
      <c r="AL205" s="1233"/>
      <c r="AM205" s="1234"/>
      <c r="AO205" s="416"/>
      <c r="AP205" s="414"/>
      <c r="AQ205" s="414"/>
      <c r="AR205" s="414"/>
      <c r="AS205" s="415"/>
      <c r="AU205" s="1229"/>
      <c r="AV205" s="1231"/>
      <c r="AW205" s="1231"/>
      <c r="AX205" s="1231"/>
      <c r="AY205" s="1230"/>
      <c r="BA205" s="1229"/>
      <c r="BB205" s="1230"/>
      <c r="BE205" s="981" t="s">
        <v>1380</v>
      </c>
      <c r="BF205" s="981" t="s">
        <v>1381</v>
      </c>
    </row>
    <row r="206" spans="1:58" ht="12.75" customHeight="1" outlineLevel="1" x14ac:dyDescent="0.2">
      <c r="A206" s="365" t="s">
        <v>1383</v>
      </c>
      <c r="B206" s="366">
        <v>45931</v>
      </c>
      <c r="C206" s="413"/>
      <c r="D206" s="414"/>
      <c r="E206" s="415"/>
      <c r="G206" s="413"/>
      <c r="H206" s="420"/>
      <c r="I206" s="418"/>
      <c r="K206" s="416"/>
      <c r="L206" s="415"/>
      <c r="N206" s="416"/>
      <c r="O206" s="415"/>
      <c r="Q206" s="416"/>
      <c r="R206" s="418"/>
      <c r="T206" s="416"/>
      <c r="U206" s="414"/>
      <c r="V206" s="414"/>
      <c r="W206" s="414"/>
      <c r="X206" s="414"/>
      <c r="Y206" s="414"/>
      <c r="Z206" s="414"/>
      <c r="AA206" s="414"/>
      <c r="AB206" s="415"/>
      <c r="AD206" s="366">
        <f t="shared" si="59"/>
        <v>45931</v>
      </c>
      <c r="AE206" s="1232"/>
      <c r="AF206" s="1233"/>
      <c r="AG206" s="1233"/>
      <c r="AH206" s="1233"/>
      <c r="AI206" s="1233"/>
      <c r="AJ206" s="1233"/>
      <c r="AK206" s="1233"/>
      <c r="AL206" s="1233"/>
      <c r="AM206" s="1234"/>
      <c r="AO206" s="416"/>
      <c r="AP206" s="414"/>
      <c r="AQ206" s="414"/>
      <c r="AR206" s="414"/>
      <c r="AS206" s="415"/>
      <c r="AU206" s="1229"/>
      <c r="AV206" s="1231"/>
      <c r="AW206" s="1231"/>
      <c r="AX206" s="1231"/>
      <c r="AY206" s="1230"/>
      <c r="BA206" s="1229"/>
      <c r="BB206" s="1230"/>
      <c r="BE206" s="981" t="s">
        <v>1382</v>
      </c>
      <c r="BF206" s="981" t="s">
        <v>1383</v>
      </c>
    </row>
    <row r="207" spans="1:58" ht="12.75" customHeight="1" outlineLevel="1" x14ac:dyDescent="0.2">
      <c r="A207" s="365" t="s">
        <v>1383</v>
      </c>
      <c r="B207" s="366">
        <v>45962</v>
      </c>
      <c r="C207" s="413"/>
      <c r="D207" s="414"/>
      <c r="E207" s="415"/>
      <c r="G207" s="413"/>
      <c r="H207" s="420"/>
      <c r="I207" s="418"/>
      <c r="K207" s="416"/>
      <c r="L207" s="415"/>
      <c r="N207" s="416"/>
      <c r="O207" s="415"/>
      <c r="Q207" s="416"/>
      <c r="R207" s="418"/>
      <c r="T207" s="416"/>
      <c r="U207" s="414"/>
      <c r="V207" s="414"/>
      <c r="W207" s="414"/>
      <c r="X207" s="414"/>
      <c r="Y207" s="414"/>
      <c r="Z207" s="414"/>
      <c r="AA207" s="414"/>
      <c r="AB207" s="415"/>
      <c r="AD207" s="366">
        <f t="shared" si="59"/>
        <v>45962</v>
      </c>
      <c r="AE207" s="1232"/>
      <c r="AF207" s="1233"/>
      <c r="AG207" s="1233"/>
      <c r="AH207" s="1233"/>
      <c r="AI207" s="1233"/>
      <c r="AJ207" s="1233"/>
      <c r="AK207" s="1233"/>
      <c r="AL207" s="1233"/>
      <c r="AM207" s="1234"/>
      <c r="AO207" s="416"/>
      <c r="AP207" s="414"/>
      <c r="AQ207" s="414"/>
      <c r="AR207" s="414"/>
      <c r="AS207" s="415"/>
      <c r="AU207" s="1229"/>
      <c r="AV207" s="1231"/>
      <c r="AW207" s="1231"/>
      <c r="AX207" s="1231"/>
      <c r="AY207" s="1230"/>
      <c r="BA207" s="1229"/>
      <c r="BB207" s="1230"/>
      <c r="BE207" s="981" t="s">
        <v>1382</v>
      </c>
      <c r="BF207" s="981" t="s">
        <v>1383</v>
      </c>
    </row>
    <row r="208" spans="1:58" ht="12.75" customHeight="1" outlineLevel="1" x14ac:dyDescent="0.2">
      <c r="A208" s="365" t="s">
        <v>1383</v>
      </c>
      <c r="B208" s="366">
        <v>45992</v>
      </c>
      <c r="C208" s="413"/>
      <c r="D208" s="414"/>
      <c r="E208" s="415"/>
      <c r="G208" s="413"/>
      <c r="H208" s="420"/>
      <c r="I208" s="418"/>
      <c r="K208" s="416"/>
      <c r="L208" s="415"/>
      <c r="N208" s="416"/>
      <c r="O208" s="415"/>
      <c r="Q208" s="416"/>
      <c r="R208" s="418"/>
      <c r="T208" s="416"/>
      <c r="U208" s="414"/>
      <c r="V208" s="414"/>
      <c r="W208" s="414"/>
      <c r="X208" s="414"/>
      <c r="Y208" s="414"/>
      <c r="Z208" s="414"/>
      <c r="AA208" s="414"/>
      <c r="AB208" s="415"/>
      <c r="AD208" s="366">
        <f t="shared" si="59"/>
        <v>45992</v>
      </c>
      <c r="AE208" s="1232"/>
      <c r="AF208" s="1233"/>
      <c r="AG208" s="1233"/>
      <c r="AH208" s="1233"/>
      <c r="AI208" s="1233"/>
      <c r="AJ208" s="1233"/>
      <c r="AK208" s="1233"/>
      <c r="AL208" s="1233"/>
      <c r="AM208" s="1234"/>
      <c r="AO208" s="416"/>
      <c r="AP208" s="414"/>
      <c r="AQ208" s="414"/>
      <c r="AR208" s="414"/>
      <c r="AS208" s="415"/>
      <c r="AU208" s="1229"/>
      <c r="AV208" s="1231"/>
      <c r="AW208" s="1231"/>
      <c r="AX208" s="1231"/>
      <c r="AY208" s="1230"/>
      <c r="BA208" s="1229"/>
      <c r="BB208" s="1230"/>
      <c r="BE208" s="981" t="s">
        <v>1382</v>
      </c>
      <c r="BF208" s="981" t="s">
        <v>1383</v>
      </c>
    </row>
    <row r="209" spans="2:58" ht="12.75" customHeight="1" x14ac:dyDescent="0.2">
      <c r="C209" s="433"/>
      <c r="E209" s="435"/>
      <c r="G209" s="433"/>
      <c r="I209" s="435"/>
      <c r="K209" s="436"/>
      <c r="L209" s="435"/>
      <c r="N209" s="436"/>
      <c r="O209" s="435"/>
      <c r="Q209" s="436"/>
      <c r="R209" s="435"/>
      <c r="T209" s="436"/>
      <c r="AB209" s="435"/>
      <c r="AE209" s="437"/>
      <c r="AM209" s="439"/>
      <c r="AO209" s="436"/>
      <c r="AS209" s="435"/>
      <c r="AU209" s="436"/>
      <c r="AY209" s="435"/>
      <c r="BA209" s="436"/>
      <c r="BB209" s="435"/>
      <c r="BE209" s="1228"/>
      <c r="BF209" s="1228"/>
    </row>
    <row r="210" spans="2:58" ht="12.75" customHeight="1" outlineLevel="1" x14ac:dyDescent="0.2">
      <c r="B210" s="440" t="s">
        <v>1011</v>
      </c>
      <c r="C210" s="402">
        <f>+SUMIFS(MktData!C:C,MktData!$A:$A,$B210)</f>
        <v>771945</v>
      </c>
      <c r="D210" s="403">
        <f>+SUMIFS(MktData!D:D,MktData!$A:$A,$B210)</f>
        <v>642003</v>
      </c>
      <c r="E210" s="405">
        <f>+SUMIFS(MktData!E:E,MktData!$A:$A,$B210)</f>
        <v>129942</v>
      </c>
      <c r="F210" s="368"/>
      <c r="G210" s="406" t="s">
        <v>47</v>
      </c>
      <c r="H210" s="403" t="s">
        <v>47</v>
      </c>
      <c r="I210" s="405" t="s">
        <v>47</v>
      </c>
      <c r="J210" s="368"/>
      <c r="K210" s="406">
        <f>+SUMIFS(MktData!K:K,MktData!$A:$A,$B210)</f>
        <v>0</v>
      </c>
      <c r="L210" s="405">
        <f>+SUMIFS(MktData!L:L,MktData!$A:$A,$B210)</f>
        <v>0</v>
      </c>
      <c r="M210" s="368"/>
      <c r="N210" s="406" t="s">
        <v>47</v>
      </c>
      <c r="O210" s="405" t="s">
        <v>47</v>
      </c>
      <c r="P210" s="368"/>
      <c r="Q210" s="406" t="s">
        <v>47</v>
      </c>
      <c r="R210" s="405" t="s">
        <v>47</v>
      </c>
      <c r="S210" s="368"/>
      <c r="T210" s="406" t="s">
        <v>47</v>
      </c>
      <c r="U210" s="403" t="s">
        <v>47</v>
      </c>
      <c r="V210" s="403" t="s">
        <v>47</v>
      </c>
      <c r="W210" s="403" t="s">
        <v>47</v>
      </c>
      <c r="X210" s="403" t="s">
        <v>47</v>
      </c>
      <c r="Y210" s="403" t="s">
        <v>47</v>
      </c>
      <c r="Z210" s="403" t="s">
        <v>47</v>
      </c>
      <c r="AA210" s="403"/>
      <c r="AB210" s="405" t="s">
        <v>47</v>
      </c>
      <c r="AC210" s="368"/>
      <c r="AD210" s="440" t="s">
        <v>1011</v>
      </c>
      <c r="AE210" s="441" t="s">
        <v>47</v>
      </c>
      <c r="AF210" s="442" t="s">
        <v>47</v>
      </c>
      <c r="AG210" s="442" t="s">
        <v>47</v>
      </c>
      <c r="AH210" s="442" t="s">
        <v>47</v>
      </c>
      <c r="AI210" s="442" t="s">
        <v>47</v>
      </c>
      <c r="AJ210" s="442" t="s">
        <v>47</v>
      </c>
      <c r="AK210" s="442" t="s">
        <v>47</v>
      </c>
      <c r="AL210" s="678" t="s">
        <v>47</v>
      </c>
      <c r="AM210" s="443" t="s">
        <v>47</v>
      </c>
      <c r="AN210" s="368"/>
      <c r="AO210" s="444" t="s">
        <v>47</v>
      </c>
      <c r="AP210" s="445" t="s">
        <v>47</v>
      </c>
      <c r="AQ210" s="445" t="s">
        <v>47</v>
      </c>
      <c r="AR210" s="445" t="s">
        <v>47</v>
      </c>
      <c r="AS210" s="446" t="s">
        <v>47</v>
      </c>
      <c r="AU210" s="444" t="s">
        <v>47</v>
      </c>
      <c r="AV210" s="445" t="s">
        <v>47</v>
      </c>
      <c r="AW210" s="445" t="s">
        <v>47</v>
      </c>
      <c r="AX210" s="445" t="s">
        <v>47</v>
      </c>
      <c r="AY210" s="446" t="s">
        <v>47</v>
      </c>
      <c r="BA210" s="444" t="s">
        <v>47</v>
      </c>
      <c r="BB210" s="446" t="s">
        <v>47</v>
      </c>
      <c r="BE210" s="1228"/>
    </row>
    <row r="211" spans="2:58" ht="12.75" customHeight="1" outlineLevel="1" x14ac:dyDescent="0.2">
      <c r="B211" s="447" t="s">
        <v>1012</v>
      </c>
      <c r="C211" s="402">
        <f>+SUMIFS(MktData!C:C,MktData!$A:$A,$B211)</f>
        <v>887898</v>
      </c>
      <c r="D211" s="403">
        <f>+SUMIFS(MktData!D:D,MktData!$A:$A,$B211)</f>
        <v>751567</v>
      </c>
      <c r="E211" s="405">
        <f>+SUMIFS(MktData!E:E,MktData!$A:$A,$B211)</f>
        <v>136331</v>
      </c>
      <c r="F211" s="368"/>
      <c r="G211" s="406" t="s">
        <v>47</v>
      </c>
      <c r="H211" s="403" t="s">
        <v>47</v>
      </c>
      <c r="I211" s="405" t="s">
        <v>47</v>
      </c>
      <c r="J211" s="368"/>
      <c r="K211" s="406">
        <f>+SUMIFS(MktData!K:K,MktData!$A:$A,$B211)</f>
        <v>0</v>
      </c>
      <c r="L211" s="405">
        <f>+SUMIFS(MktData!L:L,MktData!$A:$A,$B211)</f>
        <v>0</v>
      </c>
      <c r="M211" s="368"/>
      <c r="N211" s="406" t="s">
        <v>47</v>
      </c>
      <c r="O211" s="405" t="s">
        <v>47</v>
      </c>
      <c r="P211" s="368"/>
      <c r="Q211" s="406" t="s">
        <v>47</v>
      </c>
      <c r="R211" s="405" t="s">
        <v>47</v>
      </c>
      <c r="S211" s="368"/>
      <c r="T211" s="406" t="s">
        <v>47</v>
      </c>
      <c r="U211" s="403" t="s">
        <v>47</v>
      </c>
      <c r="V211" s="403" t="s">
        <v>47</v>
      </c>
      <c r="W211" s="403" t="s">
        <v>47</v>
      </c>
      <c r="X211" s="403" t="s">
        <v>47</v>
      </c>
      <c r="Y211" s="403" t="s">
        <v>47</v>
      </c>
      <c r="Z211" s="403" t="s">
        <v>47</v>
      </c>
      <c r="AA211" s="403"/>
      <c r="AB211" s="405" t="s">
        <v>47</v>
      </c>
      <c r="AC211" s="368"/>
      <c r="AD211" s="447" t="s">
        <v>1012</v>
      </c>
      <c r="AE211" s="441" t="s">
        <v>47</v>
      </c>
      <c r="AF211" s="442" t="s">
        <v>47</v>
      </c>
      <c r="AG211" s="442" t="s">
        <v>47</v>
      </c>
      <c r="AH211" s="442" t="s">
        <v>47</v>
      </c>
      <c r="AI211" s="442" t="s">
        <v>47</v>
      </c>
      <c r="AJ211" s="442" t="s">
        <v>47</v>
      </c>
      <c r="AK211" s="442" t="s">
        <v>47</v>
      </c>
      <c r="AL211" s="678" t="s">
        <v>47</v>
      </c>
      <c r="AM211" s="443" t="s">
        <v>47</v>
      </c>
      <c r="AN211" s="368"/>
      <c r="AO211" s="444" t="s">
        <v>47</v>
      </c>
      <c r="AP211" s="445" t="s">
        <v>47</v>
      </c>
      <c r="AQ211" s="445" t="s">
        <v>47</v>
      </c>
      <c r="AR211" s="445" t="s">
        <v>47</v>
      </c>
      <c r="AS211" s="446" t="s">
        <v>47</v>
      </c>
      <c r="AU211" s="444" t="s">
        <v>47</v>
      </c>
      <c r="AV211" s="445" t="s">
        <v>47</v>
      </c>
      <c r="AW211" s="445" t="s">
        <v>47</v>
      </c>
      <c r="AX211" s="445" t="s">
        <v>47</v>
      </c>
      <c r="AY211" s="446" t="s">
        <v>47</v>
      </c>
      <c r="BA211" s="444" t="s">
        <v>47</v>
      </c>
      <c r="BB211" s="446" t="s">
        <v>47</v>
      </c>
      <c r="BE211" s="1228"/>
    </row>
    <row r="212" spans="2:58" ht="12.75" customHeight="1" outlineLevel="1" x14ac:dyDescent="0.2">
      <c r="B212" s="440" t="s">
        <v>1013</v>
      </c>
      <c r="C212" s="402">
        <f>+SUMIFS(MktData!C:C,MktData!$A:$A,$B212)</f>
        <v>955904</v>
      </c>
      <c r="D212" s="403">
        <f>+SUMIFS(MktData!D:D,MktData!$A:$A,$B212)</f>
        <v>817772</v>
      </c>
      <c r="E212" s="405">
        <f>+SUMIFS(MktData!E:E,MktData!$A:$A,$B212)</f>
        <v>138132</v>
      </c>
      <c r="F212" s="368"/>
      <c r="G212" s="406" t="s">
        <v>47</v>
      </c>
      <c r="H212" s="403" t="s">
        <v>47</v>
      </c>
      <c r="I212" s="405" t="s">
        <v>47</v>
      </c>
      <c r="J212" s="368"/>
      <c r="K212" s="406">
        <f>+SUMIFS(MktData!K:K,MktData!$A:$A,$B212)</f>
        <v>0</v>
      </c>
      <c r="L212" s="405">
        <f>+SUMIFS(MktData!L:L,MktData!$A:$A,$B212)</f>
        <v>0</v>
      </c>
      <c r="M212" s="368"/>
      <c r="N212" s="406" t="s">
        <v>47</v>
      </c>
      <c r="O212" s="405" t="s">
        <v>47</v>
      </c>
      <c r="P212" s="368"/>
      <c r="Q212" s="406" t="s">
        <v>47</v>
      </c>
      <c r="R212" s="405" t="s">
        <v>47</v>
      </c>
      <c r="S212" s="368"/>
      <c r="T212" s="406" t="s">
        <v>47</v>
      </c>
      <c r="U212" s="403" t="s">
        <v>47</v>
      </c>
      <c r="V212" s="403" t="s">
        <v>47</v>
      </c>
      <c r="W212" s="403" t="s">
        <v>47</v>
      </c>
      <c r="X212" s="403" t="s">
        <v>47</v>
      </c>
      <c r="Y212" s="403" t="s">
        <v>47</v>
      </c>
      <c r="Z212" s="403" t="s">
        <v>47</v>
      </c>
      <c r="AA212" s="403"/>
      <c r="AB212" s="405" t="s">
        <v>47</v>
      </c>
      <c r="AC212" s="368"/>
      <c r="AD212" s="440" t="s">
        <v>1013</v>
      </c>
      <c r="AE212" s="441" t="s">
        <v>47</v>
      </c>
      <c r="AF212" s="442" t="s">
        <v>47</v>
      </c>
      <c r="AG212" s="442" t="s">
        <v>47</v>
      </c>
      <c r="AH212" s="442" t="s">
        <v>47</v>
      </c>
      <c r="AI212" s="442" t="s">
        <v>47</v>
      </c>
      <c r="AJ212" s="442" t="s">
        <v>47</v>
      </c>
      <c r="AK212" s="442" t="s">
        <v>47</v>
      </c>
      <c r="AL212" s="678" t="s">
        <v>47</v>
      </c>
      <c r="AM212" s="443" t="s">
        <v>47</v>
      </c>
      <c r="AN212" s="368"/>
      <c r="AO212" s="444" t="s">
        <v>47</v>
      </c>
      <c r="AP212" s="445" t="s">
        <v>47</v>
      </c>
      <c r="AQ212" s="445" t="s">
        <v>47</v>
      </c>
      <c r="AR212" s="445" t="s">
        <v>47</v>
      </c>
      <c r="AS212" s="446" t="s">
        <v>47</v>
      </c>
      <c r="AU212" s="444" t="s">
        <v>47</v>
      </c>
      <c r="AV212" s="445" t="s">
        <v>47</v>
      </c>
      <c r="AW212" s="445" t="s">
        <v>47</v>
      </c>
      <c r="AX212" s="445" t="s">
        <v>47</v>
      </c>
      <c r="AY212" s="446" t="s">
        <v>47</v>
      </c>
      <c r="BA212" s="444" t="s">
        <v>47</v>
      </c>
      <c r="BB212" s="446" t="s">
        <v>47</v>
      </c>
      <c r="BE212" s="1228"/>
    </row>
    <row r="213" spans="2:58" ht="12.75" customHeight="1" outlineLevel="1" x14ac:dyDescent="0.2">
      <c r="B213" s="447" t="s">
        <v>1014</v>
      </c>
      <c r="C213" s="402">
        <f>+SUMIFS(MktData!C:C,MktData!$A:$A,$B213)</f>
        <v>917154</v>
      </c>
      <c r="D213" s="403">
        <f>+SUMIFS(MktData!D:D,MktData!$A:$A,$B213)</f>
        <v>797525</v>
      </c>
      <c r="E213" s="405">
        <f>+SUMIFS(MktData!E:E,MktData!$A:$A,$B213)</f>
        <v>119629</v>
      </c>
      <c r="F213" s="368"/>
      <c r="G213" s="406" t="s">
        <v>47</v>
      </c>
      <c r="H213" s="403" t="s">
        <v>47</v>
      </c>
      <c r="I213" s="405" t="s">
        <v>47</v>
      </c>
      <c r="J213" s="368"/>
      <c r="K213" s="406">
        <f>+SUMIFS(MktData!K:K,MktData!$A:$A,$B213)</f>
        <v>0</v>
      </c>
      <c r="L213" s="405">
        <f>+SUMIFS(MktData!L:L,MktData!$A:$A,$B213)</f>
        <v>0</v>
      </c>
      <c r="M213" s="368"/>
      <c r="N213" s="406" t="s">
        <v>47</v>
      </c>
      <c r="O213" s="405" t="s">
        <v>47</v>
      </c>
      <c r="P213" s="368"/>
      <c r="Q213" s="406" t="s">
        <v>47</v>
      </c>
      <c r="R213" s="405" t="s">
        <v>47</v>
      </c>
      <c r="S213" s="368"/>
      <c r="T213" s="406" t="s">
        <v>47</v>
      </c>
      <c r="U213" s="403" t="s">
        <v>47</v>
      </c>
      <c r="V213" s="403" t="s">
        <v>47</v>
      </c>
      <c r="W213" s="403" t="s">
        <v>47</v>
      </c>
      <c r="X213" s="403" t="s">
        <v>47</v>
      </c>
      <c r="Y213" s="403" t="s">
        <v>47</v>
      </c>
      <c r="Z213" s="403" t="s">
        <v>47</v>
      </c>
      <c r="AA213" s="403"/>
      <c r="AB213" s="405" t="s">
        <v>47</v>
      </c>
      <c r="AC213" s="368"/>
      <c r="AD213" s="447" t="s">
        <v>1014</v>
      </c>
      <c r="AE213" s="441" t="s">
        <v>47</v>
      </c>
      <c r="AF213" s="442" t="s">
        <v>47</v>
      </c>
      <c r="AG213" s="442" t="s">
        <v>47</v>
      </c>
      <c r="AH213" s="442" t="s">
        <v>47</v>
      </c>
      <c r="AI213" s="442" t="s">
        <v>47</v>
      </c>
      <c r="AJ213" s="442" t="s">
        <v>47</v>
      </c>
      <c r="AK213" s="442" t="s">
        <v>47</v>
      </c>
      <c r="AL213" s="678" t="s">
        <v>47</v>
      </c>
      <c r="AM213" s="443" t="s">
        <v>47</v>
      </c>
      <c r="AN213" s="368"/>
      <c r="AO213" s="444" t="s">
        <v>47</v>
      </c>
      <c r="AP213" s="445" t="s">
        <v>47</v>
      </c>
      <c r="AQ213" s="445" t="s">
        <v>47</v>
      </c>
      <c r="AR213" s="445" t="s">
        <v>47</v>
      </c>
      <c r="AS213" s="446" t="s">
        <v>47</v>
      </c>
      <c r="AU213" s="444" t="s">
        <v>47</v>
      </c>
      <c r="AV213" s="445" t="s">
        <v>47</v>
      </c>
      <c r="AW213" s="445" t="s">
        <v>47</v>
      </c>
      <c r="AX213" s="445" t="s">
        <v>47</v>
      </c>
      <c r="AY213" s="446" t="s">
        <v>47</v>
      </c>
      <c r="BA213" s="409" t="s">
        <v>47</v>
      </c>
      <c r="BB213" s="410" t="s">
        <v>47</v>
      </c>
      <c r="BE213" s="1228"/>
    </row>
    <row r="214" spans="2:58" ht="12.75" customHeight="1" outlineLevel="1" x14ac:dyDescent="0.2">
      <c r="B214" s="440" t="s">
        <v>1015</v>
      </c>
      <c r="C214" s="402">
        <f>+SUMIFS(MktData!C:C,MktData!$A:$A,$B214)</f>
        <v>813329</v>
      </c>
      <c r="D214" s="403">
        <f>+SUMIFS(MktData!D:D,MktData!$A:$A,$B214)</f>
        <v>750419</v>
      </c>
      <c r="E214" s="405">
        <f>+SUMIFS(MktData!E:E,MktData!$A:$A,$B214)</f>
        <v>62910</v>
      </c>
      <c r="F214" s="368"/>
      <c r="G214" s="406" t="s">
        <v>47</v>
      </c>
      <c r="H214" s="403" t="s">
        <v>47</v>
      </c>
      <c r="I214" s="405" t="s">
        <v>47</v>
      </c>
      <c r="J214" s="368"/>
      <c r="K214" s="406">
        <f>+SUMIFS(MktData!K:K,MktData!$A:$A,$B214)</f>
        <v>736752</v>
      </c>
      <c r="L214" s="405">
        <f>+SUMIFS(MktData!L:L,MktData!$A:$A,$B214)</f>
        <v>0</v>
      </c>
      <c r="M214" s="368"/>
      <c r="N214" s="406" t="s">
        <v>47</v>
      </c>
      <c r="O214" s="405" t="s">
        <v>47</v>
      </c>
      <c r="P214" s="368"/>
      <c r="Q214" s="406" t="s">
        <v>47</v>
      </c>
      <c r="R214" s="405" t="s">
        <v>47</v>
      </c>
      <c r="S214" s="368"/>
      <c r="T214" s="406" t="s">
        <v>47</v>
      </c>
      <c r="U214" s="403" t="s">
        <v>47</v>
      </c>
      <c r="V214" s="403" t="s">
        <v>47</v>
      </c>
      <c r="W214" s="403" t="s">
        <v>47</v>
      </c>
      <c r="X214" s="403" t="s">
        <v>47</v>
      </c>
      <c r="Y214" s="403" t="s">
        <v>47</v>
      </c>
      <c r="Z214" s="403" t="s">
        <v>47</v>
      </c>
      <c r="AA214" s="403"/>
      <c r="AB214" s="405" t="s">
        <v>47</v>
      </c>
      <c r="AC214" s="368"/>
      <c r="AD214" s="440" t="s">
        <v>1015</v>
      </c>
      <c r="AE214" s="441" t="s">
        <v>47</v>
      </c>
      <c r="AF214" s="442" t="s">
        <v>47</v>
      </c>
      <c r="AG214" s="442" t="s">
        <v>47</v>
      </c>
      <c r="AH214" s="442" t="s">
        <v>47</v>
      </c>
      <c r="AI214" s="442" t="s">
        <v>47</v>
      </c>
      <c r="AJ214" s="442" t="s">
        <v>47</v>
      </c>
      <c r="AK214" s="442" t="s">
        <v>47</v>
      </c>
      <c r="AL214" s="678" t="s">
        <v>47</v>
      </c>
      <c r="AM214" s="443" t="s">
        <v>47</v>
      </c>
      <c r="AN214" s="368"/>
      <c r="AO214" s="444" t="s">
        <v>47</v>
      </c>
      <c r="AP214" s="445" t="s">
        <v>47</v>
      </c>
      <c r="AQ214" s="445" t="s">
        <v>47</v>
      </c>
      <c r="AR214" s="445" t="s">
        <v>47</v>
      </c>
      <c r="AS214" s="446" t="s">
        <v>47</v>
      </c>
      <c r="AU214" s="444" t="s">
        <v>47</v>
      </c>
      <c r="AV214" s="445" t="s">
        <v>47</v>
      </c>
      <c r="AW214" s="445" t="s">
        <v>47</v>
      </c>
      <c r="AX214" s="445" t="s">
        <v>47</v>
      </c>
      <c r="AY214" s="446" t="s">
        <v>47</v>
      </c>
      <c r="BA214" s="409">
        <f t="shared" ref="BA214:BA245" si="154">+E214/K214</f>
        <v>8.5388298911981242E-2</v>
      </c>
      <c r="BB214" s="410" t="s">
        <v>47</v>
      </c>
      <c r="BE214" s="1228"/>
    </row>
    <row r="215" spans="2:58" ht="12.75" customHeight="1" outlineLevel="1" x14ac:dyDescent="0.2">
      <c r="B215" s="447" t="s">
        <v>1016</v>
      </c>
      <c r="C215" s="402">
        <f>+SUMIFS(MktData!C:C,MktData!$A:$A,$B215)</f>
        <v>831373</v>
      </c>
      <c r="D215" s="403">
        <f>+SUMIFS(MktData!D:D,MktData!$A:$A,$B215)</f>
        <v>745109</v>
      </c>
      <c r="E215" s="405">
        <f>+SUMIFS(MktData!E:E,MktData!$A:$A,$B215)</f>
        <v>86264</v>
      </c>
      <c r="F215" s="368"/>
      <c r="G215" s="406" t="s">
        <v>47</v>
      </c>
      <c r="H215" s="403" t="s">
        <v>47</v>
      </c>
      <c r="I215" s="405" t="s">
        <v>47</v>
      </c>
      <c r="J215" s="368"/>
      <c r="K215" s="406">
        <f>+SUMIFS(MktData!K:K,MktData!$A:$A,$B215)</f>
        <v>797640</v>
      </c>
      <c r="L215" s="405">
        <f>+SUMIFS(MktData!L:L,MktData!$A:$A,$B215)</f>
        <v>0</v>
      </c>
      <c r="M215" s="368"/>
      <c r="N215" s="406" t="s">
        <v>47</v>
      </c>
      <c r="O215" s="405" t="s">
        <v>47</v>
      </c>
      <c r="P215" s="368"/>
      <c r="Q215" s="406" t="s">
        <v>47</v>
      </c>
      <c r="R215" s="405" t="s">
        <v>47</v>
      </c>
      <c r="S215" s="368"/>
      <c r="T215" s="406" t="s">
        <v>47</v>
      </c>
      <c r="U215" s="403" t="s">
        <v>47</v>
      </c>
      <c r="V215" s="403" t="s">
        <v>47</v>
      </c>
      <c r="W215" s="403" t="s">
        <v>47</v>
      </c>
      <c r="X215" s="403" t="s">
        <v>47</v>
      </c>
      <c r="Y215" s="403" t="s">
        <v>47</v>
      </c>
      <c r="Z215" s="403" t="s">
        <v>47</v>
      </c>
      <c r="AA215" s="403"/>
      <c r="AB215" s="405" t="s">
        <v>47</v>
      </c>
      <c r="AC215" s="368"/>
      <c r="AD215" s="447" t="s">
        <v>1016</v>
      </c>
      <c r="AE215" s="441" t="s">
        <v>47</v>
      </c>
      <c r="AF215" s="442" t="s">
        <v>47</v>
      </c>
      <c r="AG215" s="442" t="s">
        <v>47</v>
      </c>
      <c r="AH215" s="442" t="s">
        <v>47</v>
      </c>
      <c r="AI215" s="442" t="s">
        <v>47</v>
      </c>
      <c r="AJ215" s="442" t="s">
        <v>47</v>
      </c>
      <c r="AK215" s="442" t="s">
        <v>47</v>
      </c>
      <c r="AL215" s="678" t="s">
        <v>47</v>
      </c>
      <c r="AM215" s="443" t="s">
        <v>47</v>
      </c>
      <c r="AN215" s="368"/>
      <c r="AO215" s="444" t="s">
        <v>47</v>
      </c>
      <c r="AP215" s="445" t="s">
        <v>47</v>
      </c>
      <c r="AQ215" s="445" t="s">
        <v>47</v>
      </c>
      <c r="AR215" s="445" t="s">
        <v>47</v>
      </c>
      <c r="AS215" s="446" t="s">
        <v>47</v>
      </c>
      <c r="AU215" s="444" t="s">
        <v>47</v>
      </c>
      <c r="AV215" s="445" t="s">
        <v>47</v>
      </c>
      <c r="AW215" s="445" t="s">
        <v>47</v>
      </c>
      <c r="AX215" s="445" t="s">
        <v>47</v>
      </c>
      <c r="AY215" s="446" t="s">
        <v>47</v>
      </c>
      <c r="BA215" s="409">
        <f t="shared" si="154"/>
        <v>0.10814903966701771</v>
      </c>
      <c r="BB215" s="410" t="s">
        <v>47</v>
      </c>
      <c r="BE215" s="1228"/>
    </row>
    <row r="216" spans="2:58" ht="12.75" customHeight="1" outlineLevel="1" x14ac:dyDescent="0.2">
      <c r="B216" s="440" t="s">
        <v>1017</v>
      </c>
      <c r="C216" s="402">
        <f>+SUMIFS(MktData!C:C,MktData!$A:$A,$B216)</f>
        <v>961067</v>
      </c>
      <c r="D216" s="403">
        <f>+SUMIFS(MktData!D:D,MktData!$A:$A,$B216)</f>
        <v>873265</v>
      </c>
      <c r="E216" s="405">
        <f>+SUMIFS(MktData!E:E,MktData!$A:$A,$B216)</f>
        <v>87802</v>
      </c>
      <c r="F216" s="368"/>
      <c r="G216" s="406" t="s">
        <v>47</v>
      </c>
      <c r="H216" s="403" t="s">
        <v>47</v>
      </c>
      <c r="I216" s="405" t="s">
        <v>47</v>
      </c>
      <c r="J216" s="368"/>
      <c r="K216" s="406">
        <f>+SUMIFS(MktData!K:K,MktData!$A:$A,$B216)</f>
        <v>814547</v>
      </c>
      <c r="L216" s="405">
        <f>+SUMIFS(MktData!L:L,MktData!$A:$A,$B216)</f>
        <v>0</v>
      </c>
      <c r="M216" s="368"/>
      <c r="N216" s="406" t="s">
        <v>47</v>
      </c>
      <c r="O216" s="405" t="s">
        <v>47</v>
      </c>
      <c r="P216" s="368"/>
      <c r="Q216" s="406" t="s">
        <v>47</v>
      </c>
      <c r="R216" s="405" t="s">
        <v>47</v>
      </c>
      <c r="S216" s="368"/>
      <c r="T216" s="406" t="s">
        <v>47</v>
      </c>
      <c r="U216" s="403" t="s">
        <v>47</v>
      </c>
      <c r="V216" s="403" t="s">
        <v>47</v>
      </c>
      <c r="W216" s="403" t="s">
        <v>47</v>
      </c>
      <c r="X216" s="403" t="s">
        <v>47</v>
      </c>
      <c r="Y216" s="403" t="s">
        <v>47</v>
      </c>
      <c r="Z216" s="403" t="s">
        <v>47</v>
      </c>
      <c r="AA216" s="403"/>
      <c r="AB216" s="405" t="s">
        <v>47</v>
      </c>
      <c r="AC216" s="368"/>
      <c r="AD216" s="440" t="s">
        <v>1017</v>
      </c>
      <c r="AE216" s="448" t="s">
        <v>47</v>
      </c>
      <c r="AF216" s="449" t="s">
        <v>47</v>
      </c>
      <c r="AG216" s="449" t="s">
        <v>47</v>
      </c>
      <c r="AH216" s="449" t="s">
        <v>47</v>
      </c>
      <c r="AI216" s="449" t="s">
        <v>47</v>
      </c>
      <c r="AJ216" s="449" t="s">
        <v>47</v>
      </c>
      <c r="AK216" s="449" t="s">
        <v>47</v>
      </c>
      <c r="AL216" s="678" t="s">
        <v>47</v>
      </c>
      <c r="AM216" s="450" t="s">
        <v>47</v>
      </c>
      <c r="AN216" s="368"/>
      <c r="AO216" s="444" t="s">
        <v>47</v>
      </c>
      <c r="AP216" s="445" t="s">
        <v>47</v>
      </c>
      <c r="AQ216" s="445" t="s">
        <v>47</v>
      </c>
      <c r="AR216" s="445" t="s">
        <v>47</v>
      </c>
      <c r="AS216" s="446" t="s">
        <v>47</v>
      </c>
      <c r="AU216" s="444" t="s">
        <v>47</v>
      </c>
      <c r="AV216" s="445" t="s">
        <v>47</v>
      </c>
      <c r="AW216" s="445" t="s">
        <v>47</v>
      </c>
      <c r="AX216" s="445" t="s">
        <v>47</v>
      </c>
      <c r="AY216" s="446" t="s">
        <v>47</v>
      </c>
      <c r="BA216" s="409">
        <f t="shared" si="154"/>
        <v>0.10779242941168526</v>
      </c>
      <c r="BB216" s="410" t="s">
        <v>47</v>
      </c>
      <c r="BE216" s="1228"/>
    </row>
    <row r="217" spans="2:58" ht="12.75" customHeight="1" outlineLevel="1" x14ac:dyDescent="0.2">
      <c r="B217" s="447" t="s">
        <v>1018</v>
      </c>
      <c r="C217" s="402">
        <f>+SUMIFS(MktData!C:C,MktData!$A:$A,$B217)</f>
        <v>1074904</v>
      </c>
      <c r="D217" s="403">
        <f>+SUMIFS(MktData!D:D,MktData!$A:$A,$B217)</f>
        <v>960236</v>
      </c>
      <c r="E217" s="405">
        <f>+SUMIFS(MktData!E:E,MktData!$A:$A,$B217)</f>
        <v>114668</v>
      </c>
      <c r="F217" s="368"/>
      <c r="G217" s="406" t="s">
        <v>47</v>
      </c>
      <c r="H217" s="403" t="s">
        <v>47</v>
      </c>
      <c r="I217" s="405" t="s">
        <v>47</v>
      </c>
      <c r="J217" s="368"/>
      <c r="K217" s="406">
        <f>+SUMIFS(MktData!K:K,MktData!$A:$A,$B217)</f>
        <v>802732</v>
      </c>
      <c r="L217" s="405">
        <f>+SUMIFS(MktData!L:L,MktData!$A:$A,$B217)</f>
        <v>0</v>
      </c>
      <c r="M217" s="368"/>
      <c r="N217" s="406" t="s">
        <v>47</v>
      </c>
      <c r="O217" s="405" t="s">
        <v>47</v>
      </c>
      <c r="P217" s="368"/>
      <c r="Q217" s="406" t="s">
        <v>47</v>
      </c>
      <c r="R217" s="405" t="s">
        <v>47</v>
      </c>
      <c r="S217" s="368"/>
      <c r="T217" s="406" t="s">
        <v>47</v>
      </c>
      <c r="U217" s="403" t="s">
        <v>47</v>
      </c>
      <c r="V217" s="403" t="s">
        <v>47</v>
      </c>
      <c r="W217" s="403" t="s">
        <v>47</v>
      </c>
      <c r="X217" s="403" t="s">
        <v>47</v>
      </c>
      <c r="Y217" s="403" t="s">
        <v>47</v>
      </c>
      <c r="Z217" s="403" t="s">
        <v>47</v>
      </c>
      <c r="AA217" s="403"/>
      <c r="AB217" s="405" t="s">
        <v>47</v>
      </c>
      <c r="AC217" s="368"/>
      <c r="AD217" s="447" t="s">
        <v>1018</v>
      </c>
      <c r="AE217" s="448" t="s">
        <v>47</v>
      </c>
      <c r="AF217" s="449" t="s">
        <v>47</v>
      </c>
      <c r="AG217" s="449" t="s">
        <v>47</v>
      </c>
      <c r="AH217" s="449" t="s">
        <v>47</v>
      </c>
      <c r="AI217" s="449" t="s">
        <v>47</v>
      </c>
      <c r="AJ217" s="449" t="s">
        <v>47</v>
      </c>
      <c r="AK217" s="449" t="s">
        <v>47</v>
      </c>
      <c r="AL217" s="678" t="s">
        <v>47</v>
      </c>
      <c r="AM217" s="450" t="s">
        <v>47</v>
      </c>
      <c r="AN217" s="368"/>
      <c r="AO217" s="444" t="s">
        <v>47</v>
      </c>
      <c r="AP217" s="445" t="s">
        <v>47</v>
      </c>
      <c r="AQ217" s="445" t="s">
        <v>47</v>
      </c>
      <c r="AR217" s="445" t="s">
        <v>47</v>
      </c>
      <c r="AS217" s="446" t="s">
        <v>47</v>
      </c>
      <c r="AU217" s="444" t="s">
        <v>47</v>
      </c>
      <c r="AV217" s="445" t="s">
        <v>47</v>
      </c>
      <c r="AW217" s="445" t="s">
        <v>47</v>
      </c>
      <c r="AX217" s="445" t="s">
        <v>47</v>
      </c>
      <c r="AY217" s="446" t="s">
        <v>47</v>
      </c>
      <c r="BA217" s="409">
        <f t="shared" si="154"/>
        <v>0.14284717689091753</v>
      </c>
      <c r="BB217" s="410" t="s">
        <v>47</v>
      </c>
      <c r="BE217" s="1228"/>
    </row>
    <row r="218" spans="2:58" ht="12.75" customHeight="1" outlineLevel="1" x14ac:dyDescent="0.2">
      <c r="B218" s="440" t="s">
        <v>1019</v>
      </c>
      <c r="C218" s="402">
        <f>+SUMIFS(MktData!C:C,MktData!$A:$A,$B218)</f>
        <v>893707</v>
      </c>
      <c r="D218" s="403">
        <f>+SUMIFS(MktData!D:D,MktData!$A:$A,$B218)</f>
        <v>777708</v>
      </c>
      <c r="E218" s="405">
        <f>+SUMIFS(MktData!E:E,MktData!$A:$A,$B218)</f>
        <v>115999</v>
      </c>
      <c r="F218" s="368"/>
      <c r="G218" s="406" t="s">
        <v>47</v>
      </c>
      <c r="H218" s="403" t="s">
        <v>47</v>
      </c>
      <c r="I218" s="405" t="s">
        <v>47</v>
      </c>
      <c r="J218" s="368"/>
      <c r="K218" s="406">
        <f>+SUMIFS(MktData!K:K,MktData!$A:$A,$B218)</f>
        <v>772708</v>
      </c>
      <c r="L218" s="405">
        <f>+SUMIFS(MktData!L:L,MktData!$A:$A,$B218)</f>
        <v>181006</v>
      </c>
      <c r="M218" s="368"/>
      <c r="N218" s="406" t="s">
        <v>47</v>
      </c>
      <c r="O218" s="405" t="s">
        <v>47</v>
      </c>
      <c r="P218" s="368"/>
      <c r="Q218" s="406" t="s">
        <v>47</v>
      </c>
      <c r="R218" s="405" t="s">
        <v>47</v>
      </c>
      <c r="S218" s="368"/>
      <c r="T218" s="406" t="s">
        <v>47</v>
      </c>
      <c r="U218" s="403" t="s">
        <v>47</v>
      </c>
      <c r="V218" s="403" t="s">
        <v>47</v>
      </c>
      <c r="W218" s="403" t="s">
        <v>47</v>
      </c>
      <c r="X218" s="403" t="s">
        <v>47</v>
      </c>
      <c r="Y218" s="403" t="s">
        <v>47</v>
      </c>
      <c r="Z218" s="403" t="s">
        <v>47</v>
      </c>
      <c r="AA218" s="403"/>
      <c r="AB218" s="405" t="s">
        <v>47</v>
      </c>
      <c r="AC218" s="368"/>
      <c r="AD218" s="440" t="s">
        <v>1019</v>
      </c>
      <c r="AE218" s="448" t="s">
        <v>47</v>
      </c>
      <c r="AF218" s="449" t="s">
        <v>47</v>
      </c>
      <c r="AG218" s="449" t="s">
        <v>47</v>
      </c>
      <c r="AH218" s="449" t="s">
        <v>47</v>
      </c>
      <c r="AI218" s="449" t="s">
        <v>47</v>
      </c>
      <c r="AJ218" s="449" t="s">
        <v>47</v>
      </c>
      <c r="AK218" s="449" t="s">
        <v>47</v>
      </c>
      <c r="AL218" s="678" t="s">
        <v>47</v>
      </c>
      <c r="AM218" s="450" t="s">
        <v>47</v>
      </c>
      <c r="AN218" s="368"/>
      <c r="AO218" s="444" t="s">
        <v>47</v>
      </c>
      <c r="AP218" s="445" t="s">
        <v>47</v>
      </c>
      <c r="AQ218" s="445" t="s">
        <v>47</v>
      </c>
      <c r="AR218" s="445" t="s">
        <v>47</v>
      </c>
      <c r="AS218" s="446" t="s">
        <v>47</v>
      </c>
      <c r="AU218" s="444" t="s">
        <v>47</v>
      </c>
      <c r="AV218" s="445" t="s">
        <v>47</v>
      </c>
      <c r="AW218" s="445" t="s">
        <v>47</v>
      </c>
      <c r="AX218" s="445" t="s">
        <v>47</v>
      </c>
      <c r="AY218" s="446" t="s">
        <v>47</v>
      </c>
      <c r="BA218" s="409">
        <f t="shared" si="154"/>
        <v>0.15012009711301036</v>
      </c>
      <c r="BB218" s="410">
        <f t="shared" ref="BB218:BB249" si="155">+L218/D218</f>
        <v>0.2327428803612667</v>
      </c>
      <c r="BE218" s="1228"/>
    </row>
    <row r="219" spans="2:58" ht="12.75" customHeight="1" outlineLevel="1" x14ac:dyDescent="0.2">
      <c r="B219" s="447" t="s">
        <v>1020</v>
      </c>
      <c r="C219" s="402">
        <f>+SUMIFS(MktData!C:C,MktData!$A:$A,$B219)</f>
        <v>973977</v>
      </c>
      <c r="D219" s="403">
        <f>+SUMIFS(MktData!D:D,MktData!$A:$A,$B219)</f>
        <v>860369</v>
      </c>
      <c r="E219" s="405">
        <f>+SUMIFS(MktData!E:E,MktData!$A:$A,$B219)</f>
        <v>113608</v>
      </c>
      <c r="F219" s="368"/>
      <c r="G219" s="406" t="s">
        <v>47</v>
      </c>
      <c r="H219" s="403" t="s">
        <v>47</v>
      </c>
      <c r="I219" s="405" t="s">
        <v>47</v>
      </c>
      <c r="J219" s="368"/>
      <c r="K219" s="406">
        <f>+SUMIFS(MktData!K:K,MktData!$A:$A,$B219)</f>
        <v>815931</v>
      </c>
      <c r="L219" s="405">
        <f>+SUMIFS(MktData!L:L,MktData!$A:$A,$B219)</f>
        <v>207307</v>
      </c>
      <c r="M219" s="368"/>
      <c r="N219" s="406" t="s">
        <v>47</v>
      </c>
      <c r="O219" s="405" t="s">
        <v>47</v>
      </c>
      <c r="P219" s="368"/>
      <c r="Q219" s="406" t="s">
        <v>47</v>
      </c>
      <c r="R219" s="405" t="s">
        <v>47</v>
      </c>
      <c r="S219" s="368"/>
      <c r="T219" s="406" t="s">
        <v>47</v>
      </c>
      <c r="U219" s="403" t="s">
        <v>47</v>
      </c>
      <c r="V219" s="403" t="s">
        <v>47</v>
      </c>
      <c r="W219" s="403" t="s">
        <v>47</v>
      </c>
      <c r="X219" s="403" t="s">
        <v>47</v>
      </c>
      <c r="Y219" s="403" t="s">
        <v>47</v>
      </c>
      <c r="Z219" s="403" t="s">
        <v>47</v>
      </c>
      <c r="AA219" s="403"/>
      <c r="AB219" s="405" t="s">
        <v>47</v>
      </c>
      <c r="AC219" s="368"/>
      <c r="AD219" s="447" t="s">
        <v>1020</v>
      </c>
      <c r="AE219" s="448" t="s">
        <v>47</v>
      </c>
      <c r="AF219" s="449" t="s">
        <v>47</v>
      </c>
      <c r="AG219" s="449" t="s">
        <v>47</v>
      </c>
      <c r="AH219" s="449" t="s">
        <v>47</v>
      </c>
      <c r="AI219" s="449" t="s">
        <v>47</v>
      </c>
      <c r="AJ219" s="449" t="s">
        <v>47</v>
      </c>
      <c r="AK219" s="449" t="s">
        <v>47</v>
      </c>
      <c r="AL219" s="678" t="s">
        <v>47</v>
      </c>
      <c r="AM219" s="450" t="s">
        <v>47</v>
      </c>
      <c r="AN219" s="368"/>
      <c r="AO219" s="444" t="s">
        <v>47</v>
      </c>
      <c r="AP219" s="445" t="s">
        <v>47</v>
      </c>
      <c r="AQ219" s="445" t="s">
        <v>47</v>
      </c>
      <c r="AR219" s="445" t="s">
        <v>47</v>
      </c>
      <c r="AS219" s="446" t="s">
        <v>47</v>
      </c>
      <c r="AU219" s="444" t="s">
        <v>47</v>
      </c>
      <c r="AV219" s="445" t="s">
        <v>47</v>
      </c>
      <c r="AW219" s="445" t="s">
        <v>47</v>
      </c>
      <c r="AX219" s="445" t="s">
        <v>47</v>
      </c>
      <c r="AY219" s="446" t="s">
        <v>47</v>
      </c>
      <c r="BA219" s="409">
        <f t="shared" si="154"/>
        <v>0.13923726393530825</v>
      </c>
      <c r="BB219" s="410">
        <f t="shared" si="155"/>
        <v>0.24095126625901211</v>
      </c>
      <c r="BE219" s="1228"/>
    </row>
    <row r="220" spans="2:58" ht="12.75" customHeight="1" outlineLevel="1" x14ac:dyDescent="0.2">
      <c r="B220" s="440" t="s">
        <v>1021</v>
      </c>
      <c r="C220" s="402">
        <f>+SUMIFS(MktData!C:C,MktData!$A:$A,$B220)</f>
        <v>1007649</v>
      </c>
      <c r="D220" s="403">
        <f>+SUMIFS(MktData!D:D,MktData!$A:$A,$B220)</f>
        <v>889586</v>
      </c>
      <c r="E220" s="405">
        <f>+SUMIFS(MktData!E:E,MktData!$A:$A,$B220)</f>
        <v>118063</v>
      </c>
      <c r="F220" s="368"/>
      <c r="G220" s="406" t="s">
        <v>47</v>
      </c>
      <c r="H220" s="403" t="s">
        <v>47</v>
      </c>
      <c r="I220" s="405" t="s">
        <v>47</v>
      </c>
      <c r="J220" s="368"/>
      <c r="K220" s="406">
        <f>+SUMIFS(MktData!K:K,MktData!$A:$A,$B220)</f>
        <v>822053</v>
      </c>
      <c r="L220" s="405">
        <f>+SUMIFS(MktData!L:L,MktData!$A:$A,$B220)</f>
        <v>218988</v>
      </c>
      <c r="M220" s="368"/>
      <c r="N220" s="406" t="s">
        <v>47</v>
      </c>
      <c r="O220" s="405" t="s">
        <v>47</v>
      </c>
      <c r="P220" s="368"/>
      <c r="Q220" s="406" t="s">
        <v>47</v>
      </c>
      <c r="R220" s="405" t="s">
        <v>47</v>
      </c>
      <c r="S220" s="368"/>
      <c r="T220" s="406" t="s">
        <v>47</v>
      </c>
      <c r="U220" s="403" t="s">
        <v>47</v>
      </c>
      <c r="V220" s="403" t="s">
        <v>47</v>
      </c>
      <c r="W220" s="403" t="s">
        <v>47</v>
      </c>
      <c r="X220" s="403" t="s">
        <v>47</v>
      </c>
      <c r="Y220" s="403" t="s">
        <v>47</v>
      </c>
      <c r="Z220" s="403" t="s">
        <v>47</v>
      </c>
      <c r="AA220" s="403"/>
      <c r="AB220" s="405" t="s">
        <v>47</v>
      </c>
      <c r="AC220" s="368"/>
      <c r="AD220" s="440" t="s">
        <v>1021</v>
      </c>
      <c r="AE220" s="448" t="s">
        <v>47</v>
      </c>
      <c r="AF220" s="449" t="s">
        <v>47</v>
      </c>
      <c r="AG220" s="449" t="s">
        <v>47</v>
      </c>
      <c r="AH220" s="449" t="s">
        <v>47</v>
      </c>
      <c r="AI220" s="449" t="s">
        <v>47</v>
      </c>
      <c r="AJ220" s="449" t="s">
        <v>47</v>
      </c>
      <c r="AK220" s="449" t="s">
        <v>47</v>
      </c>
      <c r="AL220" s="678" t="s">
        <v>47</v>
      </c>
      <c r="AM220" s="450" t="s">
        <v>47</v>
      </c>
      <c r="AN220" s="368"/>
      <c r="AO220" s="444" t="s">
        <v>47</v>
      </c>
      <c r="AP220" s="445" t="s">
        <v>47</v>
      </c>
      <c r="AQ220" s="445" t="s">
        <v>47</v>
      </c>
      <c r="AR220" s="445" t="s">
        <v>47</v>
      </c>
      <c r="AS220" s="446" t="s">
        <v>47</v>
      </c>
      <c r="AU220" s="444" t="s">
        <v>47</v>
      </c>
      <c r="AV220" s="445" t="s">
        <v>47</v>
      </c>
      <c r="AW220" s="445" t="s">
        <v>47</v>
      </c>
      <c r="AX220" s="445" t="s">
        <v>47</v>
      </c>
      <c r="AY220" s="446" t="s">
        <v>47</v>
      </c>
      <c r="BA220" s="409">
        <f t="shared" si="154"/>
        <v>0.14361969362072763</v>
      </c>
      <c r="BB220" s="410">
        <f t="shared" si="155"/>
        <v>0.24616844239904856</v>
      </c>
      <c r="BE220" s="1228"/>
    </row>
    <row r="221" spans="2:58" ht="12.75" customHeight="1" outlineLevel="1" x14ac:dyDescent="0.2">
      <c r="B221" s="447" t="s">
        <v>1022</v>
      </c>
      <c r="C221" s="402">
        <f>+SUMIFS(MktData!C:C,MktData!$A:$A,$B221)</f>
        <v>1022868</v>
      </c>
      <c r="D221" s="403">
        <f>+SUMIFS(MktData!D:D,MktData!$A:$A,$B221)</f>
        <v>898168</v>
      </c>
      <c r="E221" s="405">
        <f>+SUMIFS(MktData!E:E,MktData!$A:$A,$B221)</f>
        <v>124700</v>
      </c>
      <c r="F221" s="368"/>
      <c r="G221" s="406" t="s">
        <v>47</v>
      </c>
      <c r="H221" s="403" t="s">
        <v>47</v>
      </c>
      <c r="I221" s="405" t="s">
        <v>47</v>
      </c>
      <c r="J221" s="368"/>
      <c r="K221" s="406">
        <f>+SUMIFS(MktData!K:K,MktData!$A:$A,$B221)</f>
        <v>734119</v>
      </c>
      <c r="L221" s="405">
        <f>+SUMIFS(MktData!L:L,MktData!$A:$A,$B221)</f>
        <v>246652</v>
      </c>
      <c r="M221" s="368"/>
      <c r="N221" s="406" t="s">
        <v>47</v>
      </c>
      <c r="O221" s="405" t="s">
        <v>47</v>
      </c>
      <c r="P221" s="368"/>
      <c r="Q221" s="406" t="s">
        <v>47</v>
      </c>
      <c r="R221" s="405" t="s">
        <v>47</v>
      </c>
      <c r="S221" s="368"/>
      <c r="T221" s="406" t="s">
        <v>47</v>
      </c>
      <c r="U221" s="403" t="s">
        <v>47</v>
      </c>
      <c r="V221" s="403" t="s">
        <v>47</v>
      </c>
      <c r="W221" s="403" t="s">
        <v>47</v>
      </c>
      <c r="X221" s="403" t="s">
        <v>47</v>
      </c>
      <c r="Y221" s="403" t="s">
        <v>47</v>
      </c>
      <c r="Z221" s="403" t="s">
        <v>47</v>
      </c>
      <c r="AA221" s="403"/>
      <c r="AB221" s="405" t="s">
        <v>47</v>
      </c>
      <c r="AC221" s="368"/>
      <c r="AD221" s="447" t="s">
        <v>1022</v>
      </c>
      <c r="AE221" s="448" t="s">
        <v>47</v>
      </c>
      <c r="AF221" s="449" t="s">
        <v>47</v>
      </c>
      <c r="AG221" s="449" t="s">
        <v>47</v>
      </c>
      <c r="AH221" s="449" t="s">
        <v>47</v>
      </c>
      <c r="AI221" s="449" t="s">
        <v>47</v>
      </c>
      <c r="AJ221" s="449" t="s">
        <v>47</v>
      </c>
      <c r="AK221" s="449" t="s">
        <v>47</v>
      </c>
      <c r="AL221" s="678" t="s">
        <v>47</v>
      </c>
      <c r="AM221" s="450" t="s">
        <v>47</v>
      </c>
      <c r="AN221" s="368"/>
      <c r="AO221" s="444" t="s">
        <v>47</v>
      </c>
      <c r="AP221" s="445" t="s">
        <v>47</v>
      </c>
      <c r="AQ221" s="445" t="s">
        <v>47</v>
      </c>
      <c r="AR221" s="445" t="s">
        <v>47</v>
      </c>
      <c r="AS221" s="446" t="s">
        <v>47</v>
      </c>
      <c r="AU221" s="444" t="s">
        <v>47</v>
      </c>
      <c r="AV221" s="445" t="s">
        <v>47</v>
      </c>
      <c r="AW221" s="445" t="s">
        <v>47</v>
      </c>
      <c r="AX221" s="445" t="s">
        <v>47</v>
      </c>
      <c r="AY221" s="446" t="s">
        <v>47</v>
      </c>
      <c r="BA221" s="409">
        <f t="shared" si="154"/>
        <v>0.16986346900161964</v>
      </c>
      <c r="BB221" s="410">
        <f t="shared" si="155"/>
        <v>0.27461677548075636</v>
      </c>
      <c r="BE221" s="1228"/>
    </row>
    <row r="222" spans="2:58" ht="12.75" customHeight="1" outlineLevel="1" x14ac:dyDescent="0.2">
      <c r="B222" s="440" t="s">
        <v>1023</v>
      </c>
      <c r="C222" s="402">
        <f>+SUMIFS(MktData!C:C,MktData!$A:$A,$B222)</f>
        <v>876944</v>
      </c>
      <c r="D222" s="403">
        <f>+SUMIFS(MktData!D:D,MktData!$A:$A,$B222)</f>
        <v>772285</v>
      </c>
      <c r="E222" s="405">
        <f>+SUMIFS(MktData!E:E,MktData!$A:$A,$B222)</f>
        <v>104659</v>
      </c>
      <c r="F222" s="368"/>
      <c r="G222" s="406" t="s">
        <v>47</v>
      </c>
      <c r="H222" s="403" t="s">
        <v>47</v>
      </c>
      <c r="I222" s="405" t="s">
        <v>47</v>
      </c>
      <c r="J222" s="368"/>
      <c r="K222" s="406">
        <f>+SUMIFS(MktData!K:K,MktData!$A:$A,$B222)</f>
        <v>705292</v>
      </c>
      <c r="L222" s="405">
        <f>+SUMIFS(MktData!L:L,MktData!$A:$A,$B222)</f>
        <v>198537</v>
      </c>
      <c r="M222" s="368"/>
      <c r="N222" s="406" t="s">
        <v>47</v>
      </c>
      <c r="O222" s="405" t="s">
        <v>47</v>
      </c>
      <c r="P222" s="368"/>
      <c r="Q222" s="406" t="s">
        <v>47</v>
      </c>
      <c r="R222" s="405" t="s">
        <v>47</v>
      </c>
      <c r="S222" s="368"/>
      <c r="T222" s="406" t="s">
        <v>47</v>
      </c>
      <c r="U222" s="403" t="s">
        <v>47</v>
      </c>
      <c r="V222" s="403" t="s">
        <v>47</v>
      </c>
      <c r="W222" s="403" t="s">
        <v>47</v>
      </c>
      <c r="X222" s="403" t="s">
        <v>47</v>
      </c>
      <c r="Y222" s="403" t="s">
        <v>47</v>
      </c>
      <c r="Z222" s="403" t="s">
        <v>47</v>
      </c>
      <c r="AA222" s="403"/>
      <c r="AB222" s="405" t="s">
        <v>47</v>
      </c>
      <c r="AC222" s="368"/>
      <c r="AD222" s="440" t="s">
        <v>1023</v>
      </c>
      <c r="AE222" s="448" t="s">
        <v>47</v>
      </c>
      <c r="AF222" s="449" t="s">
        <v>47</v>
      </c>
      <c r="AG222" s="449" t="s">
        <v>47</v>
      </c>
      <c r="AH222" s="449" t="s">
        <v>47</v>
      </c>
      <c r="AI222" s="449" t="s">
        <v>47</v>
      </c>
      <c r="AJ222" s="449" t="s">
        <v>47</v>
      </c>
      <c r="AK222" s="449" t="s">
        <v>47</v>
      </c>
      <c r="AL222" s="678" t="s">
        <v>47</v>
      </c>
      <c r="AM222" s="450" t="s">
        <v>47</v>
      </c>
      <c r="AN222" s="368"/>
      <c r="AO222" s="444" t="s">
        <v>47</v>
      </c>
      <c r="AP222" s="445" t="s">
        <v>47</v>
      </c>
      <c r="AQ222" s="445" t="s">
        <v>47</v>
      </c>
      <c r="AR222" s="445" t="s">
        <v>47</v>
      </c>
      <c r="AS222" s="446" t="s">
        <v>47</v>
      </c>
      <c r="AU222" s="444" t="s">
        <v>47</v>
      </c>
      <c r="AV222" s="445" t="s">
        <v>47</v>
      </c>
      <c r="AW222" s="445" t="s">
        <v>47</v>
      </c>
      <c r="AX222" s="445" t="s">
        <v>47</v>
      </c>
      <c r="AY222" s="446" t="s">
        <v>47</v>
      </c>
      <c r="BA222" s="409">
        <f t="shared" si="154"/>
        <v>0.14839102102391633</v>
      </c>
      <c r="BB222" s="410">
        <f t="shared" si="155"/>
        <v>0.25707737428539984</v>
      </c>
    </row>
    <row r="223" spans="2:58" ht="12.75" customHeight="1" outlineLevel="1" x14ac:dyDescent="0.2">
      <c r="B223" s="447" t="s">
        <v>1024</v>
      </c>
      <c r="C223" s="402">
        <f>+SUMIFS(MktData!C:C,MktData!$A:$A,$B223)</f>
        <v>964507</v>
      </c>
      <c r="D223" s="403">
        <f>+SUMIFS(MktData!D:D,MktData!$A:$A,$B223)</f>
        <v>859468</v>
      </c>
      <c r="E223" s="405">
        <f>+SUMIFS(MktData!E:E,MktData!$A:$A,$B223)</f>
        <v>105039</v>
      </c>
      <c r="F223" s="368"/>
      <c r="G223" s="406" t="s">
        <v>47</v>
      </c>
      <c r="H223" s="403" t="s">
        <v>47</v>
      </c>
      <c r="I223" s="405" t="s">
        <v>47</v>
      </c>
      <c r="J223" s="368"/>
      <c r="K223" s="406">
        <f>+SUMIFS(MktData!K:K,MktData!$A:$A,$B223)</f>
        <v>789026</v>
      </c>
      <c r="L223" s="405">
        <f>+SUMIFS(MktData!L:L,MktData!$A:$A,$B223)</f>
        <v>192421</v>
      </c>
      <c r="M223" s="368"/>
      <c r="N223" s="406" t="s">
        <v>47</v>
      </c>
      <c r="O223" s="405" t="s">
        <v>47</v>
      </c>
      <c r="P223" s="368"/>
      <c r="Q223" s="406" t="s">
        <v>47</v>
      </c>
      <c r="R223" s="405" t="s">
        <v>47</v>
      </c>
      <c r="S223" s="368"/>
      <c r="T223" s="406" t="s">
        <v>47</v>
      </c>
      <c r="U223" s="403" t="s">
        <v>47</v>
      </c>
      <c r="V223" s="403" t="s">
        <v>47</v>
      </c>
      <c r="W223" s="403" t="s">
        <v>47</v>
      </c>
      <c r="X223" s="403" t="s">
        <v>47</v>
      </c>
      <c r="Y223" s="403" t="s">
        <v>47</v>
      </c>
      <c r="Z223" s="403" t="s">
        <v>47</v>
      </c>
      <c r="AA223" s="403"/>
      <c r="AB223" s="405" t="s">
        <v>47</v>
      </c>
      <c r="AC223" s="368"/>
      <c r="AD223" s="447" t="s">
        <v>1024</v>
      </c>
      <c r="AE223" s="448" t="s">
        <v>47</v>
      </c>
      <c r="AF223" s="449" t="s">
        <v>47</v>
      </c>
      <c r="AG223" s="449" t="s">
        <v>47</v>
      </c>
      <c r="AH223" s="449" t="s">
        <v>47</v>
      </c>
      <c r="AI223" s="449" t="s">
        <v>47</v>
      </c>
      <c r="AJ223" s="449" t="s">
        <v>47</v>
      </c>
      <c r="AK223" s="449" t="s">
        <v>47</v>
      </c>
      <c r="AL223" s="678" t="s">
        <v>47</v>
      </c>
      <c r="AM223" s="450" t="s">
        <v>47</v>
      </c>
      <c r="AN223" s="368"/>
      <c r="AO223" s="444" t="s">
        <v>47</v>
      </c>
      <c r="AP223" s="445" t="s">
        <v>47</v>
      </c>
      <c r="AQ223" s="445" t="s">
        <v>47</v>
      </c>
      <c r="AR223" s="445" t="s">
        <v>47</v>
      </c>
      <c r="AS223" s="446" t="s">
        <v>47</v>
      </c>
      <c r="AU223" s="444" t="s">
        <v>47</v>
      </c>
      <c r="AV223" s="445" t="s">
        <v>47</v>
      </c>
      <c r="AW223" s="445" t="s">
        <v>47</v>
      </c>
      <c r="AX223" s="445" t="s">
        <v>47</v>
      </c>
      <c r="AY223" s="446" t="s">
        <v>47</v>
      </c>
      <c r="BA223" s="409">
        <f t="shared" si="154"/>
        <v>0.13312489068801281</v>
      </c>
      <c r="BB223" s="410">
        <f t="shared" si="155"/>
        <v>0.22388384442469061</v>
      </c>
    </row>
    <row r="224" spans="2:58" ht="12.75" customHeight="1" outlineLevel="1" x14ac:dyDescent="0.2">
      <c r="B224" s="440" t="s">
        <v>1025</v>
      </c>
      <c r="C224" s="402">
        <f>+SUMIFS(MktData!C:C,MktData!$A:$A,$B224)</f>
        <v>1124986</v>
      </c>
      <c r="D224" s="403">
        <f>+SUMIFS(MktData!D:D,MktData!$A:$A,$B224)</f>
        <v>1034398</v>
      </c>
      <c r="E224" s="405">
        <f>+SUMIFS(MktData!E:E,MktData!$A:$A,$B224)</f>
        <v>90588</v>
      </c>
      <c r="F224" s="368"/>
      <c r="G224" s="406" t="s">
        <v>47</v>
      </c>
      <c r="H224" s="403" t="s">
        <v>47</v>
      </c>
      <c r="I224" s="405" t="s">
        <v>47</v>
      </c>
      <c r="J224" s="368"/>
      <c r="K224" s="406">
        <f>+SUMIFS(MktData!K:K,MktData!$A:$A,$B224)</f>
        <v>876097</v>
      </c>
      <c r="L224" s="405">
        <f>+SUMIFS(MktData!L:L,MktData!$A:$A,$B224)</f>
        <v>202287</v>
      </c>
      <c r="M224" s="368"/>
      <c r="N224" s="406" t="s">
        <v>47</v>
      </c>
      <c r="O224" s="405" t="s">
        <v>47</v>
      </c>
      <c r="P224" s="368"/>
      <c r="Q224" s="406" t="s">
        <v>47</v>
      </c>
      <c r="R224" s="405" t="s">
        <v>47</v>
      </c>
      <c r="S224" s="368"/>
      <c r="T224" s="406" t="s">
        <v>47</v>
      </c>
      <c r="U224" s="403" t="s">
        <v>47</v>
      </c>
      <c r="V224" s="403" t="s">
        <v>47</v>
      </c>
      <c r="W224" s="403" t="s">
        <v>47</v>
      </c>
      <c r="X224" s="403" t="s">
        <v>47</v>
      </c>
      <c r="Y224" s="403" t="s">
        <v>47</v>
      </c>
      <c r="Z224" s="403" t="s">
        <v>47</v>
      </c>
      <c r="AA224" s="403"/>
      <c r="AB224" s="405" t="s">
        <v>47</v>
      </c>
      <c r="AC224" s="368"/>
      <c r="AD224" s="440" t="s">
        <v>1025</v>
      </c>
      <c r="AE224" s="448" t="s">
        <v>47</v>
      </c>
      <c r="AF224" s="449" t="s">
        <v>47</v>
      </c>
      <c r="AG224" s="449" t="s">
        <v>47</v>
      </c>
      <c r="AH224" s="449" t="s">
        <v>47</v>
      </c>
      <c r="AI224" s="449" t="s">
        <v>47</v>
      </c>
      <c r="AJ224" s="449" t="s">
        <v>47</v>
      </c>
      <c r="AK224" s="449" t="s">
        <v>47</v>
      </c>
      <c r="AL224" s="678" t="s">
        <v>47</v>
      </c>
      <c r="AM224" s="450" t="s">
        <v>47</v>
      </c>
      <c r="AN224" s="368"/>
      <c r="AO224" s="444" t="s">
        <v>47</v>
      </c>
      <c r="AP224" s="445" t="s">
        <v>47</v>
      </c>
      <c r="AQ224" s="445" t="s">
        <v>47</v>
      </c>
      <c r="AR224" s="445" t="s">
        <v>47</v>
      </c>
      <c r="AS224" s="446" t="s">
        <v>47</v>
      </c>
      <c r="AU224" s="444" t="s">
        <v>47</v>
      </c>
      <c r="AV224" s="445" t="s">
        <v>47</v>
      </c>
      <c r="AW224" s="445" t="s">
        <v>47</v>
      </c>
      <c r="AX224" s="445" t="s">
        <v>47</v>
      </c>
      <c r="AY224" s="446" t="s">
        <v>47</v>
      </c>
      <c r="BA224" s="409">
        <f t="shared" si="154"/>
        <v>0.10339950941505335</v>
      </c>
      <c r="BB224" s="410">
        <f t="shared" si="155"/>
        <v>0.19556012289273567</v>
      </c>
    </row>
    <row r="225" spans="2:54" ht="12.75" customHeight="1" outlineLevel="1" x14ac:dyDescent="0.2">
      <c r="B225" s="447" t="s">
        <v>1026</v>
      </c>
      <c r="C225" s="402">
        <f>+SUMIFS(MktData!C:C,MktData!$A:$A,$B225)</f>
        <v>1080280</v>
      </c>
      <c r="D225" s="403">
        <f>+SUMIFS(MktData!D:D,MktData!$A:$A,$B225)</f>
        <v>967968</v>
      </c>
      <c r="E225" s="405">
        <f>+SUMIFS(MktData!E:E,MktData!$A:$A,$B225)</f>
        <v>112312</v>
      </c>
      <c r="F225" s="368"/>
      <c r="G225" s="406" t="s">
        <v>47</v>
      </c>
      <c r="H225" s="403" t="s">
        <v>47</v>
      </c>
      <c r="I225" s="405" t="s">
        <v>47</v>
      </c>
      <c r="J225" s="368"/>
      <c r="K225" s="406">
        <f>+SUMIFS(MktData!K:K,MktData!$A:$A,$B225)</f>
        <v>862510</v>
      </c>
      <c r="L225" s="405">
        <f>+SUMIFS(MktData!L:L,MktData!$A:$A,$B225)</f>
        <v>190423</v>
      </c>
      <c r="M225" s="368"/>
      <c r="N225" s="406" t="s">
        <v>47</v>
      </c>
      <c r="O225" s="405" t="s">
        <v>47</v>
      </c>
      <c r="P225" s="368"/>
      <c r="Q225" s="406" t="s">
        <v>47</v>
      </c>
      <c r="R225" s="405" t="s">
        <v>47</v>
      </c>
      <c r="S225" s="368"/>
      <c r="T225" s="406" t="s">
        <v>47</v>
      </c>
      <c r="U225" s="403" t="s">
        <v>47</v>
      </c>
      <c r="V225" s="403" t="s">
        <v>47</v>
      </c>
      <c r="W225" s="403" t="s">
        <v>47</v>
      </c>
      <c r="X225" s="403" t="s">
        <v>47</v>
      </c>
      <c r="Y225" s="403" t="s">
        <v>47</v>
      </c>
      <c r="Z225" s="403" t="s">
        <v>47</v>
      </c>
      <c r="AA225" s="403"/>
      <c r="AB225" s="405" t="s">
        <v>47</v>
      </c>
      <c r="AC225" s="368"/>
      <c r="AD225" s="447" t="s">
        <v>1026</v>
      </c>
      <c r="AE225" s="448" t="s">
        <v>47</v>
      </c>
      <c r="AF225" s="449" t="s">
        <v>47</v>
      </c>
      <c r="AG225" s="449" t="s">
        <v>47</v>
      </c>
      <c r="AH225" s="449" t="s">
        <v>47</v>
      </c>
      <c r="AI225" s="449" t="s">
        <v>47</v>
      </c>
      <c r="AJ225" s="449" t="s">
        <v>47</v>
      </c>
      <c r="AK225" s="449" t="s">
        <v>47</v>
      </c>
      <c r="AL225" s="678" t="s">
        <v>47</v>
      </c>
      <c r="AM225" s="450" t="s">
        <v>47</v>
      </c>
      <c r="AN225" s="368"/>
      <c r="AO225" s="444" t="s">
        <v>47</v>
      </c>
      <c r="AP225" s="445" t="s">
        <v>47</v>
      </c>
      <c r="AQ225" s="445" t="s">
        <v>47</v>
      </c>
      <c r="AR225" s="445" t="s">
        <v>47</v>
      </c>
      <c r="AS225" s="446" t="s">
        <v>47</v>
      </c>
      <c r="AU225" s="444" t="s">
        <v>47</v>
      </c>
      <c r="AV225" s="445" t="s">
        <v>47</v>
      </c>
      <c r="AW225" s="445" t="s">
        <v>47</v>
      </c>
      <c r="AX225" s="445" t="s">
        <v>47</v>
      </c>
      <c r="AY225" s="446" t="s">
        <v>47</v>
      </c>
      <c r="BA225" s="409">
        <f t="shared" si="154"/>
        <v>0.13021530185157273</v>
      </c>
      <c r="BB225" s="410">
        <f t="shared" si="155"/>
        <v>0.19672447849515687</v>
      </c>
    </row>
    <row r="226" spans="2:54" ht="12.75" customHeight="1" outlineLevel="1" x14ac:dyDescent="0.2">
      <c r="B226" s="440" t="s">
        <v>467</v>
      </c>
      <c r="C226" s="402">
        <f>+SUMIFS(MktData!C:C,MktData!$A:$A,$B226)</f>
        <v>893929</v>
      </c>
      <c r="D226" s="403">
        <f>+SUMIFS(MktData!D:D,MktData!$A:$A,$B226)</f>
        <v>788514</v>
      </c>
      <c r="E226" s="405">
        <f>+SUMIFS(MktData!E:E,MktData!$A:$A,$B226)</f>
        <v>105415</v>
      </c>
      <c r="F226" s="368"/>
      <c r="G226" s="402" t="s">
        <v>47</v>
      </c>
      <c r="H226" s="404" t="s">
        <v>47</v>
      </c>
      <c r="I226" s="451" t="s">
        <v>47</v>
      </c>
      <c r="J226" s="368"/>
      <c r="K226" s="406">
        <f>+SUMIFS(MktData!K:K,MktData!$A:$A,$B226)</f>
        <v>809031</v>
      </c>
      <c r="L226" s="405">
        <f>+SUMIFS(MktData!L:L,MktData!$A:$A,$B226)</f>
        <v>137078</v>
      </c>
      <c r="M226" s="368"/>
      <c r="N226" s="406" t="s">
        <v>47</v>
      </c>
      <c r="O226" s="405" t="s">
        <v>47</v>
      </c>
      <c r="P226" s="368"/>
      <c r="Q226" s="406" t="s">
        <v>47</v>
      </c>
      <c r="R226" s="405" t="s">
        <v>47</v>
      </c>
      <c r="S226" s="368"/>
      <c r="T226" s="406" t="s">
        <v>47</v>
      </c>
      <c r="U226" s="403" t="s">
        <v>47</v>
      </c>
      <c r="V226" s="403" t="s">
        <v>47</v>
      </c>
      <c r="W226" s="403" t="s">
        <v>47</v>
      </c>
      <c r="X226" s="403" t="s">
        <v>47</v>
      </c>
      <c r="Y226" s="403" t="s">
        <v>47</v>
      </c>
      <c r="Z226" s="403" t="s">
        <v>47</v>
      </c>
      <c r="AA226" s="403"/>
      <c r="AB226" s="405" t="s">
        <v>47</v>
      </c>
      <c r="AC226" s="368"/>
      <c r="AD226" s="440" t="s">
        <v>467</v>
      </c>
      <c r="AE226" s="448" t="s">
        <v>47</v>
      </c>
      <c r="AF226" s="449" t="s">
        <v>47</v>
      </c>
      <c r="AG226" s="449" t="s">
        <v>47</v>
      </c>
      <c r="AH226" s="449" t="s">
        <v>47</v>
      </c>
      <c r="AI226" s="449" t="s">
        <v>47</v>
      </c>
      <c r="AJ226" s="449" t="s">
        <v>47</v>
      </c>
      <c r="AK226" s="449" t="s">
        <v>47</v>
      </c>
      <c r="AL226" s="678" t="s">
        <v>47</v>
      </c>
      <c r="AM226" s="450" t="s">
        <v>47</v>
      </c>
      <c r="AN226" s="368"/>
      <c r="AO226" s="444" t="s">
        <v>47</v>
      </c>
      <c r="AP226" s="445" t="s">
        <v>47</v>
      </c>
      <c r="AQ226" s="445" t="s">
        <v>47</v>
      </c>
      <c r="AR226" s="445" t="s">
        <v>47</v>
      </c>
      <c r="AS226" s="446" t="s">
        <v>47</v>
      </c>
      <c r="AU226" s="444" t="s">
        <v>47</v>
      </c>
      <c r="AV226" s="445" t="s">
        <v>47</v>
      </c>
      <c r="AW226" s="445" t="s">
        <v>47</v>
      </c>
      <c r="AX226" s="445" t="s">
        <v>47</v>
      </c>
      <c r="AY226" s="446" t="s">
        <v>47</v>
      </c>
      <c r="BA226" s="409">
        <f t="shared" si="154"/>
        <v>0.13029785014418482</v>
      </c>
      <c r="BB226" s="410">
        <f t="shared" si="155"/>
        <v>0.17384345744019764</v>
      </c>
    </row>
    <row r="227" spans="2:54" ht="12.75" customHeight="1" outlineLevel="1" x14ac:dyDescent="0.2">
      <c r="B227" s="447" t="s">
        <v>468</v>
      </c>
      <c r="C227" s="402">
        <f>+SUMIFS(MktData!C:C,MktData!$A:$A,$B227)</f>
        <v>1062663</v>
      </c>
      <c r="D227" s="403">
        <f>+SUMIFS(MktData!D:D,MktData!$A:$A,$B227)</f>
        <v>921018</v>
      </c>
      <c r="E227" s="405">
        <f>+SUMIFS(MktData!E:E,MktData!$A:$A,$B227)</f>
        <v>141645</v>
      </c>
      <c r="F227" s="368"/>
      <c r="G227" s="402" t="s">
        <v>47</v>
      </c>
      <c r="H227" s="404" t="s">
        <v>47</v>
      </c>
      <c r="I227" s="451" t="s">
        <v>47</v>
      </c>
      <c r="J227" s="368"/>
      <c r="K227" s="406">
        <f>+SUMIFS(MktData!K:K,MktData!$A:$A,$B227)</f>
        <v>958596</v>
      </c>
      <c r="L227" s="405">
        <f>+SUMIFS(MktData!L:L,MktData!$A:$A,$B227)</f>
        <v>205135</v>
      </c>
      <c r="M227" s="368"/>
      <c r="N227" s="406" t="s">
        <v>47</v>
      </c>
      <c r="O227" s="405" t="s">
        <v>47</v>
      </c>
      <c r="P227" s="368"/>
      <c r="Q227" s="406" t="s">
        <v>47</v>
      </c>
      <c r="R227" s="405" t="s">
        <v>47</v>
      </c>
      <c r="S227" s="368"/>
      <c r="T227" s="406" t="s">
        <v>47</v>
      </c>
      <c r="U227" s="403" t="s">
        <v>47</v>
      </c>
      <c r="V227" s="403" t="s">
        <v>47</v>
      </c>
      <c r="W227" s="403" t="s">
        <v>47</v>
      </c>
      <c r="X227" s="403" t="s">
        <v>47</v>
      </c>
      <c r="Y227" s="403" t="s">
        <v>47</v>
      </c>
      <c r="Z227" s="403" t="s">
        <v>47</v>
      </c>
      <c r="AA227" s="403"/>
      <c r="AB227" s="405" t="s">
        <v>47</v>
      </c>
      <c r="AC227" s="368"/>
      <c r="AD227" s="447" t="s">
        <v>468</v>
      </c>
      <c r="AE227" s="448" t="s">
        <v>47</v>
      </c>
      <c r="AF227" s="449" t="s">
        <v>47</v>
      </c>
      <c r="AG227" s="449" t="s">
        <v>47</v>
      </c>
      <c r="AH227" s="449" t="s">
        <v>47</v>
      </c>
      <c r="AI227" s="449" t="s">
        <v>47</v>
      </c>
      <c r="AJ227" s="449" t="s">
        <v>47</v>
      </c>
      <c r="AK227" s="449" t="s">
        <v>47</v>
      </c>
      <c r="AL227" s="678" t="s">
        <v>47</v>
      </c>
      <c r="AM227" s="450" t="s">
        <v>47</v>
      </c>
      <c r="AN227" s="368"/>
      <c r="AO227" s="444" t="s">
        <v>47</v>
      </c>
      <c r="AP227" s="445" t="s">
        <v>47</v>
      </c>
      <c r="AQ227" s="445" t="s">
        <v>47</v>
      </c>
      <c r="AR227" s="445" t="s">
        <v>47</v>
      </c>
      <c r="AS227" s="446" t="s">
        <v>47</v>
      </c>
      <c r="AU227" s="444" t="s">
        <v>47</v>
      </c>
      <c r="AV227" s="445" t="s">
        <v>47</v>
      </c>
      <c r="AW227" s="445" t="s">
        <v>47</v>
      </c>
      <c r="AX227" s="445" t="s">
        <v>47</v>
      </c>
      <c r="AY227" s="446" t="s">
        <v>47</v>
      </c>
      <c r="BA227" s="409">
        <f t="shared" si="154"/>
        <v>0.14776297835584543</v>
      </c>
      <c r="BB227" s="410">
        <f t="shared" si="155"/>
        <v>0.22272637451168165</v>
      </c>
    </row>
    <row r="228" spans="2:54" ht="12.75" customHeight="1" outlineLevel="1" x14ac:dyDescent="0.2">
      <c r="B228" s="440" t="s">
        <v>469</v>
      </c>
      <c r="C228" s="402">
        <f>+SUMIFS(MktData!C:C,MktData!$A:$A,$B228)</f>
        <v>1085575</v>
      </c>
      <c r="D228" s="403">
        <f>+SUMIFS(MktData!D:D,MktData!$A:$A,$B228)</f>
        <v>931722</v>
      </c>
      <c r="E228" s="405">
        <f>+SUMIFS(MktData!E:E,MktData!$A:$A,$B228)</f>
        <v>153853</v>
      </c>
      <c r="F228" s="368"/>
      <c r="G228" s="402" t="s">
        <v>47</v>
      </c>
      <c r="H228" s="404" t="s">
        <v>47</v>
      </c>
      <c r="I228" s="451" t="s">
        <v>47</v>
      </c>
      <c r="J228" s="368"/>
      <c r="K228" s="406">
        <f>+SUMIFS(MktData!K:K,MktData!$A:$A,$B228)</f>
        <v>919831</v>
      </c>
      <c r="L228" s="405">
        <f>+SUMIFS(MktData!L:L,MktData!$A:$A,$B228)</f>
        <v>189475</v>
      </c>
      <c r="M228" s="368"/>
      <c r="N228" s="406" t="s">
        <v>47</v>
      </c>
      <c r="O228" s="405" t="s">
        <v>47</v>
      </c>
      <c r="P228" s="368"/>
      <c r="Q228" s="406" t="s">
        <v>47</v>
      </c>
      <c r="R228" s="405" t="s">
        <v>47</v>
      </c>
      <c r="S228" s="368"/>
      <c r="T228" s="406" t="s">
        <v>47</v>
      </c>
      <c r="U228" s="403" t="s">
        <v>47</v>
      </c>
      <c r="V228" s="403" t="s">
        <v>47</v>
      </c>
      <c r="W228" s="403" t="s">
        <v>47</v>
      </c>
      <c r="X228" s="403" t="s">
        <v>47</v>
      </c>
      <c r="Y228" s="403" t="s">
        <v>47</v>
      </c>
      <c r="Z228" s="403" t="s">
        <v>47</v>
      </c>
      <c r="AA228" s="403"/>
      <c r="AB228" s="405" t="s">
        <v>47</v>
      </c>
      <c r="AC228" s="368"/>
      <c r="AD228" s="440" t="s">
        <v>469</v>
      </c>
      <c r="AE228" s="448" t="s">
        <v>47</v>
      </c>
      <c r="AF228" s="449" t="s">
        <v>47</v>
      </c>
      <c r="AG228" s="449" t="s">
        <v>47</v>
      </c>
      <c r="AH228" s="449" t="s">
        <v>47</v>
      </c>
      <c r="AI228" s="449" t="s">
        <v>47</v>
      </c>
      <c r="AJ228" s="449" t="s">
        <v>47</v>
      </c>
      <c r="AK228" s="449" t="s">
        <v>47</v>
      </c>
      <c r="AL228" s="678" t="s">
        <v>47</v>
      </c>
      <c r="AM228" s="450" t="s">
        <v>47</v>
      </c>
      <c r="AN228" s="368"/>
      <c r="AO228" s="444" t="s">
        <v>47</v>
      </c>
      <c r="AP228" s="445" t="s">
        <v>47</v>
      </c>
      <c r="AQ228" s="445" t="s">
        <v>47</v>
      </c>
      <c r="AR228" s="445" t="s">
        <v>47</v>
      </c>
      <c r="AS228" s="446" t="s">
        <v>47</v>
      </c>
      <c r="AU228" s="444" t="s">
        <v>47</v>
      </c>
      <c r="AV228" s="445" t="s">
        <v>47</v>
      </c>
      <c r="AW228" s="445" t="s">
        <v>47</v>
      </c>
      <c r="AX228" s="445" t="s">
        <v>47</v>
      </c>
      <c r="AY228" s="446" t="s">
        <v>47</v>
      </c>
      <c r="BA228" s="409">
        <f t="shared" si="154"/>
        <v>0.1672622470866931</v>
      </c>
      <c r="BB228" s="410">
        <f t="shared" si="155"/>
        <v>0.20336001511180374</v>
      </c>
    </row>
    <row r="229" spans="2:54" ht="12.75" customHeight="1" outlineLevel="1" x14ac:dyDescent="0.2">
      <c r="B229" s="447" t="s">
        <v>470</v>
      </c>
      <c r="C229" s="402">
        <f>+SUMIFS(MktData!C:C,MktData!$A:$A,$B229)</f>
        <v>1069248</v>
      </c>
      <c r="D229" s="403">
        <f>+SUMIFS(MktData!D:D,MktData!$A:$A,$B229)</f>
        <v>938649</v>
      </c>
      <c r="E229" s="405">
        <f>+SUMIFS(MktData!E:E,MktData!$A:$A,$B229)</f>
        <v>130599</v>
      </c>
      <c r="F229" s="368"/>
      <c r="G229" s="402" t="s">
        <v>47</v>
      </c>
      <c r="H229" s="404" t="s">
        <v>47</v>
      </c>
      <c r="I229" s="451" t="s">
        <v>47</v>
      </c>
      <c r="J229" s="368"/>
      <c r="K229" s="406">
        <f>+SUMIFS(MktData!K:K,MktData!$A:$A,$B229)</f>
        <v>797722</v>
      </c>
      <c r="L229" s="405">
        <f>+SUMIFS(MktData!L:L,MktData!$A:$A,$B229)</f>
        <v>185339</v>
      </c>
      <c r="M229" s="368"/>
      <c r="N229" s="406" t="s">
        <v>47</v>
      </c>
      <c r="O229" s="405" t="s">
        <v>47</v>
      </c>
      <c r="P229" s="368"/>
      <c r="Q229" s="406" t="s">
        <v>47</v>
      </c>
      <c r="R229" s="405" t="s">
        <v>47</v>
      </c>
      <c r="S229" s="368"/>
      <c r="T229" s="406" t="s">
        <v>47</v>
      </c>
      <c r="U229" s="403" t="s">
        <v>47</v>
      </c>
      <c r="V229" s="403" t="s">
        <v>47</v>
      </c>
      <c r="W229" s="403" t="s">
        <v>47</v>
      </c>
      <c r="X229" s="403" t="s">
        <v>47</v>
      </c>
      <c r="Y229" s="403" t="s">
        <v>47</v>
      </c>
      <c r="Z229" s="403" t="s">
        <v>47</v>
      </c>
      <c r="AA229" s="403"/>
      <c r="AB229" s="405" t="s">
        <v>47</v>
      </c>
      <c r="AC229" s="368"/>
      <c r="AD229" s="447" t="s">
        <v>470</v>
      </c>
      <c r="AE229" s="448" t="s">
        <v>47</v>
      </c>
      <c r="AF229" s="449" t="s">
        <v>47</v>
      </c>
      <c r="AG229" s="449" t="s">
        <v>47</v>
      </c>
      <c r="AH229" s="449" t="s">
        <v>47</v>
      </c>
      <c r="AI229" s="449" t="s">
        <v>47</v>
      </c>
      <c r="AJ229" s="449" t="s">
        <v>47</v>
      </c>
      <c r="AK229" s="449" t="s">
        <v>47</v>
      </c>
      <c r="AL229" s="678" t="s">
        <v>47</v>
      </c>
      <c r="AM229" s="450" t="s">
        <v>47</v>
      </c>
      <c r="AN229" s="368"/>
      <c r="AO229" s="444" t="s">
        <v>47</v>
      </c>
      <c r="AP229" s="445" t="s">
        <v>47</v>
      </c>
      <c r="AQ229" s="445" t="s">
        <v>47</v>
      </c>
      <c r="AR229" s="445" t="s">
        <v>47</v>
      </c>
      <c r="AS229" s="446" t="s">
        <v>47</v>
      </c>
      <c r="AU229" s="444" t="s">
        <v>47</v>
      </c>
      <c r="AV229" s="445" t="s">
        <v>47</v>
      </c>
      <c r="AW229" s="445" t="s">
        <v>47</v>
      </c>
      <c r="AX229" s="445" t="s">
        <v>47</v>
      </c>
      <c r="AY229" s="446" t="s">
        <v>47</v>
      </c>
      <c r="BA229" s="409">
        <f t="shared" si="154"/>
        <v>0.16371492825821526</v>
      </c>
      <c r="BB229" s="410">
        <f t="shared" si="155"/>
        <v>0.1974529350161775</v>
      </c>
    </row>
    <row r="230" spans="2:54" ht="12.75" customHeight="1" outlineLevel="1" x14ac:dyDescent="0.2">
      <c r="B230" s="440" t="s">
        <v>471</v>
      </c>
      <c r="C230" s="402">
        <f>+SUMIFS(MktData!C:C,MktData!$A:$A,$B230)</f>
        <v>844225</v>
      </c>
      <c r="D230" s="403">
        <f>+SUMIFS(MktData!D:D,MktData!$A:$A,$B230)</f>
        <v>775345</v>
      </c>
      <c r="E230" s="405">
        <f>+SUMIFS(MktData!E:E,MktData!$A:$A,$B230)</f>
        <v>68880</v>
      </c>
      <c r="F230" s="368"/>
      <c r="G230" s="402" t="s">
        <v>47</v>
      </c>
      <c r="H230" s="404" t="s">
        <v>47</v>
      </c>
      <c r="I230" s="451" t="s">
        <v>47</v>
      </c>
      <c r="J230" s="368"/>
      <c r="K230" s="406">
        <f>+SUMIFS(MktData!K:K,MktData!$A:$A,$B230)</f>
        <v>738994</v>
      </c>
      <c r="L230" s="405">
        <f>+SUMIFS(MktData!L:L,MktData!$A:$A,$B230)</f>
        <v>128151</v>
      </c>
      <c r="M230" s="368"/>
      <c r="N230" s="406" t="s">
        <v>47</v>
      </c>
      <c r="O230" s="405" t="s">
        <v>47</v>
      </c>
      <c r="P230" s="368"/>
      <c r="Q230" s="406" t="s">
        <v>47</v>
      </c>
      <c r="R230" s="405" t="s">
        <v>47</v>
      </c>
      <c r="S230" s="368"/>
      <c r="T230" s="406" t="s">
        <v>47</v>
      </c>
      <c r="U230" s="403" t="s">
        <v>47</v>
      </c>
      <c r="V230" s="403" t="s">
        <v>47</v>
      </c>
      <c r="W230" s="403" t="s">
        <v>47</v>
      </c>
      <c r="X230" s="403" t="s">
        <v>47</v>
      </c>
      <c r="Y230" s="403" t="s">
        <v>47</v>
      </c>
      <c r="Z230" s="403" t="s">
        <v>47</v>
      </c>
      <c r="AA230" s="403"/>
      <c r="AB230" s="405" t="s">
        <v>47</v>
      </c>
      <c r="AC230" s="368"/>
      <c r="AD230" s="440" t="s">
        <v>471</v>
      </c>
      <c r="AE230" s="448" t="s">
        <v>47</v>
      </c>
      <c r="AF230" s="449" t="s">
        <v>47</v>
      </c>
      <c r="AG230" s="449" t="s">
        <v>47</v>
      </c>
      <c r="AH230" s="449" t="s">
        <v>47</v>
      </c>
      <c r="AI230" s="449" t="s">
        <v>47</v>
      </c>
      <c r="AJ230" s="449" t="s">
        <v>47</v>
      </c>
      <c r="AK230" s="449" t="s">
        <v>47</v>
      </c>
      <c r="AL230" s="678" t="s">
        <v>47</v>
      </c>
      <c r="AM230" s="450" t="s">
        <v>47</v>
      </c>
      <c r="AN230" s="368"/>
      <c r="AO230" s="444" t="s">
        <v>47</v>
      </c>
      <c r="AP230" s="445" t="s">
        <v>47</v>
      </c>
      <c r="AQ230" s="445" t="s">
        <v>47</v>
      </c>
      <c r="AR230" s="445" t="s">
        <v>47</v>
      </c>
      <c r="AS230" s="446" t="s">
        <v>47</v>
      </c>
      <c r="AU230" s="444" t="s">
        <v>47</v>
      </c>
      <c r="AV230" s="445" t="s">
        <v>47</v>
      </c>
      <c r="AW230" s="445" t="s">
        <v>47</v>
      </c>
      <c r="AX230" s="445" t="s">
        <v>47</v>
      </c>
      <c r="AY230" s="446" t="s">
        <v>47</v>
      </c>
      <c r="BA230" s="409">
        <f t="shared" si="154"/>
        <v>9.3207793297374539E-2</v>
      </c>
      <c r="BB230" s="410">
        <f t="shared" si="155"/>
        <v>0.16528255163830294</v>
      </c>
    </row>
    <row r="231" spans="2:54" ht="12.75" customHeight="1" outlineLevel="1" x14ac:dyDescent="0.2">
      <c r="B231" s="447" t="s">
        <v>472</v>
      </c>
      <c r="C231" s="402">
        <f>+SUMIFS(MktData!C:C,MktData!$A:$A,$B231)</f>
        <v>897411</v>
      </c>
      <c r="D231" s="403">
        <f>+SUMIFS(MktData!D:D,MktData!$A:$A,$B231)</f>
        <v>809536</v>
      </c>
      <c r="E231" s="405">
        <f>+SUMIFS(MktData!E:E,MktData!$A:$A,$B231)</f>
        <v>87875</v>
      </c>
      <c r="F231" s="368"/>
      <c r="G231" s="402" t="s">
        <v>47</v>
      </c>
      <c r="H231" s="404" t="s">
        <v>47</v>
      </c>
      <c r="I231" s="451" t="s">
        <v>47</v>
      </c>
      <c r="J231" s="368"/>
      <c r="K231" s="406">
        <f>+SUMIFS(MktData!K:K,MktData!$A:$A,$B231)</f>
        <v>731858</v>
      </c>
      <c r="L231" s="405">
        <f>+SUMIFS(MktData!L:L,MktData!$A:$A,$B231)</f>
        <v>168864</v>
      </c>
      <c r="M231" s="368"/>
      <c r="N231" s="406" t="s">
        <v>47</v>
      </c>
      <c r="O231" s="405" t="s">
        <v>47</v>
      </c>
      <c r="P231" s="368"/>
      <c r="Q231" s="406" t="s">
        <v>47</v>
      </c>
      <c r="R231" s="405" t="s">
        <v>47</v>
      </c>
      <c r="S231" s="368"/>
      <c r="T231" s="406" t="s">
        <v>47</v>
      </c>
      <c r="U231" s="403" t="s">
        <v>47</v>
      </c>
      <c r="V231" s="403" t="s">
        <v>47</v>
      </c>
      <c r="W231" s="403" t="s">
        <v>47</v>
      </c>
      <c r="X231" s="403" t="s">
        <v>47</v>
      </c>
      <c r="Y231" s="403" t="s">
        <v>47</v>
      </c>
      <c r="Z231" s="403" t="s">
        <v>47</v>
      </c>
      <c r="AA231" s="403"/>
      <c r="AB231" s="405" t="s">
        <v>47</v>
      </c>
      <c r="AC231" s="368"/>
      <c r="AD231" s="447" t="s">
        <v>472</v>
      </c>
      <c r="AE231" s="448" t="s">
        <v>47</v>
      </c>
      <c r="AF231" s="449" t="s">
        <v>47</v>
      </c>
      <c r="AG231" s="449" t="s">
        <v>47</v>
      </c>
      <c r="AH231" s="449" t="s">
        <v>47</v>
      </c>
      <c r="AI231" s="449" t="s">
        <v>47</v>
      </c>
      <c r="AJ231" s="449" t="s">
        <v>47</v>
      </c>
      <c r="AK231" s="449" t="s">
        <v>47</v>
      </c>
      <c r="AL231" s="678" t="s">
        <v>47</v>
      </c>
      <c r="AM231" s="450" t="s">
        <v>47</v>
      </c>
      <c r="AN231" s="368"/>
      <c r="AO231" s="444" t="s">
        <v>47</v>
      </c>
      <c r="AP231" s="445" t="s">
        <v>47</v>
      </c>
      <c r="AQ231" s="445" t="s">
        <v>47</v>
      </c>
      <c r="AR231" s="445" t="s">
        <v>47</v>
      </c>
      <c r="AS231" s="446" t="s">
        <v>47</v>
      </c>
      <c r="AU231" s="444" t="s">
        <v>47</v>
      </c>
      <c r="AV231" s="445" t="s">
        <v>47</v>
      </c>
      <c r="AW231" s="445" t="s">
        <v>47</v>
      </c>
      <c r="AX231" s="445" t="s">
        <v>47</v>
      </c>
      <c r="AY231" s="446" t="s">
        <v>47</v>
      </c>
      <c r="BA231" s="409">
        <f t="shared" si="154"/>
        <v>0.12007110669009562</v>
      </c>
      <c r="BB231" s="410">
        <f t="shared" si="155"/>
        <v>0.20859356470867263</v>
      </c>
    </row>
    <row r="232" spans="2:54" ht="12.75" customHeight="1" outlineLevel="1" x14ac:dyDescent="0.2">
      <c r="B232" s="440" t="s">
        <v>473</v>
      </c>
      <c r="C232" s="402">
        <f>+SUMIFS(MktData!C:C,MktData!$A:$A,$B232)</f>
        <v>908290</v>
      </c>
      <c r="D232" s="403">
        <f>+SUMIFS(MktData!D:D,MktData!$A:$A,$B232)</f>
        <v>822561</v>
      </c>
      <c r="E232" s="405">
        <f>+SUMIFS(MktData!E:E,MktData!$A:$A,$B232)</f>
        <v>85729</v>
      </c>
      <c r="F232" s="368"/>
      <c r="G232" s="402" t="s">
        <v>47</v>
      </c>
      <c r="H232" s="404" t="s">
        <v>47</v>
      </c>
      <c r="I232" s="451" t="s">
        <v>47</v>
      </c>
      <c r="J232" s="368"/>
      <c r="K232" s="406">
        <f>+SUMIFS(MktData!K:K,MktData!$A:$A,$B232)</f>
        <v>773464</v>
      </c>
      <c r="L232" s="405">
        <f>+SUMIFS(MktData!L:L,MktData!$A:$A,$B232)</f>
        <v>142411</v>
      </c>
      <c r="M232" s="368"/>
      <c r="N232" s="406" t="s">
        <v>47</v>
      </c>
      <c r="O232" s="405" t="s">
        <v>47</v>
      </c>
      <c r="P232" s="368"/>
      <c r="Q232" s="406" t="s">
        <v>47</v>
      </c>
      <c r="R232" s="405" t="s">
        <v>47</v>
      </c>
      <c r="S232" s="368"/>
      <c r="T232" s="406" t="s">
        <v>47</v>
      </c>
      <c r="U232" s="403" t="s">
        <v>47</v>
      </c>
      <c r="V232" s="403" t="s">
        <v>47</v>
      </c>
      <c r="W232" s="403" t="s">
        <v>47</v>
      </c>
      <c r="X232" s="403" t="s">
        <v>47</v>
      </c>
      <c r="Y232" s="403" t="s">
        <v>47</v>
      </c>
      <c r="Z232" s="403" t="s">
        <v>47</v>
      </c>
      <c r="AA232" s="403"/>
      <c r="AB232" s="405" t="s">
        <v>47</v>
      </c>
      <c r="AC232" s="368"/>
      <c r="AD232" s="440" t="s">
        <v>473</v>
      </c>
      <c r="AE232" s="448" t="s">
        <v>47</v>
      </c>
      <c r="AF232" s="449" t="s">
        <v>47</v>
      </c>
      <c r="AG232" s="449" t="s">
        <v>47</v>
      </c>
      <c r="AH232" s="449" t="s">
        <v>47</v>
      </c>
      <c r="AI232" s="449" t="s">
        <v>47</v>
      </c>
      <c r="AJ232" s="449" t="s">
        <v>47</v>
      </c>
      <c r="AK232" s="449" t="s">
        <v>47</v>
      </c>
      <c r="AL232" s="678" t="s">
        <v>47</v>
      </c>
      <c r="AM232" s="450" t="s">
        <v>47</v>
      </c>
      <c r="AN232" s="368"/>
      <c r="AO232" s="444" t="s">
        <v>47</v>
      </c>
      <c r="AP232" s="445" t="s">
        <v>47</v>
      </c>
      <c r="AQ232" s="445" t="s">
        <v>47</v>
      </c>
      <c r="AR232" s="445" t="s">
        <v>47</v>
      </c>
      <c r="AS232" s="446" t="s">
        <v>47</v>
      </c>
      <c r="AU232" s="444" t="s">
        <v>47</v>
      </c>
      <c r="AV232" s="445" t="s">
        <v>47</v>
      </c>
      <c r="AW232" s="445" t="s">
        <v>47</v>
      </c>
      <c r="AX232" s="445" t="s">
        <v>47</v>
      </c>
      <c r="AY232" s="446" t="s">
        <v>47</v>
      </c>
      <c r="BA232" s="409">
        <f t="shared" si="154"/>
        <v>0.11083773776155063</v>
      </c>
      <c r="BB232" s="410">
        <f t="shared" si="155"/>
        <v>0.17313123282042303</v>
      </c>
    </row>
    <row r="233" spans="2:54" ht="12.75" customHeight="1" outlineLevel="1" x14ac:dyDescent="0.2">
      <c r="B233" s="447" t="s">
        <v>474</v>
      </c>
      <c r="C233" s="402">
        <f>+SUMIFS(MktData!C:C,MktData!$A:$A,$B233)</f>
        <v>993627</v>
      </c>
      <c r="D233" s="403">
        <f>+SUMIFS(MktData!D:D,MktData!$A:$A,$B233)</f>
        <v>925955</v>
      </c>
      <c r="E233" s="405">
        <f>+SUMIFS(MktData!E:E,MktData!$A:$A,$B233)</f>
        <v>67672</v>
      </c>
      <c r="F233" s="368"/>
      <c r="G233" s="402" t="s">
        <v>47</v>
      </c>
      <c r="H233" s="404" t="s">
        <v>47</v>
      </c>
      <c r="I233" s="451" t="s">
        <v>47</v>
      </c>
      <c r="J233" s="368"/>
      <c r="K233" s="406">
        <f>+SUMIFS(MktData!K:K,MktData!$A:$A,$B233)</f>
        <v>729168</v>
      </c>
      <c r="L233" s="405">
        <f>+SUMIFS(MktData!L:L,MktData!$A:$A,$B233)</f>
        <v>149528</v>
      </c>
      <c r="M233" s="368"/>
      <c r="N233" s="406">
        <f>+SUMIFS(MktData!N:N,MktData!$A:$A,$B233)</f>
        <v>97562.124400000001</v>
      </c>
      <c r="O233" s="405">
        <f>+SUMIFS(MktData!O:O,MktData!$A:$A,$B233)</f>
        <v>256436.8756</v>
      </c>
      <c r="P233" s="368"/>
      <c r="Q233" s="406" t="s">
        <v>47</v>
      </c>
      <c r="R233" s="405" t="s">
        <v>47</v>
      </c>
      <c r="S233" s="368"/>
      <c r="T233" s="406" t="s">
        <v>47</v>
      </c>
      <c r="U233" s="403" t="s">
        <v>47</v>
      </c>
      <c r="V233" s="403" t="s">
        <v>47</v>
      </c>
      <c r="W233" s="403" t="s">
        <v>47</v>
      </c>
      <c r="X233" s="403" t="s">
        <v>47</v>
      </c>
      <c r="Y233" s="403" t="s">
        <v>47</v>
      </c>
      <c r="Z233" s="403" t="s">
        <v>47</v>
      </c>
      <c r="AA233" s="403"/>
      <c r="AB233" s="405" t="s">
        <v>47</v>
      </c>
      <c r="AC233" s="368"/>
      <c r="AD233" s="447" t="s">
        <v>474</v>
      </c>
      <c r="AE233" s="448" t="s">
        <v>47</v>
      </c>
      <c r="AF233" s="449" t="s">
        <v>47</v>
      </c>
      <c r="AG233" s="449" t="s">
        <v>47</v>
      </c>
      <c r="AH233" s="449" t="s">
        <v>47</v>
      </c>
      <c r="AI233" s="449" t="s">
        <v>47</v>
      </c>
      <c r="AJ233" s="449" t="s">
        <v>47</v>
      </c>
      <c r="AK233" s="449" t="s">
        <v>47</v>
      </c>
      <c r="AL233" s="678" t="s">
        <v>47</v>
      </c>
      <c r="AM233" s="450" t="s">
        <v>47</v>
      </c>
      <c r="AN233" s="368"/>
      <c r="AO233" s="444" t="s">
        <v>47</v>
      </c>
      <c r="AP233" s="445" t="s">
        <v>47</v>
      </c>
      <c r="AQ233" s="445" t="s">
        <v>47</v>
      </c>
      <c r="AR233" s="445" t="s">
        <v>47</v>
      </c>
      <c r="AS233" s="446" t="s">
        <v>47</v>
      </c>
      <c r="AU233" s="444" t="s">
        <v>47</v>
      </c>
      <c r="AV233" s="445" t="s">
        <v>47</v>
      </c>
      <c r="AW233" s="445" t="s">
        <v>47</v>
      </c>
      <c r="AX233" s="445" t="s">
        <v>47</v>
      </c>
      <c r="AY233" s="446" t="s">
        <v>47</v>
      </c>
      <c r="BA233" s="409">
        <f t="shared" si="154"/>
        <v>9.2807144581221343E-2</v>
      </c>
      <c r="BB233" s="410">
        <f t="shared" si="155"/>
        <v>0.16148516936568191</v>
      </c>
    </row>
    <row r="234" spans="2:54" ht="12.75" customHeight="1" outlineLevel="1" collapsed="1" x14ac:dyDescent="0.2">
      <c r="B234" s="440" t="s">
        <v>475</v>
      </c>
      <c r="C234" s="402">
        <f>+SUMIFS(MktData!C:C,MktData!$A:$A,$B234)</f>
        <v>723780</v>
      </c>
      <c r="D234" s="403">
        <f>+SUMIFS(MktData!D:D,MktData!$A:$A,$B234)</f>
        <v>649865</v>
      </c>
      <c r="E234" s="405">
        <f>+SUMIFS(MktData!E:E,MktData!$A:$A,$B234)</f>
        <v>73915</v>
      </c>
      <c r="F234" s="368"/>
      <c r="G234" s="402" t="s">
        <v>47</v>
      </c>
      <c r="H234" s="404" t="s">
        <v>47</v>
      </c>
      <c r="I234" s="451" t="s">
        <v>47</v>
      </c>
      <c r="J234" s="368"/>
      <c r="K234" s="406">
        <f>+SUMIFS(MktData!K:K,MktData!$A:$A,$B234)</f>
        <v>636572</v>
      </c>
      <c r="L234" s="405">
        <f>+SUMIFS(MktData!L:L,MktData!$A:$A,$B234)</f>
        <v>97930</v>
      </c>
      <c r="M234" s="368"/>
      <c r="N234" s="406">
        <f>+SUMIFS(MktData!N:N,MktData!$A:$A,$B234)</f>
        <v>159042.50770000002</v>
      </c>
      <c r="O234" s="405">
        <f>+SUMIFS(MktData!O:O,MktData!$A:$A,$B234)</f>
        <v>490822.49229999998</v>
      </c>
      <c r="P234" s="368"/>
      <c r="Q234" s="406">
        <f>+SUMIFS(MktData!Q:Q,MktData!$A:$A,$B234)</f>
        <v>2336194</v>
      </c>
      <c r="R234" s="407">
        <f t="shared" ref="R234:R271" si="156">+Q234/D234</f>
        <v>3.5948912466435337</v>
      </c>
      <c r="S234" s="368"/>
      <c r="T234" s="406" t="s">
        <v>47</v>
      </c>
      <c r="U234" s="403" t="s">
        <v>47</v>
      </c>
      <c r="V234" s="403" t="s">
        <v>47</v>
      </c>
      <c r="W234" s="403" t="s">
        <v>47</v>
      </c>
      <c r="X234" s="403" t="s">
        <v>47</v>
      </c>
      <c r="Y234" s="403" t="s">
        <v>47</v>
      </c>
      <c r="Z234" s="403" t="s">
        <v>47</v>
      </c>
      <c r="AA234" s="403"/>
      <c r="AB234" s="405" t="s">
        <v>47</v>
      </c>
      <c r="AC234" s="368"/>
      <c r="AD234" s="440" t="s">
        <v>475</v>
      </c>
      <c r="AE234" s="448" t="s">
        <v>47</v>
      </c>
      <c r="AF234" s="449" t="s">
        <v>47</v>
      </c>
      <c r="AG234" s="449" t="s">
        <v>47</v>
      </c>
      <c r="AH234" s="449" t="s">
        <v>47</v>
      </c>
      <c r="AI234" s="449" t="s">
        <v>47</v>
      </c>
      <c r="AJ234" s="449" t="s">
        <v>47</v>
      </c>
      <c r="AK234" s="449" t="s">
        <v>47</v>
      </c>
      <c r="AL234" s="678" t="s">
        <v>47</v>
      </c>
      <c r="AM234" s="450" t="s">
        <v>47</v>
      </c>
      <c r="AN234" s="368"/>
      <c r="AO234" s="444" t="s">
        <v>47</v>
      </c>
      <c r="AP234" s="445" t="s">
        <v>47</v>
      </c>
      <c r="AQ234" s="445" t="s">
        <v>47</v>
      </c>
      <c r="AR234" s="445" t="s">
        <v>47</v>
      </c>
      <c r="AS234" s="446" t="s">
        <v>47</v>
      </c>
      <c r="AU234" s="444" t="s">
        <v>47</v>
      </c>
      <c r="AV234" s="445" t="s">
        <v>47</v>
      </c>
      <c r="AW234" s="445" t="s">
        <v>47</v>
      </c>
      <c r="AX234" s="445" t="s">
        <v>47</v>
      </c>
      <c r="AY234" s="446" t="s">
        <v>47</v>
      </c>
      <c r="BA234" s="409">
        <f t="shared" si="154"/>
        <v>0.11611412377547238</v>
      </c>
      <c r="BB234" s="410">
        <f t="shared" si="155"/>
        <v>0.15069283620444246</v>
      </c>
    </row>
    <row r="235" spans="2:54" ht="12.75" customHeight="1" outlineLevel="1" x14ac:dyDescent="0.2">
      <c r="B235" s="447" t="s">
        <v>476</v>
      </c>
      <c r="C235" s="402">
        <f>+SUMIFS(MktData!C:C,MktData!$A:$A,$B235)</f>
        <v>733218</v>
      </c>
      <c r="D235" s="403">
        <f>+SUMIFS(MktData!D:D,MktData!$A:$A,$B235)</f>
        <v>622134</v>
      </c>
      <c r="E235" s="405">
        <f>+SUMIFS(MktData!E:E,MktData!$A:$A,$B235)</f>
        <v>111084</v>
      </c>
      <c r="F235" s="368"/>
      <c r="G235" s="402" t="s">
        <v>47</v>
      </c>
      <c r="H235" s="404" t="s">
        <v>47</v>
      </c>
      <c r="I235" s="451" t="s">
        <v>47</v>
      </c>
      <c r="J235" s="368"/>
      <c r="K235" s="406">
        <f>+SUMIFS(MktData!K:K,MktData!$A:$A,$B235)</f>
        <v>597804</v>
      </c>
      <c r="L235" s="405">
        <f>+SUMIFS(MktData!L:L,MktData!$A:$A,$B235)</f>
        <v>115028</v>
      </c>
      <c r="M235" s="368"/>
      <c r="N235" s="406">
        <f>+SUMIFS(MktData!N:N,MktData!$A:$A,$B235)</f>
        <v>185539.52039999998</v>
      </c>
      <c r="O235" s="405">
        <f>+SUMIFS(MktData!O:O,MktData!$A:$A,$B235)</f>
        <v>436594.47960000002</v>
      </c>
      <c r="P235" s="368"/>
      <c r="Q235" s="406">
        <f>+SUMIFS(MktData!Q:Q,MktData!$A:$A,$B235)</f>
        <v>2469723</v>
      </c>
      <c r="R235" s="407">
        <f t="shared" si="156"/>
        <v>3.9697605339042714</v>
      </c>
      <c r="S235" s="368"/>
      <c r="T235" s="406" t="s">
        <v>47</v>
      </c>
      <c r="U235" s="403" t="s">
        <v>47</v>
      </c>
      <c r="V235" s="403" t="s">
        <v>47</v>
      </c>
      <c r="W235" s="403" t="s">
        <v>47</v>
      </c>
      <c r="X235" s="403" t="s">
        <v>47</v>
      </c>
      <c r="Y235" s="403" t="s">
        <v>47</v>
      </c>
      <c r="Z235" s="403" t="s">
        <v>47</v>
      </c>
      <c r="AA235" s="403"/>
      <c r="AB235" s="405" t="s">
        <v>47</v>
      </c>
      <c r="AC235" s="368"/>
      <c r="AD235" s="447" t="s">
        <v>476</v>
      </c>
      <c r="AE235" s="448" t="s">
        <v>47</v>
      </c>
      <c r="AF235" s="449" t="s">
        <v>47</v>
      </c>
      <c r="AG235" s="449" t="s">
        <v>47</v>
      </c>
      <c r="AH235" s="449" t="s">
        <v>47</v>
      </c>
      <c r="AI235" s="449" t="s">
        <v>47</v>
      </c>
      <c r="AJ235" s="449" t="s">
        <v>47</v>
      </c>
      <c r="AK235" s="449" t="s">
        <v>47</v>
      </c>
      <c r="AL235" s="678" t="s">
        <v>47</v>
      </c>
      <c r="AM235" s="450" t="s">
        <v>47</v>
      </c>
      <c r="AN235" s="368"/>
      <c r="AO235" s="444" t="s">
        <v>47</v>
      </c>
      <c r="AP235" s="445" t="s">
        <v>47</v>
      </c>
      <c r="AQ235" s="445" t="s">
        <v>47</v>
      </c>
      <c r="AR235" s="445" t="s">
        <v>47</v>
      </c>
      <c r="AS235" s="446" t="s">
        <v>47</v>
      </c>
      <c r="AU235" s="444" t="s">
        <v>47</v>
      </c>
      <c r="AV235" s="445" t="s">
        <v>47</v>
      </c>
      <c r="AW235" s="445" t="s">
        <v>47</v>
      </c>
      <c r="AX235" s="445" t="s">
        <v>47</v>
      </c>
      <c r="AY235" s="446" t="s">
        <v>47</v>
      </c>
      <c r="BA235" s="409">
        <f t="shared" si="154"/>
        <v>0.18582010157175261</v>
      </c>
      <c r="BB235" s="410">
        <f t="shared" si="155"/>
        <v>0.18489264370698275</v>
      </c>
    </row>
    <row r="236" spans="2:54" ht="12.75" customHeight="1" outlineLevel="1" x14ac:dyDescent="0.2">
      <c r="B236" s="440" t="s">
        <v>477</v>
      </c>
      <c r="C236" s="402">
        <f>+SUMIFS(MktData!C:C,MktData!$A:$A,$B236)</f>
        <v>701746</v>
      </c>
      <c r="D236" s="403">
        <f>+SUMIFS(MktData!D:D,MktData!$A:$A,$B236)</f>
        <v>612651</v>
      </c>
      <c r="E236" s="405">
        <f>+SUMIFS(MktData!E:E,MktData!$A:$A,$B236)</f>
        <v>89095</v>
      </c>
      <c r="F236" s="368"/>
      <c r="G236" s="402" t="s">
        <v>47</v>
      </c>
      <c r="H236" s="404" t="s">
        <v>47</v>
      </c>
      <c r="I236" s="451" t="s">
        <v>47</v>
      </c>
      <c r="J236" s="368"/>
      <c r="K236" s="406">
        <f>+SUMIFS(MktData!K:K,MktData!$A:$A,$B236)</f>
        <v>594004</v>
      </c>
      <c r="L236" s="405">
        <f>+SUMIFS(MktData!L:L,MktData!$A:$A,$B236)</f>
        <v>100687</v>
      </c>
      <c r="M236" s="368"/>
      <c r="N236" s="406">
        <f>+SUMIFS(MktData!N:N,MktData!$A:$A,$B236)</f>
        <v>184548.44500000001</v>
      </c>
      <c r="O236" s="405">
        <f>+SUMIFS(MktData!O:O,MktData!$A:$A,$B236)</f>
        <v>428102.55500000005</v>
      </c>
      <c r="P236" s="368"/>
      <c r="Q236" s="406">
        <f>+SUMIFS(MktData!Q:Q,MktData!$A:$A,$B236)</f>
        <v>2670649</v>
      </c>
      <c r="R236" s="407">
        <f t="shared" si="156"/>
        <v>4.359168596803074</v>
      </c>
      <c r="S236" s="368"/>
      <c r="T236" s="406" t="s">
        <v>47</v>
      </c>
      <c r="U236" s="403" t="s">
        <v>47</v>
      </c>
      <c r="V236" s="403" t="s">
        <v>47</v>
      </c>
      <c r="W236" s="403" t="s">
        <v>47</v>
      </c>
      <c r="X236" s="403" t="s">
        <v>47</v>
      </c>
      <c r="Y236" s="403" t="s">
        <v>47</v>
      </c>
      <c r="Z236" s="403" t="s">
        <v>47</v>
      </c>
      <c r="AA236" s="403"/>
      <c r="AB236" s="405" t="s">
        <v>47</v>
      </c>
      <c r="AC236" s="368"/>
      <c r="AD236" s="440" t="s">
        <v>477</v>
      </c>
      <c r="AE236" s="448" t="s">
        <v>47</v>
      </c>
      <c r="AF236" s="449" t="s">
        <v>47</v>
      </c>
      <c r="AG236" s="449" t="s">
        <v>47</v>
      </c>
      <c r="AH236" s="449" t="s">
        <v>47</v>
      </c>
      <c r="AI236" s="449" t="s">
        <v>47</v>
      </c>
      <c r="AJ236" s="449" t="s">
        <v>47</v>
      </c>
      <c r="AK236" s="449" t="s">
        <v>47</v>
      </c>
      <c r="AL236" s="678" t="s">
        <v>47</v>
      </c>
      <c r="AM236" s="450" t="s">
        <v>47</v>
      </c>
      <c r="AN236" s="368"/>
      <c r="AO236" s="444" t="s">
        <v>47</v>
      </c>
      <c r="AP236" s="445" t="s">
        <v>47</v>
      </c>
      <c r="AQ236" s="445" t="s">
        <v>47</v>
      </c>
      <c r="AR236" s="445" t="s">
        <v>47</v>
      </c>
      <c r="AS236" s="446" t="s">
        <v>47</v>
      </c>
      <c r="AU236" s="444" t="s">
        <v>47</v>
      </c>
      <c r="AV236" s="445" t="s">
        <v>47</v>
      </c>
      <c r="AW236" s="445" t="s">
        <v>47</v>
      </c>
      <c r="AX236" s="445" t="s">
        <v>47</v>
      </c>
      <c r="AY236" s="446" t="s">
        <v>47</v>
      </c>
      <c r="BA236" s="409">
        <f t="shared" si="154"/>
        <v>0.14999057245405756</v>
      </c>
      <c r="BB236" s="410">
        <f t="shared" si="155"/>
        <v>0.16434642235138766</v>
      </c>
    </row>
    <row r="237" spans="2:54" ht="12.75" customHeight="1" outlineLevel="1" x14ac:dyDescent="0.2">
      <c r="B237" s="447" t="s">
        <v>478</v>
      </c>
      <c r="C237" s="402">
        <f>+SUMIFS(MktData!C:C,MktData!$A:$A,$B237)</f>
        <v>710808</v>
      </c>
      <c r="D237" s="403">
        <f>+SUMIFS(MktData!D:D,MktData!$A:$A,$B237)</f>
        <v>595879</v>
      </c>
      <c r="E237" s="405">
        <f>+SUMIFS(MktData!E:E,MktData!$A:$A,$B237)</f>
        <v>114929</v>
      </c>
      <c r="F237" s="368"/>
      <c r="G237" s="402" t="s">
        <v>47</v>
      </c>
      <c r="H237" s="404" t="s">
        <v>47</v>
      </c>
      <c r="I237" s="451" t="s">
        <v>47</v>
      </c>
      <c r="J237" s="368"/>
      <c r="K237" s="406">
        <f>+SUMIFS(MktData!K:K,MktData!$A:$A,$B237)</f>
        <v>505481</v>
      </c>
      <c r="L237" s="405">
        <f>+SUMIFS(MktData!L:L,MktData!$A:$A,$B237)</f>
        <v>79225</v>
      </c>
      <c r="M237" s="368"/>
      <c r="N237" s="406">
        <f>+SUMIFS(MktData!N:N,MktData!$A:$A,$B237)</f>
        <v>185914.24800000002</v>
      </c>
      <c r="O237" s="405">
        <f>+SUMIFS(MktData!O:O,MktData!$A:$A,$B237)</f>
        <v>409964.75199999998</v>
      </c>
      <c r="P237" s="368"/>
      <c r="Q237" s="406">
        <f>+SUMIFS(MktData!Q:Q,MktData!$A:$A,$B237)</f>
        <v>2511144</v>
      </c>
      <c r="R237" s="407">
        <f t="shared" si="156"/>
        <v>4.2141844233476933</v>
      </c>
      <c r="S237" s="368"/>
      <c r="T237" s="406" t="s">
        <v>47</v>
      </c>
      <c r="U237" s="403" t="s">
        <v>47</v>
      </c>
      <c r="V237" s="403" t="s">
        <v>47</v>
      </c>
      <c r="W237" s="403" t="s">
        <v>47</v>
      </c>
      <c r="X237" s="403" t="s">
        <v>47</v>
      </c>
      <c r="Y237" s="403" t="s">
        <v>47</v>
      </c>
      <c r="Z237" s="403" t="s">
        <v>47</v>
      </c>
      <c r="AA237" s="403"/>
      <c r="AB237" s="405" t="s">
        <v>47</v>
      </c>
      <c r="AC237" s="368"/>
      <c r="AD237" s="447" t="s">
        <v>478</v>
      </c>
      <c r="AE237" s="448" t="s">
        <v>47</v>
      </c>
      <c r="AF237" s="449" t="s">
        <v>47</v>
      </c>
      <c r="AG237" s="449" t="s">
        <v>47</v>
      </c>
      <c r="AH237" s="449" t="s">
        <v>47</v>
      </c>
      <c r="AI237" s="449" t="s">
        <v>47</v>
      </c>
      <c r="AJ237" s="449" t="s">
        <v>47</v>
      </c>
      <c r="AK237" s="449" t="s">
        <v>47</v>
      </c>
      <c r="AL237" s="678" t="s">
        <v>47</v>
      </c>
      <c r="AM237" s="450" t="s">
        <v>47</v>
      </c>
      <c r="AN237" s="368"/>
      <c r="AO237" s="444" t="s">
        <v>47</v>
      </c>
      <c r="AP237" s="445" t="s">
        <v>47</v>
      </c>
      <c r="AQ237" s="445" t="s">
        <v>47</v>
      </c>
      <c r="AR237" s="445" t="s">
        <v>47</v>
      </c>
      <c r="AS237" s="446" t="s">
        <v>47</v>
      </c>
      <c r="AU237" s="444" t="s">
        <v>47</v>
      </c>
      <c r="AV237" s="445" t="s">
        <v>47</v>
      </c>
      <c r="AW237" s="445" t="s">
        <v>47</v>
      </c>
      <c r="AX237" s="445" t="s">
        <v>47</v>
      </c>
      <c r="AY237" s="446" t="s">
        <v>47</v>
      </c>
      <c r="BA237" s="409">
        <f t="shared" si="154"/>
        <v>0.22736561809444866</v>
      </c>
      <c r="BB237" s="410">
        <f t="shared" si="155"/>
        <v>0.13295484485944295</v>
      </c>
    </row>
    <row r="238" spans="2:54" ht="12.75" customHeight="1" outlineLevel="1" x14ac:dyDescent="0.2">
      <c r="B238" s="440" t="s">
        <v>479</v>
      </c>
      <c r="C238" s="402">
        <f>+SUMIFS(MktData!C:C,MktData!$A:$A,$B238)</f>
        <v>561591</v>
      </c>
      <c r="D238" s="403">
        <f>+SUMIFS(MktData!D:D,MktData!$A:$A,$B238)</f>
        <v>465480</v>
      </c>
      <c r="E238" s="405">
        <f>+SUMIFS(MktData!E:E,MktData!$A:$A,$B238)</f>
        <v>96111</v>
      </c>
      <c r="F238" s="368"/>
      <c r="G238" s="402" t="s">
        <v>47</v>
      </c>
      <c r="H238" s="404" t="s">
        <v>47</v>
      </c>
      <c r="I238" s="451" t="s">
        <v>47</v>
      </c>
      <c r="J238" s="368"/>
      <c r="K238" s="406">
        <f>+SUMIFS(MktData!K:K,MktData!$A:$A,$B238)</f>
        <v>472231</v>
      </c>
      <c r="L238" s="405">
        <f>+SUMIFS(MktData!L:L,MktData!$A:$A,$B238)</f>
        <v>47176</v>
      </c>
      <c r="M238" s="368"/>
      <c r="N238" s="406">
        <f>+SUMIFS(MktData!N:N,MktData!$A:$A,$B238)</f>
        <v>124630.35070000001</v>
      </c>
      <c r="O238" s="405">
        <f>+SUMIFS(MktData!O:O,MktData!$A:$A,$B238)</f>
        <v>340849.64929999999</v>
      </c>
      <c r="P238" s="368"/>
      <c r="Q238" s="406">
        <f>+SUMIFS(MktData!Q:Q,MktData!$A:$A,$B238)</f>
        <v>2209169</v>
      </c>
      <c r="R238" s="407">
        <f t="shared" si="156"/>
        <v>4.746001976454413</v>
      </c>
      <c r="S238" s="368"/>
      <c r="T238" s="406">
        <f>+SUMIFS(MktData!T:T,MktData!$A:$A,$B238)</f>
        <v>75820</v>
      </c>
      <c r="U238" s="403">
        <f>+SUMIFS(MktData!U:U,MktData!$A:$A,$B238)</f>
        <v>63233</v>
      </c>
      <c r="V238" s="403">
        <f>+SUMIFS(MktData!V:V,MktData!$A:$A,$B238)</f>
        <v>83909</v>
      </c>
      <c r="W238" s="403">
        <f>+SUMIFS(MktData!W:W,MktData!$A:$A,$B238)</f>
        <v>41503</v>
      </c>
      <c r="X238" s="403">
        <f>+SUMIFS(MktData!X:X,MktData!$A:$A,$B238)</f>
        <v>45321</v>
      </c>
      <c r="Y238" s="403">
        <f>+SUMIFS(MktData!Y:Y,MktData!$A:$A,$B238)</f>
        <v>39755</v>
      </c>
      <c r="Z238" s="403">
        <f>+SUMIFS(MktData!Z:Z,MktData!$A:$A,$B238)</f>
        <v>31306</v>
      </c>
      <c r="AA238" s="403">
        <f>+SUMIFS(MktData!AA:AA,MktData!$A:$A,$B238)</f>
        <v>0</v>
      </c>
      <c r="AB238" s="405">
        <f>+SUMIFS(MktData!AB:AB,MktData!$A:$A,$B238)</f>
        <v>84634</v>
      </c>
      <c r="AC238" s="368"/>
      <c r="AD238" s="440" t="s">
        <v>479</v>
      </c>
      <c r="AE238" s="448">
        <f t="shared" ref="AE238:AE271" si="157">+T238/SUM($T238:$AB238)</f>
        <v>0.16288527351277496</v>
      </c>
      <c r="AF238" s="449">
        <f t="shared" ref="AF238:AF271" si="158">+U238/SUM($T238:$AB238)</f>
        <v>0.13584442759210366</v>
      </c>
      <c r="AG238" s="449">
        <f t="shared" ref="AG238:AG271" si="159">+V238/SUM($T238:$AB238)</f>
        <v>0.18026299677108196</v>
      </c>
      <c r="AH238" s="449">
        <f t="shared" ref="AH238:AH271" si="160">+W238/SUM($T238:$AB238)</f>
        <v>8.9161533983127136E-2</v>
      </c>
      <c r="AI238" s="449">
        <f t="shared" ref="AI238:AI271" si="161">+X238/SUM($T238:$AB238)</f>
        <v>9.7363802174524852E-2</v>
      </c>
      <c r="AJ238" s="449">
        <f t="shared" ref="AJ238:AJ271" si="162">+Y238/SUM($T238:$AB238)</f>
        <v>8.5406278666583596E-2</v>
      </c>
      <c r="AK238" s="449">
        <f t="shared" ref="AK238:AL271" si="163">+Z238/SUM($T238:$AB238)</f>
        <v>6.7255161864823693E-2</v>
      </c>
      <c r="AL238" s="678" t="s">
        <v>47</v>
      </c>
      <c r="AM238" s="450">
        <f t="shared" ref="AM238:AM271" si="164">+AB238/SUM($T238:$AB238)</f>
        <v>0.18182052543498017</v>
      </c>
      <c r="AN238" s="368"/>
      <c r="AO238" s="453">
        <f>+SUMIFS(MktData!AO:AO,MktData!$A:$A,$B238)</f>
        <v>23463.405899999998</v>
      </c>
      <c r="AP238" s="452">
        <f>+SUMIFS(MktData!AP:AP,MktData!$A:$A,$B238)</f>
        <v>75576.250500000009</v>
      </c>
      <c r="AQ238" s="452">
        <f>+SUMIFS(MktData!AQ:AQ,MktData!$A:$A,$B238)</f>
        <v>47559.897900000004</v>
      </c>
      <c r="AR238" s="452">
        <f>+SUMIFS(MktData!AR:AR,MktData!$A:$A,$B238)</f>
        <v>230881.66509999998</v>
      </c>
      <c r="AS238" s="454">
        <f>+SUMIFS(MktData!AS:AS,MktData!$A:$A,$B238)</f>
        <v>88031.102799999993</v>
      </c>
      <c r="AU238" s="409">
        <f t="shared" ref="AU238:AU244" si="165">+AO238/SUM($AO238:$AS238)</f>
        <v>5.040340455245633E-2</v>
      </c>
      <c r="AV238" s="411">
        <f t="shared" ref="AV238:AV244" si="166">+AP238/SUM($AO238:$AS238)</f>
        <v>0.16235069813582695</v>
      </c>
      <c r="AW238" s="411">
        <f t="shared" ref="AW238:AY244" si="167">+AQ238/SUM($AO238:$AS238)</f>
        <v>0.10216678620929533</v>
      </c>
      <c r="AX238" s="411">
        <f t="shared" si="167"/>
        <v>0.49597326233784489</v>
      </c>
      <c r="AY238" s="410">
        <f t="shared" si="167"/>
        <v>0.18910584876457648</v>
      </c>
      <c r="BA238" s="409">
        <f t="shared" si="154"/>
        <v>0.20352539329268937</v>
      </c>
      <c r="BB238" s="410">
        <f t="shared" si="155"/>
        <v>0.10134914496863452</v>
      </c>
    </row>
    <row r="239" spans="2:54" ht="12.75" customHeight="1" x14ac:dyDescent="0.2">
      <c r="B239" s="447" t="s">
        <v>371</v>
      </c>
      <c r="C239" s="402">
        <f>+SUMIFS(MktData!C:C,MktData!$A:$A,$B239)</f>
        <v>614396</v>
      </c>
      <c r="D239" s="403">
        <f>+SUMIFS(MktData!D:D,MktData!$A:$A,$B239)</f>
        <v>486784</v>
      </c>
      <c r="E239" s="405">
        <f>+SUMIFS(MktData!E:E,MktData!$A:$A,$B239)</f>
        <v>127612</v>
      </c>
      <c r="F239" s="368"/>
      <c r="G239" s="402" t="s">
        <v>47</v>
      </c>
      <c r="H239" s="404" t="s">
        <v>47</v>
      </c>
      <c r="I239" s="451" t="s">
        <v>47</v>
      </c>
      <c r="J239" s="368"/>
      <c r="K239" s="406">
        <f>+SUMIFS(MktData!K:K,MktData!$A:$A,$B239)</f>
        <v>512160</v>
      </c>
      <c r="L239" s="405">
        <f>+SUMIFS(MktData!L:L,MktData!$A:$A,$B239)</f>
        <v>68996</v>
      </c>
      <c r="M239" s="368"/>
      <c r="N239" s="406">
        <f>+SUMIFS(MktData!N:N,MktData!$A:$A,$B239)</f>
        <v>169650.54520000002</v>
      </c>
      <c r="O239" s="405">
        <f>+SUMIFS(MktData!O:O,MktData!$A:$A,$B239)</f>
        <v>317133.45479999995</v>
      </c>
      <c r="P239" s="368"/>
      <c r="Q239" s="406">
        <f>+SUMIFS(MktData!Q:Q,MktData!$A:$A,$B239)</f>
        <v>2404821</v>
      </c>
      <c r="R239" s="407">
        <f t="shared" si="156"/>
        <v>4.9402219464896131</v>
      </c>
      <c r="S239" s="368"/>
      <c r="T239" s="406">
        <f>+SUMIFS(MktData!T:T,MktData!$A:$A,$B239)</f>
        <v>81708</v>
      </c>
      <c r="U239" s="403">
        <f>+SUMIFS(MktData!U:U,MktData!$A:$A,$B239)</f>
        <v>63542</v>
      </c>
      <c r="V239" s="403">
        <f>+SUMIFS(MktData!V:V,MktData!$A:$A,$B239)</f>
        <v>86801</v>
      </c>
      <c r="W239" s="403">
        <f>+SUMIFS(MktData!W:W,MktData!$A:$A,$B239)</f>
        <v>44172</v>
      </c>
      <c r="X239" s="403">
        <f>+SUMIFS(MktData!X:X,MktData!$A:$A,$B239)</f>
        <v>49266</v>
      </c>
      <c r="Y239" s="403">
        <f>+SUMIFS(MktData!Y:Y,MktData!$A:$A,$B239)</f>
        <v>41730</v>
      </c>
      <c r="Z239" s="403">
        <f>+SUMIFS(MktData!Z:Z,MktData!$A:$A,$B239)</f>
        <v>31404</v>
      </c>
      <c r="AA239" s="403">
        <f>+SUMIFS(MktData!AA:AA,MktData!$A:$A,$B239)</f>
        <v>0</v>
      </c>
      <c r="AB239" s="405">
        <f>+SUMIFS(MktData!AB:AB,MktData!$A:$A,$B239)</f>
        <v>88161</v>
      </c>
      <c r="AC239" s="368"/>
      <c r="AD239" s="447" t="s">
        <v>371</v>
      </c>
      <c r="AE239" s="677">
        <f t="shared" si="157"/>
        <v>0.1678526820930844</v>
      </c>
      <c r="AF239" s="449">
        <f t="shared" si="158"/>
        <v>0.13053428214567447</v>
      </c>
      <c r="AG239" s="449">
        <f t="shared" si="159"/>
        <v>0.17831522810938732</v>
      </c>
      <c r="AH239" s="449">
        <f t="shared" si="160"/>
        <v>9.0742505916381805E-2</v>
      </c>
      <c r="AI239" s="449">
        <f t="shared" si="161"/>
        <v>0.10120710623192217</v>
      </c>
      <c r="AJ239" s="449">
        <f t="shared" si="162"/>
        <v>8.5725907178543254E-2</v>
      </c>
      <c r="AK239" s="449">
        <f t="shared" si="163"/>
        <v>6.451321325269524E-2</v>
      </c>
      <c r="AL239" s="678" t="s">
        <v>47</v>
      </c>
      <c r="AM239" s="450">
        <f t="shared" si="164"/>
        <v>0.18110907507231133</v>
      </c>
      <c r="AN239" s="368"/>
      <c r="AO239" s="453">
        <f>+SUMIFS(MktData!AO:AO,MktData!$A:$A,$B239)</f>
        <v>23458.888500000001</v>
      </c>
      <c r="AP239" s="452">
        <f>+SUMIFS(MktData!AP:AP,MktData!$A:$A,$B239)</f>
        <v>76641.592699999994</v>
      </c>
      <c r="AQ239" s="452">
        <f>+SUMIFS(MktData!AQ:AQ,MktData!$A:$A,$B239)</f>
        <v>45036.698499999999</v>
      </c>
      <c r="AR239" s="452">
        <f>+SUMIFS(MktData!AR:AR,MktData!$A:$A,$B239)</f>
        <v>252037.3316</v>
      </c>
      <c r="AS239" s="454">
        <f>+SUMIFS(MktData!AS:AS,MktData!$A:$A,$B239)</f>
        <v>89593.253900000011</v>
      </c>
      <c r="AU239" s="409">
        <f t="shared" si="165"/>
        <v>4.8193184054333101E-2</v>
      </c>
      <c r="AV239" s="411">
        <f t="shared" si="166"/>
        <v>0.15745001657722751</v>
      </c>
      <c r="AW239" s="411">
        <f t="shared" si="167"/>
        <v>9.2521941097507984E-2</v>
      </c>
      <c r="AX239" s="411">
        <f t="shared" si="167"/>
        <v>0.5177773665773544</v>
      </c>
      <c r="AY239" s="410">
        <f t="shared" si="167"/>
        <v>0.18405749169357694</v>
      </c>
      <c r="BA239" s="409">
        <f t="shared" si="154"/>
        <v>0.24916432364885974</v>
      </c>
      <c r="BB239" s="410">
        <f t="shared" si="155"/>
        <v>0.14173843018669471</v>
      </c>
    </row>
    <row r="240" spans="2:54" ht="12.75" customHeight="1" x14ac:dyDescent="0.2">
      <c r="B240" s="440" t="s">
        <v>372</v>
      </c>
      <c r="C240" s="402">
        <f>+SUMIFS(MktData!C:C,MktData!$A:$A,$B240)</f>
        <v>626083</v>
      </c>
      <c r="D240" s="403">
        <f>+SUMIFS(MktData!D:D,MktData!$A:$A,$B240)</f>
        <v>508363</v>
      </c>
      <c r="E240" s="405">
        <f>+SUMIFS(MktData!E:E,MktData!$A:$A,$B240)</f>
        <v>117720</v>
      </c>
      <c r="F240" s="368"/>
      <c r="G240" s="402" t="s">
        <v>47</v>
      </c>
      <c r="H240" s="404" t="s">
        <v>47</v>
      </c>
      <c r="I240" s="451" t="s">
        <v>47</v>
      </c>
      <c r="J240" s="368"/>
      <c r="K240" s="406">
        <f>+SUMIFS(MktData!K:K,MktData!$A:$A,$B240)</f>
        <v>519229</v>
      </c>
      <c r="L240" s="405">
        <f>+SUMIFS(MktData!L:L,MktData!$A:$A,$B240)</f>
        <v>57824</v>
      </c>
      <c r="M240" s="368"/>
      <c r="N240" s="406">
        <f>+SUMIFS(MktData!N:N,MktData!$A:$A,$B240)</f>
        <v>184111.1422</v>
      </c>
      <c r="O240" s="405">
        <f>+SUMIFS(MktData!O:O,MktData!$A:$A,$B240)</f>
        <v>324251.8578</v>
      </c>
      <c r="P240" s="368"/>
      <c r="Q240" s="406">
        <f>+SUMIFS(MktData!Q:Q,MktData!$A:$A,$B240)</f>
        <v>2708730</v>
      </c>
      <c r="R240" s="407">
        <f t="shared" si="156"/>
        <v>5.3283382150156484</v>
      </c>
      <c r="S240" s="368"/>
      <c r="T240" s="406">
        <f>+SUMIFS(MktData!T:T,MktData!$A:$A,$B240)</f>
        <v>88573</v>
      </c>
      <c r="U240" s="403">
        <f>+SUMIFS(MktData!U:U,MktData!$A:$A,$B240)</f>
        <v>51954</v>
      </c>
      <c r="V240" s="403">
        <f>+SUMIFS(MktData!V:V,MktData!$A:$A,$B240)</f>
        <v>94284</v>
      </c>
      <c r="W240" s="403">
        <f>+SUMIFS(MktData!W:W,MktData!$A:$A,$B240)</f>
        <v>48568</v>
      </c>
      <c r="X240" s="403">
        <f>+SUMIFS(MktData!X:X,MktData!$A:$A,$B240)</f>
        <v>57505</v>
      </c>
      <c r="Y240" s="403">
        <f>+SUMIFS(MktData!Y:Y,MktData!$A:$A,$B240)</f>
        <v>41905</v>
      </c>
      <c r="Z240" s="403">
        <f>+SUMIFS(MktData!Z:Z,MktData!$A:$A,$B240)</f>
        <v>27800</v>
      </c>
      <c r="AA240" s="403">
        <f>+SUMIFS(MktData!AA:AA,MktData!$A:$A,$B240)</f>
        <v>0</v>
      </c>
      <c r="AB240" s="405">
        <f>+SUMIFS(MktData!AB:AB,MktData!$A:$A,$B240)</f>
        <v>97774</v>
      </c>
      <c r="AC240" s="368"/>
      <c r="AD240" s="440" t="s">
        <v>372</v>
      </c>
      <c r="AE240" s="677">
        <f t="shared" si="157"/>
        <v>0.17423179893107876</v>
      </c>
      <c r="AF240" s="449">
        <f t="shared" si="158"/>
        <v>0.10219862578511811</v>
      </c>
      <c r="AG240" s="449">
        <f t="shared" si="159"/>
        <v>0.18546589740008615</v>
      </c>
      <c r="AH240" s="449">
        <f t="shared" si="160"/>
        <v>9.5538030895246109E-2</v>
      </c>
      <c r="AI240" s="449">
        <f t="shared" si="161"/>
        <v>0.11311798852394844</v>
      </c>
      <c r="AJ240" s="449">
        <f t="shared" si="162"/>
        <v>8.243125483168523E-2</v>
      </c>
      <c r="AK240" s="449">
        <f t="shared" si="163"/>
        <v>5.4685333118263915E-2</v>
      </c>
      <c r="AL240" s="678" t="s">
        <v>47</v>
      </c>
      <c r="AM240" s="450">
        <f t="shared" si="164"/>
        <v>0.19233107051457324</v>
      </c>
      <c r="AN240" s="368"/>
      <c r="AO240" s="453">
        <f>+SUMIFS(MktData!AO:AO,MktData!$A:$A,$B240)</f>
        <v>22884.958299999998</v>
      </c>
      <c r="AP240" s="452">
        <f>+SUMIFS(MktData!AP:AP,MktData!$A:$A,$B240)</f>
        <v>75811.770900000003</v>
      </c>
      <c r="AQ240" s="452">
        <f>+SUMIFS(MktData!AQ:AQ,MktData!$A:$A,$B240)</f>
        <v>47239.7736</v>
      </c>
      <c r="AR240" s="452">
        <f>+SUMIFS(MktData!AR:AR,MktData!$A:$A,$B240)</f>
        <v>270430.53339999996</v>
      </c>
      <c r="AS240" s="454">
        <f>+SUMIFS(MktData!AS:AS,MktData!$A:$A,$B240)</f>
        <v>91995.638600000006</v>
      </c>
      <c r="AU240" s="409">
        <f t="shared" si="165"/>
        <v>4.5016991676274029E-2</v>
      </c>
      <c r="AV240" s="411">
        <f t="shared" si="166"/>
        <v>0.14912930208699107</v>
      </c>
      <c r="AW240" s="411">
        <f t="shared" si="167"/>
        <v>9.292533842809185E-2</v>
      </c>
      <c r="AX240" s="411">
        <f t="shared" si="167"/>
        <v>0.53196378649630938</v>
      </c>
      <c r="AY240" s="410">
        <f t="shared" si="167"/>
        <v>0.18096458131233362</v>
      </c>
      <c r="BA240" s="409">
        <f t="shared" si="154"/>
        <v>0.22672077253003972</v>
      </c>
      <c r="BB240" s="410">
        <f t="shared" si="155"/>
        <v>0.11374549288598895</v>
      </c>
    </row>
    <row r="241" spans="2:54" ht="12.75" customHeight="1" x14ac:dyDescent="0.2">
      <c r="B241" s="447" t="s">
        <v>373</v>
      </c>
      <c r="C241" s="402">
        <f>+SUMIFS(MktData!C:C,MktData!$A:$A,$B241)</f>
        <v>675579</v>
      </c>
      <c r="D241" s="403">
        <f>+SUMIFS(MktData!D:D,MktData!$A:$A,$B241)</f>
        <v>527966</v>
      </c>
      <c r="E241" s="405">
        <f>+SUMIFS(MktData!E:E,MktData!$A:$A,$B241)</f>
        <v>147613</v>
      </c>
      <c r="F241" s="368"/>
      <c r="G241" s="402" t="s">
        <v>47</v>
      </c>
      <c r="H241" s="404" t="s">
        <v>47</v>
      </c>
      <c r="I241" s="451" t="s">
        <v>47</v>
      </c>
      <c r="J241" s="368"/>
      <c r="K241" s="406">
        <f>+SUMIFS(MktData!K:K,MktData!$A:$A,$B241)</f>
        <v>573549</v>
      </c>
      <c r="L241" s="405">
        <f>+SUMIFS(MktData!L:L,MktData!$A:$A,$B241)</f>
        <v>63087</v>
      </c>
      <c r="M241" s="368"/>
      <c r="N241" s="406">
        <f>+SUMIFS(MktData!N:N,MktData!$A:$A,$B241)</f>
        <v>197530.5699</v>
      </c>
      <c r="O241" s="405">
        <f>+SUMIFS(MktData!O:O,MktData!$A:$A,$B241)</f>
        <v>330435.4301</v>
      </c>
      <c r="P241" s="368"/>
      <c r="Q241" s="406">
        <f>+SUMIFS(MktData!Q:Q,MktData!$A:$A,$B241)</f>
        <v>2686047</v>
      </c>
      <c r="R241" s="407">
        <f t="shared" si="156"/>
        <v>5.0875378338756665</v>
      </c>
      <c r="S241" s="368"/>
      <c r="T241" s="406">
        <f>+SUMIFS(MktData!T:T,MktData!$A:$A,$B241)</f>
        <v>99780</v>
      </c>
      <c r="U241" s="403">
        <f>+SUMIFS(MktData!U:U,MktData!$A:$A,$B241)</f>
        <v>49744</v>
      </c>
      <c r="V241" s="403">
        <f>+SUMIFS(MktData!V:V,MktData!$A:$A,$B241)</f>
        <v>99873</v>
      </c>
      <c r="W241" s="403">
        <f>+SUMIFS(MktData!W:W,MktData!$A:$A,$B241)</f>
        <v>46645</v>
      </c>
      <c r="X241" s="403">
        <f>+SUMIFS(MktData!X:X,MktData!$A:$A,$B241)</f>
        <v>58788</v>
      </c>
      <c r="Y241" s="403">
        <f>+SUMIFS(MktData!Y:Y,MktData!$A:$A,$B241)</f>
        <v>48595</v>
      </c>
      <c r="Z241" s="403">
        <f>+SUMIFS(MktData!Z:Z,MktData!$A:$A,$B241)</f>
        <v>32041</v>
      </c>
      <c r="AA241" s="403">
        <f>+SUMIFS(MktData!AA:AA,MktData!$A:$A,$B241)</f>
        <v>0</v>
      </c>
      <c r="AB241" s="405">
        <f>+SUMIFS(MktData!AB:AB,MktData!$A:$A,$B241)</f>
        <v>92502</v>
      </c>
      <c r="AC241" s="368"/>
      <c r="AD241" s="447" t="s">
        <v>373</v>
      </c>
      <c r="AE241" s="677">
        <f t="shared" si="157"/>
        <v>0.18898872658949029</v>
      </c>
      <c r="AF241" s="449">
        <f t="shared" si="158"/>
        <v>9.4217831383720224E-2</v>
      </c>
      <c r="AG241" s="449">
        <f t="shared" si="159"/>
        <v>0.18916487362870477</v>
      </c>
      <c r="AH241" s="449">
        <f t="shared" si="160"/>
        <v>8.8348157464088736E-2</v>
      </c>
      <c r="AI241" s="449">
        <f t="shared" si="161"/>
        <v>0.11134765743378387</v>
      </c>
      <c r="AJ241" s="449">
        <f t="shared" si="162"/>
        <v>9.2041563125037876E-2</v>
      </c>
      <c r="AK241" s="449">
        <f t="shared" si="163"/>
        <v>6.0687390144857266E-2</v>
      </c>
      <c r="AL241" s="678" t="s">
        <v>47</v>
      </c>
      <c r="AM241" s="450">
        <f t="shared" si="164"/>
        <v>0.17520380023031698</v>
      </c>
      <c r="AN241" s="368"/>
      <c r="AO241" s="453">
        <f>+SUMIFS(MktData!AO:AO,MktData!$A:$A,$B241)</f>
        <v>23215.357100000001</v>
      </c>
      <c r="AP241" s="452">
        <f>+SUMIFS(MktData!AP:AP,MktData!$A:$A,$B241)</f>
        <v>78815.560900000011</v>
      </c>
      <c r="AQ241" s="452">
        <f>+SUMIFS(MktData!AQ:AQ,MktData!$A:$A,$B241)</f>
        <v>47004.1829</v>
      </c>
      <c r="AR241" s="452">
        <f>+SUMIFS(MktData!AR:AR,MktData!$A:$A,$B241)</f>
        <v>283079.00790000003</v>
      </c>
      <c r="AS241" s="454">
        <f>+SUMIFS(MktData!AS:AS,MktData!$A:$A,$B241)</f>
        <v>95854.437699999995</v>
      </c>
      <c r="AU241" s="409">
        <f t="shared" si="165"/>
        <v>4.3971098759384139E-2</v>
      </c>
      <c r="AV241" s="411">
        <f t="shared" si="166"/>
        <v>0.1492807884531811</v>
      </c>
      <c r="AW241" s="411">
        <f t="shared" si="167"/>
        <v>8.9028377185723123E-2</v>
      </c>
      <c r="AX241" s="411">
        <f t="shared" si="167"/>
        <v>0.53616642464135877</v>
      </c>
      <c r="AY241" s="410">
        <f t="shared" si="167"/>
        <v>0.18155331096035279</v>
      </c>
      <c r="BA241" s="409">
        <f t="shared" si="154"/>
        <v>0.25736772272290598</v>
      </c>
      <c r="BB241" s="410">
        <f t="shared" si="155"/>
        <v>0.11949064901906563</v>
      </c>
    </row>
    <row r="242" spans="2:54" ht="12.75" customHeight="1" x14ac:dyDescent="0.2">
      <c r="B242" s="440" t="s">
        <v>374</v>
      </c>
      <c r="C242" s="402">
        <f>+SUMIFS(MktData!C:C,MktData!$A:$A,$B242)</f>
        <v>626085</v>
      </c>
      <c r="D242" s="403">
        <f>+SUMIFS(MktData!D:D,MktData!$A:$A,$B242)</f>
        <v>460582</v>
      </c>
      <c r="E242" s="405">
        <f>+SUMIFS(MktData!E:E,MktData!$A:$A,$B242)</f>
        <v>165503</v>
      </c>
      <c r="F242" s="368"/>
      <c r="G242" s="402" t="s">
        <v>47</v>
      </c>
      <c r="H242" s="404" t="s">
        <v>47</v>
      </c>
      <c r="I242" s="451" t="s">
        <v>47</v>
      </c>
      <c r="J242" s="368"/>
      <c r="K242" s="406">
        <f>+SUMIFS(MktData!K:K,MktData!$A:$A,$B242)</f>
        <v>597846</v>
      </c>
      <c r="L242" s="405">
        <f>+SUMIFS(MktData!L:L,MktData!$A:$A,$B242)</f>
        <v>51686</v>
      </c>
      <c r="M242" s="368"/>
      <c r="N242" s="406">
        <f>+SUMIFS(MktData!N:N,MktData!$A:$A,$B242)</f>
        <v>159631.45870000002</v>
      </c>
      <c r="O242" s="405">
        <f>+SUMIFS(MktData!O:O,MktData!$A:$A,$B242)</f>
        <v>300949.54129999998</v>
      </c>
      <c r="P242" s="368"/>
      <c r="Q242" s="406">
        <f>+SUMIFS(MktData!Q:Q,MktData!$A:$A,$B242)</f>
        <v>2428537</v>
      </c>
      <c r="R242" s="407">
        <f t="shared" si="156"/>
        <v>5.2727570769157284</v>
      </c>
      <c r="S242" s="368"/>
      <c r="T242" s="406">
        <f>+SUMIFS(MktData!T:T,MktData!$A:$A,$B242)</f>
        <v>81872</v>
      </c>
      <c r="U242" s="403">
        <f>+SUMIFS(MktData!U:U,MktData!$A:$A,$B242)</f>
        <v>58831</v>
      </c>
      <c r="V242" s="403">
        <f>+SUMIFS(MktData!V:V,MktData!$A:$A,$B242)</f>
        <v>81934</v>
      </c>
      <c r="W242" s="403">
        <f>+SUMIFS(MktData!W:W,MktData!$A:$A,$B242)</f>
        <v>40744</v>
      </c>
      <c r="X242" s="403">
        <f>+SUMIFS(MktData!X:X,MktData!$A:$A,$B242)</f>
        <v>50398</v>
      </c>
      <c r="Y242" s="403">
        <f>+SUMIFS(MktData!Y:Y,MktData!$A:$A,$B242)</f>
        <v>39681</v>
      </c>
      <c r="Z242" s="403">
        <f>+SUMIFS(MktData!Z:Z,MktData!$A:$A,$B242)</f>
        <v>30116</v>
      </c>
      <c r="AA242" s="403">
        <f>+SUMIFS(MktData!AA:AA,MktData!$A:$A,$B242)</f>
        <v>0</v>
      </c>
      <c r="AB242" s="405">
        <f>+SUMIFS(MktData!AB:AB,MktData!$A:$A,$B242)</f>
        <v>77004</v>
      </c>
      <c r="AC242" s="368"/>
      <c r="AD242" s="440" t="s">
        <v>374</v>
      </c>
      <c r="AE242" s="677">
        <f t="shared" si="157"/>
        <v>0.17775847844022755</v>
      </c>
      <c r="AF242" s="678">
        <f t="shared" si="158"/>
        <v>0.12773242433453472</v>
      </c>
      <c r="AG242" s="678">
        <f t="shared" si="159"/>
        <v>0.17789309131964046</v>
      </c>
      <c r="AH242" s="678">
        <f t="shared" si="160"/>
        <v>8.846237352902861E-2</v>
      </c>
      <c r="AI242" s="678">
        <f t="shared" si="161"/>
        <v>0.109422901558904</v>
      </c>
      <c r="AJ242" s="678">
        <f t="shared" si="162"/>
        <v>8.6154413999739457E-2</v>
      </c>
      <c r="AK242" s="678">
        <f t="shared" si="163"/>
        <v>6.5387120587085845E-2</v>
      </c>
      <c r="AL242" s="678" t="s">
        <v>47</v>
      </c>
      <c r="AM242" s="679">
        <f t="shared" si="164"/>
        <v>0.16718919623083939</v>
      </c>
      <c r="AN242" s="368"/>
      <c r="AO242" s="453">
        <f>+SUMIFS(MktData!AO:AO,MktData!$A:$A,$B242)</f>
        <v>21522.241699999999</v>
      </c>
      <c r="AP242" s="452">
        <f>+SUMIFS(MktData!AP:AP,MktData!$A:$A,$B242)</f>
        <v>72265.602799999993</v>
      </c>
      <c r="AQ242" s="452">
        <f>+SUMIFS(MktData!AQ:AQ,MktData!$A:$A,$B242)</f>
        <v>45196.327999999994</v>
      </c>
      <c r="AR242" s="452">
        <f>+SUMIFS(MktData!AR:AR,MktData!$A:$A,$B242)</f>
        <v>236894.16080000001</v>
      </c>
      <c r="AS242" s="454">
        <f>+SUMIFS(MktData!AS:AS,MktData!$A:$A,$B242)</f>
        <v>84701.5524</v>
      </c>
      <c r="AU242" s="409">
        <f t="shared" si="165"/>
        <v>4.6728574929602057E-2</v>
      </c>
      <c r="AV242" s="411">
        <f t="shared" si="166"/>
        <v>0.15690134337970285</v>
      </c>
      <c r="AW242" s="411">
        <f t="shared" si="167"/>
        <v>9.8129183238884976E-2</v>
      </c>
      <c r="AX242" s="411">
        <f t="shared" si="167"/>
        <v>0.51433891959906752</v>
      </c>
      <c r="AY242" s="410">
        <f t="shared" si="167"/>
        <v>0.18390197885274259</v>
      </c>
      <c r="BA242" s="409">
        <f t="shared" si="154"/>
        <v>0.27683216079057149</v>
      </c>
      <c r="BB242" s="410">
        <f t="shared" si="155"/>
        <v>0.11221888827613759</v>
      </c>
    </row>
    <row r="243" spans="2:54" ht="12.75" customHeight="1" x14ac:dyDescent="0.2">
      <c r="B243" s="447" t="s">
        <v>375</v>
      </c>
      <c r="C243" s="402">
        <f>+SUMIFS(MktData!C:C,MktData!$A:$A,$B243)</f>
        <v>723137</v>
      </c>
      <c r="D243" s="403">
        <f>+SUMIFS(MktData!D:D,MktData!$A:$A,$B243)</f>
        <v>532511</v>
      </c>
      <c r="E243" s="405">
        <f>+SUMIFS(MktData!E:E,MktData!$A:$A,$B243)</f>
        <v>190626</v>
      </c>
      <c r="F243" s="368"/>
      <c r="G243" s="402" t="s">
        <v>47</v>
      </c>
      <c r="H243" s="404" t="s">
        <v>47</v>
      </c>
      <c r="I243" s="451" t="s">
        <v>47</v>
      </c>
      <c r="J243" s="368"/>
      <c r="K243" s="406">
        <f>+SUMIFS(MktData!K:K,MktData!$A:$A,$B243)</f>
        <v>633657</v>
      </c>
      <c r="L243" s="405">
        <f>+SUMIFS(MktData!L:L,MktData!$A:$A,$B243)</f>
        <v>58769</v>
      </c>
      <c r="M243" s="368"/>
      <c r="N243" s="406">
        <f>+SUMIFS(MktData!N:N,MktData!$A:$A,$B243)</f>
        <v>220614.28570000001</v>
      </c>
      <c r="O243" s="405">
        <f>+SUMIFS(MktData!O:O,MktData!$A:$A,$B243)</f>
        <v>311896.71429999999</v>
      </c>
      <c r="P243" s="368"/>
      <c r="Q243" s="406">
        <f>+SUMIFS(MktData!Q:Q,MktData!$A:$A,$B243)</f>
        <v>2641922</v>
      </c>
      <c r="R243" s="407">
        <f t="shared" si="156"/>
        <v>4.9612533825592333</v>
      </c>
      <c r="S243" s="368"/>
      <c r="T243" s="406">
        <f>+SUMIFS(MktData!T:T,MktData!$A:$A,$B243)</f>
        <v>93957</v>
      </c>
      <c r="U243" s="403">
        <f>+SUMIFS(MktData!U:U,MktData!$A:$A,$B243)</f>
        <v>66105</v>
      </c>
      <c r="V243" s="403">
        <f>+SUMIFS(MktData!V:V,MktData!$A:$A,$B243)</f>
        <v>93693</v>
      </c>
      <c r="W243" s="403">
        <f>+SUMIFS(MktData!W:W,MktData!$A:$A,$B243)</f>
        <v>47285</v>
      </c>
      <c r="X243" s="403">
        <f>+SUMIFS(MktData!X:X,MktData!$A:$A,$B243)</f>
        <v>57168</v>
      </c>
      <c r="Y243" s="403">
        <f>+SUMIFS(MktData!Y:Y,MktData!$A:$A,$B243)</f>
        <v>45421</v>
      </c>
      <c r="Z243" s="403">
        <f>+SUMIFS(MktData!Z:Z,MktData!$A:$A,$B243)</f>
        <v>34896</v>
      </c>
      <c r="AA243" s="403">
        <f>+SUMIFS(MktData!AA:AA,MktData!$A:$A,$B243)</f>
        <v>0</v>
      </c>
      <c r="AB243" s="405">
        <f>+SUMIFS(MktData!AB:AB,MktData!$A:$A,$B243)</f>
        <v>93986</v>
      </c>
      <c r="AC243" s="368"/>
      <c r="AD243" s="447" t="s">
        <v>375</v>
      </c>
      <c r="AE243" s="677">
        <f t="shared" si="157"/>
        <v>0.17644142562313267</v>
      </c>
      <c r="AF243" s="678">
        <f t="shared" si="158"/>
        <v>0.12413828071157215</v>
      </c>
      <c r="AG243" s="678">
        <f t="shared" si="159"/>
        <v>0.17594566121638802</v>
      </c>
      <c r="AH243" s="678">
        <f t="shared" si="160"/>
        <v>8.8796287776214955E-2</v>
      </c>
      <c r="AI243" s="678">
        <f t="shared" si="161"/>
        <v>0.10735552880597772</v>
      </c>
      <c r="AJ243" s="678">
        <f t="shared" si="162"/>
        <v>8.5295890601320909E-2</v>
      </c>
      <c r="AK243" s="678">
        <f t="shared" si="163"/>
        <v>6.5531040673338203E-2</v>
      </c>
      <c r="AL243" s="678" t="s">
        <v>47</v>
      </c>
      <c r="AM243" s="679">
        <f t="shared" si="164"/>
        <v>0.17649588459205537</v>
      </c>
      <c r="AN243" s="368"/>
      <c r="AO243" s="453">
        <f>+SUMIFS(MktData!AO:AO,MktData!$A:$A,$B243)</f>
        <v>24620.8658</v>
      </c>
      <c r="AP243" s="452">
        <f>+SUMIFS(MktData!AP:AP,MktData!$A:$A,$B243)</f>
        <v>79586.48539999999</v>
      </c>
      <c r="AQ243" s="452">
        <f>+SUMIFS(MktData!AQ:AQ,MktData!$A:$A,$B243)</f>
        <v>47922.142499999994</v>
      </c>
      <c r="AR243" s="452">
        <f>+SUMIFS(MktData!AR:AR,MktData!$A:$A,$B243)</f>
        <v>290340.32530000003</v>
      </c>
      <c r="AS243" s="454">
        <f>+SUMIFS(MktData!AS:AS,MktData!$A:$A,$B243)</f>
        <v>90003.193700000003</v>
      </c>
      <c r="AU243" s="682">
        <f t="shared" si="165"/>
        <v>4.6238711094775446E-2</v>
      </c>
      <c r="AV243" s="683">
        <f t="shared" si="166"/>
        <v>0.14946576352563376</v>
      </c>
      <c r="AW243" s="683">
        <f t="shared" si="167"/>
        <v>8.9999194995821777E-2</v>
      </c>
      <c r="AX243" s="683">
        <f t="shared" si="167"/>
        <v>0.54526768188265029</v>
      </c>
      <c r="AY243" s="408">
        <f t="shared" si="167"/>
        <v>0.16902864850111865</v>
      </c>
      <c r="BA243" s="409">
        <f t="shared" si="154"/>
        <v>0.30083467869841257</v>
      </c>
      <c r="BB243" s="410">
        <f t="shared" si="155"/>
        <v>0.1103620394696072</v>
      </c>
    </row>
    <row r="244" spans="2:54" ht="12.75" customHeight="1" x14ac:dyDescent="0.2">
      <c r="B244" s="440" t="s">
        <v>376</v>
      </c>
      <c r="C244" s="402">
        <f>+SUMIFS(MktData!C:C,MktData!$A:$A,$B244)</f>
        <v>764893</v>
      </c>
      <c r="D244" s="403">
        <f>+SUMIFS(MktData!D:D,MktData!$A:$A,$B244)</f>
        <v>582986</v>
      </c>
      <c r="E244" s="405">
        <f>+SUMIFS(MktData!E:E,MktData!$A:$A,$B244)</f>
        <v>181907</v>
      </c>
      <c r="F244" s="368"/>
      <c r="G244" s="402" t="s">
        <v>47</v>
      </c>
      <c r="H244" s="404" t="s">
        <v>47</v>
      </c>
      <c r="I244" s="451" t="s">
        <v>47</v>
      </c>
      <c r="J244" s="368"/>
      <c r="K244" s="406">
        <f>+SUMIFS(MktData!K:K,MktData!$A:$A,$B244)</f>
        <v>702748</v>
      </c>
      <c r="L244" s="405">
        <f>+SUMIFS(MktData!L:L,MktData!$A:$A,$B244)</f>
        <v>64108</v>
      </c>
      <c r="M244" s="368"/>
      <c r="N244" s="406">
        <f>+SUMIFS(MktData!N:N,MktData!$A:$A,$B244)</f>
        <v>239886.503</v>
      </c>
      <c r="O244" s="405">
        <f>+SUMIFS(MktData!O:O,MktData!$A:$A,$B244)</f>
        <v>343099.49699999997</v>
      </c>
      <c r="P244" s="368"/>
      <c r="Q244" s="406">
        <f>+SUMIFS(MktData!Q:Q,MktData!$A:$A,$B244)</f>
        <v>2868112</v>
      </c>
      <c r="R244" s="407">
        <f t="shared" si="156"/>
        <v>4.9196927541999296</v>
      </c>
      <c r="S244" s="368"/>
      <c r="T244" s="406">
        <f>+SUMIFS(MktData!T:T,MktData!$A:$A,$B244)</f>
        <v>107040</v>
      </c>
      <c r="U244" s="403">
        <f>+SUMIFS(MktData!U:U,MktData!$A:$A,$B244)</f>
        <v>72247</v>
      </c>
      <c r="V244" s="403">
        <f>+SUMIFS(MktData!V:V,MktData!$A:$A,$B244)</f>
        <v>102763</v>
      </c>
      <c r="W244" s="403">
        <f>+SUMIFS(MktData!W:W,MktData!$A:$A,$B244)</f>
        <v>50568</v>
      </c>
      <c r="X244" s="403">
        <f>+SUMIFS(MktData!X:X,MktData!$A:$A,$B244)</f>
        <v>68972</v>
      </c>
      <c r="Y244" s="403">
        <f>+SUMIFS(MktData!Y:Y,MktData!$A:$A,$B244)</f>
        <v>48531</v>
      </c>
      <c r="Z244" s="403">
        <f>+SUMIFS(MktData!Z:Z,MktData!$A:$A,$B244)</f>
        <v>31482</v>
      </c>
      <c r="AA244" s="403">
        <f>+SUMIFS(MktData!AA:AA,MktData!$A:$A,$B244)</f>
        <v>0</v>
      </c>
      <c r="AB244" s="405">
        <f>+SUMIFS(MktData!AB:AB,MktData!$A:$A,$B244)</f>
        <v>101383</v>
      </c>
      <c r="AC244" s="368"/>
      <c r="AD244" s="440" t="s">
        <v>376</v>
      </c>
      <c r="AE244" s="677">
        <f t="shared" si="157"/>
        <v>0.18360646739372816</v>
      </c>
      <c r="AF244" s="678">
        <f t="shared" si="158"/>
        <v>0.12392578895548093</v>
      </c>
      <c r="AG244" s="678">
        <f t="shared" si="159"/>
        <v>0.17627009911044175</v>
      </c>
      <c r="AH244" s="678">
        <f t="shared" si="160"/>
        <v>8.6739647264256772E-2</v>
      </c>
      <c r="AI244" s="678">
        <f t="shared" si="161"/>
        <v>0.11830815834342506</v>
      </c>
      <c r="AJ244" s="678">
        <f t="shared" si="162"/>
        <v>8.3245566788910888E-2</v>
      </c>
      <c r="AK244" s="678">
        <f t="shared" si="163"/>
        <v>5.4001296772135179E-2</v>
      </c>
      <c r="AL244" s="678" t="s">
        <v>47</v>
      </c>
      <c r="AM244" s="679">
        <f t="shared" si="164"/>
        <v>0.17390297537162128</v>
      </c>
      <c r="AN244" s="368"/>
      <c r="AO244" s="453">
        <f>+SUMIFS(MktData!AO:AO,MktData!$A:$A,$B244)</f>
        <v>26826.621600000002</v>
      </c>
      <c r="AP244" s="452">
        <f>+SUMIFS(MktData!AP:AP,MktData!$A:$A,$B244)</f>
        <v>87796.250800000009</v>
      </c>
      <c r="AQ244" s="452">
        <f>+SUMIFS(MktData!AQ:AQ,MktData!$A:$A,$B244)</f>
        <v>50331.436999999998</v>
      </c>
      <c r="AR244" s="452">
        <f>+SUMIFS(MktData!AR:AR,MktData!$A:$A,$B244)</f>
        <v>320734.53320000001</v>
      </c>
      <c r="AS244" s="454">
        <f>+SUMIFS(MktData!AS:AS,MktData!$A:$A,$B244)</f>
        <v>97235.905199999994</v>
      </c>
      <c r="AU244" s="682">
        <f t="shared" si="165"/>
        <v>4.6020728578166574E-2</v>
      </c>
      <c r="AV244" s="683">
        <f t="shared" si="166"/>
        <v>0.15061335297797765</v>
      </c>
      <c r="AW244" s="683">
        <f t="shared" si="167"/>
        <v>8.6342940816896974E-2</v>
      </c>
      <c r="AX244" s="683">
        <f t="shared" si="167"/>
        <v>0.55021601743702808</v>
      </c>
      <c r="AY244" s="408">
        <f t="shared" si="167"/>
        <v>0.16680696018993069</v>
      </c>
      <c r="BA244" s="409">
        <f t="shared" si="154"/>
        <v>0.25885096791452983</v>
      </c>
      <c r="BB244" s="410">
        <f t="shared" si="155"/>
        <v>0.1099649048176114</v>
      </c>
    </row>
    <row r="245" spans="2:54" ht="12.75" customHeight="1" x14ac:dyDescent="0.2">
      <c r="B245" s="447" t="s">
        <v>694</v>
      </c>
      <c r="C245" s="402">
        <f>+SUMIFS(MktData!C:C,MktData!$A:$A,$B245)</f>
        <v>786479</v>
      </c>
      <c r="D245" s="403">
        <f>+SUMIFS(MktData!D:D,MktData!$A:$A,$B245)</f>
        <v>599907</v>
      </c>
      <c r="E245" s="405">
        <f>+SUMIFS(MktData!E:E,MktData!$A:$A,$B245)</f>
        <v>186572</v>
      </c>
      <c r="F245" s="368"/>
      <c r="G245" s="402" t="s">
        <v>47</v>
      </c>
      <c r="H245" s="404" t="s">
        <v>47</v>
      </c>
      <c r="I245" s="451" t="s">
        <v>47</v>
      </c>
      <c r="J245" s="368"/>
      <c r="K245" s="406">
        <f>+SUMIFS(MktData!K:K,MktData!$A:$A,$B245)</f>
        <v>699318</v>
      </c>
      <c r="L245" s="405">
        <f>+SUMIFS(MktData!L:L,MktData!$A:$A,$B245)</f>
        <v>67762</v>
      </c>
      <c r="M245" s="368"/>
      <c r="N245" s="406">
        <f>+SUMIFS(MktData!N:N,MktData!$A:$A,$B245)</f>
        <v>250035.48109999998</v>
      </c>
      <c r="O245" s="405">
        <f>+SUMIFS(MktData!O:O,MktData!$A:$A,$B245)</f>
        <v>349871.51890000002</v>
      </c>
      <c r="P245" s="368"/>
      <c r="Q245" s="406">
        <f>+SUMIFS(MktData!Q:Q,MktData!$A:$A,$B245)</f>
        <v>2792191</v>
      </c>
      <c r="R245" s="407">
        <f t="shared" si="156"/>
        <v>4.6543730944963135</v>
      </c>
      <c r="S245" s="368"/>
      <c r="T245" s="406">
        <f>+SUMIFS(MktData!T:T,MktData!$A:$A,$B245)</f>
        <v>111285</v>
      </c>
      <c r="U245" s="403">
        <f>+SUMIFS(MktData!U:U,MktData!$A:$A,$B245)</f>
        <v>74935</v>
      </c>
      <c r="V245" s="403">
        <f>+SUMIFS(MktData!V:V,MktData!$A:$A,$B245)</f>
        <v>101668</v>
      </c>
      <c r="W245" s="403">
        <f>+SUMIFS(MktData!W:W,MktData!$A:$A,$B245)</f>
        <v>52077</v>
      </c>
      <c r="X245" s="403">
        <f>+SUMIFS(MktData!X:X,MktData!$A:$A,$B245)</f>
        <v>69412</v>
      </c>
      <c r="Y245" s="403">
        <f>+SUMIFS(MktData!Y:Y,MktData!$A:$A,$B245)</f>
        <v>49810</v>
      </c>
      <c r="Z245" s="403">
        <f>+SUMIFS(MktData!Z:Z,MktData!$A:$A,$B245)</f>
        <v>34602</v>
      </c>
      <c r="AA245" s="403">
        <f>+SUMIFS(MktData!AA:AA,MktData!$A:$A,$B245)</f>
        <v>0</v>
      </c>
      <c r="AB245" s="405">
        <f>+SUMIFS(MktData!AB:AB,MktData!$A:$A,$B245)</f>
        <v>106118</v>
      </c>
      <c r="AC245" s="368"/>
      <c r="AD245" s="447" t="s">
        <v>694</v>
      </c>
      <c r="AE245" s="677">
        <f t="shared" si="157"/>
        <v>0.18550375308172767</v>
      </c>
      <c r="AF245" s="678">
        <f t="shared" si="158"/>
        <v>0.12491102787598744</v>
      </c>
      <c r="AG245" s="678">
        <f t="shared" si="159"/>
        <v>0.16947293497158727</v>
      </c>
      <c r="AH245" s="678">
        <f t="shared" si="160"/>
        <v>8.6808455310573143E-2</v>
      </c>
      <c r="AI245" s="678">
        <f t="shared" si="161"/>
        <v>0.11570460087980304</v>
      </c>
      <c r="AJ245" s="678">
        <f t="shared" si="162"/>
        <v>8.302953624478461E-2</v>
      </c>
      <c r="AK245" s="678">
        <f t="shared" si="163"/>
        <v>5.7678940235736539E-2</v>
      </c>
      <c r="AL245" s="678" t="s">
        <v>47</v>
      </c>
      <c r="AM245" s="679">
        <f t="shared" si="164"/>
        <v>0.17689075139980029</v>
      </c>
      <c r="AN245" s="368"/>
      <c r="AO245" s="594">
        <f>+SUMIFS(MktData!AO:AO,MktData!$A:$A,$B245)</f>
        <v>29744.921443636376</v>
      </c>
      <c r="AP245" s="595">
        <f>+SUMIFS(MktData!AP:AP,MktData!$A:$A,$B245)</f>
        <v>91425.672919999997</v>
      </c>
      <c r="AQ245" s="595">
        <f>+SUMIFS(MktData!AQ:AQ,MktData!$A:$A,$B245)</f>
        <v>60395.544460000005</v>
      </c>
      <c r="AR245" s="595">
        <f>+SUMIFS(MktData!AR:AR,MktData!$A:$A,$B245)</f>
        <v>315537.26326727273</v>
      </c>
      <c r="AS245" s="596">
        <f>+SUMIFS(MktData!AS:AS,MktData!$A:$A,$B245)</f>
        <v>103796.20300727271</v>
      </c>
      <c r="AU245" s="682">
        <f t="shared" ref="AU245:AY248" si="168">+AO245/SUM($AO245:$AS245)</f>
        <v>4.950065067654074E-2</v>
      </c>
      <c r="AV245" s="683">
        <f t="shared" si="168"/>
        <v>0.15214799967302664</v>
      </c>
      <c r="AW245" s="683">
        <f t="shared" si="168"/>
        <v>0.10050854410219141</v>
      </c>
      <c r="AX245" s="683">
        <f t="shared" si="168"/>
        <v>0.525108122205733</v>
      </c>
      <c r="AY245" s="408">
        <f t="shared" si="168"/>
        <v>0.1727346833425083</v>
      </c>
      <c r="BA245" s="409">
        <f t="shared" si="154"/>
        <v>0.26679135958176392</v>
      </c>
      <c r="BB245" s="410">
        <f t="shared" si="155"/>
        <v>0.11295417456372404</v>
      </c>
    </row>
    <row r="246" spans="2:54" ht="12.75" customHeight="1" outlineLevel="1" x14ac:dyDescent="0.2">
      <c r="B246" s="440" t="s">
        <v>758</v>
      </c>
      <c r="C246" s="402">
        <f>+SUMIFS(MktData!C:C,MktData!$A:$A,$B246)</f>
        <v>698647</v>
      </c>
      <c r="D246" s="403">
        <f>+SUMIFS(MktData!D:D,MktData!$A:$A,$B246)</f>
        <v>528244</v>
      </c>
      <c r="E246" s="405">
        <f>+SUMIFS(MktData!E:E,MktData!$A:$A,$B246)</f>
        <v>170403</v>
      </c>
      <c r="F246" s="368"/>
      <c r="G246" s="402" t="s">
        <v>47</v>
      </c>
      <c r="H246" s="404" t="s">
        <v>47</v>
      </c>
      <c r="I246" s="451" t="s">
        <v>47</v>
      </c>
      <c r="J246" s="368"/>
      <c r="K246" s="406">
        <f>+SUMIFS(MktData!K:K,MktData!$A:$A,$B246)</f>
        <v>668934</v>
      </c>
      <c r="L246" s="405">
        <f>+SUMIFS(MktData!L:L,MktData!$A:$A,$B246)</f>
        <v>63509</v>
      </c>
      <c r="M246" s="368"/>
      <c r="N246" s="406">
        <f>+SUMIFS(MktData!N:N,MktData!$A:$A,$B246)</f>
        <v>192873.70069999999</v>
      </c>
      <c r="O246" s="405">
        <f>+SUMIFS(MktData!O:O,MktData!$A:$A,$B246)</f>
        <v>335370.29930000001</v>
      </c>
      <c r="P246" s="368"/>
      <c r="Q246" s="406">
        <f>+SUMIFS(MktData!Q:Q,MktData!$A:$A,$B246)</f>
        <v>2460216</v>
      </c>
      <c r="R246" s="407">
        <f t="shared" si="156"/>
        <v>4.6573477408167436</v>
      </c>
      <c r="S246" s="368"/>
      <c r="T246" s="406">
        <f>+SUMIFS(MktData!T:T,MktData!$A:$A,$B246)</f>
        <v>91870</v>
      </c>
      <c r="U246" s="403">
        <f>+SUMIFS(MktData!U:U,MktData!$A:$A,$B246)</f>
        <v>77475</v>
      </c>
      <c r="V246" s="403">
        <f>+SUMIFS(MktData!V:V,MktData!$A:$A,$B246)</f>
        <v>86093</v>
      </c>
      <c r="W246" s="403">
        <f>+SUMIFS(MktData!W:W,MktData!$A:$A,$B246)</f>
        <v>43097</v>
      </c>
      <c r="X246" s="403">
        <f>+SUMIFS(MktData!X:X,MktData!$A:$A,$B246)</f>
        <v>63914</v>
      </c>
      <c r="Y246" s="403">
        <f>+SUMIFS(MktData!Y:Y,MktData!$A:$A,$B246)</f>
        <v>42394</v>
      </c>
      <c r="Z246" s="403">
        <f>+SUMIFS(MktData!Z:Z,MktData!$A:$A,$B246)</f>
        <v>33404</v>
      </c>
      <c r="AA246" s="403">
        <f>+SUMIFS(MktData!AA:AA,MktData!$A:$A,$B246)</f>
        <v>0</v>
      </c>
      <c r="AB246" s="405">
        <f>+SUMIFS(MktData!AB:AB,MktData!$A:$A,$B246)</f>
        <v>89997</v>
      </c>
      <c r="AC246" s="368"/>
      <c r="AD246" s="447" t="s">
        <v>758</v>
      </c>
      <c r="AE246" s="677">
        <f t="shared" si="157"/>
        <v>0.17391584192153625</v>
      </c>
      <c r="AF246" s="678">
        <f t="shared" si="158"/>
        <v>0.14666517745587265</v>
      </c>
      <c r="AG246" s="678">
        <f t="shared" si="159"/>
        <v>0.16297960790846655</v>
      </c>
      <c r="AH246" s="678">
        <f t="shared" si="160"/>
        <v>8.1585403714949906E-2</v>
      </c>
      <c r="AI246" s="678">
        <f t="shared" si="161"/>
        <v>0.12099332884046009</v>
      </c>
      <c r="AJ246" s="678">
        <f t="shared" si="162"/>
        <v>8.0254579323191549E-2</v>
      </c>
      <c r="AK246" s="678">
        <f t="shared" si="163"/>
        <v>6.3235928851061246E-2</v>
      </c>
      <c r="AL246" s="678" t="s">
        <v>47</v>
      </c>
      <c r="AM246" s="679">
        <f t="shared" si="164"/>
        <v>0.17037013198446171</v>
      </c>
      <c r="AN246" s="368"/>
      <c r="AO246" s="594">
        <f>+SUMIFS(MktData!AO:AO,MktData!$A:$A,$B246)</f>
        <v>25656.389379999997</v>
      </c>
      <c r="AP246" s="595">
        <f>+SUMIFS(MktData!AP:AP,MktData!$A:$A,$B246)</f>
        <v>79281.734906666679</v>
      </c>
      <c r="AQ246" s="595">
        <f>+SUMIFS(MktData!AQ:AQ,MktData!$A:$A,$B246)</f>
        <v>51483.94587333333</v>
      </c>
      <c r="AR246" s="595">
        <f>+SUMIFS(MktData!AR:AR,MktData!$A:$A,$B246)</f>
        <v>279279.50524666661</v>
      </c>
      <c r="AS246" s="596">
        <f>+SUMIFS(MktData!AS:AS,MktData!$A:$A,$B246)</f>
        <v>93018.203126666602</v>
      </c>
      <c r="AU246" s="682">
        <f t="shared" si="168"/>
        <v>4.8525495776176049E-2</v>
      </c>
      <c r="AV246" s="683">
        <f t="shared" si="168"/>
        <v>0.14995038605628472</v>
      </c>
      <c r="AW246" s="683">
        <f t="shared" si="168"/>
        <v>9.7374730365014178E-2</v>
      </c>
      <c r="AX246" s="683">
        <f t="shared" si="168"/>
        <v>0.52821838067300408</v>
      </c>
      <c r="AY246" s="408">
        <f t="shared" si="168"/>
        <v>0.17593100712952098</v>
      </c>
      <c r="BA246" s="409">
        <f t="shared" ref="BA246:BA269" si="169">+E246/K246</f>
        <v>0.25473813560082159</v>
      </c>
      <c r="BB246" s="410">
        <f t="shared" si="155"/>
        <v>0.12022663769015833</v>
      </c>
    </row>
    <row r="247" spans="2:54" ht="12.75" customHeight="1" outlineLevel="1" x14ac:dyDescent="0.2">
      <c r="B247" s="447" t="s">
        <v>771</v>
      </c>
      <c r="C247" s="402">
        <f>+SUMIFS(MktData!C:C,MktData!$A:$A,$B247)</f>
        <v>790431</v>
      </c>
      <c r="D247" s="403">
        <f>+SUMIFS(MktData!D:D,MktData!$A:$A,$B247)</f>
        <v>600898</v>
      </c>
      <c r="E247" s="405">
        <f>+SUMIFS(MktData!E:E,MktData!$A:$A,$B247)</f>
        <v>189533</v>
      </c>
      <c r="F247" s="368"/>
      <c r="G247" s="402" t="s">
        <v>47</v>
      </c>
      <c r="H247" s="404" t="s">
        <v>47</v>
      </c>
      <c r="I247" s="451" t="s">
        <v>47</v>
      </c>
      <c r="J247" s="368"/>
      <c r="K247" s="406">
        <f>+SUMIFS(MktData!K:K,MktData!$A:$A,$B247)</f>
        <v>701967</v>
      </c>
      <c r="L247" s="405">
        <f>+SUMIFS(MktData!L:L,MktData!$A:$A,$B247)</f>
        <v>78841</v>
      </c>
      <c r="M247" s="368"/>
      <c r="N247" s="406">
        <f>+SUMIFS(MktData!N:N,MktData!$A:$A,$B247)</f>
        <v>260313.20910000001</v>
      </c>
      <c r="O247" s="405">
        <f>+SUMIFS(MktData!O:O,MktData!$A:$A,$B247)</f>
        <v>340584.79090000002</v>
      </c>
      <c r="P247" s="368"/>
      <c r="Q247" s="406">
        <f>+SUMIFS(MktData!Q:Q,MktData!$A:$A,$B247)</f>
        <v>2650670</v>
      </c>
      <c r="R247" s="407">
        <f t="shared" si="156"/>
        <v>4.4111812653728251</v>
      </c>
      <c r="S247" s="368"/>
      <c r="T247" s="406">
        <f>+SUMIFS(MktData!T:T,MktData!$A:$A,$B247)</f>
        <v>98546</v>
      </c>
      <c r="U247" s="403">
        <f>+SUMIFS(MktData!U:U,MktData!$A:$A,$B247)</f>
        <v>88868</v>
      </c>
      <c r="V247" s="403">
        <f>+SUMIFS(MktData!V:V,MktData!$A:$A,$B247)</f>
        <v>110279</v>
      </c>
      <c r="W247" s="403">
        <f>+SUMIFS(MktData!W:W,MktData!$A:$A,$B247)</f>
        <v>47907</v>
      </c>
      <c r="X247" s="403">
        <f>+SUMIFS(MktData!X:X,MktData!$A:$A,$B247)</f>
        <v>76520</v>
      </c>
      <c r="Y247" s="403">
        <f>+SUMIFS(MktData!Y:Y,MktData!$A:$A,$B247)</f>
        <v>46229</v>
      </c>
      <c r="Z247" s="403">
        <f>+SUMIFS(MktData!Z:Z,MktData!$A:$A,$B247)</f>
        <v>31305</v>
      </c>
      <c r="AA247" s="403">
        <f>+SUMIFS(MktData!AA:AA,MktData!$A:$A,$B247)</f>
        <v>0</v>
      </c>
      <c r="AB247" s="405">
        <f>+SUMIFS(MktData!AB:AB,MktData!$A:$A,$B247)</f>
        <v>101244</v>
      </c>
      <c r="AC247" s="368"/>
      <c r="AD247" s="447" t="s">
        <v>771</v>
      </c>
      <c r="AE247" s="677">
        <f t="shared" si="157"/>
        <v>0.16399788316819161</v>
      </c>
      <c r="AF247" s="678">
        <f t="shared" si="158"/>
        <v>0.14789198832414152</v>
      </c>
      <c r="AG247" s="678">
        <f t="shared" si="159"/>
        <v>0.18352365958948108</v>
      </c>
      <c r="AH247" s="678">
        <f t="shared" si="160"/>
        <v>7.972567723640285E-2</v>
      </c>
      <c r="AI247" s="678">
        <f t="shared" si="161"/>
        <v>0.12734274369360524</v>
      </c>
      <c r="AJ247" s="678">
        <f t="shared" si="162"/>
        <v>7.693318999231151E-2</v>
      </c>
      <c r="AK247" s="678">
        <f t="shared" si="163"/>
        <v>5.2097028114588502E-2</v>
      </c>
      <c r="AL247" s="678" t="s">
        <v>47</v>
      </c>
      <c r="AM247" s="679">
        <f t="shared" si="164"/>
        <v>0.1684878298812777</v>
      </c>
      <c r="AN247" s="368"/>
      <c r="AO247" s="594">
        <f>+SUMIFS(MktData!AO:AO,MktData!$A:$A,$B247)</f>
        <v>30896.9185</v>
      </c>
      <c r="AP247" s="595">
        <f>+SUMIFS(MktData!AP:AP,MktData!$A:$A,$B247)</f>
        <v>87515.585900000005</v>
      </c>
      <c r="AQ247" s="595">
        <f>+SUMIFS(MktData!AQ:AQ,MktData!$A:$A,$B247)</f>
        <v>58791.588000000003</v>
      </c>
      <c r="AR247" s="595">
        <f>+SUMIFS(MktData!AR:AR,MktData!$A:$A,$B247)</f>
        <v>319657.3713</v>
      </c>
      <c r="AS247" s="596">
        <f>+SUMIFS(MktData!AS:AS,MktData!$A:$A,$B247)</f>
        <v>105228.28719999999</v>
      </c>
      <c r="AU247" s="682">
        <f t="shared" si="168"/>
        <v>5.1316134270373279E-2</v>
      </c>
      <c r="AV247" s="683">
        <f t="shared" si="168"/>
        <v>0.14535305703042156</v>
      </c>
      <c r="AW247" s="683">
        <f t="shared" si="168"/>
        <v>9.7645887364996173E-2</v>
      </c>
      <c r="AX247" s="683">
        <f t="shared" si="168"/>
        <v>0.5309131584156318</v>
      </c>
      <c r="AY247" s="408">
        <f t="shared" si="168"/>
        <v>0.17477176291857718</v>
      </c>
      <c r="BA247" s="409">
        <f t="shared" si="169"/>
        <v>0.27000272092562755</v>
      </c>
      <c r="BB247" s="410">
        <f t="shared" si="155"/>
        <v>0.13120529607354325</v>
      </c>
    </row>
    <row r="248" spans="2:54" ht="12.75" customHeight="1" outlineLevel="1" x14ac:dyDescent="0.2">
      <c r="B248" s="440" t="s">
        <v>788</v>
      </c>
      <c r="C248" s="402">
        <f>+SUMIFS(MktData!C:C,MktData!$A:$A,$B248)</f>
        <v>791230</v>
      </c>
      <c r="D248" s="403">
        <f>+SUMIFS(MktData!D:D,MktData!$A:$A,$B248)</f>
        <v>653805</v>
      </c>
      <c r="E248" s="405">
        <f>+SUMIFS(MktData!E:E,MktData!$A:$A,$B248)</f>
        <v>137425</v>
      </c>
      <c r="F248" s="368"/>
      <c r="G248" s="402" t="s">
        <v>47</v>
      </c>
      <c r="H248" s="404" t="s">
        <v>47</v>
      </c>
      <c r="I248" s="451" t="s">
        <v>47</v>
      </c>
      <c r="J248" s="368"/>
      <c r="K248" s="406">
        <f>+SUMIFS(MktData!K:K,MktData!$A:$A,$B248)</f>
        <v>724352</v>
      </c>
      <c r="L248" s="405">
        <f>+SUMIFS(MktData!L:L,MktData!$A:$A,$B248)</f>
        <v>83606</v>
      </c>
      <c r="M248" s="368"/>
      <c r="N248" s="406">
        <f>+SUMIFS(MktData!N:N,MktData!$A:$A,$B248)</f>
        <v>297863.9436</v>
      </c>
      <c r="O248" s="405">
        <f>+SUMIFS(MktData!O:O,MktData!$A:$A,$B248)</f>
        <v>355941.0564</v>
      </c>
      <c r="P248" s="368"/>
      <c r="Q248" s="406">
        <f>+SUMIFS(MktData!Q:Q,MktData!$A:$A,$B248)</f>
        <v>2762252</v>
      </c>
      <c r="R248" s="407">
        <f t="shared" si="156"/>
        <v>4.2248866252169988</v>
      </c>
      <c r="S248" s="368"/>
      <c r="T248" s="406">
        <f>+SUMIFS(MktData!T:T,MktData!$A:$A,$B248)</f>
        <v>113078</v>
      </c>
      <c r="U248" s="403">
        <f>+SUMIFS(MktData!U:U,MktData!$A:$A,$B248)</f>
        <v>96895</v>
      </c>
      <c r="V248" s="403">
        <f>+SUMIFS(MktData!V:V,MktData!$A:$A,$B248)</f>
        <v>118597</v>
      </c>
      <c r="W248" s="403">
        <f>+SUMIFS(MktData!W:W,MktData!$A:$A,$B248)</f>
        <v>52563</v>
      </c>
      <c r="X248" s="403">
        <f>+SUMIFS(MktData!X:X,MktData!$A:$A,$B248)</f>
        <v>83534</v>
      </c>
      <c r="Y248" s="403">
        <f>+SUMIFS(MktData!Y:Y,MktData!$A:$A,$B248)</f>
        <v>51834</v>
      </c>
      <c r="Z248" s="403">
        <f>+SUMIFS(MktData!Z:Z,MktData!$A:$A,$B248)</f>
        <v>31540</v>
      </c>
      <c r="AA248" s="403">
        <f>+SUMIFS(MktData!AA:AA,MktData!$A:$A,$B248)</f>
        <v>0</v>
      </c>
      <c r="AB248" s="405">
        <f>+SUMIFS(MktData!AB:AB,MktData!$A:$A,$B248)</f>
        <v>105764</v>
      </c>
      <c r="AC248" s="368"/>
      <c r="AD248" s="447" t="s">
        <v>788</v>
      </c>
      <c r="AE248" s="677">
        <f t="shared" si="157"/>
        <v>0.17295370943935884</v>
      </c>
      <c r="AF248" s="678">
        <f t="shared" si="158"/>
        <v>0.14820168092932909</v>
      </c>
      <c r="AG248" s="678">
        <f t="shared" si="159"/>
        <v>0.18139506427757512</v>
      </c>
      <c r="AH248" s="678">
        <f t="shared" si="160"/>
        <v>8.0395530777525412E-2</v>
      </c>
      <c r="AI248" s="678">
        <f t="shared" si="161"/>
        <v>0.12776592409051629</v>
      </c>
      <c r="AJ248" s="678">
        <f t="shared" si="162"/>
        <v>7.9280519420928258E-2</v>
      </c>
      <c r="AK248" s="678">
        <f t="shared" si="163"/>
        <v>4.8240683384189478E-2</v>
      </c>
      <c r="AL248" s="678" t="s">
        <v>47</v>
      </c>
      <c r="AM248" s="679">
        <f t="shared" si="164"/>
        <v>0.16176688768057754</v>
      </c>
      <c r="AN248" s="368"/>
      <c r="AO248" s="594">
        <f>+SUMIFS(MktData!AO:AO,MktData!$A:$A,$B248)</f>
        <v>33002.156600000002</v>
      </c>
      <c r="AP248" s="595">
        <f>+SUMIFS(MktData!AP:AP,MktData!$A:$A,$B248)</f>
        <v>94240.852400000003</v>
      </c>
      <c r="AQ248" s="595">
        <f>+SUMIFS(MktData!AQ:AQ,MktData!$A:$A,$B248)</f>
        <v>59260.113599999997</v>
      </c>
      <c r="AR248" s="595">
        <f>+SUMIFS(MktData!AR:AR,MktData!$A:$A,$B248)</f>
        <v>356986.76019999996</v>
      </c>
      <c r="AS248" s="596">
        <f>+SUMIFS(MktData!AS:AS,MktData!$A:$A,$B248)</f>
        <v>111078.38430000001</v>
      </c>
      <c r="AU248" s="682">
        <f t="shared" si="168"/>
        <v>5.0418204271057608E-2</v>
      </c>
      <c r="AV248" s="683">
        <f t="shared" si="168"/>
        <v>0.14397406219755318</v>
      </c>
      <c r="AW248" s="683">
        <f t="shared" si="168"/>
        <v>9.0533129359518252E-2</v>
      </c>
      <c r="AX248" s="683">
        <f t="shared" si="168"/>
        <v>0.54537743141994111</v>
      </c>
      <c r="AY248" s="408">
        <f t="shared" si="168"/>
        <v>0.16969717275192975</v>
      </c>
      <c r="BA248" s="409">
        <f t="shared" si="169"/>
        <v>0.18972129572362609</v>
      </c>
      <c r="BB248" s="410">
        <f t="shared" si="155"/>
        <v>0.12787604866894564</v>
      </c>
    </row>
    <row r="249" spans="2:54" ht="12.75" customHeight="1" outlineLevel="1" x14ac:dyDescent="0.2">
      <c r="B249" s="447" t="s">
        <v>844</v>
      </c>
      <c r="C249" s="402">
        <f>+SUMIFS(MktData!C:C,MktData!$A:$A,$B249)</f>
        <v>790462</v>
      </c>
      <c r="D249" s="403">
        <f>+SUMIFS(MktData!D:D,MktData!$A:$A,$B249)</f>
        <v>692391</v>
      </c>
      <c r="E249" s="405">
        <f>+SUMIFS(MktData!E:E,MktData!$A:$A,$B249)</f>
        <v>98071</v>
      </c>
      <c r="F249" s="368"/>
      <c r="G249" s="402" t="s">
        <v>47</v>
      </c>
      <c r="H249" s="404" t="s">
        <v>47</v>
      </c>
      <c r="I249" s="451" t="s">
        <v>47</v>
      </c>
      <c r="J249" s="368"/>
      <c r="K249" s="406">
        <f>+SUMIFS(MktData!K:K,MktData!$A:$A,$B249)</f>
        <v>651695</v>
      </c>
      <c r="L249" s="405">
        <f>+SUMIFS(MktData!L:L,MktData!$A:$A,$B249)</f>
        <v>82610</v>
      </c>
      <c r="M249" s="368"/>
      <c r="N249" s="406">
        <f>+SUMIFS(MktData!N:N,MktData!$A:$A,$B249)</f>
        <v>312174.47399999993</v>
      </c>
      <c r="O249" s="405">
        <f>+SUMIFS(MktData!O:O,MktData!$A:$A,$B249)</f>
        <v>380216.52600000007</v>
      </c>
      <c r="P249" s="368"/>
      <c r="Q249" s="406">
        <f>+SUMIFS(MktData!Q:Q,MktData!$A:$A,$B249)</f>
        <v>2817028</v>
      </c>
      <c r="R249" s="407">
        <f t="shared" si="156"/>
        <v>4.0685508621573652</v>
      </c>
      <c r="S249" s="368"/>
      <c r="T249" s="406">
        <f>+SUMIFS(MktData!T:T,MktData!$A:$A,$B249)</f>
        <v>130936</v>
      </c>
      <c r="U249" s="403">
        <f>+SUMIFS(MktData!U:U,MktData!$A:$A,$B249)</f>
        <v>103675</v>
      </c>
      <c r="V249" s="403">
        <f>+SUMIFS(MktData!V:V,MktData!$A:$A,$B249)</f>
        <v>118145</v>
      </c>
      <c r="W249" s="403">
        <f>+SUMIFS(MktData!W:W,MktData!$A:$A,$B249)</f>
        <v>57354</v>
      </c>
      <c r="X249" s="403">
        <f>+SUMIFS(MktData!X:X,MktData!$A:$A,$B249)</f>
        <v>88362</v>
      </c>
      <c r="Y249" s="403">
        <f>+SUMIFS(MktData!Y:Y,MktData!$A:$A,$B249)</f>
        <v>50511</v>
      </c>
      <c r="Z249" s="403">
        <f>+SUMIFS(MktData!Z:Z,MktData!$A:$A,$B249)</f>
        <v>35352</v>
      </c>
      <c r="AA249" s="403">
        <f>+SUMIFS(MktData!AA:AA,MktData!$A:$A,$B249)</f>
        <v>0</v>
      </c>
      <c r="AB249" s="405">
        <f>+SUMIFS(MktData!AB:AB,MktData!$A:$A,$B249)</f>
        <v>108056</v>
      </c>
      <c r="AC249" s="368"/>
      <c r="AD249" s="447" t="s">
        <v>844</v>
      </c>
      <c r="AE249" s="677">
        <f t="shared" si="157"/>
        <v>0.18910702189947587</v>
      </c>
      <c r="AF249" s="678">
        <f t="shared" si="158"/>
        <v>0.14973475969502781</v>
      </c>
      <c r="AG249" s="678">
        <f t="shared" si="159"/>
        <v>0.17063335600838256</v>
      </c>
      <c r="AH249" s="678">
        <f t="shared" si="160"/>
        <v>8.2834698891233419E-2</v>
      </c>
      <c r="AI249" s="678">
        <f t="shared" si="161"/>
        <v>0.12761864322326547</v>
      </c>
      <c r="AJ249" s="678">
        <f t="shared" si="162"/>
        <v>7.2951554829568846E-2</v>
      </c>
      <c r="AK249" s="678">
        <f t="shared" si="163"/>
        <v>5.1057856037990096E-2</v>
      </c>
      <c r="AL249" s="678" t="s">
        <v>47</v>
      </c>
      <c r="AM249" s="679">
        <f t="shared" si="164"/>
        <v>0.15606210941505594</v>
      </c>
      <c r="AN249" s="368"/>
      <c r="AO249" s="594">
        <f>+SUMIFS(MktData!AO:AO,MktData!$A:$A,$B249)</f>
        <v>33993.1754</v>
      </c>
      <c r="AP249" s="595">
        <f>+SUMIFS(MktData!AP:AP,MktData!$A:$A,$B249)</f>
        <v>97262.226299999995</v>
      </c>
      <c r="AQ249" s="595">
        <f>+SUMIFS(MktData!AQ:AQ,MktData!$A:$A,$B249)</f>
        <v>63217.781099999993</v>
      </c>
      <c r="AR249" s="595">
        <f>+SUMIFS(MktData!AR:AR,MktData!$A:$A,$B249)</f>
        <v>374421.04989999998</v>
      </c>
      <c r="AS249" s="596">
        <f>+SUMIFS(MktData!AS:AS,MktData!$A:$A,$B249)</f>
        <v>123543.46400000001</v>
      </c>
      <c r="AU249" s="682">
        <f t="shared" ref="AU249:AY250" si="170">+AO249/SUM($AO249:$AS249)</f>
        <v>4.9092034650920532E-2</v>
      </c>
      <c r="AV249" s="683">
        <f t="shared" si="170"/>
        <v>0.14046350561722676</v>
      </c>
      <c r="AW249" s="683">
        <f t="shared" si="170"/>
        <v>9.1297428492529378E-2</v>
      </c>
      <c r="AX249" s="683">
        <f t="shared" si="170"/>
        <v>0.54072886511581508</v>
      </c>
      <c r="AY249" s="408">
        <f t="shared" si="170"/>
        <v>0.17841816612350825</v>
      </c>
      <c r="BA249" s="409">
        <f t="shared" si="169"/>
        <v>0.15048604024888942</v>
      </c>
      <c r="BB249" s="410">
        <f t="shared" si="155"/>
        <v>0.11931119844134311</v>
      </c>
    </row>
    <row r="250" spans="2:54" ht="12.75" customHeight="1" outlineLevel="1" x14ac:dyDescent="0.2">
      <c r="B250" s="440" t="s">
        <v>862</v>
      </c>
      <c r="C250" s="402">
        <f>+SUMIFS(MktData!C:C,MktData!$A:$A,$B250)</f>
        <v>681419</v>
      </c>
      <c r="D250" s="403">
        <f>+SUMIFS(MktData!D:D,MktData!$A:$A,$B250)</f>
        <v>581456</v>
      </c>
      <c r="E250" s="405">
        <f>+SUMIFS(MktData!E:E,MktData!$A:$A,$B250)</f>
        <v>99963</v>
      </c>
      <c r="F250" s="368"/>
      <c r="G250" s="402" t="s">
        <v>47</v>
      </c>
      <c r="H250" s="404" t="s">
        <v>47</v>
      </c>
      <c r="I250" s="451" t="s">
        <v>47</v>
      </c>
      <c r="J250" s="368"/>
      <c r="K250" s="406">
        <f>+SUMIFS(MktData!K:K,MktData!$A:$A,$B250)</f>
        <v>666970</v>
      </c>
      <c r="L250" s="405">
        <f>+SUMIFS(MktData!L:L,MktData!$A:$A,$B250)</f>
        <v>68113</v>
      </c>
      <c r="M250" s="368"/>
      <c r="N250" s="406">
        <f>+SUMIFS(MktData!N:N,MktData!$A:$A,$B250)</f>
        <v>246688.43280000001</v>
      </c>
      <c r="O250" s="405">
        <f>+SUMIFS(MktData!O:O,MktData!$A:$A,$B250)</f>
        <v>334767.56719999999</v>
      </c>
      <c r="P250" s="368"/>
      <c r="Q250" s="406">
        <f>+SUMIFS(MktData!Q:Q,MktData!$A:$A,$B250)</f>
        <v>2479375</v>
      </c>
      <c r="R250" s="407">
        <f t="shared" si="156"/>
        <v>4.2640801711565448</v>
      </c>
      <c r="S250" s="368"/>
      <c r="T250" s="406">
        <f>+SUMIFS(MktData!T:T,MktData!$A:$A,$B250)</f>
        <v>106416</v>
      </c>
      <c r="U250" s="403">
        <f>+SUMIFS(MktData!U:U,MktData!$A:$A,$B250)</f>
        <v>82288</v>
      </c>
      <c r="V250" s="403">
        <f>+SUMIFS(MktData!V:V,MktData!$A:$A,$B250)</f>
        <v>107584</v>
      </c>
      <c r="W250" s="403">
        <f>+SUMIFS(MktData!W:W,MktData!$A:$A,$B250)</f>
        <v>47519</v>
      </c>
      <c r="X250" s="403">
        <f>+SUMIFS(MktData!X:X,MktData!$A:$A,$B250)</f>
        <v>73557</v>
      </c>
      <c r="Y250" s="403">
        <f>+SUMIFS(MktData!Y:Y,MktData!$A:$A,$B250)</f>
        <v>41765</v>
      </c>
      <c r="Z250" s="403">
        <f>+SUMIFS(MktData!Z:Z,MktData!$A:$A,$B250)</f>
        <v>31599</v>
      </c>
      <c r="AA250" s="403">
        <f>+SUMIFS(MktData!AA:AA,MktData!$A:$A,$B250)</f>
        <v>0</v>
      </c>
      <c r="AB250" s="405">
        <f>+SUMIFS(MktData!AB:AB,MktData!$A:$A,$B250)</f>
        <v>90728</v>
      </c>
      <c r="AC250" s="368"/>
      <c r="AD250" s="447" t="s">
        <v>862</v>
      </c>
      <c r="AE250" s="677">
        <f t="shared" si="157"/>
        <v>0.18301642772625959</v>
      </c>
      <c r="AF250" s="678">
        <f t="shared" si="158"/>
        <v>0.14152059657136568</v>
      </c>
      <c r="AG250" s="678">
        <f t="shared" si="159"/>
        <v>0.18502517817341296</v>
      </c>
      <c r="AH250" s="678">
        <f t="shared" si="160"/>
        <v>8.1724154536198787E-2</v>
      </c>
      <c r="AI250" s="678">
        <f t="shared" si="161"/>
        <v>0.12650484301477669</v>
      </c>
      <c r="AJ250" s="678">
        <f t="shared" si="162"/>
        <v>7.1828306871027217E-2</v>
      </c>
      <c r="AK250" s="678">
        <f t="shared" si="163"/>
        <v>5.434461077020445E-2</v>
      </c>
      <c r="AL250" s="678" t="s">
        <v>47</v>
      </c>
      <c r="AM250" s="679">
        <f t="shared" si="164"/>
        <v>0.15603588233675464</v>
      </c>
      <c r="AN250" s="368"/>
      <c r="AO250" s="594">
        <f>+SUMIFS(MktData!AO:AO,MktData!$A:$A,$B250)</f>
        <v>28761.853000000003</v>
      </c>
      <c r="AP250" s="595">
        <f>+SUMIFS(MktData!AP:AP,MktData!$A:$A,$B250)</f>
        <v>86808.246400000004</v>
      </c>
      <c r="AQ250" s="595">
        <f>+SUMIFS(MktData!AQ:AQ,MktData!$A:$A,$B250)</f>
        <v>54327.263800000001</v>
      </c>
      <c r="AR250" s="595">
        <f>+SUMIFS(MktData!AR:AR,MktData!$A:$A,$B250)</f>
        <v>315664.69050000003</v>
      </c>
      <c r="AS250" s="596">
        <f>+SUMIFS(MktData!AS:AS,MktData!$A:$A,$B250)</f>
        <v>95894.822800000009</v>
      </c>
      <c r="AU250" s="682">
        <f t="shared" si="170"/>
        <v>4.9465152382629017E-2</v>
      </c>
      <c r="AV250" s="683">
        <f t="shared" si="170"/>
        <v>0.14929438434459721</v>
      </c>
      <c r="AW250" s="683">
        <f t="shared" si="170"/>
        <v>9.343300594708849E-2</v>
      </c>
      <c r="AX250" s="683">
        <f t="shared" si="170"/>
        <v>0.54288581536794334</v>
      </c>
      <c r="AY250" s="408">
        <f t="shared" si="170"/>
        <v>0.164921641957742</v>
      </c>
      <c r="BA250" s="409">
        <f t="shared" si="169"/>
        <v>0.1498763062806423</v>
      </c>
      <c r="BB250" s="410">
        <f t="shared" ref="BB250:BB269" si="171">+L250/D250</f>
        <v>0.11714213973198316</v>
      </c>
    </row>
    <row r="251" spans="2:54" ht="12.75" customHeight="1" outlineLevel="1" x14ac:dyDescent="0.2">
      <c r="B251" s="447" t="s">
        <v>922</v>
      </c>
      <c r="C251" s="402">
        <f>+SUMIFS(MktData!C:C,MktData!$A:$A,$B251)</f>
        <v>782593</v>
      </c>
      <c r="D251" s="403">
        <f>+SUMIFS(MktData!D:D,MktData!$A:$A,$B251)</f>
        <v>670317</v>
      </c>
      <c r="E251" s="405">
        <f>+SUMIFS(MktData!E:E,MktData!$A:$A,$B251)</f>
        <v>112276</v>
      </c>
      <c r="F251" s="368"/>
      <c r="G251" s="402" t="s">
        <v>47</v>
      </c>
      <c r="H251" s="404" t="s">
        <v>47</v>
      </c>
      <c r="I251" s="451" t="s">
        <v>47</v>
      </c>
      <c r="J251" s="368"/>
      <c r="K251" s="406">
        <f>+SUMIFS(MktData!K:K,MktData!$A:$A,$B251)</f>
        <v>737875</v>
      </c>
      <c r="L251" s="405">
        <f>+SUMIFS(MktData!L:L,MktData!$A:$A,$B251)</f>
        <v>73690</v>
      </c>
      <c r="M251" s="368"/>
      <c r="N251" s="406">
        <f>+SUMIFS(MktData!N:N,MktData!$A:$A,$B251)</f>
        <v>315939.57039999997</v>
      </c>
      <c r="O251" s="405">
        <f>+SUMIFS(MktData!O:O,MktData!$A:$A,$B251)</f>
        <v>354377.42960000003</v>
      </c>
      <c r="P251" s="368"/>
      <c r="Q251" s="406">
        <f>+SUMIFS(MktData!Q:Q,MktData!$A:$A,$B251)</f>
        <v>2644050</v>
      </c>
      <c r="R251" s="407">
        <f t="shared" si="156"/>
        <v>3.9444770160983533</v>
      </c>
      <c r="S251" s="368"/>
      <c r="T251" s="406">
        <f>+SUMIFS(MktData!T:T,MktData!$A:$A,$B251)</f>
        <v>115643</v>
      </c>
      <c r="U251" s="403">
        <f>+SUMIFS(MktData!U:U,MktData!$A:$A,$B251)</f>
        <v>103622</v>
      </c>
      <c r="V251" s="403">
        <f>+SUMIFS(MktData!V:V,MktData!$A:$A,$B251)</f>
        <v>125289</v>
      </c>
      <c r="W251" s="403">
        <f>+SUMIFS(MktData!W:W,MktData!$A:$A,$B251)</f>
        <v>55476</v>
      </c>
      <c r="X251" s="403">
        <f>+SUMIFS(MktData!X:X,MktData!$A:$A,$B251)</f>
        <v>83249</v>
      </c>
      <c r="Y251" s="403">
        <f>+SUMIFS(MktData!Y:Y,MktData!$A:$A,$B251)</f>
        <v>51344</v>
      </c>
      <c r="Z251" s="403">
        <f>+SUMIFS(MktData!Z:Z,MktData!$A:$A,$B251)</f>
        <v>33069</v>
      </c>
      <c r="AA251" s="403">
        <f>+SUMIFS(MktData!AA:AA,MktData!$A:$A,$B251)</f>
        <v>0</v>
      </c>
      <c r="AB251" s="405">
        <f>+SUMIFS(MktData!AB:AB,MktData!$A:$A,$B251)</f>
        <v>102625</v>
      </c>
      <c r="AC251" s="368"/>
      <c r="AD251" s="447" t="s">
        <v>922</v>
      </c>
      <c r="AE251" s="677">
        <f t="shared" si="157"/>
        <v>0.17251986746569162</v>
      </c>
      <c r="AF251" s="678">
        <f t="shared" si="158"/>
        <v>0.15458656128369114</v>
      </c>
      <c r="AG251" s="678">
        <f t="shared" si="159"/>
        <v>0.18691007389041303</v>
      </c>
      <c r="AH251" s="678">
        <f t="shared" si="160"/>
        <v>8.2760843004130877E-2</v>
      </c>
      <c r="AI251" s="678">
        <f t="shared" si="161"/>
        <v>0.12419347860788255</v>
      </c>
      <c r="AJ251" s="678">
        <f t="shared" si="162"/>
        <v>7.6596595342203769E-2</v>
      </c>
      <c r="AK251" s="678">
        <f t="shared" si="163"/>
        <v>4.9333375104614684E-2</v>
      </c>
      <c r="AL251" s="678" t="s">
        <v>47</v>
      </c>
      <c r="AM251" s="679">
        <f t="shared" si="164"/>
        <v>0.15309920530137233</v>
      </c>
      <c r="AN251" s="368"/>
      <c r="AO251" s="594">
        <f>+SUMIFS(MktData!AO:AO,MktData!$A:$A,$B251)</f>
        <v>33276.355000000003</v>
      </c>
      <c r="AP251" s="595">
        <f>+SUMIFS(MktData!AP:AP,MktData!$A:$A,$B251)</f>
        <v>91783.889800000004</v>
      </c>
      <c r="AQ251" s="595">
        <f>+SUMIFS(MktData!AQ:AQ,MktData!$A:$A,$B251)</f>
        <v>60541.7307</v>
      </c>
      <c r="AR251" s="595">
        <f>+SUMIFS(MktData!AR:AR,MktData!$A:$A,$B251)</f>
        <v>377083.9987</v>
      </c>
      <c r="AS251" s="596">
        <f>+SUMIFS(MktData!AS:AS,MktData!$A:$A,$B251)</f>
        <v>107654.48569999999</v>
      </c>
      <c r="AU251" s="682">
        <f t="shared" ref="AU251:AY252" si="172">+AO251/SUM($AO251:$AS251)</f>
        <v>4.9640976474796254E-2</v>
      </c>
      <c r="AV251" s="683">
        <f t="shared" si="172"/>
        <v>0.13692130386056681</v>
      </c>
      <c r="AW251" s="683">
        <f t="shared" si="172"/>
        <v>9.031489865467987E-2</v>
      </c>
      <c r="AX251" s="683">
        <f t="shared" si="172"/>
        <v>0.56252609122870578</v>
      </c>
      <c r="AY251" s="408">
        <f t="shared" si="172"/>
        <v>0.16059672978125125</v>
      </c>
      <c r="BA251" s="409">
        <f t="shared" si="169"/>
        <v>0.15216127392851092</v>
      </c>
      <c r="BB251" s="410">
        <f t="shared" si="171"/>
        <v>0.10993306152163827</v>
      </c>
    </row>
    <row r="252" spans="2:54" ht="12.75" customHeight="1" outlineLevel="1" x14ac:dyDescent="0.2">
      <c r="B252" s="440" t="s">
        <v>923</v>
      </c>
      <c r="C252" s="402">
        <f>+SUMIFS(MktData!C:C,MktData!$A:$A,$B252)</f>
        <v>798600</v>
      </c>
      <c r="D252" s="403">
        <f>+SUMIFS(MktData!D:D,MktData!$A:$A,$B252)</f>
        <v>688397</v>
      </c>
      <c r="E252" s="405">
        <f>+SUMIFS(MktData!E:E,MktData!$A:$A,$B252)</f>
        <v>110203</v>
      </c>
      <c r="F252" s="368"/>
      <c r="G252" s="402" t="s">
        <v>47</v>
      </c>
      <c r="H252" s="404" t="s">
        <v>47</v>
      </c>
      <c r="I252" s="451" t="s">
        <v>47</v>
      </c>
      <c r="J252" s="368"/>
      <c r="K252" s="406">
        <f>+SUMIFS(MktData!K:K,MktData!$A:$A,$B252)</f>
        <v>744430</v>
      </c>
      <c r="L252" s="405">
        <f>+SUMIFS(MktData!L:L,MktData!$A:$A,$B252)</f>
        <v>75436</v>
      </c>
      <c r="M252" s="368"/>
      <c r="N252" s="406">
        <f>+SUMIFS(MktData!N:N,MktData!$A:$A,$B252)</f>
        <v>313657.44099999999</v>
      </c>
      <c r="O252" s="405">
        <f>+SUMIFS(MktData!O:O,MktData!$A:$A,$B252)</f>
        <v>374739.55900000001</v>
      </c>
      <c r="P252" s="368"/>
      <c r="Q252" s="406">
        <f>+SUMIFS(MktData!Q:Q,MktData!$A:$A,$B252)</f>
        <v>2934410</v>
      </c>
      <c r="R252" s="407">
        <f t="shared" si="156"/>
        <v>4.2626711040286347</v>
      </c>
      <c r="S252" s="368"/>
      <c r="T252" s="406">
        <f>+SUMIFS(MktData!T:T,MktData!$A:$A,$B252)</f>
        <v>123734</v>
      </c>
      <c r="U252" s="403">
        <f>+SUMIFS(MktData!U:U,MktData!$A:$A,$B252)</f>
        <v>110007</v>
      </c>
      <c r="V252" s="403">
        <f>+SUMIFS(MktData!V:V,MktData!$A:$A,$B252)</f>
        <v>126727</v>
      </c>
      <c r="W252" s="403">
        <f>+SUMIFS(MktData!W:W,MktData!$A:$A,$B252)</f>
        <v>54086</v>
      </c>
      <c r="X252" s="403">
        <f>+SUMIFS(MktData!X:X,MktData!$A:$A,$B252)</f>
        <v>86407</v>
      </c>
      <c r="Y252" s="403">
        <f>+SUMIFS(MktData!Y:Y,MktData!$A:$A,$B252)</f>
        <v>51468</v>
      </c>
      <c r="Z252" s="403">
        <f>+SUMIFS(MktData!Z:Z,MktData!$A:$A,$B252)</f>
        <v>31597</v>
      </c>
      <c r="AA252" s="403">
        <f>+SUMIFS(MktData!AA:AA,MktData!$A:$A,$B252)</f>
        <v>0</v>
      </c>
      <c r="AB252" s="405">
        <f>+SUMIFS(MktData!AB:AB,MktData!$A:$A,$B252)</f>
        <v>104371</v>
      </c>
      <c r="AC252" s="368"/>
      <c r="AD252" s="447" t="s">
        <v>923</v>
      </c>
      <c r="AE252" s="677">
        <f t="shared" si="157"/>
        <v>0.17974221270574972</v>
      </c>
      <c r="AF252" s="678">
        <f t="shared" si="158"/>
        <v>0.15980168420257496</v>
      </c>
      <c r="AG252" s="678">
        <f t="shared" si="159"/>
        <v>0.18408999458161496</v>
      </c>
      <c r="AH252" s="678">
        <f t="shared" si="160"/>
        <v>7.8568035595739091E-2</v>
      </c>
      <c r="AI252" s="678">
        <f t="shared" si="161"/>
        <v>0.12551914084459984</v>
      </c>
      <c r="AJ252" s="678">
        <f t="shared" si="162"/>
        <v>7.4764997523231513E-2</v>
      </c>
      <c r="AK252" s="678">
        <f t="shared" si="163"/>
        <v>4.5899386545844911E-2</v>
      </c>
      <c r="AL252" s="678" t="s">
        <v>47</v>
      </c>
      <c r="AM252" s="679">
        <f t="shared" si="164"/>
        <v>0.15161454800064497</v>
      </c>
      <c r="AN252" s="368"/>
      <c r="AO252" s="594">
        <f>+SUMIFS(MktData!AO:AO,MktData!$A:$A,$B252)</f>
        <v>37200.262900000002</v>
      </c>
      <c r="AP252" s="595">
        <f>+SUMIFS(MktData!AP:AP,MktData!$A:$A,$B252)</f>
        <v>100322.79419999999</v>
      </c>
      <c r="AQ252" s="595">
        <f>+SUMIFS(MktData!AQ:AQ,MktData!$A:$A,$B252)</f>
        <v>63013.784</v>
      </c>
      <c r="AR252" s="595">
        <f>+SUMIFS(MktData!AR:AR,MktData!$A:$A,$B252)</f>
        <v>373290.80170000001</v>
      </c>
      <c r="AS252" s="596">
        <f>+SUMIFS(MktData!AS:AS,MktData!$A:$A,$B252)</f>
        <v>114568.47249999999</v>
      </c>
      <c r="AU252" s="682">
        <f t="shared" si="172"/>
        <v>5.4039036643587515E-2</v>
      </c>
      <c r="AV252" s="683">
        <f t="shared" si="172"/>
        <v>0.14573410856085345</v>
      </c>
      <c r="AW252" s="683">
        <f t="shared" si="172"/>
        <v>9.1537099933428387E-2</v>
      </c>
      <c r="AX252" s="683">
        <f t="shared" si="172"/>
        <v>0.54226163309669684</v>
      </c>
      <c r="AY252" s="408">
        <f t="shared" si="172"/>
        <v>0.16642812176543376</v>
      </c>
      <c r="BA252" s="409">
        <f t="shared" si="169"/>
        <v>0.14803675295192295</v>
      </c>
      <c r="BB252" s="410">
        <f t="shared" si="171"/>
        <v>0.10958211613356827</v>
      </c>
    </row>
    <row r="253" spans="2:54" ht="12.75" customHeight="1" outlineLevel="1" x14ac:dyDescent="0.2">
      <c r="B253" s="447" t="s">
        <v>924</v>
      </c>
      <c r="C253" s="402">
        <f>+SUMIFS(MktData!C:C,MktData!$A:$A,$B253)</f>
        <v>810481</v>
      </c>
      <c r="D253" s="403">
        <f>+SUMIFS(MktData!D:D,MktData!$A:$A,$B253)</f>
        <v>725413</v>
      </c>
      <c r="E253" s="405">
        <f>+SUMIFS(MktData!E:E,MktData!$A:$A,$B253)</f>
        <v>85068</v>
      </c>
      <c r="F253" s="368"/>
      <c r="G253" s="402" t="s">
        <v>47</v>
      </c>
      <c r="H253" s="404" t="s">
        <v>47</v>
      </c>
      <c r="I253" s="451" t="s">
        <v>47</v>
      </c>
      <c r="J253" s="368"/>
      <c r="K253" s="406">
        <f>+SUMIFS(MktData!K:K,MktData!$A:$A,$B253)</f>
        <v>654566</v>
      </c>
      <c r="L253" s="405">
        <f>+SUMIFS(MktData!L:L,MktData!$A:$A,$B253)</f>
        <v>77303</v>
      </c>
      <c r="M253" s="368"/>
      <c r="N253" s="406">
        <f>+SUMIFS(MktData!N:N,MktData!$A:$A,$B253)</f>
        <v>331092.43449999997</v>
      </c>
      <c r="O253" s="405">
        <f>+SUMIFS(MktData!O:O,MktData!$A:$A,$B253)</f>
        <v>394320.56550000003</v>
      </c>
      <c r="P253" s="368"/>
      <c r="Q253" s="406">
        <f>+SUMIFS(MktData!Q:Q,MktData!$A:$A,$B253)</f>
        <v>2918553</v>
      </c>
      <c r="R253" s="407">
        <f t="shared" si="156"/>
        <v>4.0232984520542088</v>
      </c>
      <c r="S253" s="368"/>
      <c r="T253" s="406">
        <f>+SUMIFS(MktData!T:T,MktData!$A:$A,$B253)</f>
        <v>129954</v>
      </c>
      <c r="U253" s="403">
        <f>+SUMIFS(MktData!U:U,MktData!$A:$A,$B253)</f>
        <v>115088</v>
      </c>
      <c r="V253" s="403">
        <f>+SUMIFS(MktData!V:V,MktData!$A:$A,$B253)</f>
        <v>136480</v>
      </c>
      <c r="W253" s="403">
        <f>+SUMIFS(MktData!W:W,MktData!$A:$A,$B253)</f>
        <v>59818</v>
      </c>
      <c r="X253" s="403">
        <f>+SUMIFS(MktData!X:X,MktData!$A:$A,$B253)</f>
        <v>92025</v>
      </c>
      <c r="Y253" s="403">
        <f>+SUMIFS(MktData!Y:Y,MktData!$A:$A,$B253)</f>
        <v>49407</v>
      </c>
      <c r="Z253" s="403">
        <f>+SUMIFS(MktData!Z:Z,MktData!$A:$A,$B253)</f>
        <v>32865</v>
      </c>
      <c r="AA253" s="403">
        <f>+SUMIFS(MktData!AA:AA,MktData!$A:$A,$B253)</f>
        <v>0</v>
      </c>
      <c r="AB253" s="405">
        <f>+SUMIFS(MktData!AB:AB,MktData!$A:$A,$B253)</f>
        <v>109776</v>
      </c>
      <c r="AC253" s="368"/>
      <c r="AD253" s="447" t="s">
        <v>924</v>
      </c>
      <c r="AE253" s="677">
        <f t="shared" si="157"/>
        <v>0.17914484576372355</v>
      </c>
      <c r="AF253" s="678">
        <f t="shared" si="158"/>
        <v>0.1586516922084385</v>
      </c>
      <c r="AG253" s="678">
        <f t="shared" si="159"/>
        <v>0.1881411003111331</v>
      </c>
      <c r="AH253" s="678">
        <f t="shared" si="160"/>
        <v>8.2460612092697533E-2</v>
      </c>
      <c r="AI253" s="678">
        <f t="shared" si="161"/>
        <v>0.1268587687289861</v>
      </c>
      <c r="AJ253" s="678">
        <f t="shared" si="162"/>
        <v>6.8108787683705693E-2</v>
      </c>
      <c r="AK253" s="678">
        <f t="shared" si="163"/>
        <v>4.5305226126358365E-2</v>
      </c>
      <c r="AL253" s="678" t="s">
        <v>47</v>
      </c>
      <c r="AM253" s="679">
        <f t="shared" si="164"/>
        <v>0.15132896708495713</v>
      </c>
      <c r="AN253" s="368"/>
      <c r="AO253" s="594">
        <f>+SUMIFS(MktData!AO:AO,MktData!$A:$A,$B253)</f>
        <v>35240.075100000002</v>
      </c>
      <c r="AP253" s="595">
        <f>+SUMIFS(MktData!AP:AP,MktData!$A:$A,$B253)</f>
        <v>102713.70089999998</v>
      </c>
      <c r="AQ253" s="595">
        <f>+SUMIFS(MktData!AQ:AQ,MktData!$A:$A,$B253)</f>
        <v>63183.416100000002</v>
      </c>
      <c r="AR253" s="595">
        <f>+SUMIFS(MktData!AR:AR,MktData!$A:$A,$B253)</f>
        <v>392184.9841</v>
      </c>
      <c r="AS253" s="596">
        <f>+SUMIFS(MktData!AS:AS,MktData!$A:$A,$B253)</f>
        <v>132140.20610000001</v>
      </c>
      <c r="AU253" s="682">
        <f t="shared" ref="AU253:AY254" si="173">+AO253/SUM($AO253:$AS253)</f>
        <v>4.8576019873387728E-2</v>
      </c>
      <c r="AV253" s="683">
        <f t="shared" si="173"/>
        <v>0.14158377250982651</v>
      </c>
      <c r="AW253" s="683">
        <f t="shared" si="173"/>
        <v>8.7093993626084124E-2</v>
      </c>
      <c r="AX253" s="683">
        <f t="shared" si="173"/>
        <v>0.54060002788376149</v>
      </c>
      <c r="AY253" s="408">
        <f t="shared" si="173"/>
        <v>0.18214618610694022</v>
      </c>
      <c r="BA253" s="409">
        <f t="shared" si="169"/>
        <v>0.12996092067110115</v>
      </c>
      <c r="BB253" s="410">
        <f t="shared" si="171"/>
        <v>0.10656412278247013</v>
      </c>
    </row>
    <row r="254" spans="2:54" ht="12.75" customHeight="1" outlineLevel="1" x14ac:dyDescent="0.2">
      <c r="B254" s="447" t="s">
        <v>995</v>
      </c>
      <c r="C254" s="402">
        <f>+SUMIFS(MktData!C:C,MktData!$A:$A,$B254)</f>
        <v>619515</v>
      </c>
      <c r="D254" s="403">
        <f>+SUMIFS(MktData!D:D,MktData!$A:$A,$B254)</f>
        <v>534285</v>
      </c>
      <c r="E254" s="405">
        <f>+SUMIFS(MktData!E:E,MktData!$A:$A,$B254)</f>
        <v>85230</v>
      </c>
      <c r="F254" s="368"/>
      <c r="G254" s="402" t="s">
        <v>47</v>
      </c>
      <c r="H254" s="404" t="s">
        <v>47</v>
      </c>
      <c r="I254" s="451" t="s">
        <v>47</v>
      </c>
      <c r="J254" s="368"/>
      <c r="K254" s="406">
        <f>+SUMIFS(MktData!K:K,MktData!$A:$A,$B254)</f>
        <v>555215</v>
      </c>
      <c r="L254" s="405">
        <f>+SUMIFS(MktData!L:L,MktData!$A:$A,$B254)</f>
        <v>59648</v>
      </c>
      <c r="M254" s="368"/>
      <c r="N254" s="406">
        <f>+SUMIFS(MktData!N:N,MktData!$A:$A,$B254)</f>
        <v>236938.95750000002</v>
      </c>
      <c r="O254" s="405">
        <f>+SUMIFS(MktData!O:O,MktData!$A:$A,$B254)</f>
        <v>297346.04249999998</v>
      </c>
      <c r="P254" s="368"/>
      <c r="Q254" s="406">
        <f>+SUMIFS(MktData!Q:Q,MktData!$A:$A,$B254)</f>
        <v>2336587</v>
      </c>
      <c r="R254" s="407">
        <f t="shared" si="156"/>
        <v>4.3732970231243629</v>
      </c>
      <c r="S254" s="368"/>
      <c r="T254" s="406">
        <f>+SUMIFS(MktData!T:T,MktData!$A:$A,$B254)</f>
        <v>94729</v>
      </c>
      <c r="U254" s="403">
        <f>+SUMIFS(MktData!U:U,MktData!$A:$A,$B254)</f>
        <v>86075</v>
      </c>
      <c r="V254" s="403">
        <f>+SUMIFS(MktData!V:V,MktData!$A:$A,$B254)</f>
        <v>102487</v>
      </c>
      <c r="W254" s="403">
        <f>+SUMIFS(MktData!W:W,MktData!$A:$A,$B254)</f>
        <v>41796</v>
      </c>
      <c r="X254" s="403">
        <f>+SUMIFS(MktData!X:X,MktData!$A:$A,$B254)</f>
        <v>63331</v>
      </c>
      <c r="Y254" s="403">
        <f>+SUMIFS(MktData!Y:Y,MktData!$A:$A,$B254)</f>
        <v>48563</v>
      </c>
      <c r="Z254" s="403">
        <f>+SUMIFS(MktData!Z:Z,MktData!$A:$A,$B254)</f>
        <v>24079</v>
      </c>
      <c r="AA254" s="403">
        <f>+SUMIFS(MktData!AA:AA,MktData!$A:$A,$B254)</f>
        <v>0</v>
      </c>
      <c r="AB254" s="405">
        <f>+SUMIFS(MktData!AB:AB,MktData!$A:$A,$B254)</f>
        <v>73225</v>
      </c>
      <c r="AC254" s="368"/>
      <c r="AD254" s="447" t="s">
        <v>995</v>
      </c>
      <c r="AE254" s="677">
        <f t="shared" si="157"/>
        <v>0.17730050441243905</v>
      </c>
      <c r="AF254" s="678">
        <f t="shared" si="158"/>
        <v>0.16110315655502214</v>
      </c>
      <c r="AG254" s="678">
        <f t="shared" si="159"/>
        <v>0.19182084468027363</v>
      </c>
      <c r="AH254" s="678">
        <f t="shared" si="160"/>
        <v>7.8227912069401162E-2</v>
      </c>
      <c r="AI254" s="678">
        <f t="shared" si="161"/>
        <v>0.11853411568732043</v>
      </c>
      <c r="AJ254" s="678">
        <f t="shared" si="162"/>
        <v>9.0893437023311527E-2</v>
      </c>
      <c r="AK254" s="678">
        <f t="shared" si="163"/>
        <v>4.5067707309769132E-2</v>
      </c>
      <c r="AL254" s="678" t="s">
        <v>47</v>
      </c>
      <c r="AM254" s="679">
        <f t="shared" si="164"/>
        <v>0.13705232226246292</v>
      </c>
      <c r="AN254" s="368"/>
      <c r="AO254" s="594">
        <f>+SUMIFS(MktData!AO:AO,MktData!$A:$A,$B254)</f>
        <v>28991.577000000005</v>
      </c>
      <c r="AP254" s="595">
        <f>+SUMIFS(MktData!AP:AP,MktData!$A:$A,$B254)</f>
        <v>77131.96179999999</v>
      </c>
      <c r="AQ254" s="595">
        <f>+SUMIFS(MktData!AQ:AQ,MktData!$A:$A,$B254)</f>
        <v>54766.8986</v>
      </c>
      <c r="AR254" s="595">
        <f>+SUMIFS(MktData!AR:AR,MktData!$A:$A,$B254)</f>
        <v>286440.59140000003</v>
      </c>
      <c r="AS254" s="596">
        <f>+SUMIFS(MktData!AS:AS,MktData!$A:$A,$B254)</f>
        <v>87034.128599999996</v>
      </c>
      <c r="AU254" s="682">
        <f t="shared" si="173"/>
        <v>5.4254242812276601E-2</v>
      </c>
      <c r="AV254" s="683">
        <f t="shared" si="173"/>
        <v>0.14434317195247579</v>
      </c>
      <c r="AW254" s="683">
        <f t="shared" si="173"/>
        <v>0.10248965120868489</v>
      </c>
      <c r="AX254" s="683">
        <f t="shared" si="173"/>
        <v>0.53603905013886299</v>
      </c>
      <c r="AY254" s="408">
        <f t="shared" si="173"/>
        <v>0.16287388388769974</v>
      </c>
      <c r="BA254" s="409">
        <f t="shared" si="169"/>
        <v>0.15350810046558541</v>
      </c>
      <c r="BB254" s="410">
        <f t="shared" si="171"/>
        <v>0.11164079096362428</v>
      </c>
    </row>
    <row r="255" spans="2:54" ht="12.75" customHeight="1" outlineLevel="1" x14ac:dyDescent="0.2">
      <c r="B255" s="440" t="s">
        <v>1027</v>
      </c>
      <c r="C255" s="402">
        <f>+SUMIFS(MktData!C:C,MktData!$A:$A,$B255)</f>
        <v>258702</v>
      </c>
      <c r="D255" s="403">
        <f>+SUMIFS(MktData!D:D,MktData!$A:$A,$B255)</f>
        <v>230963</v>
      </c>
      <c r="E255" s="405">
        <f>+SUMIFS(MktData!E:E,MktData!$A:$A,$B255)</f>
        <v>27739</v>
      </c>
      <c r="F255" s="368"/>
      <c r="G255" s="402" t="s">
        <v>47</v>
      </c>
      <c r="H255" s="404" t="s">
        <v>47</v>
      </c>
      <c r="I255" s="451" t="s">
        <v>47</v>
      </c>
      <c r="J255" s="368"/>
      <c r="K255" s="406">
        <f>+SUMIFS(MktData!K:K,MktData!$A:$A,$B255)</f>
        <v>130342</v>
      </c>
      <c r="L255" s="405">
        <f>+SUMIFS(MktData!L:L,MktData!$A:$A,$B255)</f>
        <v>34439</v>
      </c>
      <c r="M255" s="368"/>
      <c r="N255" s="406">
        <f>+SUMIFS(MktData!N:N,MktData!$A:$A,$B255)</f>
        <v>94638.097100000014</v>
      </c>
      <c r="O255" s="405">
        <f>+SUMIFS(MktData!O:O,MktData!$A:$A,$B255)</f>
        <v>136324.90289999999</v>
      </c>
      <c r="P255" s="368"/>
      <c r="Q255" s="406">
        <f>+SUMIFS(MktData!Q:Q,MktData!$A:$A,$B255)</f>
        <v>1010343</v>
      </c>
      <c r="R255" s="407">
        <f t="shared" si="156"/>
        <v>4.3744798950481245</v>
      </c>
      <c r="S255" s="368"/>
      <c r="T255" s="406">
        <f>+SUMIFS(MktData!T:T,MktData!$A:$A,$B255)</f>
        <v>39735</v>
      </c>
      <c r="U255" s="403">
        <f>+SUMIFS(MktData!U:U,MktData!$A:$A,$B255)</f>
        <v>37928</v>
      </c>
      <c r="V255" s="403">
        <f>+SUMIFS(MktData!V:V,MktData!$A:$A,$B255)</f>
        <v>45146</v>
      </c>
      <c r="W255" s="403">
        <f>+SUMIFS(MktData!W:W,MktData!$A:$A,$B255)</f>
        <v>17104</v>
      </c>
      <c r="X255" s="403">
        <f>+SUMIFS(MktData!X:X,MktData!$A:$A,$B255)</f>
        <v>25834</v>
      </c>
      <c r="Y255" s="403">
        <f>+SUMIFS(MktData!Y:Y,MktData!$A:$A,$B255)</f>
        <v>22261</v>
      </c>
      <c r="Z255" s="403">
        <f>+SUMIFS(MktData!Z:Z,MktData!$A:$A,$B255)</f>
        <v>10233</v>
      </c>
      <c r="AA255" s="403">
        <f>+SUMIFS(MktData!AA:AA,MktData!$A:$A,$B255)</f>
        <v>0</v>
      </c>
      <c r="AB255" s="405">
        <f>+SUMIFS(MktData!AB:AB,MktData!$A:$A,$B255)</f>
        <v>32722</v>
      </c>
      <c r="AC255" s="368"/>
      <c r="AD255" s="447" t="s">
        <v>1027</v>
      </c>
      <c r="AE255" s="677">
        <f t="shared" si="157"/>
        <v>0.17204054329048377</v>
      </c>
      <c r="AF255" s="678">
        <f t="shared" si="158"/>
        <v>0.16421677931097189</v>
      </c>
      <c r="AG255" s="678">
        <f t="shared" si="159"/>
        <v>0.19546853825071547</v>
      </c>
      <c r="AH255" s="678">
        <f t="shared" si="160"/>
        <v>7.4055151690963494E-2</v>
      </c>
      <c r="AI255" s="678">
        <f t="shared" si="161"/>
        <v>0.11185341375025437</v>
      </c>
      <c r="AJ255" s="678">
        <f t="shared" si="162"/>
        <v>9.6383403402276552E-2</v>
      </c>
      <c r="AK255" s="678">
        <f t="shared" si="163"/>
        <v>4.4305797898364675E-2</v>
      </c>
      <c r="AL255" s="678" t="s">
        <v>47</v>
      </c>
      <c r="AM255" s="679">
        <f t="shared" si="164"/>
        <v>0.14167637240596978</v>
      </c>
      <c r="AN255" s="368"/>
      <c r="AO255" s="594">
        <f>+SUMIFS(MktData!AO:AO,MktData!$A:$A,$B255)</f>
        <v>16902.765100000001</v>
      </c>
      <c r="AP255" s="595">
        <f>+SUMIFS(MktData!AP:AP,MktData!$A:$A,$B255)</f>
        <v>28906.010699999999</v>
      </c>
      <c r="AQ255" s="595">
        <f>+SUMIFS(MktData!AQ:AQ,MktData!$A:$A,$B255)</f>
        <v>34882.483999999997</v>
      </c>
      <c r="AR255" s="595">
        <f>+SUMIFS(MktData!AR:AR,MktData!$A:$A,$B255)</f>
        <v>94286.082399999985</v>
      </c>
      <c r="AS255" s="596">
        <f>+SUMIFS(MktData!AS:AS,MktData!$A:$A,$B255)</f>
        <v>56291.864799999996</v>
      </c>
      <c r="AU255" s="682">
        <f t="shared" ref="AU255:AY256" si="174">+AO255/SUM($AO255:$AS255)</f>
        <v>7.3086967864251812E-2</v>
      </c>
      <c r="AV255" s="683">
        <f t="shared" si="174"/>
        <v>0.12498858397521119</v>
      </c>
      <c r="AW255" s="683">
        <f t="shared" si="174"/>
        <v>0.15083064646820879</v>
      </c>
      <c r="AX255" s="683">
        <f t="shared" si="174"/>
        <v>0.40768973795979674</v>
      </c>
      <c r="AY255" s="408">
        <f t="shared" si="174"/>
        <v>0.2434040637325314</v>
      </c>
      <c r="BA255" s="409">
        <f t="shared" si="169"/>
        <v>0.21281705052860936</v>
      </c>
      <c r="BB255" s="410">
        <f t="shared" si="171"/>
        <v>0.1491104635807467</v>
      </c>
    </row>
    <row r="256" spans="2:54" ht="12.75" customHeight="1" outlineLevel="1" x14ac:dyDescent="0.2">
      <c r="B256" s="440" t="s">
        <v>1028</v>
      </c>
      <c r="C256" s="402">
        <f>+SUMIFS(MktData!C:C,MktData!$A:$A,$B256)</f>
        <v>618961</v>
      </c>
      <c r="D256" s="403">
        <f>+SUMIFS(MktData!D:D,MktData!$A:$A,$B256)</f>
        <v>536411</v>
      </c>
      <c r="E256" s="405">
        <f>+SUMIFS(MktData!E:E,MktData!$A:$A,$B256)</f>
        <v>82550</v>
      </c>
      <c r="F256" s="368"/>
      <c r="G256" s="402" t="s">
        <v>47</v>
      </c>
      <c r="H256" s="404" t="s">
        <v>47</v>
      </c>
      <c r="I256" s="451" t="s">
        <v>47</v>
      </c>
      <c r="J256" s="368"/>
      <c r="K256" s="406">
        <f>+SUMIFS(MktData!K:K,MktData!$A:$A,$B256)</f>
        <v>572575</v>
      </c>
      <c r="L256" s="405">
        <f>+SUMIFS(MktData!L:L,MktData!$A:$A,$B256)</f>
        <v>54807</v>
      </c>
      <c r="M256" s="368"/>
      <c r="N256" s="406">
        <f>+SUMIFS(MktData!N:N,MktData!$A:$A,$B256)</f>
        <v>236581.7542</v>
      </c>
      <c r="O256" s="405">
        <f>+SUMIFS(MktData!O:O,MktData!$A:$A,$B256)</f>
        <v>299829.24580000003</v>
      </c>
      <c r="P256" s="368"/>
      <c r="Q256" s="406">
        <f>+SUMIFS(MktData!Q:Q,MktData!$A:$A,$B256)</f>
        <v>2770050</v>
      </c>
      <c r="R256" s="407">
        <f t="shared" si="156"/>
        <v>5.1640439886579506</v>
      </c>
      <c r="S256" s="368"/>
      <c r="T256" s="406">
        <f>+SUMIFS(MktData!T:T,MktData!$A:$A,$B256)</f>
        <v>88618</v>
      </c>
      <c r="U256" s="403">
        <f>+SUMIFS(MktData!U:U,MktData!$A:$A,$B256)</f>
        <v>99583</v>
      </c>
      <c r="V256" s="403">
        <f>+SUMIFS(MktData!V:V,MktData!$A:$A,$B256)</f>
        <v>127108</v>
      </c>
      <c r="W256" s="403">
        <f>+SUMIFS(MktData!W:W,MktData!$A:$A,$B256)</f>
        <v>35003</v>
      </c>
      <c r="X256" s="403">
        <f>+SUMIFS(MktData!X:X,MktData!$A:$A,$B256)</f>
        <v>45010</v>
      </c>
      <c r="Y256" s="403">
        <f>+SUMIFS(MktData!Y:Y,MktData!$A:$A,$B256)</f>
        <v>53237</v>
      </c>
      <c r="Z256" s="403">
        <f>+SUMIFS(MktData!Z:Z,MktData!$A:$A,$B256)</f>
        <v>21826</v>
      </c>
      <c r="AA256" s="403">
        <f>+SUMIFS(MktData!AA:AA,MktData!$A:$A,$B256)</f>
        <v>0</v>
      </c>
      <c r="AB256" s="405">
        <f>+SUMIFS(MktData!AB:AB,MktData!$A:$A,$B256)</f>
        <v>66026</v>
      </c>
      <c r="AC256" s="368"/>
      <c r="AD256" s="447" t="s">
        <v>1028</v>
      </c>
      <c r="AE256" s="677">
        <f t="shared" si="157"/>
        <v>0.16520541152213508</v>
      </c>
      <c r="AF256" s="678">
        <f t="shared" si="158"/>
        <v>0.18564682678021144</v>
      </c>
      <c r="AG256" s="678">
        <f t="shared" si="159"/>
        <v>0.23696009216813227</v>
      </c>
      <c r="AH256" s="678">
        <f t="shared" si="160"/>
        <v>6.5254068242448421E-2</v>
      </c>
      <c r="AI256" s="678">
        <f t="shared" si="161"/>
        <v>8.3909539513544656E-2</v>
      </c>
      <c r="AJ256" s="678">
        <f t="shared" si="162"/>
        <v>9.9246659744114119E-2</v>
      </c>
      <c r="AK256" s="678">
        <f t="shared" si="163"/>
        <v>4.0688949331762397E-2</v>
      </c>
      <c r="AL256" s="678" t="s">
        <v>47</v>
      </c>
      <c r="AM256" s="679">
        <f t="shared" si="164"/>
        <v>0.12308845269765162</v>
      </c>
      <c r="AN256" s="368"/>
      <c r="AO256" s="594">
        <f>+SUMIFS(MktData!AO:AO,MktData!$A:$A,$B256)</f>
        <v>34458.606</v>
      </c>
      <c r="AP256" s="595">
        <f>+SUMIFS(MktData!AP:AP,MktData!$A:$A,$B256)</f>
        <v>88548.40849999999</v>
      </c>
      <c r="AQ256" s="595">
        <f>+SUMIFS(MktData!AQ:AQ,MktData!$A:$A,$B256)</f>
        <v>52322.195299999992</v>
      </c>
      <c r="AR256" s="595">
        <f>+SUMIFS(MktData!AR:AR,MktData!$A:$A,$B256)</f>
        <v>275380.29909999995</v>
      </c>
      <c r="AS256" s="596">
        <f>+SUMIFS(MktData!AS:AS,MktData!$A:$A,$B256)</f>
        <v>85652.918600000005</v>
      </c>
      <c r="AU256" s="682">
        <f t="shared" si="174"/>
        <v>6.4245003440327686E-2</v>
      </c>
      <c r="AV256" s="683">
        <f t="shared" si="174"/>
        <v>0.16509062521908288</v>
      </c>
      <c r="AW256" s="683">
        <f t="shared" si="174"/>
        <v>9.7550075503750694E-2</v>
      </c>
      <c r="AX256" s="683">
        <f t="shared" si="174"/>
        <v>0.51342205378470518</v>
      </c>
      <c r="AY256" s="408">
        <f t="shared" si="174"/>
        <v>0.15969224205213373</v>
      </c>
      <c r="BA256" s="409">
        <f t="shared" si="169"/>
        <v>0.14417325241234774</v>
      </c>
      <c r="BB256" s="410">
        <f t="shared" si="171"/>
        <v>0.10217351993154503</v>
      </c>
    </row>
    <row r="257" spans="1:54" ht="12.75" customHeight="1" x14ac:dyDescent="0.2">
      <c r="B257" s="440" t="s">
        <v>993</v>
      </c>
      <c r="C257" s="402">
        <f>+SUMIFS(MktData!C:C,MktData!$A:$A,$B257)</f>
        <v>764618</v>
      </c>
      <c r="D257" s="403">
        <f>+SUMIFS(MktData!D:D,MktData!$A:$A,$B257)</f>
        <v>653169</v>
      </c>
      <c r="E257" s="405">
        <f>+SUMIFS(MktData!E:E,MktData!$A:$A,$B257)</f>
        <v>111449</v>
      </c>
      <c r="F257" s="368"/>
      <c r="G257" s="402" t="s">
        <v>47</v>
      </c>
      <c r="H257" s="404" t="s">
        <v>47</v>
      </c>
      <c r="I257" s="451" t="s">
        <v>47</v>
      </c>
      <c r="J257" s="368"/>
      <c r="K257" s="406">
        <f>+SUMIFS(MktData!K:K,MktData!$A:$A,$B257)</f>
        <v>646582</v>
      </c>
      <c r="L257" s="405">
        <f>+SUMIFS(MktData!L:L,MktData!$A:$A,$B257)</f>
        <v>58789</v>
      </c>
      <c r="M257" s="368"/>
      <c r="N257" s="406">
        <f>+SUMIFS(MktData!N:N,MktData!$A:$A,$B257)</f>
        <v>292157.98989999999</v>
      </c>
      <c r="O257" s="405">
        <f>+SUMIFS(MktData!O:O,MktData!$A:$A,$B257)</f>
        <v>361011.01010000001</v>
      </c>
      <c r="P257" s="368"/>
      <c r="Q257" s="406">
        <f>+SUMIFS(MktData!Q:Q,MktData!$A:$A,$B257)</f>
        <v>3337362</v>
      </c>
      <c r="R257" s="407">
        <f t="shared" si="156"/>
        <v>5.1094923365928269</v>
      </c>
      <c r="S257" s="368"/>
      <c r="T257" s="406">
        <f>+SUMIFS(MktData!T:T,MktData!$A:$A,$B257)</f>
        <v>115508</v>
      </c>
      <c r="U257" s="403">
        <f>+SUMIFS(MktData!U:U,MktData!$A:$A,$B257)</f>
        <v>106305</v>
      </c>
      <c r="V257" s="403">
        <f>+SUMIFS(MktData!V:V,MktData!$A:$A,$B257)</f>
        <v>157305</v>
      </c>
      <c r="W257" s="403">
        <f>+SUMIFS(MktData!W:W,MktData!$A:$A,$B257)</f>
        <v>44075</v>
      </c>
      <c r="X257" s="403">
        <f>+SUMIFS(MktData!X:X,MktData!$A:$A,$B257)</f>
        <v>58859</v>
      </c>
      <c r="Y257" s="403">
        <f>+SUMIFS(MktData!Y:Y,MktData!$A:$A,$B257)</f>
        <v>63804</v>
      </c>
      <c r="Z257" s="403">
        <f>+SUMIFS(MktData!Z:Z,MktData!$A:$A,$B257)</f>
        <v>27978</v>
      </c>
      <c r="AA257" s="403">
        <f>+SUMIFS(MktData!AA:AA,MktData!$A:$A,$B257)</f>
        <v>0</v>
      </c>
      <c r="AB257" s="405">
        <f>+SUMIFS(MktData!AB:AB,MktData!$A:$A,$B257)</f>
        <v>79335</v>
      </c>
      <c r="AC257" s="368"/>
      <c r="AD257" s="447" t="s">
        <v>993</v>
      </c>
      <c r="AE257" s="677">
        <f t="shared" si="157"/>
        <v>0.17684244047099601</v>
      </c>
      <c r="AF257" s="678">
        <f t="shared" si="158"/>
        <v>0.16275267197310345</v>
      </c>
      <c r="AG257" s="678">
        <f t="shared" si="159"/>
        <v>0.24083353619048056</v>
      </c>
      <c r="AH257" s="678">
        <f t="shared" si="160"/>
        <v>6.747870765452739E-2</v>
      </c>
      <c r="AI257" s="678">
        <f t="shared" si="161"/>
        <v>9.0112972293541177E-2</v>
      </c>
      <c r="AJ257" s="678">
        <f t="shared" si="162"/>
        <v>9.7683754127951578E-2</v>
      </c>
      <c r="AK257" s="678">
        <f t="shared" si="163"/>
        <v>4.2834243511250536E-2</v>
      </c>
      <c r="AL257" s="678" t="s">
        <v>47</v>
      </c>
      <c r="AM257" s="679">
        <f t="shared" si="164"/>
        <v>0.1214616737781493</v>
      </c>
      <c r="AN257" s="368"/>
      <c r="AO257" s="594">
        <f>+SUMIFS(MktData!AO:AO,MktData!$A:$A,$B257)</f>
        <v>41483.4735</v>
      </c>
      <c r="AP257" s="595">
        <f>+SUMIFS(MktData!AP:AP,MktData!$A:$A,$B257)</f>
        <v>106977.6513</v>
      </c>
      <c r="AQ257" s="595">
        <f>+SUMIFS(MktData!AQ:AQ,MktData!$A:$A,$B257)</f>
        <v>64082.714000000007</v>
      </c>
      <c r="AR257" s="595">
        <f>+SUMIFS(MktData!AR:AR,MktData!$A:$A,$B257)</f>
        <v>326469.05150000006</v>
      </c>
      <c r="AS257" s="596">
        <f>+SUMIFS(MktData!AS:AS,MktData!$A:$A,$B257)</f>
        <v>114156.1097</v>
      </c>
      <c r="AU257" s="682">
        <f t="shared" ref="AU257:AY258" si="175">+AO257/SUM($AO257:$AS257)</f>
        <v>6.3511087482718859E-2</v>
      </c>
      <c r="AV257" s="683">
        <f t="shared" si="175"/>
        <v>0.16378249932253364</v>
      </c>
      <c r="AW257" s="683">
        <f t="shared" si="175"/>
        <v>9.8110464519902199E-2</v>
      </c>
      <c r="AX257" s="683">
        <f t="shared" si="175"/>
        <v>0.49982324865387057</v>
      </c>
      <c r="AY257" s="408">
        <f t="shared" si="175"/>
        <v>0.17477270002097464</v>
      </c>
      <c r="BA257" s="409">
        <f t="shared" si="169"/>
        <v>0.17236638199021934</v>
      </c>
      <c r="BB257" s="410">
        <f t="shared" si="171"/>
        <v>9.0005802479909483E-2</v>
      </c>
    </row>
    <row r="258" spans="1:54" ht="12.75" customHeight="1" x14ac:dyDescent="0.2">
      <c r="B258" s="440" t="s">
        <v>1124</v>
      </c>
      <c r="C258" s="402">
        <f>+SUMIFS(MktData!C:C,MktData!$A:$A,$B258)</f>
        <v>588153</v>
      </c>
      <c r="D258" s="403">
        <f>+SUMIFS(MktData!D:D,MktData!$A:$A,$B258)</f>
        <v>498518</v>
      </c>
      <c r="E258" s="405">
        <f>+SUMIFS(MktData!E:E,MktData!$A:$A,$B258)</f>
        <v>89635</v>
      </c>
      <c r="F258" s="368"/>
      <c r="G258" s="402" t="s">
        <v>47</v>
      </c>
      <c r="H258" s="404" t="s">
        <v>47</v>
      </c>
      <c r="I258" s="451" t="s">
        <v>47</v>
      </c>
      <c r="J258" s="368"/>
      <c r="K258" s="406">
        <f>+SUMIFS(MktData!K:K,MktData!$A:$A,$B258)</f>
        <v>559515</v>
      </c>
      <c r="L258" s="405">
        <f>+SUMIFS(MktData!L:L,MktData!$A:$A,$B258)</f>
        <v>45886</v>
      </c>
      <c r="M258" s="368"/>
      <c r="N258" s="406">
        <f>+SUMIFS(MktData!N:N,MktData!$A:$A,$B258)</f>
        <v>209234.10499999998</v>
      </c>
      <c r="O258" s="405">
        <f>+SUMIFS(MktData!O:O,MktData!$A:$A,$B258)</f>
        <v>289283.89500000002</v>
      </c>
      <c r="P258" s="368"/>
      <c r="Q258" s="406">
        <f>+SUMIFS(MktData!Q:Q,MktData!$A:$A,$B258)</f>
        <v>2661012</v>
      </c>
      <c r="R258" s="407">
        <f t="shared" si="156"/>
        <v>5.3378453736876104</v>
      </c>
      <c r="S258" s="368"/>
      <c r="T258" s="406">
        <f>+SUMIFS(MktData!T:T,MktData!$A:$A,$B258)</f>
        <v>74815</v>
      </c>
      <c r="U258" s="403">
        <f>+SUMIFS(MktData!U:U,MktData!$A:$A,$B258)</f>
        <v>86006</v>
      </c>
      <c r="V258" s="403">
        <f>+SUMIFS(MktData!V:V,MktData!$A:$A,$B258)</f>
        <v>136434</v>
      </c>
      <c r="W258" s="403">
        <f>+SUMIFS(MktData!W:W,MktData!$A:$A,$B258)</f>
        <v>33150</v>
      </c>
      <c r="X258" s="403">
        <f>+SUMIFS(MktData!X:X,MktData!$A:$A,$B258)</f>
        <v>50428</v>
      </c>
      <c r="Y258" s="403">
        <f>+SUMIFS(MktData!Y:Y,MktData!$A:$A,$B258)</f>
        <v>53660</v>
      </c>
      <c r="Z258" s="403">
        <f>+SUMIFS(MktData!Z:Z,MktData!$A:$A,$B258)</f>
        <v>20813</v>
      </c>
      <c r="AA258" s="403">
        <f>+SUMIFS(MktData!AA:AA,MktData!$A:$A,$B258)</f>
        <v>0</v>
      </c>
      <c r="AB258" s="405">
        <f>+SUMIFS(MktData!AB:AB,MktData!$A:$A,$B258)</f>
        <v>43212</v>
      </c>
      <c r="AC258" s="368"/>
      <c r="AD258" s="447" t="s">
        <v>1124</v>
      </c>
      <c r="AE258" s="677">
        <f t="shared" si="157"/>
        <v>0.1500748217717314</v>
      </c>
      <c r="AF258" s="678">
        <f t="shared" si="158"/>
        <v>0.17252335923677781</v>
      </c>
      <c r="AG258" s="678">
        <f t="shared" si="159"/>
        <v>0.27367918510465017</v>
      </c>
      <c r="AH258" s="678">
        <f t="shared" si="160"/>
        <v>6.6497097396683774E-2</v>
      </c>
      <c r="AI258" s="678">
        <f t="shared" si="161"/>
        <v>0.10115582586787238</v>
      </c>
      <c r="AJ258" s="678">
        <f t="shared" si="162"/>
        <v>0.10763904212084618</v>
      </c>
      <c r="AK258" s="678">
        <f t="shared" si="163"/>
        <v>4.1749746247878715E-2</v>
      </c>
      <c r="AL258" s="678" t="s">
        <v>47</v>
      </c>
      <c r="AM258" s="679">
        <f t="shared" si="164"/>
        <v>8.6680922253559556E-2</v>
      </c>
      <c r="AN258" s="368"/>
      <c r="AO258" s="594">
        <f>+SUMIFS(MktData!AO:AO,MktData!$A:$A,$B258)</f>
        <v>28323.1342</v>
      </c>
      <c r="AP258" s="595">
        <f>+SUMIFS(MktData!AP:AP,MktData!$A:$A,$B258)</f>
        <v>76270.876799999998</v>
      </c>
      <c r="AQ258" s="595">
        <f>+SUMIFS(MktData!AQ:AQ,MktData!$A:$A,$B258)</f>
        <v>53375.810799999992</v>
      </c>
      <c r="AR258" s="595">
        <f>+SUMIFS(MktData!AR:AR,MktData!$A:$A,$B258)</f>
        <v>257139.62400000001</v>
      </c>
      <c r="AS258" s="596">
        <f>+SUMIFS(MktData!AS:AS,MktData!$A:$A,$B258)</f>
        <v>83374.551200000016</v>
      </c>
      <c r="AU258" s="682">
        <f t="shared" si="175"/>
        <v>5.6818542561959118E-2</v>
      </c>
      <c r="AV258" s="683">
        <f t="shared" si="175"/>
        <v>0.15300566770250801</v>
      </c>
      <c r="AW258" s="683">
        <f t="shared" si="175"/>
        <v>0.10707627751588582</v>
      </c>
      <c r="AX258" s="683">
        <f t="shared" si="175"/>
        <v>0.51584328794410628</v>
      </c>
      <c r="AY258" s="408">
        <f t="shared" si="175"/>
        <v>0.16725622427554082</v>
      </c>
      <c r="BA258" s="409">
        <f t="shared" si="169"/>
        <v>0.16020124572174116</v>
      </c>
      <c r="BB258" s="410">
        <f t="shared" si="171"/>
        <v>9.2044820848996428E-2</v>
      </c>
    </row>
    <row r="259" spans="1:54" ht="12.75" customHeight="1" x14ac:dyDescent="0.2">
      <c r="B259" s="440" t="s">
        <v>1125</v>
      </c>
      <c r="C259" s="402">
        <f>+SUMIFS(MktData!C:C,MktData!$A:$A,$B259)</f>
        <v>607259</v>
      </c>
      <c r="D259" s="403">
        <f>+SUMIFS(MktData!D:D,MktData!$A:$A,$B259)</f>
        <v>509382</v>
      </c>
      <c r="E259" s="405">
        <f>+SUMIFS(MktData!E:E,MktData!$A:$A,$B259)</f>
        <v>97877</v>
      </c>
      <c r="F259" s="368"/>
      <c r="G259" s="402" t="s">
        <v>47</v>
      </c>
      <c r="H259" s="404" t="s">
        <v>47</v>
      </c>
      <c r="I259" s="451" t="s">
        <v>47</v>
      </c>
      <c r="J259" s="368"/>
      <c r="K259" s="406">
        <f>+SUMIFS(MktData!K:K,MktData!$A:$A,$B259)</f>
        <v>504509</v>
      </c>
      <c r="L259" s="405">
        <f>+SUMIFS(MktData!L:L,MktData!$A:$A,$B259)</f>
        <v>59453</v>
      </c>
      <c r="M259" s="368"/>
      <c r="N259" s="406">
        <f>+SUMIFS(MktData!N:N,MktData!$A:$A,$B259)</f>
        <v>226876.63740000001</v>
      </c>
      <c r="O259" s="405">
        <f>+SUMIFS(MktData!O:O,MktData!$A:$A,$B259)</f>
        <v>282505.36259999999</v>
      </c>
      <c r="P259" s="368"/>
      <c r="Q259" s="406">
        <f>+SUMIFS(MktData!Q:Q,MktData!$A:$A,$B259)</f>
        <v>2790487</v>
      </c>
      <c r="R259" s="407">
        <f t="shared" si="156"/>
        <v>5.4781814041328509</v>
      </c>
      <c r="S259" s="368"/>
      <c r="T259" s="406">
        <f>+SUMIFS(MktData!T:T,MktData!$A:$A,$B259)</f>
        <v>49826</v>
      </c>
      <c r="U259" s="403">
        <f>+SUMIFS(MktData!U:U,MktData!$A:$A,$B259)</f>
        <v>79306</v>
      </c>
      <c r="V259" s="403">
        <f>+SUMIFS(MktData!V:V,MktData!$A:$A,$B259)</f>
        <v>160874</v>
      </c>
      <c r="W259" s="403">
        <f>+SUMIFS(MktData!W:W,MktData!$A:$A,$B259)</f>
        <v>45474</v>
      </c>
      <c r="X259" s="403">
        <f>+SUMIFS(MktData!X:X,MktData!$A:$A,$B259)</f>
        <v>52095</v>
      </c>
      <c r="Y259" s="403">
        <f>+SUMIFS(MktData!Y:Y,MktData!$A:$A,$B259)</f>
        <v>57028</v>
      </c>
      <c r="Z259" s="403">
        <f>+SUMIFS(MktData!Z:Z,MktData!$A:$A,$B259)</f>
        <v>19349</v>
      </c>
      <c r="AA259" s="403">
        <f>+SUMIFS(MktData!AA:AA,MktData!$A:$A,$B259)</f>
        <v>0</v>
      </c>
      <c r="AB259" s="405">
        <f>+SUMIFS(MktData!AB:AB,MktData!$A:$A,$B259)</f>
        <v>45430</v>
      </c>
      <c r="AC259" s="368"/>
      <c r="AD259" s="447" t="s">
        <v>1125</v>
      </c>
      <c r="AE259" s="677">
        <f t="shared" si="157"/>
        <v>9.7816569882720625E-2</v>
      </c>
      <c r="AF259" s="678">
        <f t="shared" si="158"/>
        <v>0.15569062118410151</v>
      </c>
      <c r="AG259" s="678">
        <f t="shared" si="159"/>
        <v>0.31582191753929273</v>
      </c>
      <c r="AH259" s="678">
        <f t="shared" si="160"/>
        <v>8.927288361190619E-2</v>
      </c>
      <c r="AI259" s="678">
        <f t="shared" si="161"/>
        <v>0.10227098719624958</v>
      </c>
      <c r="AJ259" s="678">
        <f t="shared" si="162"/>
        <v>0.11195527128952339</v>
      </c>
      <c r="AK259" s="678">
        <f t="shared" si="163"/>
        <v>3.7985244865346636E-2</v>
      </c>
      <c r="AL259" s="678" t="s">
        <v>47</v>
      </c>
      <c r="AM259" s="679">
        <f t="shared" si="164"/>
        <v>8.9186504430859362E-2</v>
      </c>
      <c r="AN259" s="368"/>
      <c r="AO259" s="594">
        <f>+SUMIFS(MktData!AO:AO,MktData!$A:$A,$B259)</f>
        <v>31037.198400000001</v>
      </c>
      <c r="AP259" s="595">
        <f>+SUMIFS(MktData!AP:AP,MktData!$A:$A,$B259)</f>
        <v>82087.0864</v>
      </c>
      <c r="AQ259" s="595">
        <f>+SUMIFS(MktData!AQ:AQ,MktData!$A:$A,$B259)</f>
        <v>55454.113599999997</v>
      </c>
      <c r="AR259" s="595">
        <f>+SUMIFS(MktData!AR:AR,MktData!$A:$A,$B259)</f>
        <v>259374.93029999998</v>
      </c>
      <c r="AS259" s="596">
        <f>+SUMIFS(MktData!AS:AS,MktData!$A:$A,$B259)</f>
        <v>81193.303400000004</v>
      </c>
      <c r="AU259" s="682">
        <f t="shared" ref="AU259:AY260" si="176">+AO259/SUM($AO259:$AS259)</f>
        <v>6.0959253078009326E-2</v>
      </c>
      <c r="AV259" s="683">
        <f t="shared" si="176"/>
        <v>0.16122484413071306</v>
      </c>
      <c r="AW259" s="683">
        <f t="shared" si="176"/>
        <v>0.10891580166459477</v>
      </c>
      <c r="AX259" s="683">
        <f t="shared" si="176"/>
        <v>0.50943071002983076</v>
      </c>
      <c r="AY259" s="408">
        <f t="shared" si="176"/>
        <v>0.15946939109685218</v>
      </c>
      <c r="BA259" s="409">
        <f t="shared" si="169"/>
        <v>0.1940044677101895</v>
      </c>
      <c r="BB259" s="410">
        <f t="shared" si="171"/>
        <v>0.11671594206312748</v>
      </c>
    </row>
    <row r="260" spans="1:54" ht="12.75" customHeight="1" x14ac:dyDescent="0.2">
      <c r="B260" s="440" t="s">
        <v>1126</v>
      </c>
      <c r="C260" s="402">
        <f>+SUMIFS(MktData!C:C,MktData!$A:$A,$B260)</f>
        <v>533317</v>
      </c>
      <c r="D260" s="403">
        <f>+SUMIFS(MktData!D:D,MktData!$A:$A,$B260)</f>
        <v>463358</v>
      </c>
      <c r="E260" s="405">
        <f>+SUMIFS(MktData!E:E,MktData!$A:$A,$B260)</f>
        <v>69959</v>
      </c>
      <c r="F260" s="368"/>
      <c r="G260" s="402" t="s">
        <v>47</v>
      </c>
      <c r="H260" s="404" t="s">
        <v>47</v>
      </c>
      <c r="I260" s="451" t="s">
        <v>47</v>
      </c>
      <c r="J260" s="368"/>
      <c r="K260" s="406">
        <f>+SUMIFS(MktData!K:K,MktData!$A:$A,$B260)</f>
        <v>455752</v>
      </c>
      <c r="L260" s="405">
        <f>+SUMIFS(MktData!L:L,MktData!$A:$A,$B260)</f>
        <v>67681</v>
      </c>
      <c r="M260" s="368"/>
      <c r="N260" s="406">
        <f>+SUMIFS(MktData!N:N,MktData!$A:$A,$B260)</f>
        <v>183909.3731</v>
      </c>
      <c r="O260" s="405">
        <f>+SUMIFS(MktData!O:O,MktData!$A:$A,$B260)</f>
        <v>279448.62690000003</v>
      </c>
      <c r="P260" s="368"/>
      <c r="Q260" s="406">
        <f>+SUMIFS(MktData!Q:Q,MktData!$A:$A,$B260)</f>
        <v>3116247</v>
      </c>
      <c r="R260" s="407">
        <f t="shared" si="156"/>
        <v>6.7253549091631095</v>
      </c>
      <c r="S260" s="368"/>
      <c r="T260" s="406">
        <f>+SUMIFS(MktData!T:T,MktData!$A:$A,$B260)</f>
        <v>36332</v>
      </c>
      <c r="U260" s="403">
        <f>+SUMIFS(MktData!U:U,MktData!$A:$A,$B260)</f>
        <v>61647</v>
      </c>
      <c r="V260" s="403">
        <f>+SUMIFS(MktData!V:V,MktData!$A:$A,$B260)</f>
        <v>150440</v>
      </c>
      <c r="W260" s="403">
        <f>+SUMIFS(MktData!W:W,MktData!$A:$A,$B260)</f>
        <v>48765</v>
      </c>
      <c r="X260" s="403">
        <f>+SUMIFS(MktData!X:X,MktData!$A:$A,$B260)</f>
        <v>41756</v>
      </c>
      <c r="Y260" s="403">
        <f>+SUMIFS(MktData!Y:Y,MktData!$A:$A,$B260)</f>
        <v>56735</v>
      </c>
      <c r="Z260" s="403">
        <f>+SUMIFS(MktData!Z:Z,MktData!$A:$A,$B260)</f>
        <v>21769</v>
      </c>
      <c r="AA260" s="403">
        <f>+SUMIFS(MktData!AA:AA,MktData!$A:$A,$B260)</f>
        <v>0</v>
      </c>
      <c r="AB260" s="405">
        <f>+SUMIFS(MktData!AB:AB,MktData!$A:$A,$B260)</f>
        <v>45914</v>
      </c>
      <c r="AD260" s="447" t="s">
        <v>1126</v>
      </c>
      <c r="AE260" s="677">
        <f t="shared" si="157"/>
        <v>7.8410214132485029E-2</v>
      </c>
      <c r="AF260" s="678">
        <f t="shared" si="158"/>
        <v>0.13304399621890634</v>
      </c>
      <c r="AG260" s="678">
        <f t="shared" si="159"/>
        <v>0.32467336271306418</v>
      </c>
      <c r="AH260" s="678">
        <f t="shared" si="160"/>
        <v>0.10524259859547046</v>
      </c>
      <c r="AI260" s="678">
        <f t="shared" si="161"/>
        <v>9.0116065763405404E-2</v>
      </c>
      <c r="AJ260" s="678">
        <f t="shared" si="162"/>
        <v>0.12244312173308759</v>
      </c>
      <c r="AK260" s="678">
        <f t="shared" si="163"/>
        <v>4.6980952093197914E-2</v>
      </c>
      <c r="AL260" s="678" t="s">
        <v>47</v>
      </c>
      <c r="AM260" s="679">
        <f t="shared" si="164"/>
        <v>9.908968875038307E-2</v>
      </c>
      <c r="AN260" s="368"/>
      <c r="AO260" s="594">
        <f>+SUMIFS(MktData!AO:AO,MktData!$A:$A,$B260)</f>
        <v>29402.133199999997</v>
      </c>
      <c r="AP260" s="595">
        <f>+SUMIFS(MktData!AP:AP,MktData!$A:$A,$B260)</f>
        <v>70824.090300000011</v>
      </c>
      <c r="AQ260" s="595">
        <f>+SUMIFS(MktData!AQ:AQ,MktData!$A:$A,$B260)</f>
        <v>53855.637600000002</v>
      </c>
      <c r="AR260" s="595">
        <f>+SUMIFS(MktData!AR:AR,MktData!$A:$A,$B260)</f>
        <v>230725.51179999998</v>
      </c>
      <c r="AS260" s="596">
        <f>+SUMIFS(MktData!AS:AS,MktData!$A:$A,$B260)</f>
        <v>78566.482799999998</v>
      </c>
      <c r="AU260" s="682">
        <f t="shared" si="176"/>
        <v>6.345229200638304E-2</v>
      </c>
      <c r="AV260" s="683">
        <f t="shared" si="176"/>
        <v>0.15284438133223754</v>
      </c>
      <c r="AW260" s="683">
        <f t="shared" si="176"/>
        <v>0.11622502421644504</v>
      </c>
      <c r="AX260" s="683">
        <f t="shared" si="176"/>
        <v>0.49792518279101522</v>
      </c>
      <c r="AY260" s="408">
        <f t="shared" si="176"/>
        <v>0.16955311965391923</v>
      </c>
      <c r="BA260" s="409">
        <f t="shared" si="169"/>
        <v>0.15350234337973284</v>
      </c>
      <c r="BB260" s="410">
        <f t="shared" si="171"/>
        <v>0.14606632452660795</v>
      </c>
    </row>
    <row r="261" spans="1:54" ht="12.75" customHeight="1" x14ac:dyDescent="0.2">
      <c r="B261" s="440" t="s">
        <v>1127</v>
      </c>
      <c r="C261" s="402">
        <f>+SUMIFS(MktData!C:C,MktData!$A:$A,$B261)</f>
        <v>597814</v>
      </c>
      <c r="D261" s="403">
        <f>+SUMIFS(MktData!D:D,MktData!$A:$A,$B261)</f>
        <v>505836</v>
      </c>
      <c r="E261" s="405">
        <f>+SUMIFS(MktData!E:E,MktData!$A:$A,$B261)</f>
        <v>91978</v>
      </c>
      <c r="G261" s="402" t="s">
        <v>47</v>
      </c>
      <c r="H261" s="404" t="s">
        <v>47</v>
      </c>
      <c r="I261" s="451" t="s">
        <v>47</v>
      </c>
      <c r="K261" s="406">
        <f>+SUMIFS(MktData!K:K,MktData!$A:$A,$B261)</f>
        <v>550786</v>
      </c>
      <c r="L261" s="405">
        <f>+SUMIFS(MktData!L:L,MktData!$A:$A,$B261)</f>
        <v>74901</v>
      </c>
      <c r="M261" s="368"/>
      <c r="N261" s="406">
        <f>+SUMIFS(MktData!N:N,MktData!$A:$A,$B261)</f>
        <v>232289.55470000001</v>
      </c>
      <c r="O261" s="405">
        <f>+SUMIFS(MktData!O:O,MktData!$A:$A,$B261)</f>
        <v>273546.44530000002</v>
      </c>
      <c r="P261" s="368"/>
      <c r="Q261" s="406">
        <f>+SUMIFS(MktData!Q:Q,MktData!$A:$A,$B261)</f>
        <v>2667601</v>
      </c>
      <c r="R261" s="407">
        <f t="shared" si="156"/>
        <v>5.2736479807684704</v>
      </c>
      <c r="S261" s="368"/>
      <c r="T261" s="406">
        <f>+SUMIFS(MktData!T:T,MktData!$A:$A,$B261)</f>
        <v>81222</v>
      </c>
      <c r="U261" s="403">
        <f>+SUMIFS(MktData!U:U,MktData!$A:$A,$B261)</f>
        <v>75346</v>
      </c>
      <c r="V261" s="403">
        <f>+SUMIFS(MktData!V:V,MktData!$A:$A,$B261)</f>
        <v>132657</v>
      </c>
      <c r="W261" s="403">
        <f>+SUMIFS(MktData!W:W,MktData!$A:$A,$B261)</f>
        <v>45978</v>
      </c>
      <c r="X261" s="403">
        <f>+SUMIFS(MktData!X:X,MktData!$A:$A,$B261)</f>
        <v>48230</v>
      </c>
      <c r="Y261" s="403">
        <f>+SUMIFS(MktData!Y:Y,MktData!$A:$A,$B261)</f>
        <v>56724</v>
      </c>
      <c r="Z261" s="403">
        <f>+SUMIFS(MktData!Z:Z,MktData!$A:$A,$B261)</f>
        <v>19523</v>
      </c>
      <c r="AA261" s="403">
        <f>+SUMIFS(MktData!AA:AA,MktData!$A:$A,$B261)</f>
        <v>0</v>
      </c>
      <c r="AB261" s="405">
        <f>+SUMIFS(MktData!AB:AB,MktData!$A:$A,$B261)</f>
        <v>46156</v>
      </c>
      <c r="AD261" s="447" t="s">
        <v>1127</v>
      </c>
      <c r="AE261" s="677">
        <f t="shared" si="157"/>
        <v>0.16056982895642066</v>
      </c>
      <c r="AF261" s="678">
        <f t="shared" si="158"/>
        <v>0.148953415731581</v>
      </c>
      <c r="AG261" s="678">
        <f t="shared" si="159"/>
        <v>0.26225298318031931</v>
      </c>
      <c r="AH261" s="678">
        <f t="shared" si="160"/>
        <v>9.0895072711313543E-2</v>
      </c>
      <c r="AI261" s="678">
        <f t="shared" si="161"/>
        <v>9.5347108549015888E-2</v>
      </c>
      <c r="AJ261" s="678">
        <f t="shared" si="162"/>
        <v>0.1121391122814509</v>
      </c>
      <c r="AK261" s="678">
        <f t="shared" si="163"/>
        <v>3.8595513170276534E-2</v>
      </c>
      <c r="AL261" s="678" t="s">
        <v>47</v>
      </c>
      <c r="AM261" s="679">
        <f t="shared" si="164"/>
        <v>9.124696541962217E-2</v>
      </c>
      <c r="AN261" s="368"/>
      <c r="AO261" s="594">
        <f>+SUMIFS(MktData!AO:AO,MktData!$A:$A,$B261)</f>
        <v>30292.9133</v>
      </c>
      <c r="AP261" s="595">
        <f>+SUMIFS(MktData!AP:AP,MktData!$A:$A,$B261)</f>
        <v>71881.909799999994</v>
      </c>
      <c r="AQ261" s="595">
        <f>+SUMIFS(MktData!AQ:AQ,MktData!$A:$A,$B261)</f>
        <v>52144.209000000003</v>
      </c>
      <c r="AR261" s="595">
        <f>+SUMIFS(MktData!AR:AR,MktData!$A:$A,$B261)</f>
        <v>260275.5986</v>
      </c>
      <c r="AS261" s="596">
        <f>+SUMIFS(MktData!AS:AS,MktData!$A:$A,$B261)</f>
        <v>91225.224400000006</v>
      </c>
      <c r="AU261" s="682">
        <f t="shared" ref="AU261:AY262" si="177">+AO261/SUM($AO261:$AS261)</f>
        <v>5.988873903340771E-2</v>
      </c>
      <c r="AV261" s="683">
        <f t="shared" si="177"/>
        <v>0.14210970383080163</v>
      </c>
      <c r="AW261" s="683">
        <f t="shared" si="177"/>
        <v>0.10308849776110737</v>
      </c>
      <c r="AX261" s="683">
        <f t="shared" si="177"/>
        <v>0.51456184642760572</v>
      </c>
      <c r="AY261" s="408">
        <f t="shared" si="177"/>
        <v>0.18035121294707754</v>
      </c>
      <c r="BA261" s="409">
        <f t="shared" si="169"/>
        <v>0.16699407755462195</v>
      </c>
      <c r="BB261" s="410">
        <f t="shared" si="171"/>
        <v>0.14807368396080944</v>
      </c>
    </row>
    <row r="262" spans="1:54" ht="12.75" customHeight="1" x14ac:dyDescent="0.2">
      <c r="B262" s="440" t="s">
        <v>1181</v>
      </c>
      <c r="C262" s="402">
        <f>+SUMIFS(MktData!C:C,MktData!$A:$A,$B262)</f>
        <v>477894</v>
      </c>
      <c r="D262" s="403">
        <f>+SUMIFS(MktData!D:D,MktData!$A:$A,$B262)</f>
        <v>375494</v>
      </c>
      <c r="E262" s="405">
        <f>+SUMIFS(MktData!E:E,MktData!$A:$A,$B262)</f>
        <v>102400</v>
      </c>
      <c r="F262" s="368"/>
      <c r="G262" s="402" t="s">
        <v>47</v>
      </c>
      <c r="H262" s="404" t="s">
        <v>47</v>
      </c>
      <c r="I262" s="451" t="s">
        <v>47</v>
      </c>
      <c r="J262" s="368"/>
      <c r="K262" s="406">
        <f>+SUMIFS(MktData!K:K,MktData!$A:$A,$B262)</f>
        <v>456053</v>
      </c>
      <c r="L262" s="405">
        <f>+SUMIFS(MktData!L:L,MktData!$A:$A,$B262)</f>
        <v>49921</v>
      </c>
      <c r="M262" s="368"/>
      <c r="N262" s="406">
        <f>+SUMIFS(MktData!N:N,MktData!$A:$A,$B262)</f>
        <v>148155.28630000001</v>
      </c>
      <c r="O262" s="405">
        <f>+SUMIFS(MktData!O:O,MktData!$A:$A,$B262)</f>
        <v>227338.71370000002</v>
      </c>
      <c r="P262" s="368"/>
      <c r="Q262" s="406">
        <f>+SUMIFS(MktData!Q:Q,MktData!$A:$A,$B262)</f>
        <v>2003508</v>
      </c>
      <c r="R262" s="407">
        <f t="shared" si="156"/>
        <v>5.3356591583354191</v>
      </c>
      <c r="S262" s="368"/>
      <c r="T262" s="406">
        <f>+SUMIFS(MktData!T:T,MktData!$A:$A,$B262)</f>
        <v>49745</v>
      </c>
      <c r="U262" s="403">
        <f>+SUMIFS(MktData!U:U,MktData!$A:$A,$B262)</f>
        <v>37340</v>
      </c>
      <c r="V262" s="403">
        <f>+SUMIFS(MktData!V:V,MktData!$A:$A,$B262)</f>
        <v>108803</v>
      </c>
      <c r="W262" s="403">
        <f>+SUMIFS(MktData!W:W,MktData!$A:$A,$B262)</f>
        <v>40382</v>
      </c>
      <c r="X262" s="403">
        <f>+SUMIFS(MktData!X:X,MktData!$A:$A,$B262)</f>
        <v>36338</v>
      </c>
      <c r="Y262" s="403">
        <f>+SUMIFS(MktData!Y:Y,MktData!$A:$A,$B262)</f>
        <v>49867</v>
      </c>
      <c r="Z262" s="403">
        <f>+SUMIFS(MktData!Z:Z,MktData!$A:$A,$B262)</f>
        <v>13438</v>
      </c>
      <c r="AA262" s="403">
        <f>+SUMIFS(MktData!AA:AA,MktData!$A:$A,$B262)</f>
        <v>0</v>
      </c>
      <c r="AB262" s="405">
        <f>+SUMIFS(MktData!AB:AB,MktData!$A:$A,$B262)</f>
        <v>39581</v>
      </c>
      <c r="AC262" s="368"/>
      <c r="AD262" s="447" t="s">
        <v>1181</v>
      </c>
      <c r="AE262" s="677">
        <f t="shared" si="157"/>
        <v>0.1324788145749333</v>
      </c>
      <c r="AF262" s="678">
        <f t="shared" si="158"/>
        <v>9.9442334631179199E-2</v>
      </c>
      <c r="AG262" s="678">
        <f t="shared" si="159"/>
        <v>0.28975962332287603</v>
      </c>
      <c r="AH262" s="678">
        <f t="shared" si="160"/>
        <v>0.1075436624819571</v>
      </c>
      <c r="AI262" s="678">
        <f t="shared" si="161"/>
        <v>9.6773849915045243E-2</v>
      </c>
      <c r="AJ262" s="678">
        <f t="shared" si="162"/>
        <v>0.1328037198996522</v>
      </c>
      <c r="AK262" s="678">
        <f t="shared" si="163"/>
        <v>3.5787522570267433E-2</v>
      </c>
      <c r="AL262" s="678" t="s">
        <v>47</v>
      </c>
      <c r="AM262" s="679">
        <f t="shared" si="164"/>
        <v>0.10541047260408955</v>
      </c>
      <c r="AN262" s="368"/>
      <c r="AO262" s="594">
        <f>+SUMIFS(MktData!AO:AO,MktData!$A:$A,$B262)</f>
        <v>21817.855500000001</v>
      </c>
      <c r="AP262" s="595">
        <f>+SUMIFS(MktData!AP:AP,MktData!$A:$A,$B262)</f>
        <v>56596.435700000002</v>
      </c>
      <c r="AQ262" s="595">
        <f>+SUMIFS(MktData!AQ:AQ,MktData!$A:$A,$B262)</f>
        <v>42975.035600000003</v>
      </c>
      <c r="AR262" s="595">
        <f>+SUMIFS(MktData!AR:AR,MktData!$A:$A,$B262)</f>
        <v>192836.04620000001</v>
      </c>
      <c r="AS262" s="596">
        <f>+SUMIFS(MktData!AS:AS,MktData!$A:$A,$B262)</f>
        <v>61256.9496</v>
      </c>
      <c r="AU262" s="682">
        <f t="shared" si="177"/>
        <v>5.8106212161797254E-2</v>
      </c>
      <c r="AV262" s="683">
        <f t="shared" si="177"/>
        <v>0.15072996062265223</v>
      </c>
      <c r="AW262" s="683">
        <f t="shared" si="177"/>
        <v>0.11445288636339121</v>
      </c>
      <c r="AX262" s="683">
        <f t="shared" si="177"/>
        <v>0.51356890749135897</v>
      </c>
      <c r="AY262" s="408">
        <f t="shared" si="177"/>
        <v>0.16314203336080035</v>
      </c>
      <c r="BA262" s="409">
        <f t="shared" si="169"/>
        <v>0.22453530620344564</v>
      </c>
      <c r="BB262" s="410">
        <f t="shared" si="171"/>
        <v>0.13294753045321631</v>
      </c>
    </row>
    <row r="263" spans="1:54" ht="12.75" customHeight="1" x14ac:dyDescent="0.2">
      <c r="B263" s="440" t="s">
        <v>1189</v>
      </c>
      <c r="C263" s="402">
        <f>+SUMIFS(MktData!C:C,MktData!$A:$A,$B263)</f>
        <v>608209</v>
      </c>
      <c r="D263" s="403">
        <f>+SUMIFS(MktData!D:D,MktData!$A:$A,$B263)</f>
        <v>477633</v>
      </c>
      <c r="E263" s="405">
        <f>+SUMIFS(MktData!E:E,MktData!$A:$A,$B263)</f>
        <v>130576</v>
      </c>
      <c r="F263" s="368"/>
      <c r="G263" s="402" t="s">
        <v>47</v>
      </c>
      <c r="H263" s="404" t="s">
        <v>47</v>
      </c>
      <c r="I263" s="451" t="s">
        <v>47</v>
      </c>
      <c r="J263" s="368"/>
      <c r="K263" s="406">
        <f>+SUMIFS(MktData!K:K,MktData!$A:$A,$B263)</f>
        <v>550533</v>
      </c>
      <c r="L263" s="405">
        <f>+SUMIFS(MktData!L:L,MktData!$A:$A,$B263)</f>
        <v>67253</v>
      </c>
      <c r="M263" s="368"/>
      <c r="N263" s="406">
        <f>+SUMIFS(MktData!N:N,MktData!$A:$A,$B263)</f>
        <v>224724.10100000002</v>
      </c>
      <c r="O263" s="405">
        <f>+SUMIFS(MktData!O:O,MktData!$A:$A,$B263)</f>
        <v>252908.89899999998</v>
      </c>
      <c r="P263" s="368"/>
      <c r="Q263" s="406">
        <f>+SUMIFS(MktData!Q:Q,MktData!$A:$A,$B263)</f>
        <v>2368665</v>
      </c>
      <c r="R263" s="407">
        <f t="shared" si="156"/>
        <v>4.9591736751857596</v>
      </c>
      <c r="S263" s="368"/>
      <c r="T263" s="406">
        <f>+SUMIFS(MktData!T:T,MktData!$A:$A,$B263)</f>
        <v>65692</v>
      </c>
      <c r="U263" s="403">
        <f>+SUMIFS(MktData!U:U,MktData!$A:$A,$B263)</f>
        <v>58598</v>
      </c>
      <c r="V263" s="403">
        <f>+SUMIFS(MktData!V:V,MktData!$A:$A,$B263)</f>
        <v>143493</v>
      </c>
      <c r="W263" s="403">
        <f>+SUMIFS(MktData!W:W,MktData!$A:$A,$B263)</f>
        <v>50196</v>
      </c>
      <c r="X263" s="403">
        <f>+SUMIFS(MktData!X:X,MktData!$A:$A,$B263)</f>
        <v>41708</v>
      </c>
      <c r="Y263" s="403">
        <f>+SUMIFS(MktData!Y:Y,MktData!$A:$A,$B263)</f>
        <v>53336</v>
      </c>
      <c r="Z263" s="403">
        <f>+SUMIFS(MktData!Z:Z,MktData!$A:$A,$B263)</f>
        <v>12436</v>
      </c>
      <c r="AA263" s="403">
        <f>+SUMIFS(MktData!AA:AA,MktData!$A:$A,$B263)</f>
        <v>0</v>
      </c>
      <c r="AB263" s="405">
        <f>+SUMIFS(MktData!AB:AB,MktData!$A:$A,$B263)</f>
        <v>52174</v>
      </c>
      <c r="AC263" s="368"/>
      <c r="AD263" s="447" t="s">
        <v>1189</v>
      </c>
      <c r="AE263" s="677">
        <f t="shared" si="157"/>
        <v>0.13753656049728558</v>
      </c>
      <c r="AF263" s="678">
        <f t="shared" si="158"/>
        <v>0.12268415289563325</v>
      </c>
      <c r="AG263" s="678">
        <f t="shared" si="159"/>
        <v>0.30042522187537291</v>
      </c>
      <c r="AH263" s="678">
        <f t="shared" si="160"/>
        <v>0.10509324104490268</v>
      </c>
      <c r="AI263" s="678">
        <f t="shared" si="161"/>
        <v>8.7322274633452879E-2</v>
      </c>
      <c r="AJ263" s="678">
        <f t="shared" si="162"/>
        <v>0.11166732616883675</v>
      </c>
      <c r="AK263" s="678">
        <f t="shared" si="163"/>
        <v>2.6036726943071353E-2</v>
      </c>
      <c r="AL263" s="678" t="s">
        <v>47</v>
      </c>
      <c r="AM263" s="679">
        <f t="shared" si="164"/>
        <v>0.10923449594144458</v>
      </c>
      <c r="AN263" s="368"/>
      <c r="AO263" s="594">
        <f>+SUMIFS(MktData!AO:AO,MktData!$A:$A,$B263)</f>
        <v>23896.252999999997</v>
      </c>
      <c r="AP263" s="595">
        <f>+SUMIFS(MktData!AP:AP,MktData!$A:$A,$B263)</f>
        <v>60953.728900000002</v>
      </c>
      <c r="AQ263" s="595">
        <f>+SUMIFS(MktData!AQ:AQ,MktData!$A:$A,$B263)</f>
        <v>49840.509399999995</v>
      </c>
      <c r="AR263" s="595">
        <f>+SUMIFS(MktData!AR:AR,MktData!$A:$A,$B263)</f>
        <v>271924.58369999996</v>
      </c>
      <c r="AS263" s="596">
        <f>+SUMIFS(MktData!AS:AS,MktData!$A:$A,$B263)</f>
        <v>71000.403600000005</v>
      </c>
      <c r="AU263" s="682">
        <f t="shared" ref="AU263:AY264" si="178">+AO263/SUM($AO263:$AS263)</f>
        <v>5.0032409062715832E-2</v>
      </c>
      <c r="AV263" s="683">
        <f t="shared" si="178"/>
        <v>0.12762092442788767</v>
      </c>
      <c r="AW263" s="683">
        <f t="shared" si="178"/>
        <v>0.10435279347749346</v>
      </c>
      <c r="AX263" s="683">
        <f t="shared" si="178"/>
        <v>0.5693378792853887</v>
      </c>
      <c r="AY263" s="408">
        <f t="shared" si="178"/>
        <v>0.14865599374651425</v>
      </c>
      <c r="BA263" s="409">
        <f t="shared" si="169"/>
        <v>0.23718105908274345</v>
      </c>
      <c r="BB263" s="410">
        <f t="shared" si="171"/>
        <v>0.14080476014010757</v>
      </c>
    </row>
    <row r="264" spans="1:54" ht="12.75" customHeight="1" x14ac:dyDescent="0.2">
      <c r="B264" s="440" t="s">
        <v>1191</v>
      </c>
      <c r="C264" s="402">
        <f>+SUMIFS(MktData!C:C,MktData!$A:$A,$B264)</f>
        <v>653016</v>
      </c>
      <c r="D264" s="403">
        <f>+SUMIFS(MktData!D:D,MktData!$A:$A,$B264)</f>
        <v>544427</v>
      </c>
      <c r="E264" s="405">
        <f>+SUMIFS(MktData!E:E,MktData!$A:$A,$B264)</f>
        <v>108589</v>
      </c>
      <c r="F264" s="368"/>
      <c r="G264" s="402" t="s">
        <v>47</v>
      </c>
      <c r="H264" s="404" t="s">
        <v>47</v>
      </c>
      <c r="I264" s="451" t="s">
        <v>47</v>
      </c>
      <c r="J264" s="368"/>
      <c r="K264" s="406">
        <f>+SUMIFS(MktData!K:K,MktData!$A:$A,$B264)</f>
        <v>609277</v>
      </c>
      <c r="L264" s="405">
        <f>+SUMIFS(MktData!L:L,MktData!$A:$A,$B264)</f>
        <v>70029</v>
      </c>
      <c r="M264" s="368"/>
      <c r="N264" s="406">
        <f>+SUMIFS(MktData!N:N,MktData!$A:$A,$B264)</f>
        <v>289212.40740000003</v>
      </c>
      <c r="O264" s="405">
        <f>+SUMIFS(MktData!O:O,MktData!$A:$A,$B264)</f>
        <v>255214.59259999997</v>
      </c>
      <c r="P264" s="368"/>
      <c r="Q264" s="406">
        <f>+SUMIFS(MktData!Q:Q,MktData!$A:$A,$B264)</f>
        <v>2773264</v>
      </c>
      <c r="R264" s="407">
        <f t="shared" si="156"/>
        <v>5.0939134172258171</v>
      </c>
      <c r="S264" s="368"/>
      <c r="T264" s="406">
        <f>+SUMIFS(MktData!T:T,MktData!$A:$A,$B264)</f>
        <v>87790</v>
      </c>
      <c r="U264" s="403">
        <f>+SUMIFS(MktData!U:U,MktData!$A:$A,$B264)</f>
        <v>86197</v>
      </c>
      <c r="V264" s="403">
        <f>+SUMIFS(MktData!V:V,MktData!$A:$A,$B264)</f>
        <v>152640</v>
      </c>
      <c r="W264" s="403">
        <f>+SUMIFS(MktData!W:W,MktData!$A:$A,$B264)</f>
        <v>47157</v>
      </c>
      <c r="X264" s="403">
        <f>+SUMIFS(MktData!X:X,MktData!$A:$A,$B264)</f>
        <v>52818</v>
      </c>
      <c r="Y264" s="403">
        <f>+SUMIFS(MktData!Y:Y,MktData!$A:$A,$B264)</f>
        <v>48366</v>
      </c>
      <c r="Z264" s="403">
        <f>+SUMIFS(MktData!Z:Z,MktData!$A:$A,$B264)</f>
        <v>14210</v>
      </c>
      <c r="AA264" s="403">
        <f>+SUMIFS(MktData!AA:AA,MktData!$A:$A,$B264)</f>
        <v>0</v>
      </c>
      <c r="AB264" s="405">
        <f>+SUMIFS(MktData!AB:AB,MktData!$A:$A,$B264)</f>
        <v>55249</v>
      </c>
      <c r="AC264" s="368"/>
      <c r="AD264" s="447" t="s">
        <v>1191</v>
      </c>
      <c r="AE264" s="677">
        <f t="shared" si="157"/>
        <v>0.16125210542460239</v>
      </c>
      <c r="AF264" s="678">
        <f t="shared" si="158"/>
        <v>0.15832609330543856</v>
      </c>
      <c r="AG264" s="678">
        <f t="shared" si="159"/>
        <v>0.28036816689840877</v>
      </c>
      <c r="AH264" s="678">
        <f t="shared" si="160"/>
        <v>8.6617673260143233E-2</v>
      </c>
      <c r="AI264" s="678">
        <f t="shared" si="161"/>
        <v>9.701576152542031E-2</v>
      </c>
      <c r="AJ264" s="678">
        <f t="shared" si="162"/>
        <v>8.8838356657550049E-2</v>
      </c>
      <c r="AK264" s="678">
        <f t="shared" si="163"/>
        <v>2.6100836292101606E-2</v>
      </c>
      <c r="AL264" s="678" t="s">
        <v>47</v>
      </c>
      <c r="AM264" s="679">
        <f t="shared" si="164"/>
        <v>0.10148100663633508</v>
      </c>
      <c r="AN264" s="368"/>
      <c r="AO264" s="594">
        <f>+SUMIFS(MktData!AO:AO,MktData!$A:$A,$B264)</f>
        <v>27299.039499999999</v>
      </c>
      <c r="AP264" s="595">
        <f>+SUMIFS(MktData!AP:AP,MktData!$A:$A,$B264)</f>
        <v>68061.361100000009</v>
      </c>
      <c r="AQ264" s="595">
        <f>+SUMIFS(MktData!AQ:AQ,MktData!$A:$A,$B264)</f>
        <v>52185.866099999999</v>
      </c>
      <c r="AR264" s="595">
        <f>+SUMIFS(MktData!AR:AR,MktData!$A:$A,$B264)</f>
        <v>313937.5208</v>
      </c>
      <c r="AS264" s="596">
        <f>+SUMIFS(MktData!AS:AS,MktData!$A:$A,$B264)</f>
        <v>82925.128900000011</v>
      </c>
      <c r="AU264" s="682">
        <f t="shared" si="178"/>
        <v>5.0144365159409426E-2</v>
      </c>
      <c r="AV264" s="683">
        <f t="shared" si="178"/>
        <v>0.12501882142208059</v>
      </c>
      <c r="AW264" s="683">
        <f t="shared" si="178"/>
        <v>9.5857846056394969E-2</v>
      </c>
      <c r="AX264" s="683">
        <f t="shared" si="178"/>
        <v>0.57665756629404097</v>
      </c>
      <c r="AY264" s="408">
        <f t="shared" si="178"/>
        <v>0.15232140106807407</v>
      </c>
      <c r="BA264" s="409">
        <f t="shared" si="169"/>
        <v>0.17822599572936448</v>
      </c>
      <c r="BB264" s="410">
        <f t="shared" si="171"/>
        <v>0.12862881524979475</v>
      </c>
    </row>
    <row r="265" spans="1:54" ht="12.75" customHeight="1" x14ac:dyDescent="0.2">
      <c r="B265" s="440" t="s">
        <v>1193</v>
      </c>
      <c r="C265" s="402">
        <f>+SUMIFS(MktData!C:C,MktData!$A:$A,$B265)</f>
        <v>671622</v>
      </c>
      <c r="D265" s="403">
        <f>+SUMIFS(MktData!D:D,MktData!$A:$A,$B265)</f>
        <v>562908</v>
      </c>
      <c r="E265" s="405">
        <f>+SUMIFS(MktData!E:E,MktData!$A:$A,$B265)</f>
        <v>108714</v>
      </c>
      <c r="F265" s="368"/>
      <c r="G265" s="402" t="s">
        <v>47</v>
      </c>
      <c r="H265" s="404" t="s">
        <v>47</v>
      </c>
      <c r="I265" s="451" t="s">
        <v>47</v>
      </c>
      <c r="J265" s="368"/>
      <c r="K265" s="406">
        <f>+SUMIFS(MktData!K:K,MktData!$A:$A,$B265)</f>
        <v>560316</v>
      </c>
      <c r="L265" s="405">
        <f>+SUMIFS(MktData!L:L,MktData!$A:$A,$B265)</f>
        <v>79755</v>
      </c>
      <c r="M265" s="368"/>
      <c r="N265" s="406">
        <f>+SUMIFS(MktData!N:N,MktData!$A:$A,$B265)</f>
        <v>306842.27240000002</v>
      </c>
      <c r="O265" s="405">
        <f>+SUMIFS(MktData!O:O,MktData!$A:$A,$B265)</f>
        <v>256065.72759999998</v>
      </c>
      <c r="P265" s="368"/>
      <c r="Q265" s="406">
        <f>+SUMIFS(MktData!Q:Q,MktData!$A:$A,$B265)</f>
        <v>2657088</v>
      </c>
      <c r="R265" s="407">
        <f t="shared" si="156"/>
        <v>4.7202882176128247</v>
      </c>
      <c r="S265" s="368"/>
      <c r="T265" s="406">
        <f>+SUMIFS(MktData!T:T,MktData!$A:$A,$B265)</f>
        <v>87779</v>
      </c>
      <c r="U265" s="403">
        <f>+SUMIFS(MktData!U:U,MktData!$A:$A,$B265)</f>
        <v>86727</v>
      </c>
      <c r="V265" s="403">
        <f>+SUMIFS(MktData!V:V,MktData!$A:$A,$B265)</f>
        <v>163729</v>
      </c>
      <c r="W265" s="403">
        <f>+SUMIFS(MktData!W:W,MktData!$A:$A,$B265)</f>
        <v>53678</v>
      </c>
      <c r="X265" s="403">
        <f>+SUMIFS(MktData!X:X,MktData!$A:$A,$B265)</f>
        <v>48759</v>
      </c>
      <c r="Y265" s="403">
        <f>+SUMIFS(MktData!Y:Y,MktData!$A:$A,$B265)</f>
        <v>48998</v>
      </c>
      <c r="Z265" s="403">
        <f>+SUMIFS(MktData!Z:Z,MktData!$A:$A,$B265)</f>
        <v>16537</v>
      </c>
      <c r="AA265" s="403">
        <f>+SUMIFS(MktData!AA:AA,MktData!$A:$A,$B265)</f>
        <v>0</v>
      </c>
      <c r="AB265" s="405">
        <f>+SUMIFS(MktData!AB:AB,MktData!$A:$A,$B265)</f>
        <v>56701</v>
      </c>
      <c r="AC265" s="368"/>
      <c r="AD265" s="447" t="s">
        <v>1193</v>
      </c>
      <c r="AE265" s="677">
        <f t="shared" si="157"/>
        <v>0.15593844820112701</v>
      </c>
      <c r="AF265" s="678">
        <f t="shared" si="158"/>
        <v>0.15406958153019676</v>
      </c>
      <c r="AG265" s="678">
        <f t="shared" si="159"/>
        <v>0.29086280528967434</v>
      </c>
      <c r="AH265" s="678">
        <f t="shared" si="160"/>
        <v>9.5358388937446262E-2</v>
      </c>
      <c r="AI265" s="678">
        <f t="shared" si="161"/>
        <v>8.6619838410539551E-2</v>
      </c>
      <c r="AJ265" s="678">
        <f t="shared" si="162"/>
        <v>8.7044419336729975E-2</v>
      </c>
      <c r="AK265" s="678">
        <f t="shared" si="163"/>
        <v>2.9377802411761779E-2</v>
      </c>
      <c r="AL265" s="678" t="s">
        <v>47</v>
      </c>
      <c r="AM265" s="679">
        <f t="shared" si="164"/>
        <v>0.10072871588252431</v>
      </c>
      <c r="AN265" s="368"/>
      <c r="AO265" s="594">
        <f>+SUMIFS(MktData!AO:AO,MktData!$A:$A,$B265)</f>
        <v>27287.322900000003</v>
      </c>
      <c r="AP265" s="595">
        <f>+SUMIFS(MktData!AP:AP,MktData!$A:$A,$B265)</f>
        <v>70660.175100000008</v>
      </c>
      <c r="AQ265" s="595">
        <f>+SUMIFS(MktData!AQ:AQ,MktData!$A:$A,$B265)</f>
        <v>49839.651400000002</v>
      </c>
      <c r="AR265" s="595">
        <f>+SUMIFS(MktData!AR:AR,MktData!$A:$A,$B265)</f>
        <v>322599.41810000001</v>
      </c>
      <c r="AS265" s="596">
        <f>+SUMIFS(MktData!AS:AS,MktData!$A:$A,$B265)</f>
        <v>92538.302599999995</v>
      </c>
      <c r="AU265" s="682">
        <f t="shared" ref="AU265:AU271" si="179">+AO265/SUM($AO265:$AS265)</f>
        <v>4.8474182523064908E-2</v>
      </c>
      <c r="AV265" s="683">
        <f t="shared" ref="AV265:AV271" si="180">+AP265/SUM($AO265:$AS265)</f>
        <v>0.12552327824394699</v>
      </c>
      <c r="AW265" s="683">
        <f t="shared" ref="AW265:AW271" si="181">+AQ265/SUM($AO265:$AS265)</f>
        <v>8.8536950572367337E-2</v>
      </c>
      <c r="AX265" s="683">
        <f t="shared" ref="AX265:AX271" si="182">+AR265/SUM($AO265:$AS265)</f>
        <v>0.57307721728956884</v>
      </c>
      <c r="AY265" s="408">
        <f t="shared" ref="AY265:AY271" si="183">+AS265/SUM($AO265:$AS265)</f>
        <v>0.164388371371052</v>
      </c>
      <c r="BA265" s="409">
        <f t="shared" si="169"/>
        <v>0.19402265864262308</v>
      </c>
      <c r="BB265" s="410">
        <f t="shared" si="171"/>
        <v>0.14168389861220662</v>
      </c>
    </row>
    <row r="266" spans="1:54" ht="12.75" customHeight="1" x14ac:dyDescent="0.2">
      <c r="B266" s="440" t="s">
        <v>1232</v>
      </c>
      <c r="C266" s="402">
        <f>+SUMIFS(MktData!C:C,MktData!$A:$A,$B266)</f>
        <v>545827</v>
      </c>
      <c r="D266" s="403">
        <f>+SUMIFS(MktData!D:D,MktData!$A:$A,$B266)</f>
        <v>436940</v>
      </c>
      <c r="E266" s="405">
        <f>+SUMIFS(MktData!E:E,MktData!$A:$A,$B266)</f>
        <v>108887</v>
      </c>
      <c r="F266" s="368"/>
      <c r="G266" s="402" t="s">
        <v>47</v>
      </c>
      <c r="H266" s="404" t="s">
        <v>47</v>
      </c>
      <c r="I266" s="451" t="s">
        <v>47</v>
      </c>
      <c r="J266" s="368"/>
      <c r="K266" s="406">
        <f>+SUMIFS(MktData!K:K,MktData!$A:$A,$B266)</f>
        <v>507507</v>
      </c>
      <c r="L266" s="405">
        <f>+SUMIFS(MktData!L:L,MktData!$A:$A,$B266)</f>
        <v>63203</v>
      </c>
      <c r="M266" s="368"/>
      <c r="N266" s="406">
        <f>+SUMIFS(MktData!N:N,MktData!$A:$A,$B266)</f>
        <v>201096.6384</v>
      </c>
      <c r="O266" s="405">
        <f>+SUMIFS(MktData!O:O,MktData!$A:$A,$B266)</f>
        <v>235843.3616</v>
      </c>
      <c r="P266" s="368"/>
      <c r="Q266" s="406">
        <f>+SUMIFS(MktData!Q:Q,MktData!$A:$A,$B266)</f>
        <v>2465110</v>
      </c>
      <c r="R266" s="407">
        <f t="shared" si="156"/>
        <v>5.6417585938572801</v>
      </c>
      <c r="S266" s="368"/>
      <c r="T266" s="406">
        <f>+SUMIFS(MktData!T:T,MktData!$A:$A,$B266)</f>
        <v>71242</v>
      </c>
      <c r="U266" s="403">
        <f>+SUMIFS(MktData!U:U,MktData!$A:$A,$B266)</f>
        <v>59714</v>
      </c>
      <c r="V266" s="403">
        <f>+SUMIFS(MktData!V:V,MktData!$A:$A,$B266)</f>
        <v>128657</v>
      </c>
      <c r="W266" s="403">
        <f>+SUMIFS(MktData!W:W,MktData!$A:$A,$B266)</f>
        <v>42063</v>
      </c>
      <c r="X266" s="403">
        <f>+SUMIFS(MktData!X:X,MktData!$A:$A,$B266)</f>
        <v>41270</v>
      </c>
      <c r="Y266" s="403">
        <f>+SUMIFS(MktData!Y:Y,MktData!$A:$A,$B266)</f>
        <v>36473</v>
      </c>
      <c r="Z266" s="403">
        <f>+SUMIFS(MktData!Z:Z,MktData!$A:$A,$B266)</f>
        <v>14186</v>
      </c>
      <c r="AA266" s="403">
        <f>+SUMIFS(MktData!AA:AA,MktData!$A:$A,$B266)</f>
        <v>209</v>
      </c>
      <c r="AB266" s="405">
        <f>+SUMIFS(MktData!AB:AB,MktData!$A:$A,$B266)</f>
        <v>43126</v>
      </c>
      <c r="AD266" s="447" t="s">
        <v>1232</v>
      </c>
      <c r="AE266" s="677">
        <f t="shared" si="157"/>
        <v>0.16304755801711907</v>
      </c>
      <c r="AF266" s="678">
        <f t="shared" si="158"/>
        <v>0.13666407287041699</v>
      </c>
      <c r="AG266" s="678">
        <f t="shared" si="159"/>
        <v>0.29445003890694377</v>
      </c>
      <c r="AH266" s="678">
        <f t="shared" si="160"/>
        <v>9.6267222044216602E-2</v>
      </c>
      <c r="AI266" s="678">
        <f t="shared" si="161"/>
        <v>9.4452327550693466E-2</v>
      </c>
      <c r="AJ266" s="678">
        <f t="shared" si="162"/>
        <v>8.3473703483315786E-2</v>
      </c>
      <c r="AK266" s="678">
        <f t="shared" si="163"/>
        <v>3.2466700233441663E-2</v>
      </c>
      <c r="AL266" s="678">
        <f>+AA266/SUM($T266:$AB266)</f>
        <v>4.7832654369020917E-4</v>
      </c>
      <c r="AM266" s="679">
        <f t="shared" si="164"/>
        <v>9.8700050350162494E-2</v>
      </c>
      <c r="AN266" s="368"/>
      <c r="AO266" s="594">
        <f>+SUMIFS(MktData!AO:AO,MktData!$A:$A,$B266)</f>
        <v>22423.747300000003</v>
      </c>
      <c r="AP266" s="595">
        <f>+SUMIFS(MktData!AP:AP,MktData!$A:$A,$B266)</f>
        <v>60803.4712</v>
      </c>
      <c r="AQ266" s="595">
        <f>+SUMIFS(MktData!AQ:AQ,MktData!$A:$A,$B266)</f>
        <v>45603.198099999994</v>
      </c>
      <c r="AR266" s="595">
        <f>+SUMIFS(MktData!AR:AR,MktData!$A:$A,$B266)</f>
        <v>232779.21890000004</v>
      </c>
      <c r="AS266" s="596">
        <f>+SUMIFS(MktData!AS:AS,MktData!$A:$A,$B266)</f>
        <v>75348.999800000005</v>
      </c>
      <c r="AU266" s="682">
        <f t="shared" si="179"/>
        <v>5.1317780422406957E-2</v>
      </c>
      <c r="AV266" s="683">
        <f t="shared" si="180"/>
        <v>0.13915154957002859</v>
      </c>
      <c r="AW266" s="683">
        <f t="shared" si="181"/>
        <v>0.1043650231759134</v>
      </c>
      <c r="AX266" s="683">
        <f t="shared" si="182"/>
        <v>0.5327259838684324</v>
      </c>
      <c r="AY266" s="408">
        <f t="shared" si="183"/>
        <v>0.17243966296321872</v>
      </c>
      <c r="BA266" s="409">
        <f t="shared" si="169"/>
        <v>0.21455270567696602</v>
      </c>
      <c r="BB266" s="410">
        <f t="shared" si="171"/>
        <v>0.14464915091316885</v>
      </c>
    </row>
    <row r="267" spans="1:54" ht="12.75" customHeight="1" x14ac:dyDescent="0.2">
      <c r="B267" s="440" t="s">
        <v>1245</v>
      </c>
      <c r="C267" s="402">
        <f>+SUMIFS(MktData!C:C,MktData!$A:$A,$B267)</f>
        <v>608902</v>
      </c>
      <c r="D267" s="403">
        <f>+SUMIFS(MktData!D:D,MktData!$A:$A,$B267)</f>
        <v>497748</v>
      </c>
      <c r="E267" s="405">
        <f>+SUMIFS(MktData!E:E,MktData!$A:$A,$B267)</f>
        <v>111154</v>
      </c>
      <c r="F267" s="368"/>
      <c r="G267" s="402" t="s">
        <v>47</v>
      </c>
      <c r="H267" s="404" t="s">
        <v>47</v>
      </c>
      <c r="I267" s="451" t="s">
        <v>47</v>
      </c>
      <c r="J267" s="368"/>
      <c r="K267" s="406">
        <f>+SUMIFS(MktData!K:K,MktData!$A:$A,$B267)</f>
        <v>567749</v>
      </c>
      <c r="L267" s="405">
        <f>+SUMIFS(MktData!L:L,MktData!$A:$A,$B267)</f>
        <v>75993</v>
      </c>
      <c r="M267" s="368"/>
      <c r="N267" s="406">
        <f>+SUMIFS(MktData!N:N,MktData!$A:$A,$B267)</f>
        <v>233463.3566</v>
      </c>
      <c r="O267" s="405">
        <f>+SUMIFS(MktData!O:O,MktData!$A:$A,$B267)</f>
        <v>264284.6434</v>
      </c>
      <c r="P267" s="368"/>
      <c r="Q267" s="406">
        <f>+SUMIFS(MktData!Q:Q,MktData!$A:$A,$B267)</f>
        <v>2552428</v>
      </c>
      <c r="R267" s="407">
        <f t="shared" si="156"/>
        <v>5.1279522971463471</v>
      </c>
      <c r="S267" s="368"/>
      <c r="T267" s="406">
        <f>+SUMIFS(MktData!T:T,MktData!$A:$A,$B267)</f>
        <v>77752</v>
      </c>
      <c r="U267" s="403">
        <f>+SUMIFS(MktData!U:U,MktData!$A:$A,$B267)</f>
        <v>78667</v>
      </c>
      <c r="V267" s="403">
        <f>+SUMIFS(MktData!V:V,MktData!$A:$A,$B267)</f>
        <v>142770</v>
      </c>
      <c r="W267" s="403">
        <f>+SUMIFS(MktData!W:W,MktData!$A:$A,$B267)</f>
        <v>46161</v>
      </c>
      <c r="X267" s="403">
        <f>+SUMIFS(MktData!X:X,MktData!$A:$A,$B267)</f>
        <v>43362</v>
      </c>
      <c r="Y267" s="403">
        <f>+SUMIFS(MktData!Y:Y,MktData!$A:$A,$B267)</f>
        <v>37111</v>
      </c>
      <c r="Z267" s="403">
        <f>+SUMIFS(MktData!Z:Z,MktData!$A:$A,$B267)</f>
        <v>19926</v>
      </c>
      <c r="AA267" s="403">
        <f>+SUMIFS(MktData!AA:AA,MktData!$A:$A,$B267)</f>
        <v>901</v>
      </c>
      <c r="AB267" s="405">
        <f>+SUMIFS(MktData!AB:AB,MktData!$A:$A,$B267)</f>
        <v>51098</v>
      </c>
      <c r="AD267" s="447" t="s">
        <v>1245</v>
      </c>
      <c r="AE267" s="677">
        <f t="shared" si="157"/>
        <v>0.15620755884503806</v>
      </c>
      <c r="AF267" s="678">
        <f t="shared" si="158"/>
        <v>0.15804583845640766</v>
      </c>
      <c r="AG267" s="678">
        <f t="shared" si="159"/>
        <v>0.28683189083632682</v>
      </c>
      <c r="AH267" s="678">
        <f t="shared" si="160"/>
        <v>9.273969960703006E-2</v>
      </c>
      <c r="AI267" s="678">
        <f t="shared" si="161"/>
        <v>8.7116372140119094E-2</v>
      </c>
      <c r="AJ267" s="678">
        <f t="shared" si="162"/>
        <v>7.4557808368893502E-2</v>
      </c>
      <c r="AK267" s="678">
        <f t="shared" si="163"/>
        <v>4.0032305503989972E-2</v>
      </c>
      <c r="AL267" s="678">
        <f>+AA267/SUM($T267:$AB267)</f>
        <v>1.8101529287912759E-3</v>
      </c>
      <c r="AM267" s="679">
        <f t="shared" si="164"/>
        <v>0.10265837331340356</v>
      </c>
      <c r="AN267" s="368"/>
      <c r="AO267" s="594">
        <f>+SUMIFS(MktData!AO:AO,MktData!$A:$A,$B267)</f>
        <v>24409.977700000003</v>
      </c>
      <c r="AP267" s="595">
        <f>+SUMIFS(MktData!AP:AP,MktData!$A:$A,$B267)</f>
        <v>69397.107400000008</v>
      </c>
      <c r="AQ267" s="595">
        <f>+SUMIFS(MktData!AQ:AQ,MktData!$A:$A,$B267)</f>
        <v>51591.4899</v>
      </c>
      <c r="AR267" s="595">
        <f>+SUMIFS(MktData!AR:AR,MktData!$A:$A,$B267)</f>
        <v>267770.12339999998</v>
      </c>
      <c r="AS267" s="596">
        <f>+SUMIFS(MktData!AS:AS,MktData!$A:$A,$B267)</f>
        <v>85397.385399999999</v>
      </c>
      <c r="AU267" s="682">
        <f t="shared" si="179"/>
        <v>4.8960365522561451E-2</v>
      </c>
      <c r="AV267" s="683">
        <f t="shared" si="180"/>
        <v>0.13919339813704351</v>
      </c>
      <c r="AW267" s="683">
        <f t="shared" si="181"/>
        <v>0.10347974235787757</v>
      </c>
      <c r="AX267" s="683">
        <f t="shared" si="182"/>
        <v>0.53708050366983262</v>
      </c>
      <c r="AY267" s="408">
        <f t="shared" si="183"/>
        <v>0.17128599031268479</v>
      </c>
      <c r="BA267" s="409">
        <f t="shared" si="169"/>
        <v>0.19578017750801852</v>
      </c>
      <c r="BB267" s="410">
        <f t="shared" si="171"/>
        <v>0.1526736420839461</v>
      </c>
    </row>
    <row r="268" spans="1:54" ht="12.75" customHeight="1" x14ac:dyDescent="0.2">
      <c r="B268" s="440" t="s">
        <v>1247</v>
      </c>
      <c r="C268" s="402">
        <f>+SUMIFS(MktData!C:C,MktData!$A:$A,$B268)</f>
        <v>686807</v>
      </c>
      <c r="D268" s="403">
        <f>+SUMIFS(MktData!D:D,MktData!$A:$A,$B268)</f>
        <v>600154</v>
      </c>
      <c r="E268" s="405">
        <f>+SUMIFS(MktData!E:E,MktData!$A:$A,$B268)</f>
        <v>86653</v>
      </c>
      <c r="F268" s="368"/>
      <c r="G268" s="402" t="s">
        <v>47</v>
      </c>
      <c r="H268" s="404" t="s">
        <v>47</v>
      </c>
      <c r="I268" s="451" t="s">
        <v>47</v>
      </c>
      <c r="J268" s="368"/>
      <c r="K268" s="406">
        <f>+SUMIFS(MktData!K:K,MktData!$A:$A,$B268)</f>
        <v>588451</v>
      </c>
      <c r="L268" s="405">
        <f>+SUMIFS(MktData!L:L,MktData!$A:$A,$B268)</f>
        <v>91712</v>
      </c>
      <c r="M268" s="368"/>
      <c r="N268" s="406">
        <f>+SUMIFS(MktData!N:N,MktData!$A:$A,$B268)</f>
        <v>303185.07799999998</v>
      </c>
      <c r="O268" s="405">
        <f>+SUMIFS(MktData!O:O,MktData!$A:$A,$B268)</f>
        <v>296968.92200000002</v>
      </c>
      <c r="P268" s="368"/>
      <c r="Q268" s="406">
        <f>+SUMIFS(MktData!Q:Q,MktData!$A:$A,$B268)</f>
        <v>2798635</v>
      </c>
      <c r="R268" s="407">
        <f t="shared" si="156"/>
        <v>4.6631947800064646</v>
      </c>
      <c r="S268" s="368"/>
      <c r="T268" s="406">
        <f>+SUMIFS(MktData!T:T,MktData!$A:$A,$B268)</f>
        <v>87352</v>
      </c>
      <c r="U268" s="403">
        <f>+SUMIFS(MktData!U:U,MktData!$A:$A,$B268)</f>
        <v>100063</v>
      </c>
      <c r="V268" s="403">
        <f>+SUMIFS(MktData!V:V,MktData!$A:$A,$B268)</f>
        <v>168547</v>
      </c>
      <c r="W268" s="403">
        <f>+SUMIFS(MktData!W:W,MktData!$A:$A,$B268)</f>
        <v>51618</v>
      </c>
      <c r="X268" s="403">
        <f>+SUMIFS(MktData!X:X,MktData!$A:$A,$B268)</f>
        <v>53781</v>
      </c>
      <c r="Y268" s="403">
        <f>+SUMIFS(MktData!Y:Y,MktData!$A:$A,$B268)</f>
        <v>54419</v>
      </c>
      <c r="Z268" s="403">
        <f>+SUMIFS(MktData!Z:Z,MktData!$A:$A,$B268)</f>
        <v>20158</v>
      </c>
      <c r="AA268" s="403">
        <f>+SUMIFS(MktData!AA:AA,MktData!$A:$A,$B268)</f>
        <v>4243</v>
      </c>
      <c r="AB268" s="405">
        <f>+SUMIFS(MktData!AB:AB,MktData!$A:$A,$B268)</f>
        <v>59973</v>
      </c>
      <c r="AD268" s="447" t="s">
        <v>1247</v>
      </c>
      <c r="AE268" s="677">
        <f t="shared" si="157"/>
        <v>0.14554930901068724</v>
      </c>
      <c r="AF268" s="678">
        <f t="shared" si="158"/>
        <v>0.16672887292261654</v>
      </c>
      <c r="AG268" s="678">
        <f t="shared" si="159"/>
        <v>0.28083958450664331</v>
      </c>
      <c r="AH268" s="678">
        <f t="shared" si="160"/>
        <v>8.6007924632677618E-2</v>
      </c>
      <c r="AI268" s="678">
        <f t="shared" si="161"/>
        <v>8.9611999586772725E-2</v>
      </c>
      <c r="AJ268" s="678">
        <f t="shared" si="162"/>
        <v>9.0675060067915897E-2</v>
      </c>
      <c r="AK268" s="678">
        <f t="shared" si="163"/>
        <v>3.3588045734928032E-2</v>
      </c>
      <c r="AL268" s="678">
        <f>+AA268/SUM($T268:$AB268)</f>
        <v>7.0698520713016995E-3</v>
      </c>
      <c r="AM268" s="679">
        <f t="shared" si="164"/>
        <v>9.9929351466456942E-2</v>
      </c>
      <c r="AN268" s="368"/>
      <c r="AO268" s="594">
        <f>+SUMIFS(MktData!AO:AO,MktData!$A:$A,$B268)</f>
        <v>26751.2094</v>
      </c>
      <c r="AP268" s="595">
        <f>+SUMIFS(MktData!AP:AP,MktData!$A:$A,$B268)</f>
        <v>77870.106599999999</v>
      </c>
      <c r="AQ268" s="595">
        <f>+SUMIFS(MktData!AQ:AQ,MktData!$A:$A,$B268)</f>
        <v>56105.636599999998</v>
      </c>
      <c r="AR268" s="595">
        <f>+SUMIFS(MktData!AR:AR,MktData!$A:$A,$B268)</f>
        <v>346557.95380000002</v>
      </c>
      <c r="AS268" s="596">
        <f>+SUMIFS(MktData!AS:AS,MktData!$A:$A,$B268)</f>
        <v>92867.218200000003</v>
      </c>
      <c r="AU268" s="682">
        <f t="shared" si="179"/>
        <v>4.4574047651384424E-2</v>
      </c>
      <c r="AV268" s="683">
        <f t="shared" si="180"/>
        <v>0.1297506138996013</v>
      </c>
      <c r="AW268" s="683">
        <f t="shared" si="181"/>
        <v>9.3485691877529017E-2</v>
      </c>
      <c r="AX268" s="683">
        <f t="shared" si="182"/>
        <v>0.57745018236997847</v>
      </c>
      <c r="AY268" s="408">
        <f t="shared" si="183"/>
        <v>0.15473946420150689</v>
      </c>
      <c r="BA268" s="409">
        <f t="shared" si="169"/>
        <v>0.14725610118769447</v>
      </c>
      <c r="BB268" s="410">
        <f t="shared" si="171"/>
        <v>0.15281411104483184</v>
      </c>
    </row>
    <row r="269" spans="1:54" ht="12.75" customHeight="1" x14ac:dyDescent="0.2">
      <c r="B269" s="440" t="s">
        <v>1249</v>
      </c>
      <c r="C269" s="402">
        <f>+SUMIFS(MktData!C:C,MktData!$A:$A,$B269)</f>
        <v>720930</v>
      </c>
      <c r="D269" s="403">
        <f>+SUMIFS(MktData!D:D,MktData!$A:$A,$B269)</f>
        <v>645388</v>
      </c>
      <c r="E269" s="405">
        <f>+SUMIFS(MktData!E:E,MktData!$A:$A,$B269)</f>
        <v>75542</v>
      </c>
      <c r="F269" s="368"/>
      <c r="G269" s="402" t="s">
        <v>47</v>
      </c>
      <c r="H269" s="404" t="s">
        <v>47</v>
      </c>
      <c r="I269" s="451" t="s">
        <v>47</v>
      </c>
      <c r="J269" s="368"/>
      <c r="K269" s="406">
        <f>+SUMIFS(MktData!K:K,MktData!$A:$A,$B269)</f>
        <v>538420</v>
      </c>
      <c r="L269" s="405">
        <f>+SUMIFS(MktData!L:L,MktData!$A:$A,$B269)</f>
        <v>113124</v>
      </c>
      <c r="M269" s="368"/>
      <c r="N269" s="406">
        <f>+SUMIFS(MktData!N:N,MktData!$A:$A,$B269)</f>
        <v>342889.7194</v>
      </c>
      <c r="O269" s="405">
        <f>+SUMIFS(MktData!O:O,MktData!$A:$A,$B269)</f>
        <v>302498.2806</v>
      </c>
      <c r="P269" s="368"/>
      <c r="Q269" s="406">
        <f>+SUMIFS(MktData!Q:Q,MktData!$A:$A,$B269)</f>
        <v>2855486</v>
      </c>
      <c r="R269" s="407">
        <f t="shared" si="156"/>
        <v>4.4244485487799583</v>
      </c>
      <c r="S269" s="368"/>
      <c r="T269" s="406">
        <f>+SUMIFS(MktData!T:T,MktData!$A:$A,$B269)</f>
        <v>91739</v>
      </c>
      <c r="U269" s="403">
        <f>+SUMIFS(MktData!U:U,MktData!$A:$A,$B269)</f>
        <v>106573</v>
      </c>
      <c r="V269" s="403">
        <f>+SUMIFS(MktData!V:V,MktData!$A:$A,$B269)</f>
        <v>170849</v>
      </c>
      <c r="W269" s="403">
        <f>+SUMIFS(MktData!W:W,MktData!$A:$A,$B269)</f>
        <v>52949</v>
      </c>
      <c r="X269" s="403">
        <f>+SUMIFS(MktData!X:X,MktData!$A:$A,$B269)</f>
        <v>60317</v>
      </c>
      <c r="Y269" s="403">
        <f>+SUMIFS(MktData!Y:Y,MktData!$A:$A,$B269)</f>
        <v>58202</v>
      </c>
      <c r="Z269" s="403">
        <f>+SUMIFS(MktData!Z:Z,MktData!$A:$A,$B269)</f>
        <v>17857</v>
      </c>
      <c r="AA269" s="403">
        <f>+SUMIFS(MktData!AA:AA,MktData!$A:$A,$B269)</f>
        <v>11714</v>
      </c>
      <c r="AB269" s="405">
        <f>+SUMIFS(MktData!AB:AB,MktData!$A:$A,$B269)</f>
        <v>75188</v>
      </c>
      <c r="AD269" s="447" t="s">
        <v>1249</v>
      </c>
      <c r="AE269" s="677">
        <f t="shared" si="157"/>
        <v>0.14214550007127497</v>
      </c>
      <c r="AF269" s="678">
        <f t="shared" si="158"/>
        <v>0.16513012327468127</v>
      </c>
      <c r="AG269" s="678">
        <f t="shared" si="159"/>
        <v>0.26472292636367578</v>
      </c>
      <c r="AH269" s="678">
        <f t="shared" si="160"/>
        <v>8.2042120398891832E-2</v>
      </c>
      <c r="AI269" s="678">
        <f t="shared" si="161"/>
        <v>9.3458508680049832E-2</v>
      </c>
      <c r="AJ269" s="678">
        <f t="shared" si="162"/>
        <v>9.0181410252437297E-2</v>
      </c>
      <c r="AK269" s="678">
        <f t="shared" si="163"/>
        <v>2.7668627244386321E-2</v>
      </c>
      <c r="AL269" s="678">
        <f>+AA269/SUM($T269:$AB269)</f>
        <v>1.8150321976857332E-2</v>
      </c>
      <c r="AM269" s="679">
        <f t="shared" si="164"/>
        <v>0.11650046173774535</v>
      </c>
      <c r="AN269" s="368"/>
      <c r="AO269" s="594">
        <f>+SUMIFS(MktData!AO:AO,MktData!$A:$A,$B269)</f>
        <v>28708.060099999995</v>
      </c>
      <c r="AP269" s="595">
        <f>+SUMIFS(MktData!AP:AP,MktData!$A:$A,$B269)</f>
        <v>80105.340800000005</v>
      </c>
      <c r="AQ269" s="595">
        <f>+SUMIFS(MktData!AQ:AQ,MktData!$A:$A,$B269)</f>
        <v>57344.437600000005</v>
      </c>
      <c r="AR269" s="595">
        <f>+SUMIFS(MktData!AR:AR,MktData!$A:$A,$B269)</f>
        <v>377075.1532</v>
      </c>
      <c r="AS269" s="596">
        <f>+SUMIFS(MktData!AS:AS,MktData!$A:$A,$B269)</f>
        <v>102114.143</v>
      </c>
      <c r="AU269" s="682">
        <f t="shared" si="179"/>
        <v>4.4484678952429836E-2</v>
      </c>
      <c r="AV269" s="683">
        <f t="shared" si="180"/>
        <v>0.12412752221676518</v>
      </c>
      <c r="AW269" s="683">
        <f t="shared" si="181"/>
        <v>8.885828187128697E-2</v>
      </c>
      <c r="AX269" s="683">
        <f t="shared" si="182"/>
        <v>0.58429817523756333</v>
      </c>
      <c r="AY269" s="408">
        <f t="shared" si="183"/>
        <v>0.15823134172195463</v>
      </c>
      <c r="BA269" s="409">
        <f t="shared" si="169"/>
        <v>0.14030310909698748</v>
      </c>
      <c r="BB269" s="410">
        <f t="shared" si="171"/>
        <v>0.17528060639491283</v>
      </c>
    </row>
    <row r="270" spans="1:54" ht="12.75" customHeight="1" x14ac:dyDescent="0.2">
      <c r="B270" s="440" t="s">
        <v>1306</v>
      </c>
      <c r="C270" s="402">
        <f>+SUMIFS(MktData!C:C,MktData!$A:$A,$B270)</f>
        <v>562040</v>
      </c>
      <c r="D270" s="403">
        <f>+SUMIFS(MktData!D:D,MktData!$A:$A,$B270)</f>
        <v>483988</v>
      </c>
      <c r="E270" s="405">
        <f>+SUMIFS(MktData!E:E,MktData!$A:$A,$B270)</f>
        <v>78052</v>
      </c>
      <c r="F270" s="368"/>
      <c r="G270" s="402" t="s">
        <v>47</v>
      </c>
      <c r="H270" s="404" t="s">
        <v>47</v>
      </c>
      <c r="I270" s="451" t="s">
        <v>47</v>
      </c>
      <c r="J270" s="368"/>
      <c r="K270" s="406">
        <f>+SUMIFS(MktData!K:K,MktData!$A:$A,$B270)</f>
        <v>502182</v>
      </c>
      <c r="L270" s="405">
        <f>+SUMIFS(MktData!L:L,MktData!$A:$A,$B270)</f>
        <v>90176</v>
      </c>
      <c r="M270" s="368"/>
      <c r="N270" s="406">
        <f>+SUMIFS(MktData!N:N,MktData!$A:$A,$B270)</f>
        <v>214551.62119999999</v>
      </c>
      <c r="O270" s="405">
        <f>+SUMIFS(MktData!O:O,MktData!$A:$A,$B270)</f>
        <v>269436.37880000001</v>
      </c>
      <c r="P270" s="368"/>
      <c r="Q270" s="406">
        <f>+SUMIFS(MktData!Q:Q,MktData!$A:$A,$B270)</f>
        <v>2594151</v>
      </c>
      <c r="R270" s="407">
        <f t="shared" si="156"/>
        <v>5.3599490070001732</v>
      </c>
      <c r="S270" s="368"/>
      <c r="T270" s="406">
        <f>+SUMIFS(MktData!T:T,MktData!$A:$A,$B270)</f>
        <v>56935</v>
      </c>
      <c r="U270" s="403">
        <f>+SUMIFS(MktData!U:U,MktData!$A:$A,$B270)</f>
        <v>76833</v>
      </c>
      <c r="V270" s="403">
        <f>+SUMIFS(MktData!V:V,MktData!$A:$A,$B270)</f>
        <v>133911</v>
      </c>
      <c r="W270" s="403">
        <f>+SUMIFS(MktData!W:W,MktData!$A:$A,$B270)</f>
        <v>42051</v>
      </c>
      <c r="X270" s="403">
        <f>+SUMIFS(MktData!X:X,MktData!$A:$A,$B270)</f>
        <v>46274</v>
      </c>
      <c r="Y270" s="403">
        <f>+SUMIFS(MktData!Y:Y,MktData!$A:$A,$B270)</f>
        <v>37197</v>
      </c>
      <c r="Z270" s="403">
        <f>+SUMIFS(MktData!Z:Z,MktData!$A:$A,$B270)</f>
        <v>17013</v>
      </c>
      <c r="AA270" s="403">
        <f>+SUMIFS(MktData!AA:AA,MktData!$A:$A,$B270)</f>
        <v>14787</v>
      </c>
      <c r="AB270" s="405">
        <f>+SUMIFS(MktData!AB:AB,MktData!$A:$A,$B270)</f>
        <v>58987</v>
      </c>
      <c r="AD270" s="447" t="s">
        <v>1306</v>
      </c>
      <c r="AE270" s="677">
        <f t="shared" si="157"/>
        <v>0.11763721414580527</v>
      </c>
      <c r="AF270" s="678">
        <f t="shared" si="158"/>
        <v>0.15874980371414169</v>
      </c>
      <c r="AG270" s="678">
        <f t="shared" si="159"/>
        <v>0.27668247973090243</v>
      </c>
      <c r="AH270" s="678">
        <f t="shared" si="160"/>
        <v>8.6884385563278432E-2</v>
      </c>
      <c r="AI270" s="678">
        <f t="shared" si="161"/>
        <v>9.5609808507648955E-2</v>
      </c>
      <c r="AJ270" s="678">
        <f t="shared" si="162"/>
        <v>7.6855211286230241E-2</v>
      </c>
      <c r="AK270" s="678">
        <f t="shared" si="163"/>
        <v>3.5151697975982873E-2</v>
      </c>
      <c r="AL270" s="678">
        <f>+AA270/SUM($T270:$AB270)</f>
        <v>3.0552410390340255E-2</v>
      </c>
      <c r="AM270" s="679">
        <f t="shared" si="164"/>
        <v>0.12187698868566989</v>
      </c>
      <c r="AN270" s="368"/>
      <c r="AO270" s="594">
        <f>+SUMIFS(MktData!AO:AO,MktData!$A:$A,$B270)</f>
        <v>25123.0478</v>
      </c>
      <c r="AP270" s="595">
        <f>+SUMIFS(MktData!AP:AP,MktData!$A:$A,$B270)</f>
        <v>68283.925300000003</v>
      </c>
      <c r="AQ270" s="595">
        <f>+SUMIFS(MktData!AQ:AQ,MktData!$A:$A,$B270)</f>
        <v>52522.366799999989</v>
      </c>
      <c r="AR270" s="595">
        <f>+SUMIFS(MktData!AR:AR,MktData!$A:$A,$B270)</f>
        <v>254678.59450000001</v>
      </c>
      <c r="AS270" s="596">
        <f>+SUMIFS(MktData!AS:AS,MktData!$A:$A,$B270)</f>
        <v>83380.065600000002</v>
      </c>
      <c r="AU270" s="682">
        <f t="shared" si="179"/>
        <v>5.1908410539104277E-2</v>
      </c>
      <c r="AV270" s="683">
        <f t="shared" si="180"/>
        <v>0.14108598828896585</v>
      </c>
      <c r="AW270" s="683">
        <f t="shared" si="181"/>
        <v>0.10851997735481042</v>
      </c>
      <c r="AX270" s="683">
        <f t="shared" si="182"/>
        <v>0.5262084896732977</v>
      </c>
      <c r="AY270" s="408">
        <f t="shared" si="183"/>
        <v>0.17227713414382176</v>
      </c>
      <c r="BA270" s="409">
        <f>+E270/K270</f>
        <v>0.15542572214854375</v>
      </c>
      <c r="BB270" s="410">
        <f>+L270/D270</f>
        <v>0.18631866905791053</v>
      </c>
    </row>
    <row r="271" spans="1:54" ht="12.75" customHeight="1" x14ac:dyDescent="0.2">
      <c r="B271" s="440" t="s">
        <v>1316</v>
      </c>
      <c r="C271" s="402">
        <f>+SUMIFS(MktData!C:C,MktData!$A:$A,$B271)</f>
        <v>672423</v>
      </c>
      <c r="D271" s="403">
        <f>+SUMIFS(MktData!D:D,MktData!$A:$A,$B271)</f>
        <v>594358</v>
      </c>
      <c r="E271" s="405">
        <f>+SUMIFS(MktData!E:E,MktData!$A:$A,$B271)</f>
        <v>78065</v>
      </c>
      <c r="F271" s="368"/>
      <c r="G271" s="402" t="s">
        <v>47</v>
      </c>
      <c r="H271" s="404" t="s">
        <v>47</v>
      </c>
      <c r="I271" s="451" t="s">
        <v>47</v>
      </c>
      <c r="J271" s="368"/>
      <c r="K271" s="406">
        <f>+SUMIFS(MktData!K:K,MktData!$A:$A,$B271)</f>
        <v>556640</v>
      </c>
      <c r="L271" s="405">
        <f>+SUMIFS(MktData!L:L,MktData!$A:$A,$B271)</f>
        <v>107491</v>
      </c>
      <c r="M271" s="368"/>
      <c r="N271" s="406">
        <f>+SUMIFS(MktData!N:N,MktData!$A:$A,$B271)</f>
        <v>282820.71660000004</v>
      </c>
      <c r="O271" s="405">
        <f>+SUMIFS(MktData!O:O,MktData!$A:$A,$B271)</f>
        <v>311537.28339999996</v>
      </c>
      <c r="P271" s="368"/>
      <c r="Q271" s="406">
        <f>+SUMIFS(MktData!Q:Q,MktData!$A:$A,$B271)</f>
        <v>2807576</v>
      </c>
      <c r="R271" s="407">
        <f t="shared" si="156"/>
        <v>4.7237119715726887</v>
      </c>
      <c r="S271" s="368"/>
      <c r="T271" s="406">
        <f>+SUMIFS(MktData!T:T,MktData!$A:$A,$B271)</f>
        <v>84313</v>
      </c>
      <c r="U271" s="403">
        <f>+SUMIFS(MktData!U:U,MktData!$A:$A,$B271)</f>
        <v>90953</v>
      </c>
      <c r="V271" s="403">
        <f>+SUMIFS(MktData!V:V,MktData!$A:$A,$B271)</f>
        <v>151315</v>
      </c>
      <c r="W271" s="403">
        <f>+SUMIFS(MktData!W:W,MktData!$A:$A,$B271)</f>
        <v>49906</v>
      </c>
      <c r="X271" s="403">
        <f>+SUMIFS(MktData!X:X,MktData!$A:$A,$B271)</f>
        <v>51539</v>
      </c>
      <c r="Y271" s="403">
        <f>+SUMIFS(MktData!Y:Y,MktData!$A:$A,$B271)</f>
        <v>50743</v>
      </c>
      <c r="Z271" s="403">
        <f>+SUMIFS(MktData!Z:Z,MktData!$A:$A,$B271)</f>
        <v>21100</v>
      </c>
      <c r="AA271" s="403">
        <f>+SUMIFS(MktData!AA:AA,MktData!$A:$A,$B271)</f>
        <v>17549</v>
      </c>
      <c r="AB271" s="405">
        <f>+SUMIFS(MktData!AB:AB,MktData!$A:$A,$B271)</f>
        <v>76940</v>
      </c>
      <c r="AD271" s="447" t="s">
        <v>1316</v>
      </c>
      <c r="AE271" s="677">
        <f t="shared" si="157"/>
        <v>0.14185558198930612</v>
      </c>
      <c r="AF271" s="678">
        <f t="shared" si="158"/>
        <v>0.15302730004475418</v>
      </c>
      <c r="AG271" s="678">
        <f t="shared" si="159"/>
        <v>0.25458562011447644</v>
      </c>
      <c r="AH271" s="678">
        <f t="shared" si="160"/>
        <v>8.3966229107709497E-2</v>
      </c>
      <c r="AI271" s="678">
        <f t="shared" si="161"/>
        <v>8.6713731454779786E-2</v>
      </c>
      <c r="AJ271" s="678">
        <f t="shared" si="162"/>
        <v>8.5374471278253178E-2</v>
      </c>
      <c r="AK271" s="678">
        <f t="shared" si="163"/>
        <v>3.5500489603908753E-2</v>
      </c>
      <c r="AL271" s="678">
        <f t="shared" si="163"/>
        <v>2.9525975926966576E-2</v>
      </c>
      <c r="AM271" s="679">
        <f t="shared" si="164"/>
        <v>0.12945060047984547</v>
      </c>
      <c r="AN271" s="368"/>
      <c r="AO271" s="594">
        <f>+SUMIFS(MktData!AO:AO,MktData!$A:$A,$B271)</f>
        <v>29194.384399999999</v>
      </c>
      <c r="AP271" s="595">
        <f>+SUMIFS(MktData!AP:AP,MktData!$A:$A,$B271)</f>
        <v>79262.74960000001</v>
      </c>
      <c r="AQ271" s="595">
        <f>+SUMIFS(MktData!AQ:AQ,MktData!$A:$A,$B271)</f>
        <v>60070.380799999999</v>
      </c>
      <c r="AR271" s="595">
        <f>+SUMIFS(MktData!AR:AR,MktData!$A:$A,$B271)</f>
        <v>331140.71980000002</v>
      </c>
      <c r="AS271" s="596">
        <f>+SUMIFS(MktData!AS:AS,MktData!$A:$A,$B271)</f>
        <v>94710.600200000001</v>
      </c>
      <c r="AU271" s="682">
        <f t="shared" si="179"/>
        <v>4.9117469685513768E-2</v>
      </c>
      <c r="AV271" s="683">
        <f t="shared" si="180"/>
        <v>0.13335392338906346</v>
      </c>
      <c r="AW271" s="683">
        <f t="shared" si="181"/>
        <v>0.10106413163283787</v>
      </c>
      <c r="AX271" s="683">
        <f t="shared" si="182"/>
        <v>0.55712064496950686</v>
      </c>
      <c r="AY271" s="408">
        <f t="shared" si="183"/>
        <v>0.15934383032307797</v>
      </c>
      <c r="BA271" s="409">
        <f>+E271/K271</f>
        <v>0.1402432451853981</v>
      </c>
      <c r="BB271" s="410">
        <f>+L271/D271</f>
        <v>0.18085228094851924</v>
      </c>
    </row>
    <row r="272" spans="1:54" s="981" customFormat="1" ht="12.75" customHeight="1" x14ac:dyDescent="0.2">
      <c r="A272" s="981">
        <v>3</v>
      </c>
      <c r="B272" s="440" t="s">
        <v>1317</v>
      </c>
      <c r="C272" s="402">
        <f>+SUMIFS(MktData!C:C,MktData!$A:$A,$B272)</f>
        <v>786972</v>
      </c>
      <c r="D272" s="403">
        <f>+SUMIFS(MktData!D:D,MktData!$A:$A,$B272)</f>
        <v>673821</v>
      </c>
      <c r="E272" s="405">
        <f>+SUMIFS(MktData!E:E,MktData!$A:$A,$B272)</f>
        <v>113151</v>
      </c>
      <c r="F272" s="368"/>
      <c r="G272" s="402" t="s">
        <v>47</v>
      </c>
      <c r="H272" s="404" t="s">
        <v>47</v>
      </c>
      <c r="I272" s="451" t="s">
        <v>47</v>
      </c>
      <c r="J272" s="368"/>
      <c r="K272" s="406">
        <f>+SUMIFS(MktData!K:K,MktData!$A:$A,$B272)</f>
        <v>691574</v>
      </c>
      <c r="L272" s="405">
        <f>+SUMIFS(MktData!L:L,MktData!$A:$A,$B272)</f>
        <v>122493</v>
      </c>
      <c r="M272" s="368"/>
      <c r="N272" s="406">
        <f>+SUMIFS(MktData!N:N,MktData!$A:$A,$B272)</f>
        <v>326773.69200000004</v>
      </c>
      <c r="O272" s="405">
        <f>+SUMIFS(MktData!O:O,MktData!$A:$A,$B272)</f>
        <v>347047.30799999996</v>
      </c>
      <c r="P272" s="368"/>
      <c r="Q272" s="406">
        <f>+SUMIFS(MktData!Q:Q,MktData!$A:$A,$B272)</f>
        <v>3135935</v>
      </c>
      <c r="R272" s="407">
        <f>+Q272/D272</f>
        <v>4.6539585438862847</v>
      </c>
      <c r="S272" s="368"/>
      <c r="T272" s="406">
        <f>+SUMIFS(MktData!T:T,MktData!$A:$A,$B272)</f>
        <v>81660</v>
      </c>
      <c r="U272" s="403">
        <f>+SUMIFS(MktData!U:U,MktData!$A:$A,$B272)</f>
        <v>109451</v>
      </c>
      <c r="V272" s="403">
        <f>+SUMIFS(MktData!V:V,MktData!$A:$A,$B272)</f>
        <v>183626</v>
      </c>
      <c r="W272" s="403">
        <f>+SUMIFS(MktData!W:W,MktData!$A:$A,$B272)</f>
        <v>58531</v>
      </c>
      <c r="X272" s="403">
        <f>+SUMIFS(MktData!X:X,MktData!$A:$A,$B272)</f>
        <v>60939</v>
      </c>
      <c r="Y272" s="403">
        <f>+SUMIFS(MktData!Y:Y,MktData!$A:$A,$B272)</f>
        <v>49427</v>
      </c>
      <c r="Z272" s="403">
        <f>+SUMIFS(MktData!Z:Z,MktData!$A:$A,$B272)</f>
        <v>25572</v>
      </c>
      <c r="AA272" s="403">
        <f>+SUMIFS(MktData!AA:AA,MktData!$A:$A,$B272)</f>
        <v>18741</v>
      </c>
      <c r="AB272" s="405">
        <f>+SUMIFS(MktData!AB:AB,MktData!$A:$A,$B272)</f>
        <v>85874</v>
      </c>
      <c r="AC272" s="365"/>
      <c r="AD272" s="447" t="s">
        <v>1317</v>
      </c>
      <c r="AE272" s="677">
        <f t="shared" ref="AE272:AM272" si="184">+T272/SUM($T272:$AB272)</f>
        <v>0.12118945535980624</v>
      </c>
      <c r="AF272" s="678">
        <f t="shared" si="184"/>
        <v>0.16243334654158895</v>
      </c>
      <c r="AG272" s="678">
        <f t="shared" si="184"/>
        <v>0.27251451053024467</v>
      </c>
      <c r="AH272" s="678">
        <f t="shared" si="184"/>
        <v>8.6864315597168978E-2</v>
      </c>
      <c r="AI272" s="678">
        <f t="shared" si="184"/>
        <v>9.0437964978829694E-2</v>
      </c>
      <c r="AJ272" s="678">
        <f t="shared" si="184"/>
        <v>7.335330896484378E-2</v>
      </c>
      <c r="AK272" s="678">
        <f t="shared" si="184"/>
        <v>3.7950731722519782E-2</v>
      </c>
      <c r="AL272" s="678">
        <f t="shared" si="184"/>
        <v>2.7813024527285436E-2</v>
      </c>
      <c r="AM272" s="679">
        <f t="shared" si="184"/>
        <v>0.12744334177771247</v>
      </c>
      <c r="AN272" s="368"/>
      <c r="AO272" s="594">
        <f>+SUMIFS(MktData!AO:AO,MktData!$A:$A,$B272)</f>
        <v>31824.079399999999</v>
      </c>
      <c r="AP272" s="595">
        <f>+SUMIFS(MktData!AP:AP,MktData!$A:$A,$B272)</f>
        <v>92122.0573</v>
      </c>
      <c r="AQ272" s="595">
        <f>+SUMIFS(MktData!AQ:AQ,MktData!$A:$A,$B272)</f>
        <v>60500.914599999996</v>
      </c>
      <c r="AR272" s="595">
        <f>+SUMIFS(MktData!AR:AR,MktData!$A:$A,$B272)</f>
        <v>374130.0036</v>
      </c>
      <c r="AS272" s="596">
        <f>+SUMIFS(MktData!AS:AS,MktData!$A:$A,$B272)</f>
        <v>115221.6001</v>
      </c>
      <c r="AT272" s="365"/>
      <c r="AU272" s="682">
        <f t="shared" ref="AU272:AY273" si="185">+AO272/SUM($AO272:$AS272)</f>
        <v>4.7230844353644483E-2</v>
      </c>
      <c r="AV272" s="683">
        <f t="shared" si="185"/>
        <v>0.13672045293708696</v>
      </c>
      <c r="AW272" s="683">
        <f t="shared" si="185"/>
        <v>8.9790791582984086E-2</v>
      </c>
      <c r="AX272" s="683">
        <f t="shared" si="185"/>
        <v>0.5552548982158475</v>
      </c>
      <c r="AY272" s="408">
        <f t="shared" si="185"/>
        <v>0.17100301291043685</v>
      </c>
      <c r="AZ272" s="365"/>
      <c r="BA272" s="409">
        <f>+E272/K272</f>
        <v>0.16361372752590467</v>
      </c>
      <c r="BB272" s="410">
        <f>+L272/D272</f>
        <v>0.1817886352606998</v>
      </c>
    </row>
    <row r="273" spans="2:54" ht="12.75" customHeight="1" x14ac:dyDescent="0.2">
      <c r="B273" s="440" t="s">
        <v>1318</v>
      </c>
      <c r="C273" s="402">
        <f>+SUMIFS(MktData!C:C,MktData!$A:$A,$B273)</f>
        <v>841873</v>
      </c>
      <c r="D273" s="403">
        <f>+SUMIFS(MktData!D:D,MktData!$A:$A,$B273)</f>
        <v>735369</v>
      </c>
      <c r="E273" s="405">
        <f>+SUMIFS(MktData!E:E,MktData!$A:$A,$B273)</f>
        <v>106504</v>
      </c>
      <c r="F273" s="368"/>
      <c r="G273" s="402" t="s">
        <v>47</v>
      </c>
      <c r="H273" s="404" t="s">
        <v>47</v>
      </c>
      <c r="I273" s="451" t="s">
        <v>47</v>
      </c>
      <c r="J273" s="368"/>
      <c r="K273" s="406">
        <f>+SUMIFS(MktData!K:K,MktData!$A:$A,$B273)</f>
        <v>630198</v>
      </c>
      <c r="L273" s="405">
        <f>+SUMIFS(MktData!L:L,MktData!$A:$A,$B273)</f>
        <v>142405</v>
      </c>
      <c r="M273" s="368"/>
      <c r="N273" s="406">
        <f>+SUMIFS(MktData!N:N,MktData!$A:$A,$B273)</f>
        <v>386660.43400000001</v>
      </c>
      <c r="O273" s="405">
        <f>+SUMIFS(MktData!O:O,MktData!$A:$A,$B273)</f>
        <v>348708.56599999999</v>
      </c>
      <c r="P273" s="368"/>
      <c r="Q273" s="406">
        <f>+SUMIFS(MktData!Q:Q,MktData!$A:$A,$B273)</f>
        <v>3138283</v>
      </c>
      <c r="R273" s="407">
        <f>+Q273/D273</f>
        <v>4.2676302645338602</v>
      </c>
      <c r="S273" s="368"/>
      <c r="T273" s="406">
        <f>+SUMIFS(MktData!T:T,MktData!$A:$A,$B273)</f>
        <v>91989</v>
      </c>
      <c r="U273" s="403">
        <f>+SUMIFS(MktData!U:U,MktData!$A:$A,$B273)</f>
        <v>124047</v>
      </c>
      <c r="V273" s="403">
        <f>+SUMIFS(MktData!V:V,MktData!$A:$A,$B273)</f>
        <v>184475</v>
      </c>
      <c r="W273" s="403">
        <f>+SUMIFS(MktData!W:W,MktData!$A:$A,$B273)</f>
        <v>53518</v>
      </c>
      <c r="X273" s="403">
        <f>+SUMIFS(MktData!X:X,MktData!$A:$A,$B273)</f>
        <v>67804</v>
      </c>
      <c r="Y273" s="403">
        <f>+SUMIFS(MktData!Y:Y,MktData!$A:$A,$B273)</f>
        <v>68525</v>
      </c>
      <c r="Z273" s="403">
        <f>+SUMIFS(MktData!Z:Z,MktData!$A:$A,$B273)</f>
        <v>27726</v>
      </c>
      <c r="AA273" s="403">
        <f>+SUMIFS(MktData!AA:AA,MktData!$A:$A,$B273)</f>
        <v>25538</v>
      </c>
      <c r="AB273" s="405">
        <f>+SUMIFS(MktData!AB:AB,MktData!$A:$A,$B273)</f>
        <v>91747</v>
      </c>
      <c r="AD273" s="447" t="s">
        <v>1318</v>
      </c>
      <c r="AE273" s="677">
        <f t="shared" ref="AE273" si="186">+T273/SUM($T273:$AB273)</f>
        <v>0.1250923006001069</v>
      </c>
      <c r="AF273" s="678">
        <f t="shared" ref="AF273" si="187">+U273/SUM($T273:$AB273)</f>
        <v>0.16868674094230243</v>
      </c>
      <c r="AG273" s="678">
        <f t="shared" ref="AG273" si="188">+V273/SUM($T273:$AB273)</f>
        <v>0.25086045237153048</v>
      </c>
      <c r="AH273" s="678">
        <f t="shared" ref="AH273" si="189">+W273/SUM($T273:$AB273)</f>
        <v>7.2777068383355834E-2</v>
      </c>
      <c r="AI273" s="678">
        <f t="shared" ref="AI273" si="190">+X273/SUM($T273:$AB273)</f>
        <v>9.2204049939554153E-2</v>
      </c>
      <c r="AJ273" s="678">
        <f t="shared" ref="AJ273" si="191">+Y273/SUM($T273:$AB273)</f>
        <v>9.3184510089492481E-2</v>
      </c>
      <c r="AK273" s="678">
        <f t="shared" ref="AK273" si="192">+Z273/SUM($T273:$AB273)</f>
        <v>3.7703520273495349E-2</v>
      </c>
      <c r="AL273" s="678">
        <f t="shared" ref="AL273" si="193">+AA273/SUM($T273:$AB273)</f>
        <v>3.4728143285887768E-2</v>
      </c>
      <c r="AM273" s="679">
        <f t="shared" ref="AM273" si="194">+AB273/SUM($T273:$AB273)</f>
        <v>0.1247632141142746</v>
      </c>
      <c r="AN273" s="368"/>
      <c r="AO273" s="594">
        <f>+SUMIFS(MktData!AO:AO,MktData!$A:$A,$B273)</f>
        <v>36900.028299999998</v>
      </c>
      <c r="AP273" s="595">
        <f>+SUMIFS(MktData!AP:AP,MktData!$A:$A,$B273)</f>
        <v>95005.845700000005</v>
      </c>
      <c r="AQ273" s="595">
        <f>+SUMIFS(MktData!AQ:AQ,MktData!$A:$A,$B273)</f>
        <v>65771.857300000003</v>
      </c>
      <c r="AR273" s="595">
        <f>+SUMIFS(MktData!AR:AR,MktData!$A:$A,$B273)</f>
        <v>408133.18949999998</v>
      </c>
      <c r="AS273" s="596">
        <f>+SUMIFS(MktData!AS:AS,MktData!$A:$A,$B273)</f>
        <v>129558.07920000001</v>
      </c>
      <c r="AU273" s="682">
        <f t="shared" si="185"/>
        <v>5.0178928265945395E-2</v>
      </c>
      <c r="AV273" s="683">
        <f t="shared" si="185"/>
        <v>0.12919479295428554</v>
      </c>
      <c r="AW273" s="683">
        <f t="shared" si="185"/>
        <v>8.9440617295534625E-2</v>
      </c>
      <c r="AX273" s="683">
        <f t="shared" si="185"/>
        <v>0.55500461604990148</v>
      </c>
      <c r="AY273" s="408">
        <f t="shared" si="185"/>
        <v>0.17618104543433297</v>
      </c>
      <c r="BA273" s="409">
        <f>+E273/K273</f>
        <v>0.16900085369994827</v>
      </c>
      <c r="BB273" s="410">
        <f>+L273/D273</f>
        <v>0.193651078574158</v>
      </c>
    </row>
  </sheetData>
  <mergeCells count="8">
    <mergeCell ref="C3:E3"/>
    <mergeCell ref="Q3:R3"/>
    <mergeCell ref="N3:O3"/>
    <mergeCell ref="BA3:BB3"/>
    <mergeCell ref="AU3:AY3"/>
    <mergeCell ref="AO3:AS3"/>
    <mergeCell ref="K3:L3"/>
    <mergeCell ref="G3:I3"/>
  </mergeCells>
  <phoneticPr fontId="182"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8">
    <pageSetUpPr autoPageBreaks="0"/>
  </sheetPr>
  <dimension ref="A1:AR170"/>
  <sheetViews>
    <sheetView showGridLines="0" zoomScaleNormal="100" zoomScaleSheetLayoutView="50" workbookViewId="0">
      <pane xSplit="2" ySplit="5" topLeftCell="P6" activePane="bottomRight" state="frozen"/>
      <selection pane="topRight" activeCell="C1" sqref="C1"/>
      <selection pane="bottomLeft" activeCell="A6" sqref="A6"/>
      <selection pane="bottomRight" activeCell="Z5" sqref="Z5"/>
    </sheetView>
  </sheetViews>
  <sheetFormatPr defaultColWidth="9.28515625" defaultRowHeight="12.75" outlineLevelRow="1" x14ac:dyDescent="0.2"/>
  <cols>
    <col min="1" max="1" width="1.42578125" style="39" customWidth="1"/>
    <col min="2" max="2" width="53.28515625" style="18" bestFit="1" customWidth="1"/>
    <col min="3" max="3" width="10" style="18" customWidth="1"/>
    <col min="4" max="5" width="9.28515625" style="37" customWidth="1"/>
    <col min="6" max="6" width="9.28515625" style="18" customWidth="1"/>
    <col min="7" max="7" width="10.42578125" style="18" bestFit="1" customWidth="1"/>
    <col min="8" max="9" width="9.28515625" style="18" customWidth="1"/>
    <col min="10" max="26" width="10.7109375" style="18" customWidth="1"/>
    <col min="27" max="16384" width="9.28515625" style="39"/>
  </cols>
  <sheetData>
    <row r="1" spans="2:32" s="584" customFormat="1" ht="16.5" customHeight="1" x14ac:dyDescent="0.2">
      <c r="C1" s="553"/>
      <c r="D1" s="838"/>
      <c r="E1" s="553"/>
      <c r="F1" s="838"/>
      <c r="G1" s="553"/>
      <c r="H1" s="838"/>
      <c r="I1" s="838"/>
      <c r="J1" s="838"/>
      <c r="K1" s="838"/>
      <c r="L1" s="838"/>
      <c r="M1" s="838"/>
      <c r="N1" s="838"/>
      <c r="O1" s="838"/>
      <c r="P1" s="838"/>
      <c r="Q1" s="838"/>
      <c r="R1" s="838"/>
      <c r="S1" s="838"/>
      <c r="T1" s="838"/>
      <c r="U1" s="838"/>
      <c r="V1" s="838"/>
      <c r="W1" s="838"/>
      <c r="X1" s="838"/>
      <c r="Y1" s="838"/>
      <c r="Z1" s="838"/>
      <c r="AA1" s="838"/>
      <c r="AB1" s="845"/>
      <c r="AC1" s="845"/>
      <c r="AD1" s="845"/>
      <c r="AE1" s="845"/>
      <c r="AF1" s="845"/>
    </row>
    <row r="2" spans="2:32" s="584" customFormat="1" ht="12.75" customHeight="1" x14ac:dyDescent="0.2">
      <c r="C2" s="552"/>
      <c r="D2" s="839"/>
      <c r="E2" s="552"/>
      <c r="F2" s="839"/>
      <c r="G2" s="552"/>
      <c r="H2" s="839"/>
      <c r="I2" s="839"/>
      <c r="J2" s="839"/>
      <c r="K2" s="839"/>
      <c r="L2" s="839"/>
      <c r="M2" s="839"/>
      <c r="N2" s="839"/>
      <c r="O2" s="839"/>
      <c r="P2" s="839"/>
      <c r="Q2" s="839"/>
      <c r="R2" s="839"/>
      <c r="S2" s="839"/>
      <c r="T2" s="839"/>
      <c r="U2" s="839"/>
      <c r="V2" s="839"/>
      <c r="W2" s="839"/>
      <c r="X2" s="839"/>
      <c r="Y2" s="839"/>
      <c r="Z2" s="839"/>
      <c r="AA2" s="839"/>
      <c r="AB2" s="845"/>
      <c r="AC2" s="845"/>
      <c r="AD2" s="845"/>
      <c r="AE2" s="845"/>
      <c r="AF2" s="845"/>
    </row>
    <row r="3" spans="2:32" ht="12.75" customHeight="1" x14ac:dyDescent="0.2">
      <c r="C3"/>
      <c r="D3" s="28"/>
      <c r="E3" s="28"/>
      <c r="F3" s="28"/>
      <c r="G3"/>
      <c r="H3" s="28"/>
      <c r="I3" s="557"/>
      <c r="J3" s="557"/>
      <c r="K3" s="557"/>
      <c r="L3" s="557"/>
      <c r="M3" s="557"/>
      <c r="N3" s="557"/>
      <c r="O3" s="557"/>
      <c r="P3" s="846"/>
      <c r="Q3" s="846"/>
      <c r="R3" s="846"/>
      <c r="S3" s="846"/>
      <c r="T3" s="846"/>
      <c r="U3" s="846"/>
      <c r="V3" s="846"/>
      <c r="W3" s="846"/>
      <c r="X3" s="846"/>
      <c r="Y3" s="846"/>
      <c r="Z3" s="846"/>
      <c r="AA3" s="846"/>
      <c r="AB3" s="847"/>
      <c r="AC3" s="847"/>
      <c r="AD3" s="847"/>
      <c r="AE3" s="847"/>
      <c r="AF3" s="847"/>
    </row>
    <row r="4" spans="2:32" s="584" customFormat="1" x14ac:dyDescent="0.2">
      <c r="B4" s="554" t="s">
        <v>161</v>
      </c>
      <c r="C4"/>
      <c r="D4" s="28"/>
      <c r="E4" s="28"/>
      <c r="F4" s="28"/>
      <c r="G4"/>
      <c r="H4" s="28"/>
      <c r="I4" s="28"/>
      <c r="J4" s="28"/>
      <c r="K4" s="28"/>
      <c r="L4" s="28"/>
      <c r="M4" s="28"/>
      <c r="N4" s="28"/>
      <c r="O4" s="28"/>
    </row>
    <row r="5" spans="2:32" x14ac:dyDescent="0.2">
      <c r="B5" s="129" t="s">
        <v>999</v>
      </c>
      <c r="C5" s="198" t="s">
        <v>862</v>
      </c>
      <c r="D5" s="198" t="s">
        <v>922</v>
      </c>
      <c r="E5" s="198" t="s">
        <v>923</v>
      </c>
      <c r="F5" s="198" t="s">
        <v>924</v>
      </c>
      <c r="G5" s="198" t="s">
        <v>995</v>
      </c>
      <c r="H5" s="198" t="s">
        <v>1027</v>
      </c>
      <c r="I5" s="198" t="s">
        <v>1028</v>
      </c>
      <c r="J5" s="198" t="s">
        <v>993</v>
      </c>
      <c r="K5" s="198" t="s">
        <v>1124</v>
      </c>
      <c r="L5" s="198" t="s">
        <v>1125</v>
      </c>
      <c r="M5" s="198" t="s">
        <v>1126</v>
      </c>
      <c r="N5" s="198" t="s">
        <v>1127</v>
      </c>
      <c r="O5" s="198" t="s">
        <v>1181</v>
      </c>
      <c r="P5" s="198" t="s">
        <v>1189</v>
      </c>
      <c r="Q5" s="198" t="s">
        <v>1191</v>
      </c>
      <c r="R5" s="198" t="s">
        <v>1193</v>
      </c>
      <c r="S5" s="198" t="s">
        <v>1232</v>
      </c>
      <c r="T5" s="198" t="s">
        <v>1245</v>
      </c>
      <c r="U5" s="198" t="s">
        <v>1247</v>
      </c>
      <c r="V5" s="198" t="s">
        <v>1249</v>
      </c>
      <c r="W5" s="198" t="s">
        <v>1306</v>
      </c>
      <c r="X5" s="198" t="s">
        <v>1316</v>
      </c>
      <c r="Y5" s="198" t="s">
        <v>1317</v>
      </c>
      <c r="Z5" s="198" t="s">
        <v>1318</v>
      </c>
    </row>
    <row r="6" spans="2:32" x14ac:dyDescent="0.2">
      <c r="B6" s="119" t="s">
        <v>217</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2:32" x14ac:dyDescent="0.2">
      <c r="B7" s="720" t="s">
        <v>919</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34">
        <v>-5997.3069699999887</v>
      </c>
      <c r="N7" s="1034">
        <v>-5965.6264300000103</v>
      </c>
      <c r="O7" s="1034">
        <v>-6375.8603899999998</v>
      </c>
      <c r="P7" s="1034">
        <v>-7005.7261199999921</v>
      </c>
      <c r="Q7" s="1034">
        <v>-6648.5328399999698</v>
      </c>
      <c r="R7" s="1034">
        <v>-7125.4665299999797</v>
      </c>
      <c r="S7" s="1148">
        <v>-7315.9999799999896</v>
      </c>
      <c r="T7" s="1148">
        <v>-7304.5372799999996</v>
      </c>
      <c r="U7" s="1168">
        <v>-7948.7313800000102</v>
      </c>
      <c r="V7" s="1167">
        <v>-8621.4421400000192</v>
      </c>
      <c r="W7" s="1181">
        <v>-6907.8126200000097</v>
      </c>
      <c r="X7" s="1181">
        <v>-7069.81412000001</v>
      </c>
      <c r="Y7" s="1181">
        <v>-6995.6201300000002</v>
      </c>
      <c r="Z7" s="1181">
        <v>-7777.8751400000101</v>
      </c>
    </row>
    <row r="8" spans="2:32" x14ac:dyDescent="0.2">
      <c r="B8" s="720" t="s">
        <v>219</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34">
        <v>-4775.7531600000057</v>
      </c>
      <c r="N8" s="1034">
        <v>-4663.5948900000003</v>
      </c>
      <c r="O8" s="1034">
        <v>-5553.500309999994</v>
      </c>
      <c r="P8" s="1034">
        <v>-5581.817279999992</v>
      </c>
      <c r="Q8" s="1034">
        <v>-4409.7001599999994</v>
      </c>
      <c r="R8" s="1034">
        <v>-5095.7663600000069</v>
      </c>
      <c r="S8" s="1148">
        <v>-5053.6814900000018</v>
      </c>
      <c r="T8" s="1148">
        <v>-5095.7564200000015</v>
      </c>
      <c r="U8" s="1168">
        <v>-5920.678399999998</v>
      </c>
      <c r="V8" s="1167">
        <v>-6373.5846400000064</v>
      </c>
      <c r="W8" s="1181">
        <v>-5198.6491800000003</v>
      </c>
      <c r="X8" s="1181">
        <v>-5253.2675500000023</v>
      </c>
      <c r="Y8" s="1181">
        <v>-4965.0352899999998</v>
      </c>
      <c r="Z8" s="1181">
        <v>-6304.836650000002</v>
      </c>
    </row>
    <row r="9" spans="2:32" x14ac:dyDescent="0.2">
      <c r="B9" s="720" t="s">
        <v>920</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34">
        <v>-181.80132000000003</v>
      </c>
      <c r="N9" s="1034">
        <v>-159.93155999999999</v>
      </c>
      <c r="O9" s="1034">
        <v>-118.05309999999999</v>
      </c>
      <c r="P9" s="1034">
        <v>-177.22330999999997</v>
      </c>
      <c r="Q9" s="1034">
        <v>-155.3493</v>
      </c>
      <c r="R9" s="1034">
        <v>-144.98169000000001</v>
      </c>
      <c r="S9" s="1148">
        <v>-147.01964999999998</v>
      </c>
      <c r="T9" s="1148">
        <v>-148.90146999999996</v>
      </c>
      <c r="U9" s="1168">
        <v>-160.21681000000001</v>
      </c>
      <c r="V9" s="1167">
        <v>-161.16570000000002</v>
      </c>
      <c r="W9" s="1181">
        <v>-152.83681999999999</v>
      </c>
      <c r="X9" s="1181">
        <v>-159.91055999999995</v>
      </c>
      <c r="Y9" s="1181">
        <v>-157.91458999999992</v>
      </c>
      <c r="Z9" s="1181">
        <v>-173.36223000000018</v>
      </c>
    </row>
    <row r="10" spans="2:32" x14ac:dyDescent="0.2">
      <c r="B10" s="720" t="s">
        <v>988</v>
      </c>
      <c r="C10" s="118">
        <v>0</v>
      </c>
      <c r="D10" s="118">
        <v>0</v>
      </c>
      <c r="E10" s="118">
        <v>9.7541600000000184</v>
      </c>
      <c r="F10" s="118">
        <v>56.499990000000004</v>
      </c>
      <c r="G10" s="118">
        <v>-9.8000000000000007</v>
      </c>
      <c r="H10" s="118">
        <v>5.6092300000000108</v>
      </c>
      <c r="I10" s="118">
        <v>27.477259999999895</v>
      </c>
      <c r="J10" s="118">
        <v>0</v>
      </c>
      <c r="K10" s="118">
        <v>0</v>
      </c>
      <c r="L10" s="118">
        <v>0</v>
      </c>
      <c r="M10" s="1034">
        <v>0</v>
      </c>
      <c r="N10" s="1034">
        <v>0</v>
      </c>
      <c r="O10" s="1034">
        <v>0</v>
      </c>
      <c r="P10" s="1034">
        <v>0</v>
      </c>
      <c r="Q10" s="1034">
        <v>0</v>
      </c>
      <c r="R10" s="1034">
        <v>0</v>
      </c>
      <c r="S10" s="1148">
        <v>0</v>
      </c>
      <c r="T10" s="1148">
        <v>0</v>
      </c>
      <c r="U10" s="1168">
        <v>0</v>
      </c>
      <c r="V10" s="1167">
        <v>0</v>
      </c>
      <c r="W10" s="1181">
        <v>0</v>
      </c>
      <c r="X10" s="1181">
        <v>0</v>
      </c>
      <c r="Y10" s="1181">
        <v>0</v>
      </c>
      <c r="Z10" s="1181">
        <v>0</v>
      </c>
    </row>
    <row r="11" spans="2:32" x14ac:dyDescent="0.2">
      <c r="B11" s="720" t="s">
        <v>929</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34">
        <v>-1000.2897800000001</v>
      </c>
      <c r="N11" s="1034">
        <v>-857.40150000000051</v>
      </c>
      <c r="O11" s="1034">
        <v>-763.18351999999925</v>
      </c>
      <c r="P11" s="1034">
        <v>-690.71831999999984</v>
      </c>
      <c r="Q11" s="1034">
        <v>-1350.3123799999987</v>
      </c>
      <c r="R11" s="1034">
        <v>-1346.3791600000009</v>
      </c>
      <c r="S11" s="1148">
        <v>-1350.4075399999986</v>
      </c>
      <c r="T11" s="1148">
        <v>-1997.7186700000013</v>
      </c>
      <c r="U11" s="1168">
        <v>-1914.1340700000019</v>
      </c>
      <c r="V11" s="1167">
        <v>-2139.8714500000006</v>
      </c>
      <c r="W11" s="1181">
        <v>-1822.4608600000006</v>
      </c>
      <c r="X11" s="1181">
        <v>-1869.0719899999981</v>
      </c>
      <c r="Y11" s="1181">
        <v>-1829.7233800000001</v>
      </c>
      <c r="Z11" s="1181">
        <v>-1627.7138399999992</v>
      </c>
    </row>
    <row r="12" spans="2:32" x14ac:dyDescent="0.2">
      <c r="B12" s="119" t="s">
        <v>220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2:32" x14ac:dyDescent="0.2">
      <c r="B13" s="720" t="s">
        <v>919</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35">
        <v>-2588.4667799999984</v>
      </c>
      <c r="N13" s="1035">
        <v>-2576.5198399999999</v>
      </c>
      <c r="O13" s="1035">
        <v>-2932.1561299999998</v>
      </c>
      <c r="P13" s="1035">
        <v>-2939.8680899999995</v>
      </c>
      <c r="Q13" s="1035">
        <v>-2957.4588600000002</v>
      </c>
      <c r="R13" s="1035">
        <v>-2981.36715</v>
      </c>
      <c r="S13" s="1148">
        <v>-2965.89284</v>
      </c>
      <c r="T13" s="1148">
        <v>-2687.7272699999999</v>
      </c>
      <c r="U13" s="1168">
        <v>-2919.9746599999999</v>
      </c>
      <c r="V13" s="1167">
        <v>-2809.4375100000002</v>
      </c>
      <c r="W13" s="1181">
        <v>-2823.2623800000001</v>
      </c>
      <c r="X13" s="1181">
        <v>-2831.43163</v>
      </c>
      <c r="Y13" s="1181">
        <v>-2885.5690199999999</v>
      </c>
      <c r="Z13" s="1181">
        <v>-2612.3018499999998</v>
      </c>
    </row>
    <row r="14" spans="2:32" x14ac:dyDescent="0.2">
      <c r="B14" s="720" t="s">
        <v>219</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35">
        <v>-2149.62075</v>
      </c>
      <c r="N14" s="1035">
        <v>-2105.9890599999994</v>
      </c>
      <c r="O14" s="1035">
        <v>-2128.59656</v>
      </c>
      <c r="P14" s="1035">
        <v>-2442.54612</v>
      </c>
      <c r="Q14" s="1035">
        <v>-2467.9047399999999</v>
      </c>
      <c r="R14" s="1035">
        <v>-2486.7018399999997</v>
      </c>
      <c r="S14" s="1148">
        <v>-2208.9716399999993</v>
      </c>
      <c r="T14" s="1148">
        <v>-2098.15398</v>
      </c>
      <c r="U14" s="1168">
        <v>-2411.6025400000008</v>
      </c>
      <c r="V14" s="1167">
        <v>-2392.4915899999996</v>
      </c>
      <c r="W14" s="1181">
        <v>-2162.65724</v>
      </c>
      <c r="X14" s="1181">
        <v>-2159.1878899999992</v>
      </c>
      <c r="Y14" s="1181">
        <v>-2155.9959599999997</v>
      </c>
      <c r="Z14" s="1181">
        <v>-2343.9818299999997</v>
      </c>
    </row>
    <row r="15" spans="2:32" x14ac:dyDescent="0.2">
      <c r="B15" s="720" t="s">
        <v>988</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35">
        <v>0</v>
      </c>
      <c r="N15" s="1035">
        <v>0</v>
      </c>
      <c r="O15" s="1035">
        <v>0</v>
      </c>
      <c r="P15" s="1035">
        <v>0</v>
      </c>
      <c r="Q15" s="1035">
        <v>0</v>
      </c>
      <c r="R15" s="1035">
        <v>0</v>
      </c>
      <c r="S15" s="1148">
        <v>0</v>
      </c>
      <c r="T15" s="1148">
        <v>0</v>
      </c>
      <c r="U15" s="1168">
        <v>0</v>
      </c>
      <c r="V15" s="1167">
        <v>0</v>
      </c>
      <c r="W15" s="1181">
        <v>0</v>
      </c>
      <c r="X15" s="1181">
        <v>0</v>
      </c>
      <c r="Y15" s="1181">
        <v>0</v>
      </c>
      <c r="Z15" s="1181">
        <v>0</v>
      </c>
    </row>
    <row r="16" spans="2:32" x14ac:dyDescent="0.2">
      <c r="B16" s="720" t="s">
        <v>929</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35">
        <v>-255.75893000000002</v>
      </c>
      <c r="N16" s="1035">
        <v>-231.56411999999997</v>
      </c>
      <c r="O16" s="1035">
        <v>-479.7569400000001</v>
      </c>
      <c r="P16" s="1035">
        <v>-382.29656699999998</v>
      </c>
      <c r="Q16" s="1035">
        <v>-70.824930000000037</v>
      </c>
      <c r="R16" s="1035">
        <v>-168.24672999999996</v>
      </c>
      <c r="S16" s="1148">
        <v>-478.61081999999982</v>
      </c>
      <c r="T16" s="1148">
        <v>-735.60271000000012</v>
      </c>
      <c r="U16" s="1168">
        <v>-792.15287999999975</v>
      </c>
      <c r="V16" s="1167">
        <v>-677.04791999999975</v>
      </c>
      <c r="W16" s="1181">
        <v>-566.77583000000027</v>
      </c>
      <c r="X16" s="1181">
        <v>-483.10908999999981</v>
      </c>
      <c r="Y16" s="1181">
        <v>-398.48783999999995</v>
      </c>
      <c r="Z16" s="1181">
        <v>-362.32375999999988</v>
      </c>
    </row>
    <row r="17" spans="1:43" x14ac:dyDescent="0.2">
      <c r="B17" s="119" t="s">
        <v>391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43" x14ac:dyDescent="0.2">
      <c r="B18" s="720" t="s">
        <v>919</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row>
    <row r="19" spans="1:43" x14ac:dyDescent="0.2">
      <c r="B19" s="720" t="s">
        <v>219</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row>
    <row r="20" spans="1:43" x14ac:dyDescent="0.2">
      <c r="B20" s="720" t="s">
        <v>920</v>
      </c>
      <c r="C20" s="118">
        <f t="shared" ref="C20:K21" si="5">+C9</f>
        <v>-217</v>
      </c>
      <c r="D20" s="118">
        <f t="shared" si="5"/>
        <v>-186</v>
      </c>
      <c r="E20" s="118">
        <f t="shared" si="5"/>
        <v>-209</v>
      </c>
      <c r="F20" s="118">
        <f t="shared" si="5"/>
        <v>-201.85305000000017</v>
      </c>
      <c r="G20" s="118">
        <f t="shared" si="5"/>
        <v>-196.01873999999995</v>
      </c>
      <c r="H20" s="118">
        <f t="shared" si="5"/>
        <v>-197.94529999999997</v>
      </c>
      <c r="I20" s="118">
        <f t="shared" si="5"/>
        <v>-196.80850000000001</v>
      </c>
      <c r="J20" s="118">
        <f t="shared" si="5"/>
        <v>-203.06792000000004</v>
      </c>
      <c r="K20" s="118">
        <f t="shared" si="5"/>
        <v>-178.78923000000003</v>
      </c>
      <c r="L20" s="118">
        <f t="shared" ref="L20:N21" si="6">+L9</f>
        <v>-192.26224000000005</v>
      </c>
      <c r="M20" s="118">
        <f t="shared" si="6"/>
        <v>-181.80132000000003</v>
      </c>
      <c r="N20" s="118">
        <f t="shared" si="6"/>
        <v>-159.93155999999999</v>
      </c>
      <c r="O20" s="118">
        <f t="shared" ref="O20:W20" si="7">+O9</f>
        <v>-118.05309999999999</v>
      </c>
      <c r="P20" s="118">
        <f t="shared" si="7"/>
        <v>-177.22330999999997</v>
      </c>
      <c r="Q20" s="118">
        <f t="shared" si="7"/>
        <v>-155.3493</v>
      </c>
      <c r="R20" s="118">
        <f t="shared" si="7"/>
        <v>-144.98169000000001</v>
      </c>
      <c r="S20" s="118">
        <f t="shared" si="7"/>
        <v>-147.01964999999998</v>
      </c>
      <c r="T20" s="118">
        <f t="shared" si="7"/>
        <v>-148.90146999999996</v>
      </c>
      <c r="U20" s="118">
        <f t="shared" si="7"/>
        <v>-160.21681000000001</v>
      </c>
      <c r="V20" s="118">
        <f t="shared" si="7"/>
        <v>-161.16570000000002</v>
      </c>
      <c r="W20" s="118">
        <f t="shared" si="7"/>
        <v>-152.83681999999999</v>
      </c>
      <c r="X20" s="118">
        <f t="shared" ref="X20:Z21" si="8">+X9</f>
        <v>-159.91055999999995</v>
      </c>
      <c r="Y20" s="118">
        <f t="shared" si="8"/>
        <v>-157.91458999999992</v>
      </c>
      <c r="Z20" s="118">
        <f t="shared" si="8"/>
        <v>-173.36223000000018</v>
      </c>
    </row>
    <row r="21" spans="1:43" x14ac:dyDescent="0.2">
      <c r="B21" s="720" t="s">
        <v>988</v>
      </c>
      <c r="C21" s="118">
        <v>0</v>
      </c>
      <c r="D21" s="118">
        <v>0</v>
      </c>
      <c r="E21" s="118">
        <f t="shared" ref="E21:J21" si="9">+E10</f>
        <v>9.7541600000000184</v>
      </c>
      <c r="F21" s="118">
        <f t="shared" si="9"/>
        <v>56.499990000000004</v>
      </c>
      <c r="G21" s="118">
        <f t="shared" si="9"/>
        <v>-9.8000000000000007</v>
      </c>
      <c r="H21" s="118">
        <f t="shared" si="9"/>
        <v>5.6092300000000108</v>
      </c>
      <c r="I21" s="118">
        <f t="shared" si="9"/>
        <v>27.477259999999895</v>
      </c>
      <c r="J21" s="118">
        <f t="shared" si="9"/>
        <v>0</v>
      </c>
      <c r="K21" s="118">
        <f t="shared" si="5"/>
        <v>0</v>
      </c>
      <c r="L21" s="118">
        <f t="shared" si="6"/>
        <v>0</v>
      </c>
      <c r="M21" s="118">
        <f t="shared" si="6"/>
        <v>0</v>
      </c>
      <c r="N21" s="118">
        <f t="shared" si="6"/>
        <v>0</v>
      </c>
      <c r="O21" s="118">
        <f t="shared" ref="O21:W21" si="10">+O10</f>
        <v>0</v>
      </c>
      <c r="P21" s="118">
        <f t="shared" si="10"/>
        <v>0</v>
      </c>
      <c r="Q21" s="118">
        <f t="shared" si="10"/>
        <v>0</v>
      </c>
      <c r="R21" s="118">
        <f t="shared" si="10"/>
        <v>0</v>
      </c>
      <c r="S21" s="118">
        <f t="shared" si="10"/>
        <v>0</v>
      </c>
      <c r="T21" s="118">
        <f t="shared" si="10"/>
        <v>0</v>
      </c>
      <c r="U21" s="118">
        <f t="shared" si="10"/>
        <v>0</v>
      </c>
      <c r="V21" s="118">
        <f t="shared" si="10"/>
        <v>0</v>
      </c>
      <c r="W21" s="118">
        <f t="shared" si="10"/>
        <v>0</v>
      </c>
      <c r="X21" s="118">
        <f t="shared" si="8"/>
        <v>0</v>
      </c>
      <c r="Y21" s="118">
        <f t="shared" si="8"/>
        <v>0</v>
      </c>
      <c r="Z21" s="118">
        <f t="shared" si="8"/>
        <v>0</v>
      </c>
    </row>
    <row r="22" spans="1:43" x14ac:dyDescent="0.2">
      <c r="B22" s="720" t="s">
        <v>929</v>
      </c>
      <c r="C22" s="118">
        <f t="shared" ref="C22:K22" si="11">+C16+C11</f>
        <v>-1307</v>
      </c>
      <c r="D22" s="118">
        <f t="shared" si="11"/>
        <v>-1616</v>
      </c>
      <c r="E22" s="118">
        <f t="shared" si="11"/>
        <v>-1718</v>
      </c>
      <c r="F22" s="118">
        <f t="shared" si="11"/>
        <v>-1799.0124100000075</v>
      </c>
      <c r="G22" s="118">
        <f t="shared" si="11"/>
        <v>-1573.4642999999987</v>
      </c>
      <c r="H22" s="118">
        <f t="shared" si="11"/>
        <v>-1490.4594999999999</v>
      </c>
      <c r="I22" s="118">
        <f t="shared" si="11"/>
        <v>-1260.8414799999989</v>
      </c>
      <c r="J22" s="118">
        <f t="shared" si="11"/>
        <v>-1125.2525499999997</v>
      </c>
      <c r="K22" s="118">
        <f t="shared" si="11"/>
        <v>-1510.6309899999987</v>
      </c>
      <c r="L22" s="118">
        <f t="shared" ref="L22:W22" si="12">+L16+L11</f>
        <v>-1165.4435200000007</v>
      </c>
      <c r="M22" s="118">
        <f t="shared" si="12"/>
        <v>-1256.04871</v>
      </c>
      <c r="N22" s="118">
        <f t="shared" si="12"/>
        <v>-1088.9656200000004</v>
      </c>
      <c r="O22" s="118">
        <f t="shared" si="12"/>
        <v>-1242.9404599999993</v>
      </c>
      <c r="P22" s="118">
        <f t="shared" si="12"/>
        <v>-1073.0148869999998</v>
      </c>
      <c r="Q22" s="118">
        <f t="shared" si="12"/>
        <v>-1421.1373099999987</v>
      </c>
      <c r="R22" s="118">
        <f t="shared" si="12"/>
        <v>-1514.6258900000007</v>
      </c>
      <c r="S22" s="118">
        <f t="shared" si="12"/>
        <v>-1829.0183599999984</v>
      </c>
      <c r="T22" s="118">
        <f t="shared" si="12"/>
        <v>-2733.3213800000012</v>
      </c>
      <c r="U22" s="118">
        <f t="shared" si="12"/>
        <v>-2706.2869500000015</v>
      </c>
      <c r="V22" s="118">
        <f t="shared" si="12"/>
        <v>-2816.9193700000005</v>
      </c>
      <c r="W22" s="118">
        <f t="shared" si="12"/>
        <v>-2389.2366900000006</v>
      </c>
      <c r="X22" s="118">
        <f>+X16+X11</f>
        <v>-2352.181079999998</v>
      </c>
      <c r="Y22" s="118">
        <f>+Y16+Y11</f>
        <v>-2228.2112200000001</v>
      </c>
      <c r="Z22" s="118">
        <f>+Z16+Z11</f>
        <v>-1990.0375999999992</v>
      </c>
    </row>
    <row r="23" spans="1:43" x14ac:dyDescent="0.2">
      <c r="B23" s="119" t="s">
        <v>931</v>
      </c>
      <c r="C23" s="120">
        <f t="shared" ref="C23:H23" si="13">+SUM(C24:C25)</f>
        <v>3957</v>
      </c>
      <c r="D23" s="120">
        <f t="shared" si="13"/>
        <v>610</v>
      </c>
      <c r="E23" s="120">
        <f t="shared" si="13"/>
        <v>672</v>
      </c>
      <c r="F23" s="120">
        <f t="shared" si="13"/>
        <v>-2093</v>
      </c>
      <c r="G23" s="120">
        <f t="shared" si="13"/>
        <v>-420</v>
      </c>
      <c r="H23" s="120">
        <f t="shared" si="13"/>
        <v>1442</v>
      </c>
      <c r="I23" s="120">
        <f t="shared" ref="I23:N23" si="14">+SUM(I24:I25)</f>
        <v>202</v>
      </c>
      <c r="J23" s="120">
        <f t="shared" si="14"/>
        <v>-647</v>
      </c>
      <c r="K23" s="120">
        <f t="shared" si="14"/>
        <v>-1461</v>
      </c>
      <c r="L23" s="120">
        <f t="shared" si="14"/>
        <v>-1131</v>
      </c>
      <c r="M23" s="120">
        <f t="shared" si="14"/>
        <v>-771</v>
      </c>
      <c r="N23" s="120">
        <f t="shared" si="14"/>
        <v>-945</v>
      </c>
      <c r="O23" s="120">
        <f t="shared" ref="O23:W23" si="15">+SUM(O24:O25)</f>
        <v>176</v>
      </c>
      <c r="P23" s="120">
        <f t="shared" si="15"/>
        <v>-86</v>
      </c>
      <c r="Q23" s="120">
        <f t="shared" si="15"/>
        <v>-4838</v>
      </c>
      <c r="R23" s="120">
        <f t="shared" si="15"/>
        <v>-1138</v>
      </c>
      <c r="S23" s="120">
        <f t="shared" si="15"/>
        <v>-668</v>
      </c>
      <c r="T23" s="120">
        <f t="shared" si="15"/>
        <v>-245</v>
      </c>
      <c r="U23" s="120">
        <f t="shared" si="15"/>
        <v>50</v>
      </c>
      <c r="V23" s="120">
        <f t="shared" si="15"/>
        <v>-1430</v>
      </c>
      <c r="W23" s="120">
        <f t="shared" si="15"/>
        <v>-180</v>
      </c>
      <c r="X23" s="120">
        <f t="shared" ref="X23:Z23" si="16">+SUM(X24:X25)</f>
        <v>-123</v>
      </c>
      <c r="Y23" s="120">
        <f t="shared" si="16"/>
        <v>-680</v>
      </c>
      <c r="Z23" s="120">
        <f t="shared" si="16"/>
        <v>-1072</v>
      </c>
    </row>
    <row r="24" spans="1:43" x14ac:dyDescent="0.2">
      <c r="B24" s="720" t="s">
        <v>932</v>
      </c>
      <c r="C24" s="118">
        <f>SUM('Cash Flow Stat'!S20,'Cash Flow Stat'!S22,'Cash Flow Stat'!S57)</f>
        <v>9471</v>
      </c>
      <c r="D24" s="118">
        <f>SUM('Cash Flow Stat'!T20,'Cash Flow Stat'!T22,'Cash Flow Stat'!T57)</f>
        <v>7150</v>
      </c>
      <c r="E24" s="118">
        <f>SUM('Cash Flow Stat'!U20,'Cash Flow Stat'!U22,'Cash Flow Stat'!U57)</f>
        <v>8369</v>
      </c>
      <c r="F24" s="118">
        <f>SUM('Cash Flow Stat'!V20,'Cash Flow Stat'!V22,'Cash Flow Stat'!V57)</f>
        <v>8150</v>
      </c>
      <c r="G24" s="118">
        <f>SUM('Cash Flow Stat'!W20,'Cash Flow Stat'!W22,'Cash Flow Stat'!W57)</f>
        <v>7898</v>
      </c>
      <c r="H24" s="118">
        <f>SUM('Cash Flow Stat'!X20,'Cash Flow Stat'!X22,'Cash Flow Stat'!X57)</f>
        <v>8186</v>
      </c>
      <c r="I24" s="118">
        <f>SUM('Cash Flow Stat'!Y20,'Cash Flow Stat'!Y22,'Cash Flow Stat'!Y57)</f>
        <v>7700</v>
      </c>
      <c r="J24" s="118">
        <f>SUM('Cash Flow Stat'!Z20,'Cash Flow Stat'!Z22,'Cash Flow Stat'!Z57)</f>
        <v>7232</v>
      </c>
      <c r="K24" s="118">
        <f>SUM('Cash Flow Stat'!AA20,'Cash Flow Stat'!AA22,'Cash Flow Stat'!AA57)</f>
        <v>7477</v>
      </c>
      <c r="L24" s="118">
        <f>SUM('Cash Flow Stat'!AB20,'Cash Flow Stat'!AB22,'Cash Flow Stat'!AB57)</f>
        <v>6858</v>
      </c>
      <c r="M24" s="118">
        <f>SUM('Cash Flow Stat'!AC20,'Cash Flow Stat'!AC22,'Cash Flow Stat'!AC57)</f>
        <v>7050</v>
      </c>
      <c r="N24" s="118">
        <f>SUM('Cash Flow Stat'!AD20,'Cash Flow Stat'!AD22,'Cash Flow Stat'!AD57)</f>
        <v>6856</v>
      </c>
      <c r="O24" s="118">
        <f>SUM('Cash Flow Stat'!AE20,'Cash Flow Stat'!AE22,'Cash Flow Stat'!AE57)</f>
        <v>7513</v>
      </c>
      <c r="P24" s="118">
        <f>SUM('Cash Flow Stat'!AF20,'Cash Flow Stat'!AF22,'Cash Flow Stat'!AF57)</f>
        <v>7625</v>
      </c>
      <c r="Q24" s="118">
        <f>SUM('Cash Flow Stat'!AG20,'Cash Flow Stat'!AG22,'Cash Flow Stat'!AG57)</f>
        <v>6461</v>
      </c>
      <c r="R24" s="118">
        <f>SUM('Cash Flow Stat'!AH20,'Cash Flow Stat'!AH22,'Cash Flow Stat'!AH57)</f>
        <v>7600</v>
      </c>
      <c r="S24" s="118">
        <f>SUM('Cash Flow Stat'!AI20,'Cash Flow Stat'!AI22,'Cash Flow Stat'!AI57)</f>
        <v>7471</v>
      </c>
      <c r="T24" s="118">
        <f>SUM('Cash Flow Stat'!AJ20,'Cash Flow Stat'!AJ22,'Cash Flow Stat'!AJ57)</f>
        <v>7605</v>
      </c>
      <c r="U24" s="118">
        <f>SUM('Cash Flow Stat'!AK20,'Cash Flow Stat'!AK22,'Cash Flow Stat'!AK57)</f>
        <v>8291</v>
      </c>
      <c r="V24" s="118">
        <f>SUM('Cash Flow Stat'!AL20,'Cash Flow Stat'!AL22,'Cash Flow Stat'!AL57)</f>
        <v>7330</v>
      </c>
      <c r="W24" s="118">
        <f>SUM('Cash Flow Stat'!AM20,'Cash Flow Stat'!AM22,'Cash Flow Stat'!AM57)</f>
        <v>7482</v>
      </c>
      <c r="X24" s="118">
        <f>SUM('Cash Flow Stat'!AN20,'Cash Flow Stat'!AN22,'Cash Flow Stat'!AN57)</f>
        <v>7620</v>
      </c>
      <c r="Y24" s="118">
        <f>SUM('Cash Flow Stat'!AO20,'Cash Flow Stat'!AO22,'Cash Flow Stat'!AO57)</f>
        <v>7376</v>
      </c>
      <c r="Z24" s="118">
        <f>SUM('Cash Flow Stat'!AP20,'Cash Flow Stat'!AP22,'Cash Flow Stat'!AP57)</f>
        <v>7035</v>
      </c>
    </row>
    <row r="25" spans="1:43" x14ac:dyDescent="0.2">
      <c r="B25" s="720" t="s">
        <v>933</v>
      </c>
      <c r="C25" s="118">
        <f>'Cash Flow Stat'!S82</f>
        <v>-5514</v>
      </c>
      <c r="D25" s="118">
        <f>'Cash Flow Stat'!T82</f>
        <v>-6540</v>
      </c>
      <c r="E25" s="118">
        <f>'Cash Flow Stat'!U82</f>
        <v>-7697</v>
      </c>
      <c r="F25" s="118">
        <f>'Cash Flow Stat'!V82</f>
        <v>-10243</v>
      </c>
      <c r="G25" s="118">
        <f>'Cash Flow Stat'!W82</f>
        <v>-8318</v>
      </c>
      <c r="H25" s="118">
        <f>'Cash Flow Stat'!X82</f>
        <v>-6744</v>
      </c>
      <c r="I25" s="118">
        <f>'Cash Flow Stat'!Y82</f>
        <v>-7498</v>
      </c>
      <c r="J25" s="118">
        <f>'Cash Flow Stat'!Z82</f>
        <v>-7879</v>
      </c>
      <c r="K25" s="118">
        <f>'Cash Flow Stat'!AA82</f>
        <v>-8938</v>
      </c>
      <c r="L25" s="118">
        <f>'Cash Flow Stat'!AB82</f>
        <v>-7989</v>
      </c>
      <c r="M25" s="118">
        <f>'Cash Flow Stat'!AC82</f>
        <v>-7821</v>
      </c>
      <c r="N25" s="118">
        <f>'Cash Flow Stat'!AD82</f>
        <v>-7801</v>
      </c>
      <c r="O25" s="118">
        <f>'Cash Flow Stat'!AE82</f>
        <v>-7337</v>
      </c>
      <c r="P25" s="118">
        <f>'Cash Flow Stat'!AF82</f>
        <v>-7711</v>
      </c>
      <c r="Q25" s="118">
        <f>'Cash Flow Stat'!AG82</f>
        <v>-11299</v>
      </c>
      <c r="R25" s="118">
        <f>'Cash Flow Stat'!AH82</f>
        <v>-8738</v>
      </c>
      <c r="S25" s="118">
        <f>'Cash Flow Stat'!AI82</f>
        <v>-8139</v>
      </c>
      <c r="T25" s="118">
        <f>'Cash Flow Stat'!AJ82</f>
        <v>-7850</v>
      </c>
      <c r="U25" s="118">
        <f>'Cash Flow Stat'!AK82</f>
        <v>-8241</v>
      </c>
      <c r="V25" s="118">
        <f>'Cash Flow Stat'!AL82</f>
        <v>-8760</v>
      </c>
      <c r="W25" s="118">
        <f>'Cash Flow Stat'!AM82</f>
        <v>-7662</v>
      </c>
      <c r="X25" s="118">
        <f>'Cash Flow Stat'!AN82</f>
        <v>-7743</v>
      </c>
      <c r="Y25" s="118">
        <f>'Cash Flow Stat'!AO82</f>
        <v>-8056</v>
      </c>
      <c r="Z25" s="118">
        <f>'Cash Flow Stat'!AP82</f>
        <v>-8107</v>
      </c>
    </row>
    <row r="26" spans="1:43" x14ac:dyDescent="0.2">
      <c r="B26"/>
      <c r="C26"/>
      <c r="D26"/>
      <c r="E26"/>
      <c r="F26"/>
      <c r="G26"/>
      <c r="H26"/>
      <c r="I26"/>
      <c r="J26"/>
      <c r="K26"/>
      <c r="L26"/>
      <c r="M26"/>
      <c r="N26"/>
      <c r="O26"/>
      <c r="P26"/>
      <c r="Q26"/>
      <c r="R26"/>
      <c r="S26"/>
      <c r="T26"/>
      <c r="U26"/>
      <c r="V26"/>
      <c r="W26"/>
      <c r="X26"/>
      <c r="Y26"/>
      <c r="Z26"/>
    </row>
    <row r="27" spans="1:43" x14ac:dyDescent="0.2">
      <c r="B27"/>
      <c r="C27" s="1262" t="s">
        <v>923</v>
      </c>
      <c r="D27" s="1263"/>
      <c r="E27" s="1264"/>
      <c r="F27"/>
      <c r="G27"/>
      <c r="H27"/>
      <c r="I27"/>
      <c r="J27"/>
      <c r="K27"/>
      <c r="L27"/>
      <c r="M27"/>
      <c r="N27"/>
      <c r="O27"/>
      <c r="P27"/>
      <c r="Q27"/>
      <c r="R27"/>
      <c r="S27"/>
      <c r="T27"/>
      <c r="U27"/>
      <c r="V27"/>
      <c r="W27"/>
      <c r="X27"/>
      <c r="Y27"/>
      <c r="Z27"/>
    </row>
    <row r="28" spans="1:43" s="516" customFormat="1" ht="12.75" customHeight="1" x14ac:dyDescent="0.2">
      <c r="A28" s="633"/>
      <c r="B28" s="521" t="s">
        <v>950</v>
      </c>
      <c r="C28" s="792" t="s">
        <v>947</v>
      </c>
      <c r="D28" s="794" t="s">
        <v>948</v>
      </c>
      <c r="E28" s="481" t="s">
        <v>949</v>
      </c>
      <c r="F28"/>
      <c r="G28"/>
      <c r="H28"/>
      <c r="I28"/>
      <c r="J28"/>
      <c r="K28"/>
      <c r="L28"/>
      <c r="M28"/>
      <c r="N28"/>
      <c r="O28"/>
      <c r="P28"/>
      <c r="Q28"/>
      <c r="R28"/>
      <c r="S28"/>
      <c r="T28"/>
      <c r="U28"/>
      <c r="V28"/>
      <c r="W28"/>
      <c r="X28"/>
      <c r="Y28"/>
      <c r="Z28"/>
      <c r="AA28"/>
      <c r="AB28"/>
      <c r="AC28"/>
      <c r="AD28"/>
      <c r="AE28"/>
      <c r="AF28"/>
      <c r="AG28"/>
      <c r="AH28"/>
      <c r="AI28"/>
      <c r="AJ28"/>
      <c r="AK28"/>
      <c r="AL28"/>
      <c r="AM28"/>
      <c r="AN28"/>
      <c r="AO28" s="714"/>
    </row>
    <row r="29" spans="1:43" s="516" customFormat="1" x14ac:dyDescent="0.2">
      <c r="A29" s="633"/>
      <c r="B29" s="524" t="s">
        <v>216</v>
      </c>
      <c r="C29" s="756">
        <f>SUM(C30:C31)</f>
        <v>0</v>
      </c>
      <c r="D29" s="795">
        <f>SUM(D30:D31)</f>
        <v>0</v>
      </c>
      <c r="E29" s="525">
        <f>+SUM(C29:D29)</f>
        <v>0</v>
      </c>
      <c r="F29"/>
      <c r="G29"/>
      <c r="H29"/>
      <c r="I29"/>
      <c r="J29"/>
      <c r="K29"/>
      <c r="L29"/>
      <c r="M29"/>
      <c r="N29"/>
      <c r="O29"/>
      <c r="P29"/>
      <c r="Q29"/>
      <c r="R29"/>
      <c r="S29"/>
      <c r="T29"/>
      <c r="U29"/>
      <c r="V29"/>
      <c r="W29"/>
      <c r="X29"/>
      <c r="Y29"/>
      <c r="Z29"/>
      <c r="AA29"/>
      <c r="AB29"/>
      <c r="AC29"/>
      <c r="AD29"/>
      <c r="AE29"/>
      <c r="AF29"/>
      <c r="AG29"/>
      <c r="AH29"/>
      <c r="AI29"/>
      <c r="AJ29"/>
      <c r="AK29"/>
      <c r="AL29"/>
      <c r="AM29"/>
      <c r="AN29"/>
      <c r="AO29" s="714"/>
    </row>
    <row r="30" spans="1:43" s="519" customFormat="1" ht="13.5" customHeight="1" x14ac:dyDescent="0.2">
      <c r="A30" s="633" t="s">
        <v>217</v>
      </c>
      <c r="B30" s="636" t="s">
        <v>217</v>
      </c>
      <c r="C30" s="488" t="s">
        <v>47</v>
      </c>
      <c r="D30" s="796" t="s">
        <v>47</v>
      </c>
      <c r="E30" s="487">
        <f t="shared" ref="E30:E49" si="17">+SUM(C30:D30)</f>
        <v>0</v>
      </c>
      <c r="F30"/>
      <c r="G30"/>
      <c r="H30"/>
      <c r="I30"/>
      <c r="J30"/>
      <c r="K30"/>
      <c r="L30"/>
      <c r="M30"/>
      <c r="N30"/>
      <c r="O30"/>
      <c r="P30"/>
      <c r="Q30"/>
      <c r="R30"/>
      <c r="S30"/>
      <c r="T30"/>
      <c r="U30"/>
      <c r="V30"/>
      <c r="W30"/>
      <c r="X30"/>
      <c r="Y30"/>
      <c r="Z30"/>
      <c r="AA30"/>
      <c r="AB30"/>
      <c r="AC30"/>
      <c r="AD30"/>
      <c r="AE30"/>
      <c r="AF30"/>
      <c r="AG30"/>
      <c r="AH30"/>
      <c r="AI30"/>
      <c r="AJ30"/>
      <c r="AK30"/>
      <c r="AL30"/>
      <c r="AM30"/>
      <c r="AN30"/>
      <c r="AO30" s="714"/>
    </row>
    <row r="31" spans="1:43" s="516" customFormat="1" ht="13.5" customHeight="1" x14ac:dyDescent="0.2">
      <c r="A31" s="633" t="s">
        <v>218</v>
      </c>
      <c r="B31" s="636" t="str">
        <f>HYPERLINK(Menu!$AY$5,A31)</f>
        <v>Integrated logistics</v>
      </c>
      <c r="C31" s="488" t="s">
        <v>47</v>
      </c>
      <c r="D31" s="796" t="s">
        <v>47</v>
      </c>
      <c r="E31" s="487">
        <f t="shared" si="17"/>
        <v>0</v>
      </c>
      <c r="F31"/>
      <c r="G31"/>
      <c r="H31"/>
      <c r="I31"/>
      <c r="J31"/>
      <c r="K31"/>
      <c r="L31"/>
      <c r="M31"/>
      <c r="N31"/>
      <c r="O31"/>
      <c r="P31"/>
      <c r="Q31"/>
      <c r="R31"/>
      <c r="S31"/>
      <c r="T31"/>
      <c r="U31"/>
      <c r="V31"/>
      <c r="W31"/>
      <c r="X31"/>
      <c r="Y31"/>
      <c r="Z31"/>
      <c r="AA31"/>
      <c r="AB31"/>
      <c r="AC31"/>
      <c r="AD31"/>
      <c r="AE31"/>
      <c r="AF31"/>
      <c r="AG31"/>
      <c r="AH31"/>
      <c r="AI31"/>
      <c r="AJ31"/>
      <c r="AK31"/>
      <c r="AL31"/>
      <c r="AM31"/>
      <c r="AN31"/>
      <c r="AO31" s="714"/>
    </row>
    <row r="32" spans="1:43" s="516" customFormat="1" ht="13.5" customHeight="1" x14ac:dyDescent="0.2">
      <c r="A32" s="633"/>
      <c r="B32" s="527" t="s">
        <v>219</v>
      </c>
      <c r="C32" s="757">
        <f>54681.39513*0</f>
        <v>0</v>
      </c>
      <c r="D32" s="797">
        <f>1794.21006*0</f>
        <v>0</v>
      </c>
      <c r="E32" s="528">
        <f t="shared" si="17"/>
        <v>0</v>
      </c>
      <c r="F32"/>
      <c r="G32"/>
      <c r="H32"/>
      <c r="I32"/>
      <c r="J32"/>
      <c r="K32"/>
      <c r="L32"/>
      <c r="M32"/>
      <c r="N32"/>
      <c r="O32"/>
      <c r="P32"/>
      <c r="Q32"/>
      <c r="R32"/>
      <c r="S32"/>
      <c r="T32"/>
      <c r="U32"/>
      <c r="V32"/>
      <c r="W32"/>
      <c r="X32"/>
      <c r="Y32"/>
      <c r="Z32"/>
      <c r="AA32"/>
      <c r="AB32"/>
      <c r="AC32"/>
      <c r="AD32"/>
      <c r="AE32"/>
      <c r="AF32"/>
      <c r="AG32"/>
      <c r="AH32"/>
      <c r="AI32"/>
      <c r="AJ32"/>
      <c r="AK32"/>
      <c r="AL32"/>
      <c r="AM32"/>
      <c r="AN32"/>
      <c r="AO32" s="714"/>
      <c r="AP32" s="518"/>
      <c r="AQ32" s="518"/>
    </row>
    <row r="33" spans="1:44" s="516" customFormat="1" ht="13.5" customHeight="1" x14ac:dyDescent="0.2">
      <c r="A33" s="633"/>
      <c r="B33" s="524" t="s">
        <v>220</v>
      </c>
      <c r="C33" s="756">
        <f>+SUM(C32,C29)</f>
        <v>0</v>
      </c>
      <c r="D33" s="795">
        <f>+SUM(D32,D29)</f>
        <v>0</v>
      </c>
      <c r="E33" s="525">
        <f t="shared" si="17"/>
        <v>0</v>
      </c>
      <c r="F33"/>
      <c r="G33"/>
      <c r="H33"/>
      <c r="I33"/>
      <c r="J33"/>
      <c r="K33"/>
      <c r="L33"/>
      <c r="M33"/>
      <c r="N33"/>
      <c r="O33"/>
      <c r="P33"/>
      <c r="Q33"/>
      <c r="R33"/>
      <c r="S33"/>
      <c r="T33"/>
      <c r="U33"/>
      <c r="V33"/>
      <c r="W33"/>
      <c r="X33"/>
      <c r="Y33"/>
      <c r="Z33"/>
      <c r="AA33"/>
      <c r="AB33"/>
      <c r="AC33"/>
      <c r="AD33"/>
      <c r="AE33"/>
      <c r="AF33"/>
      <c r="AG33"/>
      <c r="AH33"/>
      <c r="AI33"/>
      <c r="AJ33"/>
      <c r="AK33"/>
      <c r="AL33"/>
      <c r="AM33"/>
      <c r="AN33"/>
      <c r="AO33" s="752"/>
    </row>
    <row r="34" spans="1:44" s="516" customFormat="1" ht="13.5" customHeight="1" x14ac:dyDescent="0.2">
      <c r="A34" s="633" t="s">
        <v>221</v>
      </c>
      <c r="B34" s="636" t="str">
        <f>HYPERLINK(Menu!$AY$38,A34)</f>
        <v>Cost of services</v>
      </c>
      <c r="C34" s="757">
        <f>SUM(C35:C38)</f>
        <v>-5890.8689511586799</v>
      </c>
      <c r="D34" s="797">
        <f>SUM(D35:D38)</f>
        <v>-193.29204884132099</v>
      </c>
      <c r="E34" s="528">
        <f t="shared" si="17"/>
        <v>-6084.161000000001</v>
      </c>
      <c r="F34"/>
      <c r="G34"/>
      <c r="H34"/>
      <c r="I34"/>
      <c r="J34"/>
      <c r="K34"/>
      <c r="L34"/>
      <c r="M34"/>
      <c r="N34"/>
      <c r="O34"/>
      <c r="P34"/>
      <c r="Q34"/>
      <c r="R34"/>
      <c r="S34"/>
      <c r="T34"/>
      <c r="U34"/>
      <c r="V34"/>
      <c r="W34"/>
      <c r="X34"/>
      <c r="Y34"/>
      <c r="Z34"/>
      <c r="AA34"/>
      <c r="AB34"/>
      <c r="AC34"/>
      <c r="AD34"/>
      <c r="AE34"/>
      <c r="AF34"/>
      <c r="AG34"/>
      <c r="AH34"/>
      <c r="AI34"/>
      <c r="AJ34"/>
      <c r="AK34"/>
      <c r="AL34"/>
      <c r="AM34"/>
      <c r="AN34"/>
      <c r="AO34" s="752"/>
    </row>
    <row r="35" spans="1:44" s="516" customFormat="1" ht="13.5" customHeight="1" outlineLevel="1" x14ac:dyDescent="0.2">
      <c r="A35" s="633"/>
      <c r="B35" s="529" t="s">
        <v>222</v>
      </c>
      <c r="C35" s="488">
        <v>0</v>
      </c>
      <c r="D35" s="796">
        <v>0</v>
      </c>
      <c r="E35" s="487">
        <f t="shared" si="17"/>
        <v>0</v>
      </c>
      <c r="F35"/>
      <c r="G35"/>
      <c r="H35"/>
      <c r="I35"/>
      <c r="J35"/>
      <c r="K35"/>
      <c r="L35"/>
      <c r="M35"/>
      <c r="N35"/>
      <c r="O35"/>
      <c r="P35"/>
      <c r="Q35"/>
      <c r="R35"/>
      <c r="S35"/>
      <c r="T35"/>
      <c r="U35"/>
      <c r="V35"/>
      <c r="W35"/>
      <c r="X35"/>
      <c r="Y35"/>
      <c r="Z35"/>
      <c r="AA35"/>
      <c r="AB35"/>
      <c r="AC35"/>
      <c r="AD35"/>
      <c r="AE35"/>
      <c r="AF35"/>
      <c r="AG35"/>
      <c r="AH35"/>
      <c r="AI35"/>
      <c r="AJ35"/>
      <c r="AK35"/>
      <c r="AL35"/>
      <c r="AM35"/>
      <c r="AN35"/>
      <c r="AO35" s="752"/>
    </row>
    <row r="36" spans="1:44" s="516" customFormat="1" ht="13.5" customHeight="1" outlineLevel="1" x14ac:dyDescent="0.2">
      <c r="A36" s="633"/>
      <c r="B36" s="529" t="s">
        <v>223</v>
      </c>
      <c r="C36" s="488">
        <v>0</v>
      </c>
      <c r="D36" s="796">
        <v>0</v>
      </c>
      <c r="E36" s="487">
        <f t="shared" si="17"/>
        <v>0</v>
      </c>
      <c r="F36"/>
      <c r="G36"/>
      <c r="H36"/>
      <c r="I36"/>
      <c r="J36"/>
      <c r="K36"/>
      <c r="L36"/>
      <c r="M36"/>
      <c r="N36"/>
      <c r="O36"/>
      <c r="P36"/>
      <c r="Q36"/>
      <c r="R36"/>
      <c r="S36"/>
      <c r="T36"/>
      <c r="U36"/>
      <c r="V36"/>
      <c r="W36"/>
      <c r="X36"/>
      <c r="Y36"/>
      <c r="Z36"/>
      <c r="AA36"/>
      <c r="AB36"/>
      <c r="AC36"/>
      <c r="AD36"/>
      <c r="AE36"/>
      <c r="AF36"/>
      <c r="AG36"/>
      <c r="AH36"/>
      <c r="AI36"/>
      <c r="AJ36"/>
      <c r="AK36"/>
      <c r="AL36"/>
      <c r="AM36"/>
      <c r="AN36"/>
      <c r="AO36" s="752"/>
    </row>
    <row r="37" spans="1:44" s="516" customFormat="1" ht="13.5" customHeight="1" outlineLevel="1" x14ac:dyDescent="0.2">
      <c r="A37" s="633"/>
      <c r="B37" s="529" t="s">
        <v>224</v>
      </c>
      <c r="C37" s="488">
        <v>-5890.8689511586799</v>
      </c>
      <c r="D37" s="796">
        <v>-193.29204884132099</v>
      </c>
      <c r="E37" s="487">
        <f t="shared" si="17"/>
        <v>-6084.161000000001</v>
      </c>
      <c r="F37"/>
      <c r="G37"/>
      <c r="H37"/>
      <c r="I37"/>
      <c r="J37"/>
      <c r="K37"/>
      <c r="L37"/>
      <c r="M37"/>
      <c r="N37"/>
      <c r="O37"/>
      <c r="P37"/>
      <c r="Q37"/>
      <c r="R37"/>
      <c r="S37"/>
      <c r="T37"/>
      <c r="U37"/>
      <c r="V37"/>
      <c r="W37"/>
      <c r="X37"/>
      <c r="Y37"/>
      <c r="Z37"/>
      <c r="AA37"/>
      <c r="AB37"/>
      <c r="AC37"/>
      <c r="AD37"/>
      <c r="AE37"/>
      <c r="AF37"/>
      <c r="AG37"/>
      <c r="AH37"/>
      <c r="AI37"/>
      <c r="AJ37"/>
      <c r="AK37"/>
      <c r="AL37"/>
      <c r="AM37"/>
      <c r="AN37"/>
      <c r="AO37" s="752"/>
    </row>
    <row r="38" spans="1:44" s="516" customFormat="1" ht="13.5" customHeight="1" outlineLevel="1" x14ac:dyDescent="0.2">
      <c r="A38" s="633"/>
      <c r="B38" s="529" t="s">
        <v>225</v>
      </c>
      <c r="C38" s="488">
        <v>0</v>
      </c>
      <c r="D38" s="796">
        <v>0</v>
      </c>
      <c r="E38" s="487">
        <f t="shared" si="17"/>
        <v>0</v>
      </c>
      <c r="F38"/>
      <c r="G38"/>
      <c r="H38"/>
      <c r="I38"/>
      <c r="J38"/>
      <c r="K38"/>
      <c r="L38"/>
      <c r="M38"/>
      <c r="N38"/>
      <c r="O38"/>
      <c r="P38"/>
      <c r="Q38"/>
      <c r="R38"/>
      <c r="S38"/>
      <c r="T38"/>
      <c r="U38"/>
      <c r="V38"/>
      <c r="W38"/>
      <c r="X38"/>
      <c r="Y38"/>
      <c r="Z38"/>
      <c r="AA38"/>
      <c r="AB38"/>
      <c r="AC38"/>
      <c r="AD38"/>
      <c r="AE38"/>
      <c r="AF38"/>
      <c r="AG38"/>
      <c r="AH38"/>
      <c r="AI38"/>
      <c r="AJ38"/>
      <c r="AK38"/>
      <c r="AL38"/>
      <c r="AM38"/>
      <c r="AN38"/>
      <c r="AO38" s="752"/>
    </row>
    <row r="39" spans="1:44" s="516" customFormat="1" ht="13.5" customHeight="1" x14ac:dyDescent="0.2">
      <c r="A39" s="633"/>
      <c r="B39" s="524" t="s">
        <v>226</v>
      </c>
      <c r="C39" s="756">
        <f>C34+C33</f>
        <v>-5890.8689511586799</v>
      </c>
      <c r="D39" s="795">
        <f>D34+D33</f>
        <v>-193.29204884132099</v>
      </c>
      <c r="E39" s="525">
        <f t="shared" si="17"/>
        <v>-6084.161000000001</v>
      </c>
      <c r="F39"/>
      <c r="G39"/>
      <c r="H39"/>
      <c r="I39"/>
      <c r="J39"/>
      <c r="K39"/>
      <c r="L39"/>
      <c r="M39"/>
      <c r="N39"/>
      <c r="O39"/>
      <c r="P39"/>
      <c r="Q39"/>
      <c r="R39"/>
      <c r="S39"/>
      <c r="T39"/>
      <c r="U39"/>
      <c r="V39"/>
      <c r="W39"/>
      <c r="X39"/>
      <c r="Y39"/>
      <c r="Z39"/>
      <c r="AA39"/>
      <c r="AB39"/>
      <c r="AC39"/>
      <c r="AD39"/>
      <c r="AE39"/>
      <c r="AF39"/>
      <c r="AG39"/>
      <c r="AH39"/>
      <c r="AI39"/>
      <c r="AJ39"/>
      <c r="AK39"/>
      <c r="AL39"/>
      <c r="AM39"/>
      <c r="AN39"/>
      <c r="AO39" s="752"/>
    </row>
    <row r="40" spans="1:44" s="516" customFormat="1" ht="13.5" customHeight="1" x14ac:dyDescent="0.2">
      <c r="A40" s="633" t="s">
        <v>227</v>
      </c>
      <c r="B40" s="636" t="str">
        <f>HYPERLINK(Menu!$AY$38,A40)</f>
        <v>General and administrative expenses</v>
      </c>
      <c r="C40" s="757">
        <v>0</v>
      </c>
      <c r="D40" s="797">
        <v>0</v>
      </c>
      <c r="E40" s="528">
        <f t="shared" si="17"/>
        <v>0</v>
      </c>
      <c r="F40"/>
      <c r="G40"/>
      <c r="H40"/>
      <c r="I40"/>
      <c r="J40"/>
      <c r="K40"/>
      <c r="L40"/>
      <c r="M40"/>
      <c r="N40"/>
      <c r="O40"/>
      <c r="P40"/>
      <c r="Q40"/>
      <c r="R40"/>
      <c r="S40"/>
      <c r="T40"/>
      <c r="U40"/>
      <c r="V40"/>
      <c r="W40"/>
      <c r="X40"/>
      <c r="Y40"/>
      <c r="Z40"/>
      <c r="AA40"/>
      <c r="AB40"/>
      <c r="AC40"/>
      <c r="AD40"/>
      <c r="AE40"/>
      <c r="AF40"/>
      <c r="AG40"/>
      <c r="AH40"/>
      <c r="AI40"/>
      <c r="AJ40"/>
      <c r="AK40"/>
      <c r="AL40"/>
      <c r="AM40"/>
      <c r="AN40"/>
      <c r="AO40" s="752"/>
      <c r="AP40" s="526"/>
    </row>
    <row r="41" spans="1:44" s="516" customFormat="1" ht="13.5" customHeight="1" x14ac:dyDescent="0.2">
      <c r="A41" s="633" t="s">
        <v>228</v>
      </c>
      <c r="B41" s="636" t="str">
        <f>HYPERLINK(Menu!$AY$35,A41)</f>
        <v>Other expenses and revenues</v>
      </c>
      <c r="C41" s="757">
        <f>54681.39513</f>
        <v>54681.395129999997</v>
      </c>
      <c r="D41" s="797">
        <f>1794.21006</f>
        <v>1794.2100600000001</v>
      </c>
      <c r="E41" s="528">
        <f t="shared" si="17"/>
        <v>56475.605189999995</v>
      </c>
      <c r="F41"/>
      <c r="G41"/>
      <c r="H41"/>
      <c r="I41"/>
      <c r="J41"/>
      <c r="K41"/>
      <c r="L41"/>
      <c r="M41"/>
      <c r="N41"/>
      <c r="O41"/>
      <c r="P41"/>
      <c r="Q41"/>
      <c r="R41"/>
      <c r="S41"/>
      <c r="T41"/>
      <c r="U41"/>
      <c r="V41"/>
      <c r="W41"/>
      <c r="X41"/>
      <c r="Y41"/>
      <c r="Z41"/>
      <c r="AA41"/>
      <c r="AB41"/>
      <c r="AC41"/>
      <c r="AD41"/>
      <c r="AE41"/>
      <c r="AF41"/>
      <c r="AG41"/>
      <c r="AH41"/>
      <c r="AI41"/>
      <c r="AJ41"/>
      <c r="AK41"/>
      <c r="AL41"/>
      <c r="AM41"/>
      <c r="AN41"/>
      <c r="AO41" s="752"/>
      <c r="AP41" s="526"/>
    </row>
    <row r="42" spans="1:44" s="516" customFormat="1" ht="13.5" customHeight="1" x14ac:dyDescent="0.2">
      <c r="A42" s="633"/>
      <c r="B42" s="524" t="s">
        <v>229</v>
      </c>
      <c r="C42" s="756">
        <f>+SUM(C39:C41)</f>
        <v>48790.526178841319</v>
      </c>
      <c r="D42" s="795">
        <f>+SUM(D39:D41)</f>
        <v>1600.9180111586791</v>
      </c>
      <c r="E42" s="525">
        <f t="shared" si="17"/>
        <v>50391.444189999995</v>
      </c>
      <c r="F42"/>
      <c r="G42"/>
      <c r="H42"/>
      <c r="I42"/>
      <c r="J42"/>
      <c r="K42"/>
      <c r="L42"/>
      <c r="M42"/>
      <c r="N42"/>
      <c r="O42"/>
      <c r="P42"/>
      <c r="Q42"/>
      <c r="R42"/>
      <c r="S42"/>
      <c r="T42"/>
      <c r="U42"/>
      <c r="V42"/>
      <c r="W42"/>
      <c r="X42"/>
      <c r="Y42"/>
      <c r="Z42"/>
      <c r="AA42"/>
      <c r="AB42"/>
      <c r="AC42"/>
      <c r="AD42"/>
      <c r="AE42"/>
      <c r="AF42"/>
      <c r="AG42"/>
      <c r="AH42"/>
      <c r="AI42"/>
      <c r="AJ42"/>
      <c r="AK42"/>
      <c r="AL42"/>
      <c r="AM42"/>
      <c r="AN42"/>
      <c r="AO42" s="752"/>
      <c r="AP42" s="526"/>
    </row>
    <row r="43" spans="1:44" s="516" customFormat="1" ht="13.5" customHeight="1" x14ac:dyDescent="0.2">
      <c r="A43" s="633" t="s">
        <v>230</v>
      </c>
      <c r="B43" s="636" t="str">
        <f>HYPERLINK(Menu!$AY$39,A43)</f>
        <v>Financial result</v>
      </c>
      <c r="C43" s="757">
        <f>+C44+C45</f>
        <v>32234.367814528487</v>
      </c>
      <c r="D43" s="797">
        <f>+D44+D45</f>
        <v>1057.6825954714895</v>
      </c>
      <c r="E43" s="528">
        <f t="shared" si="17"/>
        <v>33292.050409999974</v>
      </c>
      <c r="F43"/>
      <c r="G43"/>
      <c r="H43"/>
      <c r="I43"/>
      <c r="J43"/>
      <c r="K43"/>
      <c r="L43"/>
      <c r="M43"/>
      <c r="N43"/>
      <c r="O43"/>
      <c r="P43"/>
      <c r="Q43"/>
      <c r="R43"/>
      <c r="S43"/>
      <c r="T43"/>
      <c r="U43"/>
      <c r="V43"/>
      <c r="W43"/>
      <c r="X43"/>
      <c r="Y43"/>
      <c r="Z43"/>
      <c r="AA43"/>
      <c r="AB43"/>
      <c r="AC43"/>
      <c r="AD43"/>
      <c r="AE43"/>
      <c r="AF43"/>
      <c r="AG43"/>
      <c r="AH43"/>
      <c r="AI43"/>
      <c r="AJ43"/>
      <c r="AK43"/>
      <c r="AL43"/>
      <c r="AM43"/>
      <c r="AN43"/>
      <c r="AO43" s="752"/>
    </row>
    <row r="44" spans="1:44" s="516" customFormat="1" ht="13.5" customHeight="1" outlineLevel="1" x14ac:dyDescent="0.2">
      <c r="A44" s="633" t="s">
        <v>231</v>
      </c>
      <c r="B44" s="529" t="s">
        <v>231</v>
      </c>
      <c r="C44" s="757">
        <v>-1571.99609547149</v>
      </c>
      <c r="D44" s="797">
        <v>-51.580564528510699</v>
      </c>
      <c r="E44" s="487">
        <f t="shared" si="17"/>
        <v>-1623.5766600000006</v>
      </c>
      <c r="F44"/>
      <c r="G44"/>
      <c r="H44"/>
      <c r="I44"/>
      <c r="J44"/>
      <c r="K44"/>
      <c r="L44"/>
      <c r="M44"/>
      <c r="N44"/>
      <c r="O44"/>
      <c r="P44"/>
      <c r="Q44"/>
      <c r="R44"/>
      <c r="S44"/>
      <c r="T44"/>
      <c r="U44"/>
      <c r="V44"/>
      <c r="W44"/>
      <c r="X44"/>
      <c r="Y44"/>
      <c r="Z44"/>
      <c r="AA44"/>
      <c r="AB44"/>
      <c r="AC44"/>
      <c r="AD44"/>
      <c r="AE44"/>
      <c r="AF44"/>
      <c r="AG44"/>
      <c r="AH44"/>
      <c r="AI44"/>
      <c r="AJ44"/>
      <c r="AK44"/>
      <c r="AL44"/>
      <c r="AM44"/>
      <c r="AN44"/>
      <c r="AO44" s="752"/>
      <c r="AP44" s="782"/>
      <c r="AQ44" s="531"/>
      <c r="AR44" s="531"/>
    </row>
    <row r="45" spans="1:44" s="516" customFormat="1" ht="13.5" customHeight="1" outlineLevel="1" x14ac:dyDescent="0.2">
      <c r="A45" s="633"/>
      <c r="B45" s="529" t="s">
        <v>232</v>
      </c>
      <c r="C45" s="757">
        <v>33806.363909999978</v>
      </c>
      <c r="D45" s="797">
        <v>1109.2631600000002</v>
      </c>
      <c r="E45" s="487">
        <f t="shared" si="17"/>
        <v>34915.62706999998</v>
      </c>
      <c r="F45"/>
      <c r="G45"/>
      <c r="H45"/>
      <c r="I45"/>
      <c r="J45"/>
      <c r="K45"/>
      <c r="L45"/>
      <c r="M45"/>
      <c r="N45"/>
      <c r="O45"/>
      <c r="P45"/>
      <c r="Q45"/>
      <c r="R45"/>
      <c r="S45"/>
      <c r="T45"/>
      <c r="U45"/>
      <c r="V45"/>
      <c r="W45"/>
      <c r="X45"/>
      <c r="Y45"/>
      <c r="Z45"/>
      <c r="AA45"/>
      <c r="AB45"/>
      <c r="AC45"/>
      <c r="AD45"/>
      <c r="AE45"/>
      <c r="AF45"/>
      <c r="AG45"/>
      <c r="AH45"/>
      <c r="AI45"/>
      <c r="AJ45"/>
      <c r="AK45"/>
      <c r="AL45"/>
      <c r="AM45"/>
      <c r="AN45"/>
      <c r="AO45" s="752"/>
      <c r="AQ45" s="531"/>
      <c r="AR45" s="531"/>
    </row>
    <row r="46" spans="1:44" s="516" customFormat="1" ht="13.5" customHeight="1" x14ac:dyDescent="0.2">
      <c r="A46" s="633" t="s">
        <v>233</v>
      </c>
      <c r="B46" s="636" t="str">
        <f>HYPERLINK(Menu!$AY$26,A46)</f>
        <v>Equity</v>
      </c>
      <c r="C46" s="757">
        <v>0</v>
      </c>
      <c r="D46" s="797">
        <v>0</v>
      </c>
      <c r="E46" s="528">
        <f t="shared" si="17"/>
        <v>0</v>
      </c>
      <c r="F46"/>
      <c r="G46"/>
      <c r="H46"/>
      <c r="I46"/>
      <c r="J46"/>
      <c r="K46"/>
      <c r="L46"/>
      <c r="M46"/>
      <c r="N46"/>
      <c r="O46"/>
      <c r="P46"/>
      <c r="Q46"/>
      <c r="R46"/>
      <c r="S46"/>
      <c r="T46"/>
      <c r="U46"/>
      <c r="V46"/>
      <c r="W46"/>
      <c r="X46"/>
      <c r="Y46"/>
      <c r="Z46"/>
      <c r="AA46"/>
      <c r="AB46"/>
      <c r="AC46"/>
      <c r="AD46"/>
      <c r="AE46"/>
      <c r="AF46"/>
      <c r="AG46"/>
      <c r="AH46"/>
      <c r="AI46"/>
      <c r="AJ46"/>
      <c r="AK46"/>
      <c r="AL46"/>
      <c r="AM46"/>
      <c r="AN46"/>
      <c r="AO46" s="752"/>
      <c r="AQ46" s="531"/>
      <c r="AR46" s="531"/>
    </row>
    <row r="47" spans="1:44" s="516" customFormat="1" ht="13.5" customHeight="1" x14ac:dyDescent="0.2">
      <c r="A47" s="633"/>
      <c r="B47" s="524" t="s">
        <v>234</v>
      </c>
      <c r="C47" s="756">
        <f>C42+C43+C46</f>
        <v>81024.893993369798</v>
      </c>
      <c r="D47" s="795">
        <f>D42+D43+D46</f>
        <v>2658.6006066301688</v>
      </c>
      <c r="E47" s="525">
        <f t="shared" si="17"/>
        <v>83683.494599999962</v>
      </c>
      <c r="F47"/>
      <c r="G47"/>
      <c r="H47"/>
      <c r="I47"/>
      <c r="J47"/>
      <c r="K47"/>
      <c r="L47"/>
      <c r="M47"/>
      <c r="N47"/>
      <c r="O47"/>
      <c r="P47"/>
      <c r="Q47"/>
      <c r="R47"/>
      <c r="S47"/>
      <c r="T47"/>
      <c r="U47"/>
      <c r="V47"/>
      <c r="W47"/>
      <c r="X47"/>
      <c r="Y47"/>
      <c r="Z47"/>
      <c r="AA47"/>
      <c r="AB47"/>
      <c r="AC47"/>
      <c r="AD47"/>
      <c r="AE47"/>
      <c r="AF47"/>
      <c r="AG47"/>
      <c r="AH47"/>
      <c r="AI47"/>
      <c r="AJ47"/>
      <c r="AK47"/>
      <c r="AL47"/>
      <c r="AM47"/>
      <c r="AN47"/>
      <c r="AO47" s="752"/>
    </row>
    <row r="48" spans="1:44" s="516" customFormat="1" ht="13.5" customHeight="1" x14ac:dyDescent="0.2">
      <c r="A48" s="633" t="s">
        <v>235</v>
      </c>
      <c r="B48" s="636" t="str">
        <f>HYPERLINK(Menu!$AY$32,A48)</f>
        <v>Income Tax</v>
      </c>
      <c r="C48" s="757">
        <v>-27480.354205541495</v>
      </c>
      <c r="D48" s="797">
        <v>-901.68937915849563</v>
      </c>
      <c r="E48" s="528">
        <f t="shared" si="17"/>
        <v>-28382.04358469999</v>
      </c>
      <c r="F48"/>
      <c r="G48"/>
      <c r="H48"/>
      <c r="I48"/>
      <c r="J48"/>
      <c r="K48"/>
      <c r="L48"/>
      <c r="M48"/>
      <c r="N48"/>
      <c r="O48"/>
      <c r="P48"/>
      <c r="Q48"/>
      <c r="R48"/>
      <c r="S48"/>
      <c r="T48"/>
      <c r="U48"/>
      <c r="V48"/>
      <c r="W48"/>
      <c r="X48"/>
      <c r="Y48"/>
      <c r="Z48"/>
      <c r="AA48"/>
      <c r="AB48"/>
      <c r="AC48"/>
      <c r="AD48"/>
      <c r="AE48"/>
      <c r="AF48"/>
      <c r="AG48"/>
      <c r="AH48"/>
      <c r="AI48"/>
      <c r="AJ48"/>
      <c r="AK48"/>
      <c r="AL48"/>
      <c r="AM48"/>
      <c r="AN48"/>
      <c r="AO48" s="752"/>
    </row>
    <row r="49" spans="1:44" s="516" customFormat="1" x14ac:dyDescent="0.2">
      <c r="A49" s="641"/>
      <c r="B49" s="533" t="s">
        <v>239</v>
      </c>
      <c r="C49" s="485">
        <f>+C48+C47</f>
        <v>53544.539787828304</v>
      </c>
      <c r="D49" s="798">
        <f>+D48+D47</f>
        <v>1756.9112274716731</v>
      </c>
      <c r="E49" s="484">
        <f t="shared" si="17"/>
        <v>55301.451015299979</v>
      </c>
      <c r="F49"/>
      <c r="G49"/>
      <c r="H49"/>
      <c r="I49"/>
      <c r="J49"/>
      <c r="K49"/>
      <c r="L49"/>
      <c r="M49"/>
      <c r="N49"/>
      <c r="O49"/>
      <c r="P49"/>
      <c r="Q49"/>
      <c r="R49"/>
      <c r="S49"/>
      <c r="T49"/>
      <c r="U49"/>
      <c r="V49"/>
      <c r="W49"/>
      <c r="X49"/>
      <c r="Y49"/>
      <c r="Z49"/>
      <c r="AA49"/>
      <c r="AB49"/>
      <c r="AC49"/>
      <c r="AD49"/>
      <c r="AE49"/>
      <c r="AF49"/>
      <c r="AG49"/>
      <c r="AH49"/>
      <c r="AI49"/>
      <c r="AJ49"/>
      <c r="AK49"/>
      <c r="AL49"/>
      <c r="AM49"/>
      <c r="AN49"/>
      <c r="AO49" s="752"/>
      <c r="AQ49" s="535"/>
      <c r="AR49" s="535"/>
    </row>
    <row r="51" spans="1:44" x14ac:dyDescent="0.2">
      <c r="B51" s="129" t="s">
        <v>816</v>
      </c>
      <c r="C51" s="115" t="s">
        <v>853</v>
      </c>
      <c r="D51" s="115" t="s">
        <v>854</v>
      </c>
      <c r="E51" s="115" t="s">
        <v>855</v>
      </c>
      <c r="F51" s="115" t="s">
        <v>856</v>
      </c>
      <c r="G51" s="650" t="s">
        <v>760</v>
      </c>
      <c r="H51" s="115" t="s">
        <v>761</v>
      </c>
      <c r="I51" s="664"/>
      <c r="O51" s="39"/>
      <c r="P51" s="39"/>
      <c r="Q51" s="39"/>
      <c r="R51" s="39"/>
      <c r="S51" s="39"/>
      <c r="T51" s="39"/>
      <c r="U51" s="39"/>
      <c r="V51" s="39"/>
      <c r="W51" s="39"/>
      <c r="X51" s="39"/>
      <c r="Y51" s="39"/>
      <c r="Z51" s="39"/>
    </row>
    <row r="52" spans="1:44" x14ac:dyDescent="0.2">
      <c r="B52" s="119" t="s">
        <v>216</v>
      </c>
      <c r="C52" s="120">
        <v>7734.0455000000011</v>
      </c>
      <c r="D52" s="120">
        <v>6666.6184200000016</v>
      </c>
      <c r="E52" s="120">
        <v>6660.9865700000028</v>
      </c>
      <c r="F52" s="120">
        <v>7613.8971800000018</v>
      </c>
      <c r="G52" s="651">
        <f>+SUM(C52:F52)</f>
        <v>28675.547670000007</v>
      </c>
      <c r="H52" s="120">
        <v>2723.84971</v>
      </c>
      <c r="I52" s="664"/>
      <c r="O52" s="39"/>
      <c r="P52" s="39"/>
      <c r="Q52" s="39"/>
      <c r="R52" s="39"/>
      <c r="S52" s="39"/>
      <c r="T52" s="39"/>
      <c r="U52" s="39"/>
      <c r="V52" s="39"/>
      <c r="W52" s="39"/>
      <c r="X52" s="39"/>
      <c r="Y52" s="39"/>
      <c r="Z52" s="39"/>
    </row>
    <row r="53" spans="1:44" x14ac:dyDescent="0.2">
      <c r="B53" s="121" t="s">
        <v>219</v>
      </c>
      <c r="C53" s="122">
        <v>-1364.8835600000004</v>
      </c>
      <c r="D53" s="122">
        <v>9203.9043500000025</v>
      </c>
      <c r="E53" s="122">
        <v>-963.52131999999995</v>
      </c>
      <c r="F53" s="122">
        <v>-1474.0991799999999</v>
      </c>
      <c r="G53" s="652">
        <f>+SUM(C53:F53)</f>
        <v>5401.4002900000023</v>
      </c>
      <c r="H53" s="122">
        <v>-391.02</v>
      </c>
      <c r="I53" s="664"/>
      <c r="O53" s="39"/>
      <c r="P53" s="39"/>
      <c r="Q53" s="39"/>
      <c r="R53" s="39"/>
      <c r="S53" s="39"/>
      <c r="T53" s="39"/>
      <c r="U53" s="39"/>
      <c r="V53" s="39"/>
      <c r="W53" s="39"/>
      <c r="X53" s="39"/>
      <c r="Y53" s="39"/>
      <c r="Z53" s="39"/>
    </row>
    <row r="54" spans="1:44" x14ac:dyDescent="0.2">
      <c r="B54" s="119" t="s">
        <v>220</v>
      </c>
      <c r="C54" s="120">
        <f t="shared" ref="C54:H54" si="18">+SUM(C52:C53)</f>
        <v>6369.1619400000009</v>
      </c>
      <c r="D54" s="120">
        <f t="shared" si="18"/>
        <v>15870.522770000003</v>
      </c>
      <c r="E54" s="120">
        <f t="shared" si="18"/>
        <v>5697.4652500000029</v>
      </c>
      <c r="F54" s="120">
        <f t="shared" si="18"/>
        <v>6139.7980000000016</v>
      </c>
      <c r="G54" s="651">
        <f t="shared" si="18"/>
        <v>34076.947960000012</v>
      </c>
      <c r="H54" s="120">
        <f t="shared" si="18"/>
        <v>2332.82971</v>
      </c>
      <c r="I54" s="664"/>
      <c r="O54" s="39"/>
      <c r="P54" s="39"/>
      <c r="Q54" s="39"/>
      <c r="R54" s="39"/>
      <c r="S54" s="39"/>
      <c r="T54" s="39"/>
      <c r="U54" s="39"/>
      <c r="V54" s="39"/>
      <c r="W54" s="39"/>
      <c r="X54" s="39"/>
      <c r="Y54" s="39"/>
      <c r="Z54" s="39"/>
    </row>
    <row r="55" spans="1:44" x14ac:dyDescent="0.2">
      <c r="B55" s="121" t="s">
        <v>819</v>
      </c>
      <c r="C55" s="122">
        <f>+SUM(C56:C58)</f>
        <v>-7604.846349999998</v>
      </c>
      <c r="D55" s="122">
        <f>+SUM(D56:D58)</f>
        <v>-7381.1186599999992</v>
      </c>
      <c r="E55" s="122">
        <f>+SUM(E56:E58)</f>
        <v>-7297.7963499999987</v>
      </c>
      <c r="F55" s="122">
        <f>+SUM(F56:F58)</f>
        <v>-7173.5160800000031</v>
      </c>
      <c r="G55" s="652">
        <f>+SUM(C55:F55)</f>
        <v>-29457.277439999998</v>
      </c>
      <c r="H55" s="122">
        <f>+SUM(H56:H58)</f>
        <v>-2461.192</v>
      </c>
      <c r="I55" s="664"/>
      <c r="O55" s="39"/>
      <c r="P55" s="39"/>
      <c r="Q55" s="39"/>
      <c r="R55" s="39"/>
      <c r="S55" s="39"/>
      <c r="T55" s="39"/>
      <c r="U55" s="39"/>
      <c r="V55" s="39"/>
      <c r="W55" s="39"/>
      <c r="X55" s="39"/>
      <c r="Y55" s="39"/>
      <c r="Z55" s="39"/>
    </row>
    <row r="56" spans="1:44" x14ac:dyDescent="0.2">
      <c r="B56" s="529" t="s">
        <v>222</v>
      </c>
      <c r="C56" s="118">
        <v>-3368.0920699999974</v>
      </c>
      <c r="D56" s="118">
        <v>-3406.5970699999998</v>
      </c>
      <c r="E56" s="118">
        <v>-3262.6725899999983</v>
      </c>
      <c r="F56" s="118">
        <v>-3418.6202800000028</v>
      </c>
      <c r="G56" s="653">
        <f>+SUM(C56:F56)</f>
        <v>-13455.982009999998</v>
      </c>
      <c r="H56" s="118">
        <v>-1070.222</v>
      </c>
      <c r="I56" s="664"/>
      <c r="O56" s="39"/>
      <c r="P56" s="39"/>
      <c r="Q56" s="39"/>
      <c r="R56" s="39"/>
      <c r="S56" s="39"/>
      <c r="T56" s="39"/>
      <c r="U56" s="39"/>
      <c r="V56" s="39"/>
      <c r="W56" s="39"/>
      <c r="X56" s="39"/>
      <c r="Y56" s="39"/>
      <c r="Z56" s="39"/>
    </row>
    <row r="57" spans="1:44" x14ac:dyDescent="0.2">
      <c r="B57" s="529" t="s">
        <v>818</v>
      </c>
      <c r="C57" s="118">
        <f>-4236.75428-C58</f>
        <v>-4547.7472800000005</v>
      </c>
      <c r="D57" s="118">
        <f>-3974.52159-D58</f>
        <v>-4291.6155899999994</v>
      </c>
      <c r="E57" s="118">
        <f>-4035.12376-E58</f>
        <v>-4345.7027600000001</v>
      </c>
      <c r="F57" s="118">
        <f>-3754.8958-F58</f>
        <v>-4949.1787999999997</v>
      </c>
      <c r="G57" s="653">
        <f>+SUM(C57:F57)</f>
        <v>-18134.244429999999</v>
      </c>
      <c r="H57" s="118">
        <f>-1390.97-H58</f>
        <v>-1504.835</v>
      </c>
      <c r="I57" s="664"/>
      <c r="O57" s="39"/>
      <c r="P57" s="39"/>
      <c r="Q57" s="39"/>
      <c r="R57" s="39"/>
      <c r="S57" s="39"/>
      <c r="T57" s="39"/>
      <c r="U57" s="39"/>
      <c r="V57" s="39"/>
      <c r="W57" s="39"/>
      <c r="X57" s="39"/>
      <c r="Y57" s="39"/>
      <c r="Z57" s="39"/>
    </row>
    <row r="58" spans="1:44" x14ac:dyDescent="0.2">
      <c r="B58" s="529" t="s">
        <v>225</v>
      </c>
      <c r="C58" s="118">
        <v>310.99299999999999</v>
      </c>
      <c r="D58" s="118">
        <v>317.09399999999999</v>
      </c>
      <c r="E58" s="118">
        <v>310.57900000000001</v>
      </c>
      <c r="F58" s="118">
        <v>1194.2829999999999</v>
      </c>
      <c r="G58" s="653">
        <f>+SUM(C58:F58)</f>
        <v>2132.9489999999996</v>
      </c>
      <c r="H58" s="118">
        <v>113.86499999999999</v>
      </c>
      <c r="I58" s="664"/>
      <c r="O58" s="39"/>
      <c r="P58" s="39"/>
      <c r="Q58" s="39"/>
      <c r="R58" s="39"/>
      <c r="S58" s="39"/>
      <c r="T58" s="39"/>
      <c r="U58" s="39"/>
      <c r="V58" s="39"/>
      <c r="W58" s="39"/>
      <c r="X58" s="39"/>
      <c r="Y58" s="39"/>
      <c r="Z58" s="39"/>
    </row>
    <row r="59" spans="1:44" s="767" customFormat="1" outlineLevel="1" x14ac:dyDescent="0.2">
      <c r="B59" s="768" t="s">
        <v>223</v>
      </c>
      <c r="C59" s="219" t="s">
        <v>47</v>
      </c>
      <c r="D59" s="219" t="s">
        <v>47</v>
      </c>
      <c r="E59" s="219" t="s">
        <v>47</v>
      </c>
      <c r="F59" s="219" t="s">
        <v>47</v>
      </c>
      <c r="G59" s="769">
        <f>+SUM(C59:F59)</f>
        <v>0</v>
      </c>
      <c r="H59" s="219" t="s">
        <v>47</v>
      </c>
      <c r="I59" s="664"/>
    </row>
    <row r="60" spans="1:44" x14ac:dyDescent="0.2">
      <c r="B60" s="119" t="s">
        <v>226</v>
      </c>
      <c r="C60" s="120">
        <f t="shared" ref="C60:H60" si="19">+SUM(C54:C55)</f>
        <v>-1235.6844099999971</v>
      </c>
      <c r="D60" s="120">
        <f t="shared" si="19"/>
        <v>8489.4041100000031</v>
      </c>
      <c r="E60" s="120">
        <f t="shared" si="19"/>
        <v>-1600.3310999999958</v>
      </c>
      <c r="F60" s="120">
        <f t="shared" si="19"/>
        <v>-1033.7180800000015</v>
      </c>
      <c r="G60" s="651">
        <f t="shared" si="19"/>
        <v>4619.6705200000142</v>
      </c>
      <c r="H60" s="120">
        <f t="shared" si="19"/>
        <v>-128.36229000000003</v>
      </c>
      <c r="I60" s="664"/>
      <c r="O60" s="39"/>
      <c r="P60" s="39"/>
      <c r="Q60" s="39"/>
      <c r="R60" s="39"/>
      <c r="S60" s="39"/>
      <c r="T60" s="39"/>
      <c r="U60" s="39"/>
      <c r="V60" s="39"/>
      <c r="W60" s="39"/>
      <c r="X60" s="39"/>
      <c r="Y60" s="39"/>
      <c r="Z60" s="39"/>
    </row>
    <row r="61" spans="1:44" x14ac:dyDescent="0.2">
      <c r="B61" s="121" t="s">
        <v>817</v>
      </c>
      <c r="C61" s="122">
        <v>-88.911880000000082</v>
      </c>
      <c r="D61" s="122">
        <v>-145.30643000000009</v>
      </c>
      <c r="E61" s="122">
        <v>-240.27601000000007</v>
      </c>
      <c r="F61" s="122">
        <v>-155.36662000000007</v>
      </c>
      <c r="G61" s="652">
        <f>+SUM(C61:F61)</f>
        <v>-629.86094000000026</v>
      </c>
      <c r="H61" s="122">
        <v>-37.419000000000004</v>
      </c>
      <c r="I61" s="664"/>
      <c r="O61" s="39"/>
      <c r="P61" s="39"/>
      <c r="Q61" s="39"/>
      <c r="R61" s="39"/>
      <c r="S61" s="39"/>
      <c r="T61" s="39"/>
      <c r="U61" s="39"/>
      <c r="V61" s="39"/>
      <c r="W61" s="39"/>
      <c r="X61" s="39"/>
      <c r="Y61" s="39"/>
      <c r="Z61" s="39"/>
    </row>
    <row r="62" spans="1:44" x14ac:dyDescent="0.2">
      <c r="B62" s="119" t="s">
        <v>8</v>
      </c>
      <c r="C62" s="120">
        <f t="shared" ref="C62:H62" si="20">+SUM(C60:C61)</f>
        <v>-1324.5962899999972</v>
      </c>
      <c r="D62" s="120">
        <f t="shared" si="20"/>
        <v>8344.0976800000026</v>
      </c>
      <c r="E62" s="120">
        <f t="shared" si="20"/>
        <v>-1840.6071099999958</v>
      </c>
      <c r="F62" s="120">
        <f t="shared" si="20"/>
        <v>-1189.0847000000015</v>
      </c>
      <c r="G62" s="651">
        <f t="shared" si="20"/>
        <v>3989.8095800000137</v>
      </c>
      <c r="H62" s="120">
        <f t="shared" si="20"/>
        <v>-165.78129000000004</v>
      </c>
      <c r="I62" s="664"/>
      <c r="O62" s="39"/>
      <c r="P62" s="39"/>
      <c r="Q62" s="39"/>
      <c r="R62" s="39"/>
      <c r="S62" s="39"/>
      <c r="T62" s="39"/>
      <c r="U62" s="39"/>
      <c r="V62" s="39"/>
      <c r="W62" s="39"/>
      <c r="X62" s="39"/>
      <c r="Y62" s="39"/>
      <c r="Z62" s="39"/>
    </row>
    <row r="63" spans="1:44" x14ac:dyDescent="0.2">
      <c r="B63" s="337" t="s">
        <v>251</v>
      </c>
      <c r="C63" s="118">
        <v>0</v>
      </c>
      <c r="D63" s="118">
        <f>+IncSIntLog!X30</f>
        <v>-9847.0333800000008</v>
      </c>
      <c r="E63" s="118">
        <v>0</v>
      </c>
      <c r="F63" s="118">
        <v>0</v>
      </c>
      <c r="G63" s="653">
        <f>+SUM(C63:F63)</f>
        <v>-9847.0333800000008</v>
      </c>
      <c r="H63" s="118">
        <v>0</v>
      </c>
      <c r="I63" s="664"/>
      <c r="O63" s="39"/>
      <c r="P63" s="39"/>
      <c r="Q63" s="39"/>
      <c r="R63" s="39"/>
      <c r="S63" s="39"/>
      <c r="T63" s="39"/>
      <c r="U63" s="39"/>
      <c r="V63" s="39"/>
      <c r="W63" s="39"/>
      <c r="X63" s="39"/>
      <c r="Y63" s="39"/>
      <c r="Z63" s="39"/>
    </row>
    <row r="64" spans="1:44" x14ac:dyDescent="0.2">
      <c r="B64" s="119" t="s">
        <v>258</v>
      </c>
      <c r="C64" s="120">
        <f t="shared" ref="C64:H64" si="21">+SUM(C62:C63)</f>
        <v>-1324.5962899999972</v>
      </c>
      <c r="D64" s="120">
        <f t="shared" si="21"/>
        <v>-1502.9356999999982</v>
      </c>
      <c r="E64" s="120">
        <f t="shared" si="21"/>
        <v>-1840.6071099999958</v>
      </c>
      <c r="F64" s="120">
        <f t="shared" si="21"/>
        <v>-1189.0847000000015</v>
      </c>
      <c r="G64" s="651">
        <f t="shared" si="21"/>
        <v>-5857.223799999987</v>
      </c>
      <c r="H64" s="120">
        <f t="shared" si="21"/>
        <v>-165.78129000000004</v>
      </c>
      <c r="I64" s="664"/>
      <c r="O64" s="39"/>
      <c r="P64" s="39"/>
      <c r="Q64" s="39"/>
      <c r="R64" s="39"/>
      <c r="S64" s="39"/>
      <c r="T64" s="39"/>
      <c r="U64" s="39"/>
      <c r="V64" s="39"/>
      <c r="W64" s="39"/>
      <c r="X64" s="39"/>
      <c r="Y64" s="39"/>
      <c r="Z64" s="39"/>
    </row>
    <row r="65" spans="2:26" x14ac:dyDescent="0.2">
      <c r="B65" s="123" t="s">
        <v>259</v>
      </c>
      <c r="C65" s="14">
        <f>+C64/C54</f>
        <v>-0.20797026398107207</v>
      </c>
      <c r="D65" s="14">
        <f>+D64/(D54+D63)</f>
        <v>-0.24951246739059957</v>
      </c>
      <c r="E65" s="14">
        <f>+E64/E54</f>
        <v>-0.32305718933520389</v>
      </c>
      <c r="F65" s="14">
        <f>+F64/F54</f>
        <v>-0.19366837475760623</v>
      </c>
      <c r="G65" s="654">
        <f>+G64/G54</f>
        <v>-0.17188228848649464</v>
      </c>
      <c r="H65" s="14">
        <f>+H64/H54</f>
        <v>-7.1064462737830972E-2</v>
      </c>
      <c r="I65" s="664"/>
      <c r="O65" s="39"/>
      <c r="P65" s="39"/>
      <c r="Q65" s="39"/>
      <c r="R65" s="39"/>
      <c r="S65" s="39"/>
      <c r="T65" s="39"/>
      <c r="U65" s="39"/>
      <c r="V65" s="39"/>
      <c r="W65" s="39"/>
      <c r="X65" s="39"/>
      <c r="Y65" s="39"/>
      <c r="Z65" s="39"/>
    </row>
    <row r="66" spans="2:26" x14ac:dyDescent="0.2">
      <c r="B66" s="117" t="s">
        <v>260</v>
      </c>
      <c r="C66" s="118">
        <v>-1103.07151</v>
      </c>
      <c r="D66" s="118">
        <v>-866.43953999999997</v>
      </c>
      <c r="E66" s="118">
        <v>-899.42178000000001</v>
      </c>
      <c r="F66" s="118">
        <v>-935.20022999999992</v>
      </c>
      <c r="G66" s="653">
        <f>+SUM(C66:F66)</f>
        <v>-3804.1330600000001</v>
      </c>
      <c r="H66" s="118">
        <v>-316.27600000000001</v>
      </c>
      <c r="I66" s="664"/>
      <c r="O66" s="39"/>
      <c r="P66" s="39"/>
      <c r="Q66" s="39"/>
      <c r="R66" s="39"/>
      <c r="S66" s="39"/>
      <c r="T66" s="39"/>
      <c r="U66" s="39"/>
      <c r="V66" s="39"/>
      <c r="W66" s="39"/>
      <c r="X66" s="39"/>
      <c r="Y66" s="39"/>
      <c r="Z66" s="39"/>
    </row>
    <row r="67" spans="2:26" x14ac:dyDescent="0.2">
      <c r="B67" s="119" t="s">
        <v>229</v>
      </c>
      <c r="C67" s="120">
        <f t="shared" ref="C67:H67" si="22">+SUM(C66,C62)</f>
        <v>-2427.6677999999974</v>
      </c>
      <c r="D67" s="120">
        <f t="shared" si="22"/>
        <v>7477.6581400000023</v>
      </c>
      <c r="E67" s="120">
        <f t="shared" si="22"/>
        <v>-2740.028889999996</v>
      </c>
      <c r="F67" s="120">
        <f t="shared" si="22"/>
        <v>-2124.2849300000016</v>
      </c>
      <c r="G67" s="651">
        <f t="shared" si="22"/>
        <v>185.67652000001362</v>
      </c>
      <c r="H67" s="120">
        <f t="shared" si="22"/>
        <v>-482.05729000000008</v>
      </c>
      <c r="I67" s="664"/>
      <c r="O67" s="39"/>
      <c r="P67" s="39"/>
      <c r="Q67" s="39"/>
      <c r="R67" s="39"/>
      <c r="S67" s="39"/>
      <c r="T67" s="39"/>
      <c r="U67" s="39"/>
      <c r="V67" s="39"/>
      <c r="W67" s="39"/>
      <c r="X67" s="39"/>
      <c r="Y67" s="39"/>
      <c r="Z67" s="39"/>
    </row>
    <row r="68" spans="2:26" x14ac:dyDescent="0.2">
      <c r="B68" s="121" t="s">
        <v>261</v>
      </c>
      <c r="C68" s="122">
        <v>-11.930630000000001</v>
      </c>
      <c r="D68" s="122">
        <v>-201.95399999999998</v>
      </c>
      <c r="E68" s="122">
        <v>-13.05082</v>
      </c>
      <c r="F68" s="122">
        <v>-11.708450000000003</v>
      </c>
      <c r="G68" s="652">
        <f>+SUM(C68:F68)</f>
        <v>-238.64389999999997</v>
      </c>
      <c r="H68" s="122">
        <v>-3.089</v>
      </c>
      <c r="I68" s="664"/>
      <c r="O68" s="39"/>
      <c r="P68" s="39"/>
      <c r="Q68" s="39"/>
      <c r="R68" s="39"/>
      <c r="S68" s="39"/>
      <c r="T68" s="39"/>
      <c r="U68" s="39"/>
      <c r="V68" s="39"/>
      <c r="W68" s="39"/>
      <c r="X68" s="39"/>
      <c r="Y68" s="39"/>
      <c r="Z68" s="39"/>
    </row>
    <row r="69" spans="2:26" s="767" customFormat="1" hidden="1" outlineLevel="1" x14ac:dyDescent="0.2">
      <c r="B69" s="230" t="s">
        <v>262</v>
      </c>
      <c r="C69" s="226">
        <v>0</v>
      </c>
      <c r="D69" s="226">
        <v>0</v>
      </c>
      <c r="E69" s="226">
        <v>0</v>
      </c>
      <c r="F69" s="226">
        <v>0</v>
      </c>
      <c r="G69" s="770">
        <f>+SUM(C69:F69)</f>
        <v>0</v>
      </c>
      <c r="H69" s="226" t="s">
        <v>47</v>
      </c>
      <c r="I69" s="664"/>
    </row>
    <row r="70" spans="2:26" s="767" customFormat="1" hidden="1" outlineLevel="1" x14ac:dyDescent="0.2">
      <c r="B70" s="230" t="s">
        <v>263</v>
      </c>
      <c r="C70" s="226">
        <v>0</v>
      </c>
      <c r="D70" s="226">
        <v>0</v>
      </c>
      <c r="E70" s="226">
        <v>0</v>
      </c>
      <c r="F70" s="226">
        <v>0</v>
      </c>
      <c r="G70" s="770">
        <f>+SUM(C70:F70)</f>
        <v>0</v>
      </c>
      <c r="H70" s="226" t="s">
        <v>47</v>
      </c>
      <c r="I70" s="664"/>
    </row>
    <row r="71" spans="2:26" collapsed="1" x14ac:dyDescent="0.2">
      <c r="B71" s="125" t="s">
        <v>239</v>
      </c>
      <c r="C71" s="126">
        <f t="shared" ref="C71:H71" si="23">+SUM(C67:C70)</f>
        <v>-2439.5984299999973</v>
      </c>
      <c r="D71" s="126">
        <f>+SUM(D67:D70)</f>
        <v>7275.7041400000026</v>
      </c>
      <c r="E71" s="126">
        <f t="shared" si="23"/>
        <v>-2753.0797099999959</v>
      </c>
      <c r="F71" s="126">
        <f t="shared" si="23"/>
        <v>-2135.9933800000017</v>
      </c>
      <c r="G71" s="655">
        <f t="shared" si="23"/>
        <v>-52.967379999986349</v>
      </c>
      <c r="H71" s="126">
        <f t="shared" si="23"/>
        <v>-485.14629000000008</v>
      </c>
      <c r="I71" s="664"/>
      <c r="O71" s="39"/>
      <c r="P71" s="39"/>
      <c r="Q71" s="39"/>
      <c r="R71" s="39"/>
      <c r="S71" s="39"/>
      <c r="T71" s="39"/>
      <c r="U71" s="39"/>
      <c r="V71" s="39"/>
      <c r="W71" s="39"/>
      <c r="X71" s="39"/>
      <c r="Y71" s="39"/>
      <c r="Z71" s="39"/>
    </row>
    <row r="72" spans="2:26" x14ac:dyDescent="0.2">
      <c r="B72" s="9" t="s">
        <v>266</v>
      </c>
      <c r="D72" s="18"/>
      <c r="E72" s="18"/>
      <c r="I72" s="664"/>
      <c r="O72" s="39"/>
      <c r="P72" s="39"/>
      <c r="Q72" s="39"/>
      <c r="R72" s="39"/>
      <c r="S72" s="39"/>
      <c r="T72" s="39"/>
      <c r="U72" s="39"/>
      <c r="V72" s="39"/>
      <c r="W72" s="39"/>
      <c r="X72" s="39"/>
      <c r="Y72" s="39"/>
      <c r="Z72" s="39"/>
    </row>
    <row r="73" spans="2:26" x14ac:dyDescent="0.2">
      <c r="D73" s="18"/>
      <c r="E73" s="18"/>
      <c r="I73" s="664"/>
      <c r="O73" s="39"/>
      <c r="P73" s="39"/>
      <c r="Q73" s="39"/>
      <c r="R73" s="39"/>
      <c r="S73" s="39"/>
      <c r="T73" s="39"/>
      <c r="U73" s="39"/>
      <c r="V73" s="39"/>
      <c r="W73" s="39"/>
      <c r="X73" s="39"/>
      <c r="Y73" s="39"/>
      <c r="Z73" s="39"/>
    </row>
    <row r="74" spans="2:26" x14ac:dyDescent="0.2">
      <c r="B74" s="129" t="s">
        <v>815</v>
      </c>
      <c r="C74" s="115" t="s">
        <v>853</v>
      </c>
      <c r="D74" s="115" t="s">
        <v>854</v>
      </c>
      <c r="E74" s="115" t="s">
        <v>855</v>
      </c>
      <c r="F74" s="115" t="s">
        <v>856</v>
      </c>
      <c r="G74" s="115" t="s">
        <v>760</v>
      </c>
      <c r="H74" s="115" t="s">
        <v>1004</v>
      </c>
      <c r="I74" s="664"/>
      <c r="O74" s="39"/>
      <c r="P74" s="39"/>
      <c r="Q74" s="39"/>
      <c r="R74" s="39"/>
      <c r="S74" s="39"/>
      <c r="T74" s="39"/>
      <c r="U74" s="39"/>
      <c r="V74" s="39"/>
      <c r="W74" s="39"/>
      <c r="X74" s="39"/>
      <c r="Y74" s="39"/>
      <c r="Z74" s="39"/>
    </row>
    <row r="75" spans="2:26" x14ac:dyDescent="0.2">
      <c r="B75" s="529" t="s">
        <v>267</v>
      </c>
      <c r="C75" s="118">
        <f>+IncSIntLog!W6-Attachments!C52</f>
        <v>6977.1677899999986</v>
      </c>
      <c r="D75" s="118">
        <f>+IncSIntLog!X6-Attachments!D52</f>
        <v>8562.0342399999972</v>
      </c>
      <c r="E75" s="118">
        <f>+IncSIntLog!Y6-Attachments!E$52</f>
        <v>8587.5245199999972</v>
      </c>
      <c r="F75" s="118">
        <f>+IncSIntLog!Z6-Attachments!F52</f>
        <v>10735.024749999999</v>
      </c>
      <c r="G75" s="653">
        <f>+SUM(C75:F75)</f>
        <v>34861.751299999989</v>
      </c>
      <c r="H75" s="118">
        <f>+IncSIntLog!AA6-Attachments!H52</f>
        <v>10696.745859999999</v>
      </c>
      <c r="I75" s="664"/>
      <c r="O75" s="39"/>
      <c r="P75" s="39"/>
      <c r="Q75" s="39"/>
      <c r="R75" s="39"/>
      <c r="S75" s="39"/>
      <c r="T75" s="39"/>
      <c r="U75" s="39"/>
      <c r="V75" s="39"/>
      <c r="W75" s="39"/>
      <c r="X75" s="39"/>
      <c r="Y75" s="39"/>
      <c r="Z75" s="39"/>
    </row>
    <row r="76" spans="2:26" x14ac:dyDescent="0.2">
      <c r="B76" s="529" t="s">
        <v>268</v>
      </c>
      <c r="C76" s="118">
        <f>+IncSIntLog!W7</f>
        <v>34006.128879999997</v>
      </c>
      <c r="D76" s="118">
        <f>+IncSIntLog!X7</f>
        <v>32821.211210000001</v>
      </c>
      <c r="E76" s="118">
        <f>+IncSIntLog!Y7</f>
        <v>35196.763349999994</v>
      </c>
      <c r="F76" s="118">
        <f>+IncSIntLog!Z7</f>
        <v>35738.6976</v>
      </c>
      <c r="G76" s="653">
        <f>+SUM(C76:F76)</f>
        <v>137762.80103999999</v>
      </c>
      <c r="H76" s="118">
        <f>+IncSIntLog!AA7</f>
        <v>34371.302250000008</v>
      </c>
      <c r="I76" s="664"/>
      <c r="O76" s="39"/>
      <c r="P76" s="39"/>
      <c r="Q76" s="39"/>
      <c r="R76" s="39"/>
      <c r="S76" s="39"/>
      <c r="T76" s="39"/>
      <c r="U76" s="39"/>
      <c r="V76" s="39"/>
      <c r="W76" s="39"/>
      <c r="X76" s="39"/>
      <c r="Y76" s="39"/>
      <c r="Z76" s="39"/>
    </row>
    <row r="77" spans="2:26" x14ac:dyDescent="0.2">
      <c r="B77" s="119" t="s">
        <v>216</v>
      </c>
      <c r="C77" s="120">
        <f>+SUM(C75:C76)</f>
        <v>40983.296669999996</v>
      </c>
      <c r="D77" s="120">
        <f>+SUM(D75:D76)</f>
        <v>41383.245450000002</v>
      </c>
      <c r="E77" s="120">
        <f>+SUM(E75:E76)</f>
        <v>43784.287869999993</v>
      </c>
      <c r="F77" s="120">
        <f>+SUM(F75:F76)</f>
        <v>46473.722349999996</v>
      </c>
      <c r="G77" s="651">
        <f>+SUM(C77:F77)</f>
        <v>172624.55233999999</v>
      </c>
      <c r="H77" s="120">
        <f>+SUM(H75:H76)</f>
        <v>45068.048110000003</v>
      </c>
      <c r="I77" s="664"/>
      <c r="O77" s="39"/>
      <c r="P77" s="39"/>
      <c r="Q77" s="39"/>
      <c r="R77" s="39"/>
      <c r="S77" s="39"/>
      <c r="T77" s="39"/>
      <c r="U77" s="39"/>
      <c r="V77" s="39"/>
      <c r="W77" s="39"/>
      <c r="X77" s="39"/>
      <c r="Y77" s="39"/>
      <c r="Z77" s="39"/>
    </row>
    <row r="78" spans="2:26" x14ac:dyDescent="0.2">
      <c r="B78" s="121" t="s">
        <v>219</v>
      </c>
      <c r="C78" s="122">
        <f>+IncSIntLog!W12-IncSIntLog!W10-Attachments!C53</f>
        <v>-7156.7171299999918</v>
      </c>
      <c r="D78" s="122">
        <f>+IncSIntLog!X12-IncSIntLog!X10-Attachments!D53</f>
        <v>-7917.730720000005</v>
      </c>
      <c r="E78" s="122">
        <f>+IncSIntLog!Y12-IncSIntLog!Y10-Attachments!E$53</f>
        <v>-7768.3382999999958</v>
      </c>
      <c r="F78" s="122">
        <f>+IncSIntLog!Z12-IncSIntLog!Z10-Attachments!F53</f>
        <v>-7966.0170199999966</v>
      </c>
      <c r="G78" s="652">
        <f>+SUM(C78:F78)</f>
        <v>-30808.803169999988</v>
      </c>
      <c r="H78" s="122">
        <f>+IncSIntLog!AA12-IncSIntLog!AA10-Attachments!H53</f>
        <v>-7789.0962800000088</v>
      </c>
      <c r="I78" s="664"/>
      <c r="O78" s="39"/>
      <c r="P78" s="39"/>
      <c r="Q78" s="39"/>
      <c r="R78" s="39"/>
      <c r="S78" s="39"/>
      <c r="T78" s="39"/>
      <c r="U78" s="39"/>
      <c r="V78" s="39"/>
      <c r="W78" s="39"/>
      <c r="X78" s="39"/>
      <c r="Y78" s="39"/>
      <c r="Z78" s="39"/>
    </row>
    <row r="79" spans="2:26" x14ac:dyDescent="0.2">
      <c r="B79" s="119" t="s">
        <v>220</v>
      </c>
      <c r="C79" s="120">
        <f t="shared" ref="C79:H79" si="24">+SUM(C77:C78)</f>
        <v>33826.579540000006</v>
      </c>
      <c r="D79" s="120">
        <f t="shared" si="24"/>
        <v>33465.514729999995</v>
      </c>
      <c r="E79" s="120">
        <f t="shared" si="24"/>
        <v>36015.949569999997</v>
      </c>
      <c r="F79" s="120">
        <f t="shared" si="24"/>
        <v>38507.705329999997</v>
      </c>
      <c r="G79" s="651">
        <f t="shared" si="24"/>
        <v>141815.74917</v>
      </c>
      <c r="H79" s="120">
        <f t="shared" si="24"/>
        <v>37278.951829999991</v>
      </c>
      <c r="I79" s="664"/>
      <c r="J79"/>
      <c r="K79"/>
      <c r="L79"/>
      <c r="M79"/>
      <c r="N79"/>
      <c r="O79" s="39"/>
      <c r="P79" s="39"/>
      <c r="Q79" s="39"/>
      <c r="R79" s="39"/>
      <c r="S79" s="39"/>
      <c r="T79" s="39"/>
      <c r="U79" s="39"/>
      <c r="V79" s="39"/>
      <c r="W79" s="39"/>
      <c r="X79" s="39"/>
      <c r="Y79" s="39"/>
      <c r="Z79" s="39"/>
    </row>
    <row r="80" spans="2:26" x14ac:dyDescent="0.2">
      <c r="B80" s="121" t="s">
        <v>245</v>
      </c>
      <c r="C80" s="122">
        <f>+IncSIntLog!W13-Attachments!C55</f>
        <v>-26159.030519999993</v>
      </c>
      <c r="D80" s="122">
        <f>+IncSIntLog!X13-Attachments!D55</f>
        <v>-27681.04391</v>
      </c>
      <c r="E80" s="122">
        <f>+IncSIntLog!Y13-Attachments!E$55</f>
        <v>-27870.361160000008</v>
      </c>
      <c r="F80" s="122">
        <f>+IncSIntLog!Z13-Attachments!F55</f>
        <v>-26703.188880000002</v>
      </c>
      <c r="G80" s="652">
        <f>+SUM(C80:F80)</f>
        <v>-108413.62447000001</v>
      </c>
      <c r="H80" s="122">
        <f>+IncSIntLog!AA13-Attachments!H55</f>
        <v>-29642.206359999996</v>
      </c>
      <c r="I80" s="664"/>
      <c r="J80"/>
      <c r="K80"/>
      <c r="L80"/>
      <c r="M80"/>
      <c r="N80"/>
      <c r="O80" s="39"/>
      <c r="P80" s="39"/>
      <c r="Q80" s="39"/>
      <c r="R80" s="39"/>
      <c r="S80" s="39"/>
      <c r="T80" s="39"/>
      <c r="U80" s="39"/>
      <c r="V80" s="39"/>
      <c r="W80" s="39"/>
      <c r="X80" s="39"/>
      <c r="Y80" s="39"/>
      <c r="Z80" s="39"/>
    </row>
    <row r="81" spans="2:26" x14ac:dyDescent="0.2">
      <c r="B81" s="119" t="s">
        <v>270</v>
      </c>
      <c r="C81" s="120">
        <f t="shared" ref="C81:H81" si="25">+SUM(C79:C80)</f>
        <v>7667.5490200000131</v>
      </c>
      <c r="D81" s="120">
        <f t="shared" si="25"/>
        <v>5784.470819999995</v>
      </c>
      <c r="E81" s="120">
        <f t="shared" si="25"/>
        <v>8145.5884099999894</v>
      </c>
      <c r="F81" s="120">
        <f t="shared" si="25"/>
        <v>11804.516449999996</v>
      </c>
      <c r="G81" s="651">
        <f t="shared" si="25"/>
        <v>33402.124699999986</v>
      </c>
      <c r="H81" s="120">
        <f t="shared" si="25"/>
        <v>7636.7454699999944</v>
      </c>
      <c r="I81" s="664"/>
      <c r="J81"/>
      <c r="K81"/>
      <c r="L81"/>
      <c r="M81"/>
      <c r="N81"/>
      <c r="O81" s="39"/>
      <c r="P81" s="39"/>
      <c r="Q81" s="39"/>
      <c r="R81" s="39"/>
      <c r="S81" s="39"/>
      <c r="T81" s="39"/>
      <c r="U81" s="39"/>
      <c r="V81" s="39"/>
      <c r="W81" s="39"/>
      <c r="X81" s="39"/>
      <c r="Y81" s="39"/>
      <c r="Z81" s="39"/>
    </row>
    <row r="82" spans="2:26" x14ac:dyDescent="0.2">
      <c r="B82" s="121" t="s">
        <v>246</v>
      </c>
      <c r="C82" s="122">
        <f>+IncSIntLog!W15-Attachments!C61</f>
        <v>-1254.0346500000001</v>
      </c>
      <c r="D82" s="122">
        <f>+IncSIntLog!X15-Attachments!D61</f>
        <v>-4484.6519100000005</v>
      </c>
      <c r="E82" s="122">
        <f>+IncSIntLog!Y15-Attachments!E$61</f>
        <v>-5934.6591300000009</v>
      </c>
      <c r="F82" s="122">
        <f>+IncSIntLog!Z15-Attachments!F61</f>
        <v>-9036.7672299999995</v>
      </c>
      <c r="G82" s="652">
        <f>+SUM(C82:F82)</f>
        <v>-20710.11292</v>
      </c>
      <c r="H82" s="122">
        <f>+IncSIntLog!AA15-Attachments!H61</f>
        <v>-630.32680000000005</v>
      </c>
      <c r="I82" s="664"/>
      <c r="J82"/>
      <c r="K82"/>
      <c r="L82"/>
      <c r="M82"/>
      <c r="N82"/>
      <c r="O82" s="39"/>
      <c r="P82" s="39"/>
      <c r="Q82" s="39"/>
      <c r="R82" s="39"/>
      <c r="S82" s="39"/>
      <c r="T82" s="39"/>
      <c r="U82" s="39"/>
      <c r="V82" s="39"/>
      <c r="W82" s="39"/>
      <c r="X82" s="39"/>
      <c r="Y82" s="39"/>
      <c r="Z82" s="39"/>
    </row>
    <row r="83" spans="2:26" x14ac:dyDescent="0.2">
      <c r="B83" s="119" t="s">
        <v>8</v>
      </c>
      <c r="C83" s="120">
        <f t="shared" ref="C83:H83" si="26">+SUM(C81:C82)</f>
        <v>6413.5143700000135</v>
      </c>
      <c r="D83" s="120">
        <f t="shared" si="26"/>
        <v>1299.8189099999945</v>
      </c>
      <c r="E83" s="120">
        <f t="shared" si="26"/>
        <v>2210.9292799999885</v>
      </c>
      <c r="F83" s="120">
        <f t="shared" si="26"/>
        <v>2767.7492199999961</v>
      </c>
      <c r="G83" s="651">
        <f t="shared" si="26"/>
        <v>12692.011779999986</v>
      </c>
      <c r="H83" s="120">
        <f t="shared" si="26"/>
        <v>7006.4186699999946</v>
      </c>
      <c r="I83" s="664"/>
      <c r="O83" s="39"/>
      <c r="P83" s="39"/>
      <c r="Q83" s="39"/>
      <c r="R83" s="39"/>
      <c r="S83" s="39"/>
      <c r="T83" s="39"/>
      <c r="U83" s="39"/>
      <c r="V83" s="39"/>
      <c r="W83" s="39"/>
      <c r="X83" s="39"/>
      <c r="Y83" s="39"/>
      <c r="Z83" s="39"/>
    </row>
    <row r="84" spans="2:26" x14ac:dyDescent="0.2">
      <c r="B84" s="337" t="s">
        <v>248</v>
      </c>
      <c r="C84" s="118">
        <v>0</v>
      </c>
      <c r="D84" s="118">
        <v>0</v>
      </c>
      <c r="E84" s="118">
        <v>5733</v>
      </c>
      <c r="F84" s="118">
        <v>5731</v>
      </c>
      <c r="G84" s="653">
        <f>+SUM(C84:F84)</f>
        <v>11464</v>
      </c>
      <c r="H84" s="118" t="s">
        <v>47</v>
      </c>
      <c r="I84" s="664"/>
      <c r="O84" s="39"/>
      <c r="P84" s="39"/>
      <c r="Q84" s="39"/>
      <c r="R84" s="39"/>
      <c r="S84" s="39"/>
      <c r="T84" s="39"/>
      <c r="U84" s="39"/>
      <c r="V84" s="39"/>
      <c r="W84" s="39"/>
      <c r="X84" s="39"/>
      <c r="Y84" s="39"/>
      <c r="Z84" s="39"/>
    </row>
    <row r="85" spans="2:26" x14ac:dyDescent="0.2">
      <c r="B85" s="337" t="s">
        <v>785</v>
      </c>
      <c r="C85" s="118">
        <v>0</v>
      </c>
      <c r="D85" s="118">
        <v>0</v>
      </c>
      <c r="E85" s="118">
        <v>0</v>
      </c>
      <c r="F85" s="118">
        <v>-5147.630339999997</v>
      </c>
      <c r="G85" s="653">
        <f>+SUM(C85:F85)</f>
        <v>-5147.630339999997</v>
      </c>
      <c r="H85" s="118" t="s">
        <v>47</v>
      </c>
      <c r="I85" s="664"/>
      <c r="O85" s="39"/>
      <c r="P85" s="39"/>
      <c r="Q85" s="39"/>
      <c r="R85" s="39"/>
      <c r="S85" s="39"/>
      <c r="T85" s="39"/>
      <c r="U85" s="39"/>
      <c r="V85" s="39"/>
      <c r="W85" s="39"/>
      <c r="X85" s="39"/>
      <c r="Y85" s="39"/>
      <c r="Z85" s="39"/>
    </row>
    <row r="86" spans="2:26" x14ac:dyDescent="0.2">
      <c r="B86" s="337" t="s">
        <v>786</v>
      </c>
      <c r="C86" s="118">
        <v>0</v>
      </c>
      <c r="D86" s="118">
        <v>0</v>
      </c>
      <c r="E86" s="118">
        <v>0</v>
      </c>
      <c r="F86" s="118">
        <v>1677.1869000000004</v>
      </c>
      <c r="G86" s="653">
        <f>+SUM(C86:F86)</f>
        <v>1677.1869000000004</v>
      </c>
      <c r="H86" s="118" t="s">
        <v>47</v>
      </c>
      <c r="I86" s="664"/>
      <c r="O86" s="39"/>
      <c r="P86" s="39"/>
      <c r="Q86" s="39"/>
      <c r="R86" s="39"/>
      <c r="S86" s="39"/>
      <c r="T86" s="39"/>
      <c r="U86" s="39"/>
      <c r="V86" s="39"/>
      <c r="W86" s="39"/>
      <c r="X86" s="39"/>
      <c r="Y86" s="39"/>
      <c r="Z86" s="39"/>
    </row>
    <row r="87" spans="2:26" x14ac:dyDescent="0.2">
      <c r="B87" s="337" t="s">
        <v>250</v>
      </c>
      <c r="C87" s="118">
        <v>0</v>
      </c>
      <c r="D87" s="118">
        <v>1767</v>
      </c>
      <c r="E87" s="118">
        <v>0</v>
      </c>
      <c r="F87" s="118">
        <v>0</v>
      </c>
      <c r="G87" s="653">
        <f>+SUM(C87:F87)</f>
        <v>1767</v>
      </c>
      <c r="H87" s="118" t="s">
        <v>47</v>
      </c>
      <c r="I87" s="664"/>
      <c r="O87" s="39"/>
      <c r="P87" s="39"/>
      <c r="Q87" s="39"/>
      <c r="R87" s="39"/>
      <c r="S87" s="39"/>
      <c r="T87" s="39"/>
      <c r="U87" s="39"/>
      <c r="V87" s="39"/>
      <c r="W87" s="39"/>
      <c r="X87" s="39"/>
      <c r="Y87" s="39"/>
      <c r="Z87" s="39"/>
    </row>
    <row r="88" spans="2:26" x14ac:dyDescent="0.2">
      <c r="B88" s="119" t="s">
        <v>258</v>
      </c>
      <c r="C88" s="120">
        <f>+SUM(C83:C87)</f>
        <v>6413.5143700000135</v>
      </c>
      <c r="D88" s="120">
        <f>+SUM(D83:D87)</f>
        <v>3066.8189099999945</v>
      </c>
      <c r="E88" s="120">
        <f>+SUM(E83:E87)</f>
        <v>7943.9292799999885</v>
      </c>
      <c r="F88" s="120">
        <f>+SUM(F83:F87)</f>
        <v>5028.3057799999997</v>
      </c>
      <c r="G88" s="651">
        <f>+SUM(G83:G84)</f>
        <v>24156.011779999986</v>
      </c>
      <c r="H88" s="120">
        <f>+SUM(H83:H87)</f>
        <v>7006.4186699999946</v>
      </c>
      <c r="I88" s="664"/>
      <c r="J88" s="664"/>
      <c r="K88" s="664"/>
      <c r="L88" s="664"/>
      <c r="M88" s="664"/>
      <c r="N88" s="664"/>
      <c r="O88" s="39"/>
      <c r="P88" s="39"/>
      <c r="Q88" s="39"/>
      <c r="R88" s="39"/>
      <c r="S88" s="39"/>
      <c r="T88" s="39"/>
      <c r="U88" s="39"/>
      <c r="V88" s="39"/>
      <c r="W88" s="39"/>
      <c r="X88" s="39"/>
      <c r="Y88" s="39"/>
      <c r="Z88" s="39"/>
    </row>
    <row r="89" spans="2:26" x14ac:dyDescent="0.2">
      <c r="B89" s="123" t="s">
        <v>259</v>
      </c>
      <c r="C89" s="14">
        <f t="shared" ref="C89:H89" si="27">+C88/C79</f>
        <v>0.18959984891218512</v>
      </c>
      <c r="D89" s="14">
        <f t="shared" si="27"/>
        <v>9.1641169566436101E-2</v>
      </c>
      <c r="E89" s="14">
        <f t="shared" si="27"/>
        <v>0.22056698143027717</v>
      </c>
      <c r="F89" s="14">
        <f t="shared" si="27"/>
        <v>0.13057921101527242</v>
      </c>
      <c r="G89" s="654">
        <f t="shared" si="27"/>
        <v>0.17033377407923322</v>
      </c>
      <c r="H89" s="14">
        <f t="shared" si="27"/>
        <v>0.18794569927692079</v>
      </c>
      <c r="I89" s="664"/>
      <c r="O89" s="39"/>
      <c r="P89" s="39"/>
      <c r="Q89" s="39"/>
      <c r="R89" s="39"/>
      <c r="S89" s="39"/>
      <c r="T89" s="39"/>
      <c r="U89" s="39"/>
      <c r="V89" s="39"/>
      <c r="W89" s="39"/>
      <c r="X89" s="39"/>
      <c r="Y89" s="39"/>
      <c r="Z89" s="39"/>
    </row>
    <row r="90" spans="2:26" x14ac:dyDescent="0.2">
      <c r="B90" s="117" t="s">
        <v>260</v>
      </c>
      <c r="C90" s="118">
        <f>+IncSIntLog!W37-Attachments!C66</f>
        <v>-2172.5938999999998</v>
      </c>
      <c r="D90" s="118">
        <f>+IncSIntLog!X37-Attachments!D66</f>
        <v>-2473.29459</v>
      </c>
      <c r="E90" s="118">
        <f>+IncSIntLog!Y37-Attachments!$E$66</f>
        <v>-2581.9706199999996</v>
      </c>
      <c r="F90" s="118">
        <f>+IncSIntLog!Z37-Attachments!F66</f>
        <v>-2697.11339</v>
      </c>
      <c r="G90" s="653">
        <f>+SUM(C90:F90)</f>
        <v>-9924.9724999999999</v>
      </c>
      <c r="H90" s="118">
        <f>+IncSIntLog!AA37-Attachments!H66</f>
        <v>-2781.8785400000002</v>
      </c>
      <c r="I90" s="664"/>
      <c r="O90" s="39"/>
      <c r="P90" s="39"/>
      <c r="Q90" s="39"/>
      <c r="R90" s="39"/>
      <c r="S90" s="39"/>
      <c r="T90" s="39"/>
      <c r="U90" s="39"/>
      <c r="V90" s="39"/>
      <c r="W90" s="39"/>
      <c r="X90" s="39"/>
      <c r="Y90" s="39"/>
      <c r="Z90" s="39"/>
    </row>
    <row r="91" spans="2:26" x14ac:dyDescent="0.2">
      <c r="B91" s="119" t="s">
        <v>229</v>
      </c>
      <c r="C91" s="120">
        <f t="shared" ref="C91:H91" si="28">+SUM(C90,C83)</f>
        <v>4240.9204700000137</v>
      </c>
      <c r="D91" s="120">
        <f t="shared" si="28"/>
        <v>-1173.4756800000055</v>
      </c>
      <c r="E91" s="120">
        <f t="shared" si="28"/>
        <v>-371.04134000001113</v>
      </c>
      <c r="F91" s="120">
        <f t="shared" si="28"/>
        <v>70.635829999996076</v>
      </c>
      <c r="G91" s="651">
        <f t="shared" si="28"/>
        <v>2767.0392799999863</v>
      </c>
      <c r="H91" s="120">
        <f t="shared" si="28"/>
        <v>4224.540129999994</v>
      </c>
      <c r="I91" s="664"/>
      <c r="O91" s="39"/>
      <c r="P91" s="39"/>
      <c r="Q91" s="39"/>
      <c r="R91" s="39"/>
      <c r="S91" s="39"/>
      <c r="T91" s="39"/>
      <c r="U91" s="39"/>
      <c r="V91" s="39"/>
      <c r="W91" s="39"/>
      <c r="X91" s="39"/>
      <c r="Y91" s="39"/>
      <c r="Z91" s="39"/>
    </row>
    <row r="92" spans="2:26" x14ac:dyDescent="0.2">
      <c r="B92" s="121" t="s">
        <v>261</v>
      </c>
      <c r="C92" s="122">
        <f>+IncSIntLog!W41-Attachments!C68</f>
        <v>2209.9099299999993</v>
      </c>
      <c r="D92" s="122">
        <f>+IncSIntLog!X41-Attachments!D68</f>
        <v>5939.4005399999996</v>
      </c>
      <c r="E92" s="122">
        <f>+IncSIntLog!Y41-Attachments!E$68</f>
        <v>1924.4443899999997</v>
      </c>
      <c r="F92" s="122">
        <f>+IncSIntLog!Z41-Attachments!F68</f>
        <v>3269.0701600000002</v>
      </c>
      <c r="G92" s="652">
        <f>+SUM(C92:F92)</f>
        <v>13342.825019999997</v>
      </c>
      <c r="H92" s="122">
        <f>+IncSIntLog!AA41-Attachments!H68</f>
        <v>1249.8480000000002</v>
      </c>
      <c r="I92" s="664"/>
      <c r="O92" s="39"/>
      <c r="P92" s="39"/>
      <c r="Q92" s="39"/>
      <c r="R92" s="39"/>
      <c r="S92" s="39"/>
      <c r="T92" s="39"/>
      <c r="U92" s="39"/>
      <c r="V92" s="39"/>
      <c r="W92" s="39"/>
      <c r="X92" s="39"/>
      <c r="Y92" s="39"/>
      <c r="Z92" s="39"/>
    </row>
    <row r="93" spans="2:26" x14ac:dyDescent="0.2">
      <c r="B93" s="121" t="s">
        <v>262</v>
      </c>
      <c r="C93" s="122">
        <f>+IncSIntLog!W42+C71</f>
        <v>-2381.2419399999972</v>
      </c>
      <c r="D93" s="122">
        <f>+IncSIntLog!X42+D71</f>
        <v>7275.7041400000026</v>
      </c>
      <c r="E93" s="122">
        <f>+IncSIntLog!Y42+$E$71</f>
        <v>-1606.2070999999958</v>
      </c>
      <c r="F93" s="122">
        <f>+IncSIntLog!Z42+F71</f>
        <v>-2177.1069500000017</v>
      </c>
      <c r="G93" s="652">
        <f>+SUM(C93:F93)</f>
        <v>1111.1481500000077</v>
      </c>
      <c r="H93" s="122">
        <f>+IncSIntLog!AA42+H71</f>
        <v>-485.14629000000008</v>
      </c>
      <c r="I93" s="664"/>
      <c r="O93" s="39"/>
      <c r="P93" s="39"/>
      <c r="Q93" s="39"/>
      <c r="R93" s="39"/>
      <c r="S93" s="39"/>
      <c r="T93" s="39"/>
      <c r="U93" s="39"/>
      <c r="V93" s="39"/>
      <c r="W93" s="39"/>
      <c r="X93" s="39"/>
      <c r="Y93" s="39"/>
      <c r="Z93" s="39"/>
    </row>
    <row r="94" spans="2:26" x14ac:dyDescent="0.2">
      <c r="B94" s="121" t="s">
        <v>263</v>
      </c>
      <c r="C94" s="122">
        <f>+IncSIntLog!W44</f>
        <v>-1807.91174</v>
      </c>
      <c r="D94" s="122">
        <f>+IncSIntLog!X44</f>
        <v>-2174.5405000000001</v>
      </c>
      <c r="E94" s="122">
        <f>+IncSIntLog!Y44</f>
        <v>499.1908199999998</v>
      </c>
      <c r="F94" s="122">
        <f>+IncSIntLog!Z44</f>
        <v>7999.6743299999998</v>
      </c>
      <c r="G94" s="652">
        <f>+SUM(C94:F94)</f>
        <v>4516.4129099999991</v>
      </c>
      <c r="H94" s="122">
        <f>+IncSIntLog!AA44</f>
        <v>-1131.5722000000001</v>
      </c>
      <c r="I94" s="664"/>
      <c r="O94" s="39"/>
      <c r="P94" s="39"/>
      <c r="Q94" s="39"/>
      <c r="R94" s="39"/>
      <c r="S94" s="39"/>
      <c r="T94" s="39"/>
      <c r="U94" s="39"/>
      <c r="V94" s="39"/>
      <c r="W94" s="39"/>
      <c r="X94" s="39"/>
      <c r="Y94" s="39"/>
      <c r="Z94" s="39"/>
    </row>
    <row r="95" spans="2:26" x14ac:dyDescent="0.2">
      <c r="B95" s="125" t="s">
        <v>239</v>
      </c>
      <c r="C95" s="126">
        <f t="shared" ref="C95:H95" si="29">+SUM(C91:C94)</f>
        <v>2261.6767200000163</v>
      </c>
      <c r="D95" s="126">
        <f t="shared" si="29"/>
        <v>9867.088499999998</v>
      </c>
      <c r="E95" s="126">
        <f t="shared" si="29"/>
        <v>446.38676999999257</v>
      </c>
      <c r="F95" s="126">
        <f t="shared" si="29"/>
        <v>9162.2733699999953</v>
      </c>
      <c r="G95" s="655">
        <f t="shared" si="29"/>
        <v>21737.42535999999</v>
      </c>
      <c r="H95" s="126">
        <f t="shared" si="29"/>
        <v>3857.6696399999942</v>
      </c>
      <c r="I95" s="664"/>
      <c r="O95" s="39"/>
      <c r="P95" s="39"/>
      <c r="Q95" s="39"/>
      <c r="R95" s="39"/>
      <c r="S95" s="39"/>
      <c r="T95" s="39"/>
      <c r="U95" s="39"/>
      <c r="V95" s="39"/>
      <c r="W95" s="39"/>
      <c r="X95" s="39"/>
      <c r="Y95" s="39"/>
      <c r="Z95" s="39"/>
    </row>
    <row r="96" spans="2:26" x14ac:dyDescent="0.2">
      <c r="B96" s="9" t="s">
        <v>266</v>
      </c>
      <c r="D96" s="18"/>
      <c r="E96" s="18"/>
      <c r="I96" s="664"/>
      <c r="O96" s="39"/>
      <c r="P96" s="39"/>
      <c r="Q96" s="39"/>
      <c r="R96" s="39"/>
      <c r="S96" s="39"/>
      <c r="T96" s="39"/>
      <c r="U96" s="39"/>
      <c r="V96" s="39"/>
      <c r="W96" s="39"/>
      <c r="X96" s="39"/>
      <c r="Y96" s="39"/>
      <c r="Z96" s="39"/>
    </row>
    <row r="97" spans="2:26" x14ac:dyDescent="0.2">
      <c r="C97" s="665"/>
      <c r="D97" s="665"/>
      <c r="E97" s="665"/>
      <c r="F97" s="665"/>
      <c r="G97" s="664"/>
      <c r="I97" s="664"/>
      <c r="O97" s="39"/>
      <c r="P97" s="39"/>
      <c r="Q97" s="39"/>
      <c r="R97" s="39"/>
      <c r="S97" s="39"/>
      <c r="T97" s="39"/>
      <c r="U97" s="39"/>
      <c r="V97" s="39"/>
      <c r="W97" s="39"/>
      <c r="X97" s="39"/>
      <c r="Y97" s="39"/>
      <c r="Z97" s="39"/>
    </row>
    <row r="98" spans="2:26" x14ac:dyDescent="0.2">
      <c r="B98" s="129" t="s">
        <v>814</v>
      </c>
      <c r="C98" s="115" t="s">
        <v>853</v>
      </c>
      <c r="D98" s="115" t="s">
        <v>854</v>
      </c>
      <c r="E98" s="115" t="s">
        <v>855</v>
      </c>
      <c r="F98" s="115" t="s">
        <v>856</v>
      </c>
      <c r="G98" s="115" t="s">
        <v>760</v>
      </c>
      <c r="H98" s="115" t="s">
        <v>992</v>
      </c>
      <c r="I98" s="664"/>
      <c r="O98" s="39"/>
      <c r="P98" s="39"/>
      <c r="Q98" s="39"/>
      <c r="R98" s="39"/>
      <c r="S98" s="39"/>
      <c r="T98" s="39"/>
      <c r="U98" s="39"/>
      <c r="V98" s="39"/>
      <c r="W98" s="39"/>
      <c r="X98" s="39"/>
      <c r="Y98" s="39"/>
      <c r="Z98" s="39"/>
    </row>
    <row r="99" spans="2:26" x14ac:dyDescent="0.2">
      <c r="B99" s="529" t="s">
        <v>242</v>
      </c>
      <c r="C99" s="118">
        <f>+IncSAuto!W6</f>
        <v>214422.15101999999</v>
      </c>
      <c r="D99" s="118">
        <f>+IncSAuto!X6</f>
        <v>268717.10787999997</v>
      </c>
      <c r="E99" s="118">
        <f>+IncSAuto!Y6</f>
        <v>305185.31597000005</v>
      </c>
      <c r="F99" s="118">
        <f>+IncSAuto!Z6</f>
        <v>340565.25495999999</v>
      </c>
      <c r="G99" s="653">
        <f>+SUM(C99:F99)</f>
        <v>1128889.8298299999</v>
      </c>
      <c r="H99" s="118">
        <f>+IncSAuto!AA6</f>
        <v>275057.54545999999</v>
      </c>
      <c r="I99" s="664"/>
      <c r="O99" s="39"/>
      <c r="P99" s="39"/>
      <c r="Q99" s="39"/>
      <c r="R99" s="39"/>
      <c r="S99" s="39"/>
      <c r="T99" s="39"/>
      <c r="U99" s="39"/>
      <c r="V99" s="39"/>
      <c r="W99" s="39"/>
      <c r="X99" s="39"/>
      <c r="Y99" s="39"/>
      <c r="Z99" s="39"/>
    </row>
    <row r="100" spans="2:26" x14ac:dyDescent="0.2">
      <c r="B100" s="529" t="s">
        <v>267</v>
      </c>
      <c r="C100" s="118">
        <f>+IncSIntLog!W6-Attachments!C52</f>
        <v>6977.1677899999986</v>
      </c>
      <c r="D100" s="118">
        <f>+IncSIntLog!X6-Attachments!D52</f>
        <v>8562.0342399999972</v>
      </c>
      <c r="E100" s="118">
        <f>+IncSIntLog!Y6-Attachments!E52</f>
        <v>8587.5245199999972</v>
      </c>
      <c r="F100" s="118">
        <f>+IncSIntLog!Z6-Attachments!F52</f>
        <v>10735.024749999999</v>
      </c>
      <c r="G100" s="653">
        <f>+SUM(C100:F100)</f>
        <v>34861.751299999989</v>
      </c>
      <c r="H100" s="118">
        <f>+IncSIntLog!AA6-Attachments!H52</f>
        <v>10696.745859999999</v>
      </c>
      <c r="I100" s="664"/>
      <c r="O100" s="39"/>
      <c r="P100" s="39"/>
      <c r="Q100" s="39"/>
      <c r="R100" s="39"/>
      <c r="S100" s="39"/>
      <c r="T100" s="39"/>
      <c r="U100" s="39"/>
      <c r="V100" s="39"/>
      <c r="W100" s="39"/>
      <c r="X100" s="39"/>
      <c r="Y100" s="39"/>
      <c r="Z100" s="39"/>
    </row>
    <row r="101" spans="2:26" x14ac:dyDescent="0.2">
      <c r="B101" s="529" t="s">
        <v>268</v>
      </c>
      <c r="C101" s="118">
        <f>+IncSIntLog!W7</f>
        <v>34006.128879999997</v>
      </c>
      <c r="D101" s="118">
        <f>+IncSIntLog!X7</f>
        <v>32821.211210000001</v>
      </c>
      <c r="E101" s="118">
        <f>+IncSIntLog!Y7</f>
        <v>35196.763349999994</v>
      </c>
      <c r="F101" s="118">
        <f>+IncSIntLog!Z7</f>
        <v>35738.6976</v>
      </c>
      <c r="G101" s="653">
        <f>+SUM(C101:F101)</f>
        <v>137762.80103999999</v>
      </c>
      <c r="H101" s="118">
        <f>+IncSIntLog!AA7</f>
        <v>34371.302250000008</v>
      </c>
      <c r="I101" s="664"/>
      <c r="O101" s="39"/>
      <c r="P101" s="39"/>
      <c r="Q101" s="39"/>
      <c r="R101" s="39"/>
      <c r="S101" s="39"/>
      <c r="T101" s="39"/>
      <c r="U101" s="39"/>
      <c r="V101" s="39"/>
      <c r="W101" s="39"/>
      <c r="X101" s="39"/>
      <c r="Y101" s="39"/>
      <c r="Z101" s="39"/>
    </row>
    <row r="102" spans="2:26" x14ac:dyDescent="0.2">
      <c r="B102" s="119" t="s">
        <v>216</v>
      </c>
      <c r="C102" s="120">
        <f>+SUM(C99:C101)</f>
        <v>255405.44769</v>
      </c>
      <c r="D102" s="120">
        <f>+SUM(D99:D101)</f>
        <v>310100.35332999995</v>
      </c>
      <c r="E102" s="120">
        <f>+SUM(E99:E101)</f>
        <v>348969.60384</v>
      </c>
      <c r="F102" s="120">
        <f>+SUM(F99:F101)</f>
        <v>387038.97730999999</v>
      </c>
      <c r="G102" s="651">
        <f>+SUM(C102:F102)</f>
        <v>1301514.3821699999</v>
      </c>
      <c r="H102" s="120">
        <f>+SUM(H99:H101)</f>
        <v>320125.59357000003</v>
      </c>
      <c r="I102" s="664"/>
      <c r="O102" s="39"/>
      <c r="P102" s="39"/>
      <c r="Q102" s="39"/>
      <c r="R102" s="39"/>
      <c r="S102" s="39"/>
      <c r="T102" s="39"/>
      <c r="U102" s="39"/>
      <c r="V102" s="39"/>
      <c r="W102" s="39"/>
      <c r="X102" s="39"/>
      <c r="Y102" s="39"/>
      <c r="Z102" s="39"/>
    </row>
    <row r="103" spans="2:26" x14ac:dyDescent="0.2">
      <c r="B103" s="121" t="s">
        <v>219</v>
      </c>
      <c r="C103" s="122">
        <f>IncS!AB9-Attachments!C53</f>
        <v>-48260.032760000002</v>
      </c>
      <c r="D103" s="122">
        <f>IncS!AC9-Attachments!D53</f>
        <v>-60864.473740000001</v>
      </c>
      <c r="E103" s="122">
        <f>IncS!AD9-Attachments!E53</f>
        <v>-68788.215259999997</v>
      </c>
      <c r="F103" s="122">
        <f>IncS!AE9-Attachments!F53</f>
        <v>-73703.169129999995</v>
      </c>
      <c r="G103" s="652">
        <f>+SUM(C103:F103)</f>
        <v>-251615.89088999998</v>
      </c>
      <c r="H103" s="122">
        <f>IncS!AF9-Attachments!H53</f>
        <v>-60386.058840000005</v>
      </c>
      <c r="I103" s="664"/>
      <c r="O103" s="39"/>
      <c r="P103" s="39"/>
      <c r="Q103" s="39"/>
      <c r="R103" s="39"/>
      <c r="S103" s="39"/>
      <c r="T103" s="39"/>
      <c r="U103" s="39"/>
      <c r="V103" s="39"/>
      <c r="W103" s="39"/>
      <c r="X103" s="39"/>
      <c r="Y103" s="39"/>
      <c r="Z103" s="39"/>
    </row>
    <row r="104" spans="2:26" x14ac:dyDescent="0.2">
      <c r="B104" s="119" t="s">
        <v>220</v>
      </c>
      <c r="C104" s="120">
        <f t="shared" ref="C104:H104" si="30">+SUM(C102:C103)</f>
        <v>207145.41493</v>
      </c>
      <c r="D104" s="120">
        <f t="shared" si="30"/>
        <v>249235.87958999997</v>
      </c>
      <c r="E104" s="120">
        <f t="shared" si="30"/>
        <v>280181.38858000003</v>
      </c>
      <c r="F104" s="120">
        <f t="shared" si="30"/>
        <v>313335.80817999999</v>
      </c>
      <c r="G104" s="651">
        <f t="shared" si="30"/>
        <v>1049898.49128</v>
      </c>
      <c r="H104" s="120">
        <f t="shared" si="30"/>
        <v>259739.53473000001</v>
      </c>
      <c r="I104" s="664"/>
      <c r="O104" s="39"/>
      <c r="P104" s="39"/>
      <c r="Q104" s="39"/>
      <c r="R104" s="39"/>
      <c r="S104" s="39"/>
      <c r="T104" s="39"/>
      <c r="U104" s="39"/>
      <c r="V104" s="39"/>
      <c r="W104" s="39"/>
      <c r="X104" s="39"/>
      <c r="Y104" s="39"/>
      <c r="Z104" s="39"/>
    </row>
    <row r="105" spans="2:26" x14ac:dyDescent="0.2">
      <c r="B105" s="121" t="s">
        <v>245</v>
      </c>
      <c r="C105" s="122">
        <f>+IncSCons!W11-Attachments!C55</f>
        <v>-167280.36273999995</v>
      </c>
      <c r="D105" s="122">
        <f>+IncSCons!X11-Attachments!D55</f>
        <v>-198539.90838999997</v>
      </c>
      <c r="E105" s="122">
        <f>+IncSCons!Y11-Attachments!E55</f>
        <v>-218888.2066</v>
      </c>
      <c r="F105" s="122">
        <f>+IncSCons!Z11-Attachments!F55</f>
        <v>-210938.53305</v>
      </c>
      <c r="G105" s="652">
        <f>+SUM(C105:F105)</f>
        <v>-795647.0107799999</v>
      </c>
      <c r="H105" s="122">
        <f>+IncSCons!AA11-Attachments!H55</f>
        <v>-204684.84065999999</v>
      </c>
      <c r="I105" s="664"/>
      <c r="J105" s="664"/>
      <c r="K105" s="664"/>
      <c r="L105" s="664"/>
      <c r="M105" s="664"/>
      <c r="N105" s="664"/>
      <c r="O105" s="39"/>
      <c r="P105" s="39"/>
      <c r="Q105" s="39"/>
      <c r="R105" s="39"/>
      <c r="S105" s="39"/>
      <c r="T105" s="39"/>
      <c r="U105" s="39"/>
      <c r="V105" s="39"/>
      <c r="W105" s="39"/>
      <c r="X105" s="39"/>
      <c r="Y105" s="39"/>
      <c r="Z105" s="39"/>
    </row>
    <row r="106" spans="2:26" x14ac:dyDescent="0.2">
      <c r="B106" s="119" t="s">
        <v>270</v>
      </c>
      <c r="C106" s="120">
        <f t="shared" ref="C106:H106" si="31">+SUM(C104:C105)</f>
        <v>39865.052190000046</v>
      </c>
      <c r="D106" s="120">
        <f t="shared" si="31"/>
        <v>50695.9712</v>
      </c>
      <c r="E106" s="120">
        <f t="shared" si="31"/>
        <v>61293.181980000023</v>
      </c>
      <c r="F106" s="120">
        <f t="shared" si="31"/>
        <v>102397.27512999999</v>
      </c>
      <c r="G106" s="651">
        <f t="shared" si="31"/>
        <v>254251.48050000006</v>
      </c>
      <c r="H106" s="120">
        <f t="shared" si="31"/>
        <v>55054.694070000027</v>
      </c>
      <c r="I106" s="664"/>
      <c r="O106" s="39"/>
      <c r="P106" s="39"/>
      <c r="Q106" s="39"/>
      <c r="R106" s="39"/>
      <c r="S106" s="39"/>
      <c r="T106" s="39"/>
      <c r="U106" s="39"/>
      <c r="V106" s="39"/>
      <c r="W106" s="39"/>
      <c r="X106" s="39"/>
      <c r="Y106" s="39"/>
      <c r="Z106" s="39"/>
    </row>
    <row r="107" spans="2:26" x14ac:dyDescent="0.2">
      <c r="B107" s="121" t="s">
        <v>246</v>
      </c>
      <c r="C107" s="122">
        <f>+IncSCons!W13-Attachments!C61</f>
        <v>-17607.083180000001</v>
      </c>
      <c r="D107" s="122">
        <f>+IncSCons!X13-Attachments!D61</f>
        <v>-39107.023679999998</v>
      </c>
      <c r="E107" s="122">
        <f>+IncSCons!Y13-Attachments!E61</f>
        <v>-24211.931949999998</v>
      </c>
      <c r="F107" s="122">
        <f>+IncSCons!Z13-Attachments!F61</f>
        <v>-39698.674209999997</v>
      </c>
      <c r="G107" s="652">
        <f>+SUM(C107:F107)</f>
        <v>-120624.71302</v>
      </c>
      <c r="H107" s="122">
        <f>+IncSCons!AA13-Attachments!H61</f>
        <v>-25435.59878</v>
      </c>
      <c r="I107" s="664"/>
      <c r="O107" s="39"/>
      <c r="P107" s="39"/>
      <c r="Q107" s="39"/>
      <c r="R107" s="39"/>
      <c r="S107" s="39"/>
      <c r="T107" s="39"/>
      <c r="U107" s="39"/>
      <c r="V107" s="39"/>
      <c r="W107" s="39"/>
      <c r="X107" s="39"/>
      <c r="Y107" s="39"/>
      <c r="Z107" s="39"/>
    </row>
    <row r="108" spans="2:26" x14ac:dyDescent="0.2">
      <c r="B108" s="119" t="s">
        <v>8</v>
      </c>
      <c r="C108" s="120">
        <f t="shared" ref="C108:H108" si="32">+SUM(C106:C107)</f>
        <v>22257.969010000044</v>
      </c>
      <c r="D108" s="120">
        <f t="shared" si="32"/>
        <v>11588.947520000002</v>
      </c>
      <c r="E108" s="120">
        <f t="shared" si="32"/>
        <v>37081.250030000025</v>
      </c>
      <c r="F108" s="120">
        <f t="shared" si="32"/>
        <v>62698.600919999997</v>
      </c>
      <c r="G108" s="651">
        <f t="shared" si="32"/>
        <v>133626.76748000007</v>
      </c>
      <c r="H108" s="120">
        <f t="shared" si="32"/>
        <v>29619.095290000027</v>
      </c>
      <c r="I108" s="664"/>
      <c r="O108" s="39"/>
      <c r="P108" s="39"/>
      <c r="Q108" s="39"/>
      <c r="R108" s="39"/>
      <c r="S108" s="39"/>
      <c r="T108" s="39"/>
      <c r="U108" s="39"/>
      <c r="V108" s="39"/>
      <c r="W108" s="39"/>
      <c r="X108" s="39"/>
      <c r="Y108" s="39"/>
      <c r="Z108" s="39"/>
    </row>
    <row r="109" spans="2:26" s="767" customFormat="1" hidden="1" outlineLevel="1" x14ac:dyDescent="0.2">
      <c r="B109" s="228" t="s">
        <v>248</v>
      </c>
      <c r="C109" s="219">
        <v>0</v>
      </c>
      <c r="D109" s="219">
        <v>0</v>
      </c>
      <c r="E109" s="219">
        <v>5733</v>
      </c>
      <c r="F109" s="219">
        <v>5731</v>
      </c>
      <c r="G109" s="769">
        <f t="shared" ref="G109:G114" si="33">+SUM(C109:F109)</f>
        <v>11464</v>
      </c>
      <c r="H109" s="219">
        <v>0</v>
      </c>
      <c r="I109" s="664"/>
    </row>
    <row r="110" spans="2:26" s="767" customFormat="1" hidden="1" outlineLevel="1" x14ac:dyDescent="0.2">
      <c r="B110" s="228" t="s">
        <v>785</v>
      </c>
      <c r="C110" s="219">
        <v>0</v>
      </c>
      <c r="D110" s="219">
        <v>0</v>
      </c>
      <c r="E110" s="219">
        <v>0</v>
      </c>
      <c r="F110" s="219">
        <v>-29230.404609999947</v>
      </c>
      <c r="G110" s="769">
        <f t="shared" si="33"/>
        <v>-29230.404609999947</v>
      </c>
      <c r="H110" s="219" t="s">
        <v>47</v>
      </c>
      <c r="I110" s="664"/>
    </row>
    <row r="111" spans="2:26" s="767" customFormat="1" hidden="1" outlineLevel="1" x14ac:dyDescent="0.2">
      <c r="B111" s="228" t="s">
        <v>786</v>
      </c>
      <c r="C111" s="219">
        <v>0</v>
      </c>
      <c r="D111" s="219">
        <v>0</v>
      </c>
      <c r="E111" s="219">
        <v>0</v>
      </c>
      <c r="F111" s="219">
        <v>6644.3316199999999</v>
      </c>
      <c r="G111" s="769">
        <f t="shared" si="33"/>
        <v>6644.3316199999999</v>
      </c>
      <c r="H111" s="219" t="s">
        <v>47</v>
      </c>
      <c r="I111" s="664"/>
    </row>
    <row r="112" spans="2:26" s="767" customFormat="1" hidden="1" outlineLevel="1" x14ac:dyDescent="0.2">
      <c r="B112" s="228" t="s">
        <v>249</v>
      </c>
      <c r="C112" s="219">
        <v>0</v>
      </c>
      <c r="D112" s="219">
        <v>15000</v>
      </c>
      <c r="E112" s="219">
        <v>0</v>
      </c>
      <c r="F112" s="219">
        <v>0</v>
      </c>
      <c r="G112" s="769">
        <f>+SUM(C112:F112)</f>
        <v>15000</v>
      </c>
      <c r="H112" s="219">
        <v>0</v>
      </c>
      <c r="I112" s="664"/>
    </row>
    <row r="113" spans="2:26" s="767" customFormat="1" hidden="1" outlineLevel="1" x14ac:dyDescent="0.2">
      <c r="B113" s="228" t="s">
        <v>247</v>
      </c>
      <c r="C113" s="219">
        <v>0</v>
      </c>
      <c r="D113" s="219">
        <v>1365</v>
      </c>
      <c r="E113" s="219">
        <v>0</v>
      </c>
      <c r="F113" s="219">
        <v>0</v>
      </c>
      <c r="G113" s="769">
        <f>+SUM(C113:F113)</f>
        <v>1365</v>
      </c>
      <c r="H113" s="219">
        <v>0</v>
      </c>
      <c r="I113" s="664"/>
    </row>
    <row r="114" spans="2:26" s="767" customFormat="1" hidden="1" outlineLevel="1" x14ac:dyDescent="0.2">
      <c r="B114" s="228" t="s">
        <v>250</v>
      </c>
      <c r="C114" s="219">
        <v>0</v>
      </c>
      <c r="D114" s="219">
        <v>1767</v>
      </c>
      <c r="E114" s="219">
        <v>0</v>
      </c>
      <c r="F114" s="219">
        <v>0</v>
      </c>
      <c r="G114" s="769">
        <f t="shared" si="33"/>
        <v>1767</v>
      </c>
      <c r="H114" s="219" t="s">
        <v>47</v>
      </c>
      <c r="I114" s="664"/>
    </row>
    <row r="115" spans="2:26" collapsed="1" x14ac:dyDescent="0.2">
      <c r="B115" s="119" t="s">
        <v>258</v>
      </c>
      <c r="C115" s="120">
        <f t="shared" ref="C115:H115" si="34">+SUM(C108:C114)</f>
        <v>22257.969010000044</v>
      </c>
      <c r="D115" s="120">
        <f t="shared" si="34"/>
        <v>29720.947520000002</v>
      </c>
      <c r="E115" s="120">
        <f t="shared" si="34"/>
        <v>42814.250030000025</v>
      </c>
      <c r="F115" s="120">
        <f t="shared" si="34"/>
        <v>45843.527930000047</v>
      </c>
      <c r="G115" s="651">
        <f t="shared" si="34"/>
        <v>140636.69449000014</v>
      </c>
      <c r="H115" s="120">
        <f t="shared" si="34"/>
        <v>29619.095290000027</v>
      </c>
      <c r="I115" s="664"/>
      <c r="J115" s="664"/>
      <c r="K115" s="664"/>
      <c r="L115" s="664"/>
      <c r="M115" s="664"/>
      <c r="N115" s="664"/>
      <c r="O115" s="39"/>
      <c r="P115" s="39"/>
      <c r="Q115" s="39"/>
      <c r="R115" s="39"/>
      <c r="S115" s="39"/>
      <c r="T115" s="39"/>
      <c r="U115" s="39"/>
      <c r="V115" s="39"/>
      <c r="W115" s="39"/>
      <c r="X115" s="39"/>
      <c r="Y115" s="39"/>
      <c r="Z115" s="39"/>
    </row>
    <row r="116" spans="2:26" x14ac:dyDescent="0.2">
      <c r="B116" s="123" t="s">
        <v>259</v>
      </c>
      <c r="C116" s="14">
        <f t="shared" ref="C116:H116" si="35">+C115/C104</f>
        <v>0.10745093738870161</v>
      </c>
      <c r="D116" s="14">
        <f t="shared" si="35"/>
        <v>0.11924827022855536</v>
      </c>
      <c r="E116" s="14">
        <f t="shared" si="35"/>
        <v>0.15280904362345002</v>
      </c>
      <c r="F116" s="14">
        <f t="shared" si="35"/>
        <v>0.14630797608572274</v>
      </c>
      <c r="G116" s="654">
        <f t="shared" si="35"/>
        <v>0.13395265890756805</v>
      </c>
      <c r="H116" s="14">
        <f t="shared" si="35"/>
        <v>0.11403383516794685</v>
      </c>
      <c r="I116" s="664"/>
      <c r="J116" s="664"/>
      <c r="K116" s="664"/>
      <c r="L116" s="664"/>
      <c r="M116" s="664"/>
      <c r="N116" s="664"/>
      <c r="O116" s="39"/>
      <c r="P116" s="39"/>
      <c r="Q116" s="39"/>
      <c r="R116" s="39"/>
      <c r="S116" s="39"/>
      <c r="T116" s="39"/>
      <c r="U116" s="39"/>
      <c r="V116" s="39"/>
      <c r="W116" s="39"/>
      <c r="X116" s="39"/>
      <c r="Y116" s="39"/>
      <c r="Z116" s="39"/>
    </row>
    <row r="117" spans="2:26" x14ac:dyDescent="0.2">
      <c r="B117" s="117" t="s">
        <v>260</v>
      </c>
      <c r="C117" s="118">
        <f>+IncSCons!W36-Attachments!C66</f>
        <v>-5469.7555000000002</v>
      </c>
      <c r="D117" s="118">
        <f>+IncSCons!X36-Attachments!D66</f>
        <v>-5963.4992599999996</v>
      </c>
      <c r="E117" s="118">
        <f>+IncSCons!Y36-Attachments!E66</f>
        <v>-6405.3750700000001</v>
      </c>
      <c r="F117" s="118">
        <f>+IncSCons!Z36-Attachments!F66</f>
        <v>-6501.9134400000003</v>
      </c>
      <c r="G117" s="653">
        <f>+SUM(C117:F117)</f>
        <v>-24340.543269999998</v>
      </c>
      <c r="H117" s="118">
        <f>+IncSCons!AA36-Attachments!H66</f>
        <v>-6593.5446200000006</v>
      </c>
      <c r="I117" s="664"/>
      <c r="O117" s="39"/>
      <c r="P117" s="39"/>
      <c r="Q117" s="39"/>
      <c r="R117" s="39"/>
      <c r="S117" s="39"/>
      <c r="T117" s="39"/>
      <c r="U117" s="39"/>
      <c r="V117" s="39"/>
      <c r="W117" s="39"/>
      <c r="X117" s="39"/>
      <c r="Y117" s="39"/>
      <c r="Z117" s="39"/>
    </row>
    <row r="118" spans="2:26" x14ac:dyDescent="0.2">
      <c r="B118" s="119" t="s">
        <v>229</v>
      </c>
      <c r="C118" s="120">
        <f t="shared" ref="C118:H118" si="36">+SUM(C117,C108)</f>
        <v>16788.213510000045</v>
      </c>
      <c r="D118" s="120">
        <f t="shared" si="36"/>
        <v>5625.4482600000019</v>
      </c>
      <c r="E118" s="120">
        <f t="shared" si="36"/>
        <v>30675.874960000023</v>
      </c>
      <c r="F118" s="120">
        <f t="shared" si="36"/>
        <v>56196.687479999993</v>
      </c>
      <c r="G118" s="651">
        <f t="shared" si="36"/>
        <v>109286.22421000007</v>
      </c>
      <c r="H118" s="120">
        <f t="shared" si="36"/>
        <v>23025.550670000026</v>
      </c>
      <c r="I118" s="664"/>
      <c r="O118" s="39"/>
      <c r="P118" s="39"/>
      <c r="Q118" s="39"/>
      <c r="R118" s="39"/>
      <c r="S118" s="39"/>
      <c r="T118" s="39"/>
      <c r="U118" s="39"/>
      <c r="V118" s="39"/>
      <c r="W118" s="39"/>
      <c r="X118" s="39"/>
      <c r="Y118" s="39"/>
      <c r="Z118" s="39"/>
    </row>
    <row r="119" spans="2:26" x14ac:dyDescent="0.2">
      <c r="B119" s="121" t="s">
        <v>261</v>
      </c>
      <c r="C119" s="122">
        <f>+IncSCons!W40-Attachments!C68</f>
        <v>-4275.2661400000006</v>
      </c>
      <c r="D119" s="122">
        <f>+IncSCons!X40-Attachments!D68</f>
        <v>3768.6335899999999</v>
      </c>
      <c r="E119" s="122">
        <f>+IncSCons!Y40-Attachments!E68</f>
        <v>-3100.0589799999998</v>
      </c>
      <c r="F119" s="122">
        <f>+IncSCons!Z40-Attachments!F68</f>
        <v>12629.32682</v>
      </c>
      <c r="G119" s="652">
        <f>+SUM(C119:F119)</f>
        <v>9022.6352900000002</v>
      </c>
      <c r="H119" s="122">
        <f>+IncSCons!AA40-Attachments!H68</f>
        <v>-1886.3629500000004</v>
      </c>
      <c r="I119" s="664"/>
      <c r="O119" s="39"/>
      <c r="P119" s="39"/>
      <c r="Q119" s="39"/>
      <c r="R119" s="39"/>
      <c r="S119" s="39"/>
      <c r="T119" s="39"/>
      <c r="U119" s="39"/>
      <c r="V119" s="39"/>
      <c r="W119" s="39"/>
      <c r="X119" s="39"/>
      <c r="Y119" s="39"/>
      <c r="Z119" s="39"/>
    </row>
    <row r="120" spans="2:26" x14ac:dyDescent="0.2">
      <c r="B120" s="121" t="s">
        <v>262</v>
      </c>
      <c r="C120" s="122">
        <f>+IncSCons!W41+Attachments!C71</f>
        <v>-2761.7981699999973</v>
      </c>
      <c r="D120" s="122">
        <f>+IncSCons!X41+Attachments!D71</f>
        <v>6895.7804500000029</v>
      </c>
      <c r="E120" s="122">
        <f>+IncSCons!Y41+Attachments!E71</f>
        <v>-3409.6542299999956</v>
      </c>
      <c r="F120" s="122">
        <f>+IncSCons!Z41+Attachments!F71</f>
        <v>-1540.2737600000019</v>
      </c>
      <c r="G120" s="652">
        <f>+SUM(C120:F120)</f>
        <v>-815.94570999999178</v>
      </c>
      <c r="H120" s="122">
        <f>+IncSCons!AA41+Attachments!H71</f>
        <v>-910.81409000000008</v>
      </c>
      <c r="I120" s="664"/>
      <c r="O120" s="39"/>
      <c r="P120" s="39"/>
      <c r="Q120" s="39"/>
      <c r="R120" s="39"/>
      <c r="S120" s="39"/>
      <c r="T120" s="39"/>
      <c r="U120" s="39"/>
      <c r="V120" s="39"/>
      <c r="W120" s="39"/>
      <c r="X120" s="39"/>
      <c r="Y120" s="39"/>
      <c r="Z120" s="39"/>
    </row>
    <row r="121" spans="2:26" x14ac:dyDescent="0.2">
      <c r="B121" s="121" t="s">
        <v>263</v>
      </c>
      <c r="C121" s="122">
        <f>+IncSCons!W43</f>
        <v>-4298.9159999999993</v>
      </c>
      <c r="D121" s="122">
        <f>+IncSCons!X43</f>
        <v>7766.8676800000003</v>
      </c>
      <c r="E121" s="122">
        <f>+IncSCons!Y43</f>
        <v>-8879.3011299999998</v>
      </c>
      <c r="F121" s="122">
        <f>+IncSCons!Z43</f>
        <v>-8319.4488999999976</v>
      </c>
      <c r="G121" s="652">
        <f>+SUM(C121:F121)</f>
        <v>-13730.798349999997</v>
      </c>
      <c r="H121" s="122">
        <f>+IncSCons!AA43</f>
        <v>-6233.9323800000002</v>
      </c>
      <c r="I121" s="664"/>
      <c r="O121" s="39"/>
      <c r="P121" s="39"/>
      <c r="Q121" s="39"/>
      <c r="R121" s="39"/>
      <c r="S121" s="39"/>
      <c r="T121" s="39"/>
      <c r="U121" s="39"/>
      <c r="V121" s="39"/>
      <c r="W121" s="39"/>
      <c r="X121" s="39"/>
      <c r="Y121" s="39"/>
      <c r="Z121" s="39"/>
    </row>
    <row r="122" spans="2:26" x14ac:dyDescent="0.2">
      <c r="B122" s="125" t="s">
        <v>239</v>
      </c>
      <c r="C122" s="126">
        <f t="shared" ref="C122:H122" si="37">+SUM(C118:C121)</f>
        <v>5452.2332000000479</v>
      </c>
      <c r="D122" s="126">
        <f t="shared" si="37"/>
        <v>24056.729980000004</v>
      </c>
      <c r="E122" s="126">
        <f t="shared" si="37"/>
        <v>15286.860620000025</v>
      </c>
      <c r="F122" s="126">
        <f t="shared" si="37"/>
        <v>58966.291640000003</v>
      </c>
      <c r="G122" s="655">
        <f t="shared" si="37"/>
        <v>103762.1154400001</v>
      </c>
      <c r="H122" s="126">
        <f t="shared" si="37"/>
        <v>13994.441250000027</v>
      </c>
      <c r="I122" s="664"/>
      <c r="O122" s="39"/>
      <c r="P122" s="39"/>
      <c r="Q122" s="39"/>
      <c r="R122" s="39"/>
      <c r="S122" s="39"/>
      <c r="T122" s="39"/>
      <c r="U122" s="39"/>
      <c r="V122" s="39"/>
      <c r="W122" s="39"/>
      <c r="X122" s="39"/>
      <c r="Y122" s="39"/>
      <c r="Z122" s="39"/>
    </row>
    <row r="123" spans="2:26" x14ac:dyDescent="0.2">
      <c r="B123" s="9" t="s">
        <v>266</v>
      </c>
      <c r="D123" s="18"/>
      <c r="E123" s="18"/>
      <c r="I123" s="664"/>
      <c r="O123" s="39"/>
      <c r="P123" s="39"/>
      <c r="Q123" s="39"/>
      <c r="R123" s="39"/>
      <c r="S123" s="39"/>
      <c r="T123" s="39"/>
      <c r="U123" s="39"/>
      <c r="V123" s="39"/>
      <c r="W123" s="39"/>
      <c r="X123" s="39"/>
      <c r="Y123" s="39"/>
      <c r="Z123" s="39"/>
    </row>
    <row r="124" spans="2:26" x14ac:dyDescent="0.2">
      <c r="C124" s="664"/>
      <c r="D124" s="664"/>
      <c r="E124" s="664"/>
      <c r="F124" s="664"/>
      <c r="H124" s="664"/>
      <c r="I124" s="664"/>
      <c r="O124" s="39"/>
      <c r="P124" s="39"/>
      <c r="Q124" s="39"/>
      <c r="R124" s="39"/>
      <c r="S124" s="39"/>
      <c r="T124" s="39"/>
      <c r="U124" s="39"/>
      <c r="V124" s="39"/>
      <c r="W124" s="39"/>
      <c r="X124" s="39"/>
      <c r="Y124" s="39"/>
      <c r="Z124" s="39"/>
    </row>
    <row r="125" spans="2:26" x14ac:dyDescent="0.2">
      <c r="B125" s="663" t="s">
        <v>820</v>
      </c>
      <c r="C125" s="115" t="s">
        <v>761</v>
      </c>
      <c r="D125" s="18"/>
      <c r="E125" s="18"/>
      <c r="O125" s="39"/>
      <c r="P125" s="39"/>
      <c r="Q125" s="39"/>
      <c r="R125" s="39"/>
      <c r="S125" s="39"/>
      <c r="T125" s="39"/>
      <c r="U125" s="39"/>
      <c r="V125" s="39"/>
      <c r="W125" s="39"/>
      <c r="X125" s="39"/>
      <c r="Y125" s="39"/>
      <c r="Z125" s="39"/>
    </row>
    <row r="126" spans="2:26" x14ac:dyDescent="0.2">
      <c r="B126" s="119" t="s">
        <v>821</v>
      </c>
      <c r="C126" s="120"/>
      <c r="D126" s="18"/>
      <c r="E126" s="18"/>
      <c r="O126" s="39"/>
      <c r="P126" s="39"/>
      <c r="Q126" s="39"/>
      <c r="R126" s="39"/>
      <c r="S126" s="39"/>
      <c r="T126" s="39"/>
      <c r="U126" s="39"/>
      <c r="V126" s="39"/>
      <c r="W126" s="39"/>
      <c r="X126" s="39"/>
      <c r="Y126" s="39"/>
      <c r="Z126" s="39"/>
    </row>
    <row r="127" spans="2:26" x14ac:dyDescent="0.2">
      <c r="B127" s="529" t="s">
        <v>166</v>
      </c>
      <c r="C127" s="118">
        <v>655</v>
      </c>
      <c r="D127" s="18"/>
      <c r="E127" s="18"/>
      <c r="O127" s="39"/>
      <c r="P127" s="39"/>
      <c r="Q127" s="39"/>
      <c r="R127" s="39"/>
      <c r="S127" s="39"/>
      <c r="T127" s="39"/>
      <c r="U127" s="39"/>
      <c r="V127" s="39"/>
      <c r="W127" s="39"/>
      <c r="X127" s="39"/>
      <c r="Y127" s="39"/>
      <c r="Z127" s="39"/>
    </row>
    <row r="128" spans="2:26" x14ac:dyDescent="0.2">
      <c r="B128" s="529" t="s">
        <v>167</v>
      </c>
      <c r="C128" s="118">
        <v>3229</v>
      </c>
      <c r="D128" s="18"/>
      <c r="E128" s="18"/>
      <c r="O128" s="39"/>
      <c r="P128" s="39"/>
      <c r="Q128" s="39"/>
      <c r="R128" s="39"/>
      <c r="S128" s="39"/>
      <c r="T128" s="39"/>
      <c r="U128" s="39"/>
      <c r="V128" s="39"/>
      <c r="W128" s="39"/>
      <c r="X128" s="39"/>
      <c r="Y128" s="39"/>
      <c r="Z128" s="39"/>
    </row>
    <row r="129" spans="2:26" x14ac:dyDescent="0.2">
      <c r="B129" s="529" t="s">
        <v>169</v>
      </c>
      <c r="C129" s="118">
        <v>40</v>
      </c>
      <c r="D129" s="18"/>
      <c r="E129" s="18"/>
      <c r="O129" s="39"/>
      <c r="P129" s="39"/>
      <c r="Q129" s="39"/>
      <c r="R129" s="39"/>
      <c r="S129" s="39"/>
      <c r="T129" s="39"/>
      <c r="U129" s="39"/>
      <c r="V129" s="39"/>
      <c r="W129" s="39"/>
      <c r="X129" s="39"/>
      <c r="Y129" s="39"/>
      <c r="Z129" s="39"/>
    </row>
    <row r="130" spans="2:26" x14ac:dyDescent="0.2">
      <c r="B130" s="529" t="s">
        <v>170</v>
      </c>
      <c r="C130" s="118">
        <v>3127</v>
      </c>
      <c r="D130" s="18"/>
      <c r="E130" s="18"/>
      <c r="O130" s="39"/>
      <c r="P130" s="39"/>
      <c r="Q130" s="39"/>
      <c r="R130" s="39"/>
      <c r="S130" s="39"/>
      <c r="T130" s="39"/>
      <c r="U130" s="39"/>
      <c r="V130" s="39"/>
      <c r="W130" s="39"/>
      <c r="X130" s="39"/>
      <c r="Y130" s="39"/>
      <c r="Z130" s="39"/>
    </row>
    <row r="131" spans="2:26" x14ac:dyDescent="0.2">
      <c r="B131" s="529" t="s">
        <v>171</v>
      </c>
      <c r="C131" s="118">
        <v>96</v>
      </c>
      <c r="D131" s="18"/>
      <c r="E131" s="18"/>
      <c r="O131" s="39"/>
      <c r="P131" s="39"/>
      <c r="Q131" s="39"/>
      <c r="R131" s="39"/>
      <c r="S131" s="39"/>
      <c r="T131" s="39"/>
      <c r="U131" s="39"/>
      <c r="V131" s="39"/>
      <c r="W131" s="39"/>
      <c r="X131" s="39"/>
      <c r="Y131" s="39"/>
      <c r="Z131" s="39"/>
    </row>
    <row r="132" spans="2:26" x14ac:dyDescent="0.2">
      <c r="B132" s="529" t="s">
        <v>168</v>
      </c>
      <c r="C132" s="118">
        <v>967</v>
      </c>
      <c r="D132" s="18"/>
      <c r="E132" s="18"/>
      <c r="O132" s="39"/>
      <c r="P132" s="39"/>
      <c r="Q132" s="39"/>
      <c r="R132" s="39"/>
      <c r="S132" s="39"/>
      <c r="T132" s="39"/>
      <c r="U132" s="39"/>
      <c r="V132" s="39"/>
      <c r="W132" s="39"/>
      <c r="X132" s="39"/>
      <c r="Y132" s="39"/>
      <c r="Z132" s="39"/>
    </row>
    <row r="133" spans="2:26" x14ac:dyDescent="0.2">
      <c r="B133" s="529" t="s">
        <v>172</v>
      </c>
      <c r="C133" s="118">
        <v>335</v>
      </c>
      <c r="D133" s="18"/>
      <c r="E133" s="18"/>
      <c r="O133" s="39"/>
      <c r="P133" s="39"/>
      <c r="Q133" s="39"/>
      <c r="R133" s="39"/>
      <c r="S133" s="39"/>
      <c r="T133" s="39"/>
      <c r="U133" s="39"/>
      <c r="V133" s="39"/>
      <c r="W133" s="39"/>
      <c r="X133" s="39"/>
      <c r="Y133" s="39"/>
      <c r="Z133" s="39"/>
    </row>
    <row r="134" spans="2:26" x14ac:dyDescent="0.2">
      <c r="B134" s="119" t="s">
        <v>824</v>
      </c>
      <c r="C134" s="120">
        <v>8449</v>
      </c>
      <c r="D134" s="18"/>
      <c r="E134" s="18"/>
      <c r="O134" s="39"/>
      <c r="P134" s="39"/>
      <c r="Q134" s="39"/>
      <c r="R134" s="39"/>
      <c r="S134" s="39"/>
      <c r="T134" s="39"/>
      <c r="U134" s="39"/>
      <c r="V134" s="39"/>
      <c r="W134" s="39"/>
      <c r="X134" s="39"/>
      <c r="Y134" s="39"/>
      <c r="Z134" s="39"/>
    </row>
    <row r="135" spans="2:26" x14ac:dyDescent="0.2">
      <c r="B135" s="529" t="s">
        <v>170</v>
      </c>
      <c r="C135" s="118">
        <v>14847</v>
      </c>
      <c r="D135" s="18"/>
      <c r="E135" s="18"/>
      <c r="O135" s="39"/>
      <c r="P135" s="39"/>
      <c r="Q135" s="39"/>
      <c r="R135" s="39"/>
      <c r="S135" s="39"/>
      <c r="T135" s="39"/>
      <c r="U135" s="39"/>
      <c r="V135" s="39"/>
      <c r="W135" s="39"/>
      <c r="X135" s="39"/>
      <c r="Y135" s="39"/>
      <c r="Z135" s="39"/>
    </row>
    <row r="136" spans="2:26" x14ac:dyDescent="0.2">
      <c r="B136" s="529" t="s">
        <v>174</v>
      </c>
      <c r="C136" s="118">
        <v>17172</v>
      </c>
      <c r="D136" s="18"/>
      <c r="E136" s="18"/>
      <c r="O136" s="39"/>
      <c r="P136" s="39"/>
      <c r="Q136" s="39"/>
      <c r="R136" s="39"/>
      <c r="S136" s="39"/>
      <c r="T136" s="39"/>
      <c r="U136" s="39"/>
      <c r="V136" s="39"/>
      <c r="W136" s="39"/>
      <c r="X136" s="39"/>
      <c r="Y136" s="39"/>
      <c r="Z136" s="39"/>
    </row>
    <row r="137" spans="2:26" x14ac:dyDescent="0.2">
      <c r="B137" s="529" t="s">
        <v>181</v>
      </c>
      <c r="C137" s="118">
        <v>1064</v>
      </c>
      <c r="D137" s="18"/>
      <c r="E137" s="18"/>
      <c r="O137" s="39"/>
      <c r="P137" s="39"/>
      <c r="Q137" s="39"/>
      <c r="R137" s="39"/>
      <c r="S137" s="39"/>
      <c r="T137" s="39"/>
      <c r="U137" s="39"/>
      <c r="V137" s="39"/>
      <c r="W137" s="39"/>
      <c r="X137" s="39"/>
      <c r="Y137" s="39"/>
      <c r="Z137" s="39"/>
    </row>
    <row r="138" spans="2:26" x14ac:dyDescent="0.2">
      <c r="B138" s="529" t="s">
        <v>183</v>
      </c>
      <c r="C138" s="118">
        <v>11449</v>
      </c>
      <c r="D138" s="18"/>
      <c r="E138" s="18"/>
      <c r="O138" s="39"/>
      <c r="P138" s="39"/>
      <c r="Q138" s="39"/>
      <c r="R138" s="39"/>
      <c r="S138" s="39"/>
      <c r="T138" s="39"/>
      <c r="U138" s="39"/>
      <c r="V138" s="39"/>
      <c r="W138" s="39"/>
      <c r="X138" s="39"/>
      <c r="Y138" s="39"/>
      <c r="Z138" s="39"/>
    </row>
    <row r="139" spans="2:26" x14ac:dyDescent="0.2">
      <c r="B139" s="529" t="s">
        <v>184</v>
      </c>
      <c r="C139" s="118">
        <v>1035</v>
      </c>
      <c r="D139" s="18"/>
      <c r="E139" s="18"/>
      <c r="O139" s="39"/>
      <c r="P139" s="39"/>
      <c r="Q139" s="39"/>
      <c r="R139" s="39"/>
      <c r="S139" s="39"/>
      <c r="T139" s="39"/>
      <c r="U139" s="39"/>
      <c r="V139" s="39"/>
      <c r="W139" s="39"/>
      <c r="X139" s="39"/>
      <c r="Y139" s="39"/>
      <c r="Z139" s="39"/>
    </row>
    <row r="140" spans="2:26" x14ac:dyDescent="0.2">
      <c r="B140" s="119" t="s">
        <v>823</v>
      </c>
      <c r="C140" s="120">
        <v>45567</v>
      </c>
      <c r="D140" s="18"/>
      <c r="E140" s="18"/>
      <c r="O140" s="39"/>
      <c r="P140" s="39"/>
      <c r="Q140" s="39"/>
      <c r="R140" s="39"/>
      <c r="S140" s="39"/>
      <c r="T140" s="39"/>
      <c r="U140" s="39"/>
      <c r="V140" s="39"/>
      <c r="W140" s="39"/>
      <c r="X140" s="39"/>
      <c r="Y140" s="39"/>
      <c r="Z140" s="39"/>
    </row>
    <row r="141" spans="2:26" x14ac:dyDescent="0.2">
      <c r="B141" s="119" t="s">
        <v>822</v>
      </c>
      <c r="C141" s="120">
        <v>54016</v>
      </c>
      <c r="D141" s="18"/>
      <c r="E141" s="18"/>
      <c r="O141" s="39"/>
      <c r="P141" s="39"/>
      <c r="Q141" s="39"/>
      <c r="R141" s="39"/>
      <c r="S141" s="39"/>
      <c r="T141" s="39"/>
      <c r="U141" s="39"/>
      <c r="V141" s="39"/>
      <c r="W141" s="39"/>
      <c r="X141" s="39"/>
      <c r="Y141" s="39"/>
      <c r="Z141" s="39"/>
    </row>
    <row r="142" spans="2:26" x14ac:dyDescent="0.2">
      <c r="D142" s="18"/>
      <c r="E142" s="18"/>
      <c r="O142" s="39"/>
      <c r="P142" s="39"/>
      <c r="Q142" s="39"/>
      <c r="R142" s="39"/>
      <c r="S142" s="39"/>
      <c r="T142" s="39"/>
      <c r="U142" s="39"/>
      <c r="V142" s="39"/>
      <c r="W142" s="39"/>
      <c r="X142" s="39"/>
      <c r="Y142" s="39"/>
      <c r="Z142" s="39"/>
    </row>
    <row r="143" spans="2:26" x14ac:dyDescent="0.2">
      <c r="B143" s="119" t="s">
        <v>825</v>
      </c>
      <c r="C143" s="120"/>
      <c r="D143" s="18"/>
      <c r="E143" s="18"/>
      <c r="O143" s="39"/>
      <c r="P143" s="39"/>
      <c r="Q143" s="39"/>
      <c r="R143" s="39"/>
      <c r="S143" s="39"/>
      <c r="T143" s="39"/>
      <c r="U143" s="39"/>
      <c r="V143" s="39"/>
      <c r="W143" s="39"/>
      <c r="X143" s="39"/>
      <c r="Y143" s="39"/>
      <c r="Z143" s="39"/>
    </row>
    <row r="144" spans="2:26" x14ac:dyDescent="0.2">
      <c r="B144" s="529" t="s">
        <v>119</v>
      </c>
      <c r="C144" s="118">
        <v>606</v>
      </c>
      <c r="D144" s="18"/>
      <c r="E144" s="18"/>
      <c r="O144" s="39"/>
      <c r="P144" s="39"/>
      <c r="Q144" s="39"/>
      <c r="R144" s="39"/>
      <c r="S144" s="39"/>
      <c r="T144" s="39"/>
      <c r="U144" s="39"/>
      <c r="V144" s="39"/>
      <c r="W144" s="39"/>
      <c r="X144" s="39"/>
      <c r="Y144" s="39"/>
      <c r="Z144" s="39"/>
    </row>
    <row r="145" spans="2:26" x14ac:dyDescent="0.2">
      <c r="B145" s="529" t="s">
        <v>191</v>
      </c>
      <c r="C145" s="118">
        <v>790</v>
      </c>
      <c r="D145" s="18"/>
      <c r="E145" s="18"/>
      <c r="O145" s="39"/>
      <c r="P145" s="39"/>
      <c r="Q145" s="39"/>
      <c r="R145" s="39"/>
      <c r="S145" s="39"/>
      <c r="T145" s="39"/>
      <c r="U145" s="39"/>
      <c r="V145" s="39"/>
      <c r="W145" s="39"/>
      <c r="X145" s="39"/>
      <c r="Y145" s="39"/>
      <c r="Z145" s="39"/>
    </row>
    <row r="146" spans="2:26" x14ac:dyDescent="0.2">
      <c r="B146" s="529" t="s">
        <v>193</v>
      </c>
      <c r="C146" s="118">
        <v>1280</v>
      </c>
      <c r="D146" s="18"/>
      <c r="E146" s="18"/>
      <c r="O146" s="39"/>
      <c r="P146" s="39"/>
      <c r="Q146" s="39"/>
      <c r="R146" s="39"/>
      <c r="S146" s="39"/>
      <c r="T146" s="39"/>
      <c r="U146" s="39"/>
      <c r="V146" s="39"/>
      <c r="W146" s="39"/>
      <c r="X146" s="39"/>
      <c r="Y146" s="39"/>
      <c r="Z146" s="39"/>
    </row>
    <row r="147" spans="2:26" x14ac:dyDescent="0.2">
      <c r="B147" s="529" t="s">
        <v>194</v>
      </c>
      <c r="C147" s="118">
        <v>681</v>
      </c>
      <c r="D147" s="18"/>
      <c r="E147" s="18"/>
      <c r="O147" s="39"/>
      <c r="P147" s="39"/>
      <c r="Q147" s="39"/>
      <c r="R147" s="39"/>
      <c r="S147" s="39"/>
      <c r="T147" s="39"/>
      <c r="U147" s="39"/>
      <c r="V147" s="39"/>
      <c r="W147" s="39"/>
      <c r="X147" s="39"/>
      <c r="Y147" s="39"/>
      <c r="Z147" s="39"/>
    </row>
    <row r="148" spans="2:26" x14ac:dyDescent="0.2">
      <c r="B148" s="529" t="s">
        <v>168</v>
      </c>
      <c r="C148" s="118">
        <v>250</v>
      </c>
      <c r="D148" s="18"/>
      <c r="E148" s="18"/>
      <c r="O148" s="39"/>
      <c r="P148" s="39"/>
      <c r="Q148" s="39"/>
      <c r="R148" s="39"/>
      <c r="S148" s="39"/>
      <c r="T148" s="39"/>
      <c r="U148" s="39"/>
      <c r="V148" s="39"/>
      <c r="W148" s="39"/>
      <c r="X148" s="39"/>
      <c r="Y148" s="39"/>
      <c r="Z148" s="39"/>
    </row>
    <row r="149" spans="2:26" x14ac:dyDescent="0.2">
      <c r="B149" s="119" t="s">
        <v>826</v>
      </c>
      <c r="C149" s="120">
        <v>3607</v>
      </c>
      <c r="D149" s="18"/>
      <c r="E149" s="18"/>
      <c r="O149" s="39"/>
      <c r="P149" s="39"/>
      <c r="Q149" s="39"/>
      <c r="R149" s="39"/>
      <c r="S149" s="39"/>
      <c r="T149" s="39"/>
      <c r="U149" s="39"/>
      <c r="V149" s="39"/>
      <c r="W149" s="39"/>
      <c r="X149" s="39"/>
      <c r="Y149" s="39"/>
      <c r="Z149" s="39"/>
    </row>
    <row r="150" spans="2:26" x14ac:dyDescent="0.2">
      <c r="B150" s="529" t="s">
        <v>203</v>
      </c>
      <c r="C150" s="118">
        <v>1482</v>
      </c>
      <c r="D150" s="18"/>
      <c r="E150" s="18"/>
      <c r="O150" s="39"/>
      <c r="P150" s="39"/>
      <c r="Q150" s="39"/>
      <c r="R150" s="39"/>
      <c r="S150" s="39"/>
      <c r="T150" s="39"/>
      <c r="U150" s="39"/>
      <c r="V150" s="39"/>
      <c r="W150" s="39"/>
      <c r="X150" s="39"/>
      <c r="Y150" s="39"/>
      <c r="Z150" s="39"/>
    </row>
    <row r="151" spans="2:26" x14ac:dyDescent="0.2">
      <c r="B151" s="119" t="s">
        <v>827</v>
      </c>
      <c r="C151" s="120">
        <f>C150</f>
        <v>1482</v>
      </c>
      <c r="D151" s="18"/>
      <c r="E151" s="18"/>
      <c r="O151" s="39"/>
      <c r="P151" s="39"/>
      <c r="Q151" s="39"/>
      <c r="R151" s="39"/>
      <c r="S151" s="39"/>
      <c r="T151" s="39"/>
      <c r="U151" s="39"/>
      <c r="V151" s="39"/>
      <c r="W151" s="39"/>
      <c r="X151" s="39"/>
      <c r="Y151" s="39"/>
      <c r="Z151" s="39"/>
    </row>
    <row r="152" spans="2:26" x14ac:dyDescent="0.2">
      <c r="B152" s="529" t="s">
        <v>207</v>
      </c>
      <c r="C152" s="118">
        <v>49122</v>
      </c>
      <c r="D152" s="18"/>
      <c r="E152" s="18"/>
      <c r="O152" s="39"/>
      <c r="P152" s="39"/>
      <c r="Q152" s="39"/>
      <c r="R152" s="39"/>
      <c r="S152" s="39"/>
      <c r="T152" s="39"/>
      <c r="U152" s="39"/>
      <c r="V152" s="39"/>
      <c r="W152" s="39"/>
      <c r="X152" s="39"/>
      <c r="Y152" s="39"/>
      <c r="Z152" s="39"/>
    </row>
    <row r="153" spans="2:26" x14ac:dyDescent="0.2">
      <c r="B153" s="529" t="s">
        <v>209</v>
      </c>
      <c r="C153" s="118">
        <v>143</v>
      </c>
      <c r="D153" s="18"/>
      <c r="E153" s="18"/>
      <c r="O153" s="39"/>
      <c r="P153" s="39"/>
      <c r="Q153" s="39"/>
      <c r="R153" s="39"/>
      <c r="S153" s="39"/>
      <c r="T153" s="39"/>
      <c r="U153" s="39"/>
      <c r="V153" s="39"/>
      <c r="W153" s="39"/>
      <c r="X153" s="39"/>
      <c r="Y153" s="39"/>
      <c r="Z153" s="39"/>
    </row>
    <row r="154" spans="2:26" x14ac:dyDescent="0.2">
      <c r="B154" s="529" t="s">
        <v>828</v>
      </c>
      <c r="C154" s="118">
        <v>-338</v>
      </c>
      <c r="D154" s="18"/>
      <c r="E154" s="18"/>
      <c r="O154" s="39"/>
      <c r="P154" s="39"/>
      <c r="Q154" s="39"/>
      <c r="R154" s="39"/>
      <c r="S154" s="39"/>
      <c r="T154" s="39"/>
      <c r="U154" s="39"/>
      <c r="V154" s="39"/>
      <c r="W154" s="39"/>
      <c r="X154" s="39"/>
      <c r="Y154" s="39"/>
      <c r="Z154" s="39"/>
    </row>
    <row r="155" spans="2:26" x14ac:dyDescent="0.2">
      <c r="B155" s="119" t="s">
        <v>829</v>
      </c>
      <c r="C155" s="120">
        <v>48927</v>
      </c>
      <c r="D155" s="18"/>
      <c r="E155" s="18"/>
      <c r="O155" s="39"/>
      <c r="P155" s="39"/>
      <c r="Q155" s="39"/>
      <c r="R155" s="39"/>
      <c r="S155" s="39"/>
      <c r="T155" s="39"/>
      <c r="U155" s="39"/>
      <c r="V155" s="39"/>
      <c r="W155" s="39"/>
      <c r="X155" s="39"/>
      <c r="Y155" s="39"/>
      <c r="Z155" s="39"/>
    </row>
    <row r="156" spans="2:26" x14ac:dyDescent="0.2">
      <c r="B156" s="119" t="s">
        <v>830</v>
      </c>
      <c r="C156" s="120">
        <v>54016</v>
      </c>
      <c r="D156" s="18"/>
      <c r="E156" s="18"/>
      <c r="O156" s="39"/>
      <c r="P156" s="39"/>
      <c r="Q156" s="39"/>
      <c r="R156" s="39"/>
      <c r="S156" s="39"/>
      <c r="T156" s="39"/>
      <c r="U156" s="39"/>
      <c r="V156" s="39"/>
      <c r="W156" s="39"/>
      <c r="X156" s="39"/>
      <c r="Y156" s="39"/>
      <c r="Z156" s="39"/>
    </row>
    <row r="157" spans="2:26" s="584" customFormat="1" x14ac:dyDescent="0.2">
      <c r="B157" s="551" t="s">
        <v>844</v>
      </c>
      <c r="C157" s="695" t="s">
        <v>862</v>
      </c>
      <c r="D157" s="695" t="s">
        <v>922</v>
      </c>
      <c r="E157" s="695" t="s">
        <v>923</v>
      </c>
      <c r="F157" s="695" t="s">
        <v>924</v>
      </c>
      <c r="G157" s="695" t="s">
        <v>995</v>
      </c>
      <c r="H157" s="695" t="s">
        <v>1027</v>
      </c>
      <c r="I157" s="695" t="s">
        <v>1028</v>
      </c>
      <c r="J157" s="695" t="s">
        <v>993</v>
      </c>
      <c r="K157" s="695" t="s">
        <v>1124</v>
      </c>
      <c r="L157" s="695" t="s">
        <v>1125</v>
      </c>
      <c r="M157" s="695" t="s">
        <v>1126</v>
      </c>
      <c r="N157" s="695" t="s">
        <v>1126</v>
      </c>
    </row>
    <row r="158" spans="2:26" x14ac:dyDescent="0.2">
      <c r="B158"/>
      <c r="C158"/>
      <c r="D158"/>
      <c r="E158"/>
      <c r="F158"/>
      <c r="G158"/>
      <c r="H158"/>
      <c r="I158"/>
      <c r="J158"/>
      <c r="K158"/>
      <c r="L158"/>
      <c r="M158"/>
      <c r="N158"/>
    </row>
    <row r="159" spans="2:26" hidden="1" x14ac:dyDescent="0.2">
      <c r="B159"/>
      <c r="C159"/>
      <c r="D159"/>
      <c r="E159"/>
      <c r="F159"/>
      <c r="G159"/>
      <c r="H159"/>
      <c r="I159"/>
      <c r="J159"/>
      <c r="K159"/>
      <c r="L159"/>
      <c r="M159"/>
      <c r="N159"/>
    </row>
    <row r="160" spans="2:26" hidden="1" x14ac:dyDescent="0.2">
      <c r="B160"/>
      <c r="C160"/>
      <c r="D160"/>
      <c r="E160"/>
      <c r="F160"/>
      <c r="G160"/>
      <c r="H160"/>
      <c r="I160"/>
      <c r="J160"/>
      <c r="K160"/>
      <c r="L160"/>
      <c r="M160"/>
      <c r="N160"/>
    </row>
    <row r="161" spans="2:14" hidden="1" x14ac:dyDescent="0.2">
      <c r="B161"/>
      <c r="C161"/>
      <c r="D161"/>
      <c r="E161"/>
      <c r="F161"/>
      <c r="G161"/>
      <c r="H161"/>
      <c r="I161"/>
      <c r="J161"/>
      <c r="K161"/>
      <c r="L161"/>
      <c r="M161"/>
      <c r="N161"/>
    </row>
    <row r="162" spans="2:14" hidden="1" x14ac:dyDescent="0.2">
      <c r="B162"/>
      <c r="C162"/>
      <c r="D162"/>
      <c r="E162"/>
      <c r="F162"/>
      <c r="G162"/>
      <c r="H162"/>
      <c r="I162"/>
      <c r="J162"/>
      <c r="K162"/>
      <c r="L162"/>
      <c r="M162"/>
      <c r="N162"/>
    </row>
    <row r="163" spans="2:14" hidden="1" x14ac:dyDescent="0.2">
      <c r="B163"/>
      <c r="C163"/>
      <c r="D163"/>
      <c r="E163"/>
      <c r="F163"/>
      <c r="G163"/>
      <c r="H163"/>
      <c r="I163"/>
      <c r="J163"/>
      <c r="K163"/>
      <c r="L163"/>
      <c r="M163"/>
      <c r="N163"/>
    </row>
    <row r="164" spans="2:14" hidden="1" x14ac:dyDescent="0.2">
      <c r="B164"/>
      <c r="C164"/>
      <c r="D164"/>
      <c r="E164"/>
      <c r="F164"/>
      <c r="G164"/>
      <c r="H164"/>
      <c r="I164"/>
      <c r="J164"/>
      <c r="K164"/>
      <c r="L164"/>
      <c r="M164"/>
      <c r="N164"/>
    </row>
    <row r="165" spans="2:14" hidden="1" x14ac:dyDescent="0.2">
      <c r="B165"/>
      <c r="C165"/>
      <c r="D165"/>
      <c r="E165"/>
      <c r="F165"/>
      <c r="G165"/>
      <c r="H165"/>
      <c r="I165"/>
      <c r="J165"/>
      <c r="K165"/>
      <c r="L165"/>
      <c r="M165"/>
      <c r="N165"/>
    </row>
    <row r="166" spans="2:14" hidden="1" x14ac:dyDescent="0.2">
      <c r="B166"/>
      <c r="C166"/>
      <c r="D166"/>
      <c r="E166"/>
      <c r="F166"/>
      <c r="G166"/>
      <c r="H166"/>
      <c r="I166"/>
      <c r="J166"/>
      <c r="K166"/>
      <c r="L166"/>
      <c r="M166"/>
      <c r="N166"/>
    </row>
    <row r="167" spans="2:14" x14ac:dyDescent="0.2">
      <c r="B167"/>
      <c r="C167"/>
      <c r="D167"/>
      <c r="E167"/>
      <c r="F167"/>
      <c r="G167"/>
      <c r="H167"/>
      <c r="I167"/>
      <c r="J167"/>
      <c r="K167"/>
      <c r="L167"/>
      <c r="M167"/>
      <c r="N167"/>
    </row>
    <row r="168" spans="2:14" x14ac:dyDescent="0.2">
      <c r="B168"/>
      <c r="C168"/>
      <c r="D168"/>
      <c r="E168"/>
      <c r="F168"/>
      <c r="G168"/>
      <c r="H168"/>
      <c r="I168"/>
      <c r="J168"/>
      <c r="K168"/>
      <c r="L168"/>
      <c r="M168"/>
      <c r="N168"/>
    </row>
    <row r="169" spans="2:14" x14ac:dyDescent="0.2">
      <c r="B169"/>
      <c r="C169"/>
      <c r="D169"/>
      <c r="E169"/>
      <c r="F169"/>
      <c r="G169"/>
      <c r="H169"/>
      <c r="I169"/>
      <c r="J169"/>
      <c r="K169"/>
      <c r="L169"/>
      <c r="M169"/>
      <c r="N169"/>
    </row>
    <row r="170" spans="2:14" x14ac:dyDescent="0.2">
      <c r="B170"/>
      <c r="C170"/>
      <c r="D170"/>
      <c r="E170"/>
      <c r="F170"/>
      <c r="G170"/>
      <c r="H170"/>
      <c r="I170"/>
      <c r="J170"/>
      <c r="K170"/>
      <c r="L170"/>
      <c r="M170"/>
      <c r="N170"/>
    </row>
  </sheetData>
  <mergeCells count="1">
    <mergeCell ref="C27:E27"/>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9">
    <pageSetUpPr autoPageBreaks="0"/>
  </sheetPr>
  <dimension ref="B1:AT13"/>
  <sheetViews>
    <sheetView showGridLines="0" zoomScaleNormal="100" workbookViewId="0">
      <pane xSplit="2" ySplit="5" topLeftCell="AJ6" activePane="bottomRight" state="frozen"/>
      <selection activeCell="AU9" sqref="AU9"/>
      <selection pane="topRight" activeCell="AU9" sqref="AU9"/>
      <selection pane="bottomLeft" activeCell="AU9" sqref="AU9"/>
      <selection pane="bottomRight" activeCell="AT5" sqref="AT5"/>
    </sheetView>
  </sheetViews>
  <sheetFormatPr defaultRowHeight="12.75" outlineLevelRow="1" x14ac:dyDescent="0.2"/>
  <cols>
    <col min="1" max="1" width="1.42578125" customWidth="1"/>
    <col min="2" max="2" width="58.5703125" customWidth="1"/>
    <col min="3" max="46" width="10.7109375" customWidth="1"/>
  </cols>
  <sheetData>
    <row r="1" spans="2:46" s="557" customFormat="1" ht="7.5" customHeight="1" x14ac:dyDescent="0.2"/>
    <row r="2" spans="2:46" s="557" customFormat="1" x14ac:dyDescent="0.2">
      <c r="B2" s="585"/>
    </row>
    <row r="3" spans="2:46" ht="12.75" customHeight="1" x14ac:dyDescent="0.2">
      <c r="B3" s="44"/>
      <c r="V3" s="551"/>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551"/>
    </row>
    <row r="4" spans="2:46" ht="12.75" customHeight="1" x14ac:dyDescent="0.2">
      <c r="B4" s="44"/>
      <c r="V4" s="40"/>
      <c r="W4" s="40"/>
      <c r="X4" s="40"/>
      <c r="Y4" s="40"/>
      <c r="Z4" s="40"/>
      <c r="AA4" s="40"/>
    </row>
    <row r="5" spans="2:46" x14ac:dyDescent="0.2">
      <c r="B5" s="141" t="s">
        <v>391</v>
      </c>
      <c r="C5" s="247" t="s">
        <v>471</v>
      </c>
      <c r="D5" s="247" t="s">
        <v>472</v>
      </c>
      <c r="E5" s="247" t="s">
        <v>473</v>
      </c>
      <c r="F5" s="247" t="s">
        <v>474</v>
      </c>
      <c r="G5" s="247" t="s">
        <v>475</v>
      </c>
      <c r="H5" s="247" t="s">
        <v>476</v>
      </c>
      <c r="I5" s="247" t="s">
        <v>477</v>
      </c>
      <c r="J5" s="247" t="s">
        <v>478</v>
      </c>
      <c r="K5" s="247" t="s">
        <v>479</v>
      </c>
      <c r="L5" s="247" t="s">
        <v>371</v>
      </c>
      <c r="M5" s="247" t="s">
        <v>372</v>
      </c>
      <c r="N5" s="247" t="s">
        <v>373</v>
      </c>
      <c r="O5" s="247" t="s">
        <v>374</v>
      </c>
      <c r="P5" s="247" t="s">
        <v>375</v>
      </c>
      <c r="Q5" s="247" t="s">
        <v>376</v>
      </c>
      <c r="R5" s="247" t="s">
        <v>694</v>
      </c>
      <c r="S5" s="247" t="s">
        <v>758</v>
      </c>
      <c r="T5" s="247" t="s">
        <v>771</v>
      </c>
      <c r="U5" s="247" t="s">
        <v>788</v>
      </c>
      <c r="V5" s="247" t="s">
        <v>844</v>
      </c>
      <c r="W5" s="247" t="s">
        <v>862</v>
      </c>
      <c r="X5" s="247" t="s">
        <v>922</v>
      </c>
      <c r="Y5" s="247" t="s">
        <v>923</v>
      </c>
      <c r="Z5" s="247" t="s">
        <v>924</v>
      </c>
      <c r="AA5" s="247" t="s">
        <v>995</v>
      </c>
      <c r="AB5" s="247" t="s">
        <v>1027</v>
      </c>
      <c r="AC5" s="247" t="s">
        <v>1028</v>
      </c>
      <c r="AD5" s="247" t="s">
        <v>993</v>
      </c>
      <c r="AE5" s="247" t="s">
        <v>1124</v>
      </c>
      <c r="AF5" s="247" t="s">
        <v>1125</v>
      </c>
      <c r="AG5" s="247" t="s">
        <v>1126</v>
      </c>
      <c r="AH5" s="247" t="s">
        <v>1127</v>
      </c>
      <c r="AI5" s="247" t="s">
        <v>1181</v>
      </c>
      <c r="AJ5" s="247" t="s">
        <v>1189</v>
      </c>
      <c r="AK5" s="247" t="s">
        <v>1191</v>
      </c>
      <c r="AL5" s="247" t="s">
        <v>1193</v>
      </c>
      <c r="AM5" s="247" t="s">
        <v>1232</v>
      </c>
      <c r="AN5" s="247" t="s">
        <v>1245</v>
      </c>
      <c r="AO5" s="247" t="s">
        <v>1247</v>
      </c>
      <c r="AP5" s="247" t="s">
        <v>1249</v>
      </c>
      <c r="AQ5" s="247" t="s">
        <v>1306</v>
      </c>
      <c r="AR5" s="247" t="s">
        <v>1316</v>
      </c>
      <c r="AS5" s="247" t="s">
        <v>1317</v>
      </c>
      <c r="AT5" s="247" t="s">
        <v>1318</v>
      </c>
    </row>
    <row r="6" spans="2:46" x14ac:dyDescent="0.2">
      <c r="B6" s="130" t="s">
        <v>847</v>
      </c>
      <c r="C6" s="118">
        <v>0</v>
      </c>
      <c r="D6" s="118">
        <v>0</v>
      </c>
      <c r="E6" s="118">
        <v>0</v>
      </c>
      <c r="F6" s="118">
        <v>0</v>
      </c>
      <c r="G6" s="118">
        <v>0</v>
      </c>
      <c r="H6" s="118">
        <v>0</v>
      </c>
      <c r="I6" s="118">
        <v>0</v>
      </c>
      <c r="J6" s="118">
        <v>0</v>
      </c>
      <c r="K6" s="118">
        <v>0</v>
      </c>
      <c r="L6" s="118">
        <v>0</v>
      </c>
      <c r="M6" s="118">
        <v>0</v>
      </c>
      <c r="N6" s="118">
        <v>0</v>
      </c>
      <c r="O6" s="118">
        <v>0</v>
      </c>
      <c r="P6" s="262">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row>
    <row r="7" spans="2:46" x14ac:dyDescent="0.2">
      <c r="B7" s="130" t="s">
        <v>188</v>
      </c>
      <c r="C7" s="118">
        <v>-14651</v>
      </c>
      <c r="D7" s="118">
        <v>-7673</v>
      </c>
      <c r="E7" s="118">
        <v>-6695</v>
      </c>
      <c r="F7" s="118">
        <v>-5724</v>
      </c>
      <c r="G7" s="118">
        <v>-4844</v>
      </c>
      <c r="H7" s="118">
        <v>-3987</v>
      </c>
      <c r="I7" s="118">
        <v>-3216</v>
      </c>
      <c r="J7" s="118">
        <v>-2476</v>
      </c>
      <c r="K7" s="118">
        <v>-2051</v>
      </c>
      <c r="L7" s="118">
        <v>-1744</v>
      </c>
      <c r="M7" s="118">
        <v>-1445</v>
      </c>
      <c r="N7" s="118">
        <v>-1182</v>
      </c>
      <c r="O7" s="118">
        <v>-2263</v>
      </c>
      <c r="P7" s="262">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row>
    <row r="8" spans="2:46" x14ac:dyDescent="0.2">
      <c r="B8" s="130" t="s">
        <v>849</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row>
    <row r="9" spans="2:46" x14ac:dyDescent="0.2">
      <c r="B9" s="130" t="s">
        <v>850</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row>
    <row r="10" spans="2:46" x14ac:dyDescent="0.2">
      <c r="B10" s="130" t="s">
        <v>392</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row>
    <row r="11" spans="2:46" x14ac:dyDescent="0.2">
      <c r="B11" s="130" t="s">
        <v>1294</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row>
    <row r="12" spans="2:46" s="312" customFormat="1" outlineLevel="1" x14ac:dyDescent="0.2">
      <c r="B12" s="319" t="s">
        <v>398</v>
      </c>
      <c r="C12" s="313">
        <v>-216263</v>
      </c>
      <c r="D12" s="313">
        <v>-48143</v>
      </c>
      <c r="E12" s="313">
        <v>-132397</v>
      </c>
      <c r="F12" s="313">
        <v>-143833</v>
      </c>
      <c r="G12" s="313">
        <v>-175920</v>
      </c>
      <c r="H12" s="313">
        <v>0</v>
      </c>
      <c r="I12" s="313">
        <v>0</v>
      </c>
      <c r="J12" s="313">
        <v>0</v>
      </c>
      <c r="K12" s="313">
        <v>0</v>
      </c>
      <c r="L12" s="313">
        <v>0</v>
      </c>
      <c r="M12" s="313">
        <v>0</v>
      </c>
      <c r="N12" s="313">
        <v>0</v>
      </c>
      <c r="O12" s="313">
        <v>0</v>
      </c>
      <c r="P12" s="313">
        <v>0</v>
      </c>
      <c r="Q12" s="313">
        <v>0</v>
      </c>
      <c r="R12" s="313">
        <v>0</v>
      </c>
      <c r="S12" s="313">
        <v>0</v>
      </c>
      <c r="T12" s="313" t="s">
        <v>47</v>
      </c>
      <c r="U12" s="313" t="s">
        <v>47</v>
      </c>
      <c r="V12" s="313"/>
      <c r="W12" s="313" t="s">
        <v>47</v>
      </c>
      <c r="X12" s="313"/>
      <c r="Y12" s="313" t="s">
        <v>47</v>
      </c>
      <c r="Z12" s="313" t="s">
        <v>47</v>
      </c>
      <c r="AA12" s="313" t="s">
        <v>47</v>
      </c>
      <c r="AB12" s="313" t="s">
        <v>47</v>
      </c>
      <c r="AC12" s="313" t="s">
        <v>47</v>
      </c>
      <c r="AD12" s="313" t="s">
        <v>47</v>
      </c>
      <c r="AE12" s="313" t="s">
        <v>47</v>
      </c>
      <c r="AF12" s="313" t="s">
        <v>47</v>
      </c>
      <c r="AG12" s="313" t="s">
        <v>47</v>
      </c>
      <c r="AH12" s="313">
        <v>0</v>
      </c>
      <c r="AI12" s="313">
        <v>0</v>
      </c>
      <c r="AJ12" s="118">
        <v>0</v>
      </c>
      <c r="AK12" s="118">
        <v>0</v>
      </c>
      <c r="AL12" s="118">
        <v>0</v>
      </c>
      <c r="AM12" s="118">
        <v>0</v>
      </c>
      <c r="AN12" s="118">
        <v>0</v>
      </c>
      <c r="AO12" s="118">
        <v>0</v>
      </c>
      <c r="AP12" s="118">
        <v>0</v>
      </c>
      <c r="AQ12" s="118">
        <v>0</v>
      </c>
      <c r="AR12" s="118"/>
      <c r="AS12" s="118">
        <v>0</v>
      </c>
      <c r="AT12" s="118">
        <v>0</v>
      </c>
    </row>
    <row r="13" spans="2:46" x14ac:dyDescent="0.2">
      <c r="B13" s="127" t="s">
        <v>400</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SUM(AP6:AP12)</f>
        <v>129104</v>
      </c>
      <c r="AQ13" s="120">
        <f>SUM(AQ6:AQ12)</f>
        <v>191603</v>
      </c>
      <c r="AR13" s="120">
        <f>SUM(AR6:AR12)</f>
        <v>176024</v>
      </c>
      <c r="AS13" s="120">
        <f>SUM(AS6:AS12)</f>
        <v>152588</v>
      </c>
      <c r="AT13" s="120">
        <f>SUM(AT6:AT12)</f>
        <v>133488</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8">
    <pageSetUpPr autoPageBreaks="0"/>
  </sheetPr>
  <dimension ref="B1:O342"/>
  <sheetViews>
    <sheetView showGridLines="0" zoomScaleNormal="100" workbookViewId="0">
      <pane xSplit="1" ySplit="5" topLeftCell="B6" activePane="bottomRight" state="frozen"/>
      <selection activeCell="X6" sqref="X6"/>
      <selection pane="topRight" activeCell="X6" sqref="X6"/>
      <selection pane="bottomLeft" activeCell="X6" sqref="X6"/>
      <selection pane="bottomRight" activeCell="E4" sqref="E4"/>
    </sheetView>
  </sheetViews>
  <sheetFormatPr defaultRowHeight="12.75" x14ac:dyDescent="0.2"/>
  <cols>
    <col min="1" max="1" width="1.42578125" customWidth="1"/>
    <col min="2" max="2" width="38.42578125" bestFit="1" customWidth="1"/>
    <col min="3" max="7" width="10.7109375" customWidth="1"/>
    <col min="8" max="8" width="1.42578125" customWidth="1"/>
    <col min="9" max="9" width="38.42578125" bestFit="1" customWidth="1"/>
    <col min="10" max="16" width="10.7109375" customWidth="1"/>
  </cols>
  <sheetData>
    <row r="1" spans="2:15" ht="7.5" customHeight="1" x14ac:dyDescent="0.2">
      <c r="C1" s="551"/>
      <c r="D1" s="551"/>
      <c r="E1" s="551"/>
      <c r="F1" s="551"/>
      <c r="G1" s="551"/>
      <c r="H1" s="551"/>
      <c r="I1" s="551"/>
      <c r="J1" s="551"/>
      <c r="K1" s="551"/>
      <c r="L1" s="551"/>
      <c r="M1" s="551"/>
      <c r="N1" s="551"/>
      <c r="O1" s="551"/>
    </row>
    <row r="2" spans="2:15" x14ac:dyDescent="0.2">
      <c r="C2" s="555"/>
      <c r="D2" s="555"/>
      <c r="E2" s="555"/>
      <c r="F2" s="555"/>
      <c r="G2" s="555"/>
      <c r="H2" s="551"/>
      <c r="I2" s="551"/>
      <c r="J2" s="555"/>
      <c r="K2" s="555"/>
      <c r="L2" s="551"/>
      <c r="M2" s="551"/>
      <c r="N2" s="551"/>
      <c r="O2" s="551"/>
    </row>
    <row r="3" spans="2:15" x14ac:dyDescent="0.2">
      <c r="B3" s="40"/>
      <c r="C3" s="551"/>
      <c r="D3" s="551"/>
      <c r="E3" s="551"/>
      <c r="F3" s="551"/>
      <c r="G3" s="551"/>
      <c r="H3" s="551"/>
      <c r="I3" s="551"/>
      <c r="J3" s="551"/>
      <c r="K3" s="551"/>
      <c r="L3" s="551"/>
    </row>
    <row r="4" spans="2:15" x14ac:dyDescent="0.2">
      <c r="B4" s="40"/>
      <c r="F4" s="1200"/>
      <c r="G4" s="1200"/>
    </row>
    <row r="5" spans="2:15" ht="25.5" x14ac:dyDescent="0.2">
      <c r="B5" s="142" t="s">
        <v>391</v>
      </c>
      <c r="C5" s="140" t="s">
        <v>1347</v>
      </c>
      <c r="D5" s="140" t="s">
        <v>1348</v>
      </c>
      <c r="E5" s="140" t="s">
        <v>596</v>
      </c>
      <c r="F5" s="140" t="s">
        <v>621</v>
      </c>
      <c r="G5" s="140" t="s">
        <v>1290</v>
      </c>
      <c r="I5" s="140" t="s">
        <v>397</v>
      </c>
      <c r="J5" s="140" t="s">
        <v>1347</v>
      </c>
      <c r="K5" s="140" t="s">
        <v>1348</v>
      </c>
      <c r="L5" s="140" t="s">
        <v>596</v>
      </c>
      <c r="M5" s="140" t="s">
        <v>621</v>
      </c>
      <c r="N5" s="140" t="s">
        <v>1290</v>
      </c>
    </row>
    <row r="6" spans="2:15" x14ac:dyDescent="0.2">
      <c r="B6" s="130" t="s">
        <v>392</v>
      </c>
      <c r="C6" s="118">
        <v>105996</v>
      </c>
      <c r="D6" s="118">
        <v>151975</v>
      </c>
      <c r="E6" s="118">
        <v>39131</v>
      </c>
      <c r="F6" s="118">
        <v>35452</v>
      </c>
      <c r="G6" s="118">
        <v>77392</v>
      </c>
      <c r="I6" s="130" t="str">
        <f t="shared" ref="I6:I25" si="0">B6</f>
        <v>Debentures</v>
      </c>
      <c r="J6" s="118">
        <v>85708</v>
      </c>
      <c r="K6" s="118">
        <v>110360</v>
      </c>
      <c r="L6" s="118">
        <v>36618</v>
      </c>
      <c r="M6" s="118">
        <v>32628</v>
      </c>
      <c r="N6" s="118">
        <v>41114</v>
      </c>
    </row>
    <row r="7" spans="2:15" x14ac:dyDescent="0.2">
      <c r="B7" s="130" t="s">
        <v>1289</v>
      </c>
      <c r="C7" s="118">
        <v>71077</v>
      </c>
      <c r="D7" s="118">
        <v>72723</v>
      </c>
      <c r="E7" s="118">
        <v>29663</v>
      </c>
      <c r="F7" s="118">
        <v>21721</v>
      </c>
      <c r="G7" s="118">
        <v>21339</v>
      </c>
      <c r="I7" s="130" t="str">
        <f t="shared" si="0"/>
        <v>Leases</v>
      </c>
      <c r="J7" s="118">
        <v>78782</v>
      </c>
      <c r="K7" s="118">
        <v>77518</v>
      </c>
      <c r="L7" s="118">
        <v>28939</v>
      </c>
      <c r="M7" s="118">
        <v>23459</v>
      </c>
      <c r="N7" s="118">
        <v>25120</v>
      </c>
    </row>
    <row r="8" spans="2:15" x14ac:dyDescent="0.2">
      <c r="B8" s="130" t="s">
        <v>194</v>
      </c>
      <c r="C8" s="118">
        <v>62418</v>
      </c>
      <c r="D8" s="118">
        <v>62418</v>
      </c>
      <c r="E8" s="118">
        <v>62418</v>
      </c>
      <c r="F8" s="118">
        <v>0</v>
      </c>
      <c r="G8" s="118">
        <v>0</v>
      </c>
      <c r="I8" s="130" t="str">
        <f t="shared" si="0"/>
        <v>Other accounts payable</v>
      </c>
      <c r="J8" s="118">
        <v>56755</v>
      </c>
      <c r="K8" s="118">
        <v>56755</v>
      </c>
      <c r="L8" s="118">
        <v>56755</v>
      </c>
      <c r="M8" s="118">
        <v>0</v>
      </c>
      <c r="N8" s="118">
        <v>0</v>
      </c>
    </row>
    <row r="9" spans="2:15" x14ac:dyDescent="0.2">
      <c r="B9" s="130" t="s">
        <v>393</v>
      </c>
      <c r="C9" s="118">
        <v>45780</v>
      </c>
      <c r="D9" s="118">
        <v>45780</v>
      </c>
      <c r="E9" s="118">
        <v>45780</v>
      </c>
      <c r="F9" s="118">
        <v>0</v>
      </c>
      <c r="G9" s="118">
        <v>0</v>
      </c>
      <c r="I9" s="130" t="str">
        <f t="shared" si="0"/>
        <v>Accounts payable - subsidiary acquisition</v>
      </c>
      <c r="J9" s="118">
        <v>39441</v>
      </c>
      <c r="K9" s="118">
        <v>39441</v>
      </c>
      <c r="L9" s="118">
        <v>39441</v>
      </c>
      <c r="M9" s="118">
        <v>0</v>
      </c>
      <c r="N9" s="118">
        <v>0</v>
      </c>
    </row>
    <row r="10" spans="2:15" x14ac:dyDescent="0.2">
      <c r="B10" s="130" t="s">
        <v>792</v>
      </c>
      <c r="C10" s="118">
        <v>1185</v>
      </c>
      <c r="D10" s="118">
        <v>1185</v>
      </c>
      <c r="E10" s="118">
        <v>661</v>
      </c>
      <c r="F10" s="118">
        <v>524</v>
      </c>
      <c r="G10" s="118">
        <v>0</v>
      </c>
      <c r="I10" s="130" t="str">
        <f t="shared" si="0"/>
        <v>RelOned Parties</v>
      </c>
      <c r="J10" s="118">
        <v>1713</v>
      </c>
      <c r="K10" s="118">
        <v>1713</v>
      </c>
      <c r="L10" s="118">
        <v>1209</v>
      </c>
      <c r="M10" s="118">
        <v>504</v>
      </c>
      <c r="N10" s="118">
        <v>0</v>
      </c>
    </row>
    <row r="11" spans="2:15" x14ac:dyDescent="0.2">
      <c r="B11" s="127" t="s">
        <v>1373</v>
      </c>
      <c r="C11" s="120">
        <f>SUM(C6:C10)</f>
        <v>286456</v>
      </c>
      <c r="D11" s="120">
        <f>SUM(D6:D10)</f>
        <v>334081</v>
      </c>
      <c r="E11" s="120">
        <f>SUM(E6:E10)</f>
        <v>177653</v>
      </c>
      <c r="F11" s="120">
        <f>SUM(F6:F10)</f>
        <v>57697</v>
      </c>
      <c r="G11" s="120">
        <f>SUM(G6:G10)</f>
        <v>98731</v>
      </c>
      <c r="I11" s="127" t="str">
        <f t="shared" si="0"/>
        <v>On December 30, 2024</v>
      </c>
      <c r="J11" s="120">
        <f>SUM(J6:J10)</f>
        <v>262399</v>
      </c>
      <c r="K11" s="120">
        <f>SUM(K6:K10)</f>
        <v>285787</v>
      </c>
      <c r="L11" s="120">
        <f>SUM(L6:L10)</f>
        <v>162962</v>
      </c>
      <c r="M11" s="120">
        <f>SUM(M6:M10)</f>
        <v>56591</v>
      </c>
      <c r="N11" s="120">
        <f>SUM(N6:N10)</f>
        <v>66234</v>
      </c>
    </row>
    <row r="12" spans="2:15" x14ac:dyDescent="0.2">
      <c r="B12" s="130" t="s">
        <v>392</v>
      </c>
      <c r="C12" s="118">
        <v>105996</v>
      </c>
      <c r="D12" s="118">
        <v>151975</v>
      </c>
      <c r="E12" s="118">
        <v>39131</v>
      </c>
      <c r="F12" s="118">
        <v>35452</v>
      </c>
      <c r="G12" s="118">
        <v>77392</v>
      </c>
      <c r="I12" s="130" t="str">
        <f t="shared" si="0"/>
        <v>Debentures</v>
      </c>
      <c r="J12" s="118">
        <v>85708</v>
      </c>
      <c r="K12" s="118">
        <v>110360</v>
      </c>
      <c r="L12" s="118">
        <v>36618</v>
      </c>
      <c r="M12" s="118">
        <v>32628</v>
      </c>
      <c r="N12" s="118">
        <v>41114</v>
      </c>
    </row>
    <row r="13" spans="2:15" x14ac:dyDescent="0.2">
      <c r="B13" s="130" t="s">
        <v>1289</v>
      </c>
      <c r="C13" s="118">
        <v>68195</v>
      </c>
      <c r="D13" s="118">
        <v>72723</v>
      </c>
      <c r="E13" s="118">
        <v>29663</v>
      </c>
      <c r="F13" s="118">
        <v>21721</v>
      </c>
      <c r="G13" s="118">
        <v>21339</v>
      </c>
      <c r="I13" s="130" t="str">
        <f t="shared" si="0"/>
        <v>Leases</v>
      </c>
      <c r="J13" s="118">
        <v>75900</v>
      </c>
      <c r="K13" s="118">
        <v>77518</v>
      </c>
      <c r="L13" s="118">
        <v>28939</v>
      </c>
      <c r="M13" s="118">
        <v>23459</v>
      </c>
      <c r="N13" s="118">
        <v>25120</v>
      </c>
    </row>
    <row r="14" spans="2:15" x14ac:dyDescent="0.2">
      <c r="B14" s="130" t="s">
        <v>194</v>
      </c>
      <c r="C14" s="118">
        <v>59614</v>
      </c>
      <c r="D14" s="118">
        <v>59614</v>
      </c>
      <c r="E14" s="118">
        <v>59614</v>
      </c>
      <c r="F14" s="118">
        <v>0</v>
      </c>
      <c r="G14" s="118">
        <v>0</v>
      </c>
      <c r="I14" s="130" t="str">
        <f t="shared" si="0"/>
        <v>Other accounts payable</v>
      </c>
      <c r="J14" s="118">
        <v>53951</v>
      </c>
      <c r="K14" s="118">
        <v>53951</v>
      </c>
      <c r="L14" s="118">
        <v>53951</v>
      </c>
      <c r="M14" s="118">
        <v>0</v>
      </c>
      <c r="N14" s="118">
        <v>0</v>
      </c>
    </row>
    <row r="15" spans="2:15" x14ac:dyDescent="0.2">
      <c r="B15" s="130" t="s">
        <v>393</v>
      </c>
      <c r="C15" s="118">
        <v>52870</v>
      </c>
      <c r="D15" s="118">
        <v>52870</v>
      </c>
      <c r="E15" s="118">
        <v>52870</v>
      </c>
      <c r="F15" s="118">
        <v>0</v>
      </c>
      <c r="G15" s="118">
        <v>0</v>
      </c>
      <c r="I15" s="130" t="str">
        <f t="shared" si="0"/>
        <v>Accounts payable - subsidiary acquisition</v>
      </c>
      <c r="J15" s="118">
        <v>46531</v>
      </c>
      <c r="K15" s="118">
        <v>46531</v>
      </c>
      <c r="L15" s="118">
        <v>46531</v>
      </c>
      <c r="M15" s="118">
        <v>0</v>
      </c>
      <c r="N15" s="118">
        <v>0</v>
      </c>
    </row>
    <row r="16" spans="2:15" x14ac:dyDescent="0.2">
      <c r="B16" s="130" t="s">
        <v>792</v>
      </c>
      <c r="C16" s="118">
        <v>1185</v>
      </c>
      <c r="D16" s="118">
        <v>1185</v>
      </c>
      <c r="E16" s="118">
        <v>661</v>
      </c>
      <c r="F16" s="118">
        <v>524</v>
      </c>
      <c r="G16" s="118">
        <v>0</v>
      </c>
      <c r="I16" s="130" t="str">
        <f t="shared" si="0"/>
        <v>RelOned Parties</v>
      </c>
      <c r="J16" s="118">
        <v>1713</v>
      </c>
      <c r="K16" s="118">
        <v>1713</v>
      </c>
      <c r="L16" s="118">
        <v>1209</v>
      </c>
      <c r="M16" s="118">
        <v>504</v>
      </c>
      <c r="N16" s="118">
        <v>0</v>
      </c>
    </row>
    <row r="17" spans="2:14" x14ac:dyDescent="0.2">
      <c r="B17" s="127" t="s">
        <v>1357</v>
      </c>
      <c r="C17" s="120">
        <f>SUM(C12:C16)</f>
        <v>287860</v>
      </c>
      <c r="D17" s="120">
        <f>SUM(D12:D16)</f>
        <v>338367</v>
      </c>
      <c r="E17" s="120">
        <f>SUM(E12:E16)</f>
        <v>181939</v>
      </c>
      <c r="F17" s="120">
        <f>SUM(F12:F16)</f>
        <v>57697</v>
      </c>
      <c r="G17" s="120">
        <f>SUM(G12:G16)</f>
        <v>98731</v>
      </c>
      <c r="I17" s="127" t="str">
        <f t="shared" si="0"/>
        <v>On September 30, 2024</v>
      </c>
      <c r="J17" s="120">
        <v>263803</v>
      </c>
      <c r="K17" s="120">
        <v>290073</v>
      </c>
      <c r="L17" s="120">
        <v>167248</v>
      </c>
      <c r="M17" s="120">
        <v>56591</v>
      </c>
      <c r="N17" s="120">
        <v>66234</v>
      </c>
    </row>
    <row r="18" spans="2:14" x14ac:dyDescent="0.2">
      <c r="B18" s="130" t="s">
        <v>392</v>
      </c>
      <c r="C18" s="118">
        <v>105966</v>
      </c>
      <c r="D18" s="118">
        <v>156807</v>
      </c>
      <c r="E18" s="118">
        <v>14299</v>
      </c>
      <c r="F18" s="118">
        <v>37282</v>
      </c>
      <c r="G18" s="118">
        <v>105226</v>
      </c>
      <c r="I18" s="130" t="str">
        <f t="shared" si="0"/>
        <v>Debentures</v>
      </c>
      <c r="J18" s="118">
        <v>85634</v>
      </c>
      <c r="K18" s="118">
        <v>115172</v>
      </c>
      <c r="L18" s="118">
        <v>11855</v>
      </c>
      <c r="M18" s="118">
        <v>34916</v>
      </c>
      <c r="N18" s="118">
        <v>68401</v>
      </c>
    </row>
    <row r="19" spans="2:14" x14ac:dyDescent="0.2">
      <c r="B19" s="130" t="s">
        <v>1289</v>
      </c>
      <c r="C19" s="118">
        <v>67477</v>
      </c>
      <c r="D19" s="118">
        <v>82758</v>
      </c>
      <c r="E19" s="118">
        <v>33679</v>
      </c>
      <c r="F19" s="118">
        <v>22582</v>
      </c>
      <c r="G19" s="118">
        <v>26497</v>
      </c>
      <c r="I19" s="130" t="str">
        <f t="shared" si="0"/>
        <v>Leases</v>
      </c>
      <c r="J19" s="118">
        <v>72095</v>
      </c>
      <c r="K19" s="118">
        <v>90166</v>
      </c>
      <c r="L19" s="118">
        <v>32609</v>
      </c>
      <c r="M19" s="118">
        <v>25628</v>
      </c>
      <c r="N19" s="118">
        <v>31929</v>
      </c>
    </row>
    <row r="20" spans="2:14" x14ac:dyDescent="0.2">
      <c r="B20" s="130" t="s">
        <v>194</v>
      </c>
      <c r="C20" s="118">
        <v>54715</v>
      </c>
      <c r="D20" s="118">
        <v>54715</v>
      </c>
      <c r="E20" s="118">
        <v>54715</v>
      </c>
      <c r="F20" s="118">
        <v>0</v>
      </c>
      <c r="G20" s="118">
        <v>0</v>
      </c>
      <c r="I20" s="130" t="str">
        <f t="shared" si="0"/>
        <v>Other accounts payable</v>
      </c>
      <c r="J20" s="118">
        <v>44198</v>
      </c>
      <c r="K20" s="118">
        <v>44198</v>
      </c>
      <c r="L20" s="118">
        <v>44198</v>
      </c>
      <c r="M20" s="118">
        <v>0</v>
      </c>
      <c r="N20" s="118">
        <v>0</v>
      </c>
    </row>
    <row r="21" spans="2:14" x14ac:dyDescent="0.2">
      <c r="B21" s="130" t="s">
        <v>393</v>
      </c>
      <c r="C21" s="118">
        <v>34519</v>
      </c>
      <c r="D21" s="118">
        <v>34519</v>
      </c>
      <c r="E21" s="118">
        <v>34519</v>
      </c>
      <c r="F21" s="118">
        <v>0</v>
      </c>
      <c r="G21" s="118">
        <v>0</v>
      </c>
      <c r="I21" s="130" t="str">
        <f t="shared" si="0"/>
        <v>Accounts payable - subsidiary acquisition</v>
      </c>
      <c r="J21" s="118">
        <v>29252</v>
      </c>
      <c r="K21" s="118">
        <v>29252</v>
      </c>
      <c r="L21" s="118">
        <v>29252</v>
      </c>
      <c r="M21" s="118">
        <v>0</v>
      </c>
      <c r="N21" s="118">
        <v>0</v>
      </c>
    </row>
    <row r="22" spans="2:14" x14ac:dyDescent="0.2">
      <c r="B22" s="130" t="s">
        <v>792</v>
      </c>
      <c r="C22" s="118">
        <v>1418</v>
      </c>
      <c r="D22" s="118">
        <v>1418</v>
      </c>
      <c r="E22" s="118">
        <v>894</v>
      </c>
      <c r="F22" s="118">
        <v>524</v>
      </c>
      <c r="G22" s="118">
        <v>0</v>
      </c>
      <c r="I22" s="130" t="str">
        <f t="shared" si="0"/>
        <v>RelOned Parties</v>
      </c>
      <c r="J22" s="118">
        <v>1827</v>
      </c>
      <c r="K22" s="118">
        <v>1827</v>
      </c>
      <c r="L22" s="118">
        <v>1323</v>
      </c>
      <c r="M22" s="118">
        <v>504</v>
      </c>
      <c r="N22" s="118">
        <v>0</v>
      </c>
    </row>
    <row r="23" spans="2:14" x14ac:dyDescent="0.2">
      <c r="B23" s="127" t="s">
        <v>1340</v>
      </c>
      <c r="C23" s="120">
        <f>SUM(C18:C22)</f>
        <v>264095</v>
      </c>
      <c r="D23" s="120">
        <f>SUM(D18:D22)</f>
        <v>330217</v>
      </c>
      <c r="E23" s="120">
        <f>SUM(E18:E22)</f>
        <v>138106</v>
      </c>
      <c r="F23" s="120">
        <f>SUM(F18:F22)</f>
        <v>60388</v>
      </c>
      <c r="G23" s="120">
        <f>SUM(G18:G22)</f>
        <v>131723</v>
      </c>
      <c r="I23" s="127" t="str">
        <f t="shared" si="0"/>
        <v>On June 30, 2024</v>
      </c>
      <c r="J23" s="120">
        <f>SUM(J18:J22)</f>
        <v>233006</v>
      </c>
      <c r="K23" s="120">
        <f>SUM(K18:K22)</f>
        <v>280615</v>
      </c>
      <c r="L23" s="120">
        <f>SUM(L18:L22)</f>
        <v>119237</v>
      </c>
      <c r="M23" s="120">
        <f>SUM(M18:M22)</f>
        <v>61048</v>
      </c>
      <c r="N23" s="120">
        <f>SUM(N18:N22)</f>
        <v>100330</v>
      </c>
    </row>
    <row r="24" spans="2:14" x14ac:dyDescent="0.2">
      <c r="B24" s="130" t="s">
        <v>392</v>
      </c>
      <c r="C24" s="118">
        <v>107217</v>
      </c>
      <c r="D24" s="118">
        <v>152183</v>
      </c>
      <c r="E24" s="118">
        <v>24137</v>
      </c>
      <c r="F24" s="118">
        <v>36269</v>
      </c>
      <c r="G24" s="118">
        <v>91777</v>
      </c>
      <c r="I24" s="130" t="str">
        <f t="shared" si="0"/>
        <v>Debentures</v>
      </c>
      <c r="J24" s="118">
        <v>95722</v>
      </c>
      <c r="K24" s="118">
        <v>128440</v>
      </c>
      <c r="L24" s="118">
        <v>22730</v>
      </c>
      <c r="M24" s="118">
        <v>34900</v>
      </c>
      <c r="N24" s="118">
        <v>70810</v>
      </c>
    </row>
    <row r="25" spans="2:14" x14ac:dyDescent="0.2">
      <c r="B25" s="130" t="s">
        <v>1289</v>
      </c>
      <c r="C25" s="118">
        <v>66175</v>
      </c>
      <c r="D25" s="118">
        <v>81422</v>
      </c>
      <c r="E25" s="118">
        <v>33685</v>
      </c>
      <c r="F25" s="118">
        <v>21645</v>
      </c>
      <c r="G25" s="118">
        <v>26092</v>
      </c>
      <c r="I25" s="130" t="str">
        <f t="shared" si="0"/>
        <v>Leases</v>
      </c>
      <c r="J25" s="118">
        <v>65625</v>
      </c>
      <c r="K25" s="118">
        <v>82892</v>
      </c>
      <c r="L25" s="118">
        <v>29242</v>
      </c>
      <c r="M25" s="118">
        <v>22973</v>
      </c>
      <c r="N25" s="118">
        <v>30677</v>
      </c>
    </row>
    <row r="26" spans="2:14" x14ac:dyDescent="0.2">
      <c r="B26" s="130" t="s">
        <v>194</v>
      </c>
      <c r="C26" s="118">
        <v>45666</v>
      </c>
      <c r="D26" s="118">
        <v>45666</v>
      </c>
      <c r="E26" s="118">
        <v>45666</v>
      </c>
      <c r="F26" s="118">
        <v>0</v>
      </c>
      <c r="G26" s="118">
        <v>0</v>
      </c>
      <c r="I26" s="130" t="str">
        <f t="shared" ref="I26:I42" si="1">B26</f>
        <v>Other accounts payable</v>
      </c>
      <c r="J26" s="118">
        <v>34620</v>
      </c>
      <c r="K26" s="118">
        <v>34620</v>
      </c>
      <c r="L26" s="118">
        <v>34620</v>
      </c>
      <c r="M26" s="118">
        <v>0</v>
      </c>
      <c r="N26" s="118">
        <v>0</v>
      </c>
    </row>
    <row r="27" spans="2:14" x14ac:dyDescent="0.2">
      <c r="B27" s="130" t="s">
        <v>393</v>
      </c>
      <c r="C27" s="118">
        <v>30730</v>
      </c>
      <c r="D27" s="118">
        <v>30730</v>
      </c>
      <c r="E27" s="118">
        <v>30730</v>
      </c>
      <c r="F27" s="118">
        <v>0</v>
      </c>
      <c r="G27" s="118">
        <v>0</v>
      </c>
      <c r="I27" s="130" t="str">
        <f t="shared" si="1"/>
        <v>Accounts payable - subsidiary acquisition</v>
      </c>
      <c r="J27" s="118">
        <v>24216</v>
      </c>
      <c r="K27" s="118">
        <v>24216</v>
      </c>
      <c r="L27" s="118">
        <v>24216</v>
      </c>
      <c r="M27" s="118">
        <v>0</v>
      </c>
      <c r="N27" s="118">
        <v>0</v>
      </c>
    </row>
    <row r="28" spans="2:14" x14ac:dyDescent="0.2">
      <c r="B28" s="130" t="s">
        <v>792</v>
      </c>
      <c r="C28" s="118">
        <v>1679</v>
      </c>
      <c r="D28" s="118">
        <v>1679</v>
      </c>
      <c r="E28" s="118">
        <v>1155</v>
      </c>
      <c r="F28" s="118">
        <v>524</v>
      </c>
      <c r="G28" s="118">
        <v>0</v>
      </c>
      <c r="I28" s="130" t="str">
        <f t="shared" si="1"/>
        <v>RelOned Parties</v>
      </c>
      <c r="J28" s="118">
        <v>2041</v>
      </c>
      <c r="K28" s="118">
        <v>2041</v>
      </c>
      <c r="L28" s="118">
        <v>1537</v>
      </c>
      <c r="M28" s="118">
        <v>504</v>
      </c>
      <c r="N28" s="118">
        <v>0</v>
      </c>
    </row>
    <row r="29" spans="2:14" x14ac:dyDescent="0.2">
      <c r="B29" s="127" t="s">
        <v>1330</v>
      </c>
      <c r="C29" s="120">
        <f>+SUM(C24:C28)</f>
        <v>251467</v>
      </c>
      <c r="D29" s="120">
        <f>+SUM(D24:D28)</f>
        <v>311680</v>
      </c>
      <c r="E29" s="120">
        <f>+SUM(E24:E28)</f>
        <v>135373</v>
      </c>
      <c r="F29" s="120">
        <f>+SUM(F24:F28)</f>
        <v>58438</v>
      </c>
      <c r="G29" s="120">
        <f>+SUM(G24:G28)</f>
        <v>117869</v>
      </c>
      <c r="I29" s="127" t="str">
        <f t="shared" si="1"/>
        <v>On March 31, 2024</v>
      </c>
      <c r="J29" s="120">
        <f>+SUM(J24:J28)</f>
        <v>222224</v>
      </c>
      <c r="K29" s="120">
        <f>+SUM(K24:K28)</f>
        <v>272209</v>
      </c>
      <c r="L29" s="120">
        <f>+SUM(L24:L28)</f>
        <v>112345</v>
      </c>
      <c r="M29" s="120">
        <f>+SUM(M24:M28)</f>
        <v>58377</v>
      </c>
      <c r="N29" s="120">
        <f>+SUM(N24:N28)</f>
        <v>101487</v>
      </c>
    </row>
    <row r="30" spans="2:14" x14ac:dyDescent="0.2">
      <c r="B30" s="130" t="s">
        <v>392</v>
      </c>
      <c r="C30" s="122" t="s">
        <v>1349</v>
      </c>
      <c r="D30" s="122" t="s">
        <v>1349</v>
      </c>
      <c r="E30" s="118">
        <v>20811</v>
      </c>
      <c r="F30" s="118">
        <v>36295</v>
      </c>
      <c r="G30" s="118">
        <v>66569</v>
      </c>
      <c r="I30" s="130" t="str">
        <f t="shared" si="1"/>
        <v>Debentures</v>
      </c>
      <c r="J30" s="122" t="s">
        <v>47</v>
      </c>
      <c r="K30" s="122" t="s">
        <v>47</v>
      </c>
      <c r="L30" s="118">
        <v>20811</v>
      </c>
      <c r="M30" s="118">
        <v>36295</v>
      </c>
      <c r="N30" s="118">
        <v>66569</v>
      </c>
    </row>
    <row r="31" spans="2:14" x14ac:dyDescent="0.2">
      <c r="B31" s="130" t="s">
        <v>194</v>
      </c>
      <c r="C31" s="122" t="s">
        <v>1349</v>
      </c>
      <c r="D31" s="122" t="s">
        <v>1349</v>
      </c>
      <c r="E31" s="118">
        <v>49620</v>
      </c>
      <c r="F31" s="118">
        <v>0</v>
      </c>
      <c r="G31" s="118">
        <v>0</v>
      </c>
      <c r="I31" s="130" t="str">
        <f t="shared" si="1"/>
        <v>Other accounts payable</v>
      </c>
      <c r="J31" s="122" t="s">
        <v>47</v>
      </c>
      <c r="K31" s="122" t="s">
        <v>47</v>
      </c>
      <c r="L31" s="118">
        <v>39751</v>
      </c>
      <c r="M31" s="118">
        <v>0</v>
      </c>
      <c r="N31" s="118">
        <v>0</v>
      </c>
    </row>
    <row r="32" spans="2:14" x14ac:dyDescent="0.2">
      <c r="B32" s="130" t="s">
        <v>393</v>
      </c>
      <c r="C32" s="122" t="s">
        <v>1349</v>
      </c>
      <c r="D32" s="122" t="s">
        <v>1349</v>
      </c>
      <c r="E32" s="118">
        <v>36632</v>
      </c>
      <c r="F32" s="118">
        <v>0</v>
      </c>
      <c r="G32" s="118">
        <v>0</v>
      </c>
      <c r="I32" s="130" t="str">
        <f t="shared" si="1"/>
        <v>Accounts payable - subsidiary acquisition</v>
      </c>
      <c r="J32" s="122" t="s">
        <v>47</v>
      </c>
      <c r="K32" s="122" t="s">
        <v>47</v>
      </c>
      <c r="L32" s="118">
        <v>29766</v>
      </c>
      <c r="M32" s="118">
        <v>0</v>
      </c>
      <c r="N32" s="118">
        <v>0</v>
      </c>
    </row>
    <row r="33" spans="2:14" x14ac:dyDescent="0.2">
      <c r="B33" s="130" t="s">
        <v>1289</v>
      </c>
      <c r="C33" s="122" t="s">
        <v>1349</v>
      </c>
      <c r="D33" s="122" t="s">
        <v>1349</v>
      </c>
      <c r="E33" s="118">
        <v>37128</v>
      </c>
      <c r="F33" s="118">
        <v>19927</v>
      </c>
      <c r="G33" s="118">
        <v>30586</v>
      </c>
      <c r="I33" s="130" t="str">
        <f t="shared" si="1"/>
        <v>Leases</v>
      </c>
      <c r="J33" s="122" t="s">
        <v>47</v>
      </c>
      <c r="K33" s="122" t="s">
        <v>47</v>
      </c>
      <c r="L33" s="118">
        <v>30781</v>
      </c>
      <c r="M33" s="118">
        <v>20944</v>
      </c>
      <c r="N33" s="118">
        <v>35254</v>
      </c>
    </row>
    <row r="34" spans="2:14" x14ac:dyDescent="0.2">
      <c r="B34" s="130" t="s">
        <v>792</v>
      </c>
      <c r="C34" s="122" t="s">
        <v>1349</v>
      </c>
      <c r="D34" s="122" t="s">
        <v>1349</v>
      </c>
      <c r="E34" s="118">
        <v>731</v>
      </c>
      <c r="F34" s="118">
        <v>524</v>
      </c>
      <c r="G34" s="118">
        <v>0</v>
      </c>
      <c r="I34" s="130" t="str">
        <f t="shared" si="1"/>
        <v>RelOned Parties</v>
      </c>
      <c r="J34" s="122" t="s">
        <v>47</v>
      </c>
      <c r="K34" s="122" t="s">
        <v>47</v>
      </c>
      <c r="L34" s="118">
        <v>1316</v>
      </c>
      <c r="M34" s="118">
        <v>504</v>
      </c>
      <c r="N34" s="118">
        <v>0</v>
      </c>
    </row>
    <row r="35" spans="2:14" x14ac:dyDescent="0.2">
      <c r="B35" s="127" t="s">
        <v>1309</v>
      </c>
      <c r="C35" s="120" t="s">
        <v>1349</v>
      </c>
      <c r="D35" s="120" t="s">
        <v>1349</v>
      </c>
      <c r="E35" s="120">
        <f>SUM(E30:E34)</f>
        <v>144922</v>
      </c>
      <c r="F35" s="120">
        <f>SUM(F30:F34)</f>
        <v>56746</v>
      </c>
      <c r="G35" s="120">
        <f>SUM(G30:G34)</f>
        <v>97155</v>
      </c>
      <c r="I35" s="127" t="str">
        <f t="shared" si="1"/>
        <v>On December 31, 2023</v>
      </c>
      <c r="J35" s="120" t="s">
        <v>47</v>
      </c>
      <c r="K35" s="120" t="s">
        <v>47</v>
      </c>
      <c r="L35" s="120">
        <f>SUM(L30:L34)</f>
        <v>122425</v>
      </c>
      <c r="M35" s="120">
        <f>SUM(M30:M34)</f>
        <v>57743</v>
      </c>
      <c r="N35" s="120">
        <f>SUM(N30:N34)</f>
        <v>101823</v>
      </c>
    </row>
    <row r="36" spans="2:14" x14ac:dyDescent="0.2">
      <c r="B36" s="130" t="s">
        <v>392</v>
      </c>
      <c r="C36" s="122" t="s">
        <v>1349</v>
      </c>
      <c r="D36" s="122" t="s">
        <v>1349</v>
      </c>
      <c r="E36" s="118">
        <v>21505</v>
      </c>
      <c r="F36" s="118">
        <v>37278</v>
      </c>
      <c r="G36" s="118">
        <v>69721</v>
      </c>
      <c r="I36" s="130" t="str">
        <f t="shared" si="1"/>
        <v>Debentures</v>
      </c>
      <c r="J36" s="122" t="s">
        <v>47</v>
      </c>
      <c r="K36" s="122" t="s">
        <v>47</v>
      </c>
      <c r="L36" s="118">
        <v>21505</v>
      </c>
      <c r="M36" s="118">
        <v>37278</v>
      </c>
      <c r="N36" s="118">
        <v>69721</v>
      </c>
    </row>
    <row r="37" spans="2:14" x14ac:dyDescent="0.2">
      <c r="B37" s="130" t="s">
        <v>194</v>
      </c>
      <c r="C37" s="122" t="s">
        <v>1349</v>
      </c>
      <c r="D37" s="122" t="s">
        <v>1349</v>
      </c>
      <c r="E37" s="118">
        <v>43470</v>
      </c>
      <c r="F37" s="118">
        <v>0</v>
      </c>
      <c r="G37" s="118">
        <v>0</v>
      </c>
      <c r="I37" s="130" t="str">
        <f t="shared" si="1"/>
        <v>Other accounts payable</v>
      </c>
      <c r="J37" s="122" t="s">
        <v>47</v>
      </c>
      <c r="K37" s="122" t="s">
        <v>47</v>
      </c>
      <c r="L37" s="118">
        <v>33351</v>
      </c>
      <c r="M37" s="118">
        <v>0</v>
      </c>
      <c r="N37" s="118">
        <v>0</v>
      </c>
    </row>
    <row r="38" spans="2:14" x14ac:dyDescent="0.2">
      <c r="B38" s="130" t="s">
        <v>393</v>
      </c>
      <c r="C38" s="122" t="s">
        <v>1349</v>
      </c>
      <c r="D38" s="122" t="s">
        <v>1349</v>
      </c>
      <c r="E38" s="118">
        <v>29824</v>
      </c>
      <c r="F38" s="118">
        <v>0</v>
      </c>
      <c r="G38" s="118">
        <v>0</v>
      </c>
      <c r="I38" s="130" t="str">
        <f t="shared" si="1"/>
        <v>Accounts payable - subsidiary acquisition</v>
      </c>
      <c r="J38" s="122" t="s">
        <v>47</v>
      </c>
      <c r="K38" s="122" t="s">
        <v>47</v>
      </c>
      <c r="L38" s="118">
        <v>22423</v>
      </c>
      <c r="M38" s="118">
        <v>0</v>
      </c>
      <c r="N38" s="118">
        <v>0</v>
      </c>
    </row>
    <row r="39" spans="2:14" x14ac:dyDescent="0.2">
      <c r="B39" s="130" t="s">
        <v>1289</v>
      </c>
      <c r="C39" s="122" t="s">
        <v>1349</v>
      </c>
      <c r="D39" s="122" t="s">
        <v>1349</v>
      </c>
      <c r="E39" s="118">
        <v>35192</v>
      </c>
      <c r="F39" s="118">
        <v>22648</v>
      </c>
      <c r="G39" s="118">
        <v>34159</v>
      </c>
      <c r="I39" s="130" t="str">
        <f t="shared" si="1"/>
        <v>Leases</v>
      </c>
      <c r="J39" s="122" t="s">
        <v>47</v>
      </c>
      <c r="K39" s="122" t="s">
        <v>47</v>
      </c>
      <c r="L39" s="118">
        <v>29364</v>
      </c>
      <c r="M39" s="118">
        <v>22360</v>
      </c>
      <c r="N39" s="118">
        <v>39944</v>
      </c>
    </row>
    <row r="40" spans="2:14" x14ac:dyDescent="0.2">
      <c r="B40" s="130" t="s">
        <v>792</v>
      </c>
      <c r="C40" s="122" t="s">
        <v>1349</v>
      </c>
      <c r="D40" s="122" t="s">
        <v>1349</v>
      </c>
      <c r="E40" s="118">
        <v>656</v>
      </c>
      <c r="F40" s="118">
        <v>524</v>
      </c>
      <c r="G40" s="118">
        <v>0</v>
      </c>
      <c r="I40" s="130" t="str">
        <f t="shared" si="1"/>
        <v>RelOned Parties</v>
      </c>
      <c r="J40" s="122" t="s">
        <v>47</v>
      </c>
      <c r="K40" s="122" t="s">
        <v>47</v>
      </c>
      <c r="L40" s="118">
        <v>1044</v>
      </c>
      <c r="M40" s="118">
        <v>504</v>
      </c>
      <c r="N40" s="118">
        <v>0</v>
      </c>
    </row>
    <row r="41" spans="2:14" x14ac:dyDescent="0.2">
      <c r="B41" s="127" t="s">
        <v>1284</v>
      </c>
      <c r="C41" s="120" t="s">
        <v>1349</v>
      </c>
      <c r="D41" s="120" t="s">
        <v>1349</v>
      </c>
      <c r="E41" s="120">
        <f>SUM(E36:E40)</f>
        <v>130647</v>
      </c>
      <c r="F41" s="120">
        <f>SUM(F36:F40)</f>
        <v>60450</v>
      </c>
      <c r="G41" s="120">
        <f>SUM(G36:G40)</f>
        <v>103880</v>
      </c>
      <c r="I41" s="127" t="str">
        <f t="shared" si="1"/>
        <v>On September 30, 2023</v>
      </c>
      <c r="J41" s="120" t="s">
        <v>47</v>
      </c>
      <c r="K41" s="120" t="s">
        <v>47</v>
      </c>
      <c r="L41" s="120">
        <f>SUM(L36:L40)</f>
        <v>107687</v>
      </c>
      <c r="M41" s="120">
        <f>SUM(M36:M40)</f>
        <v>60142</v>
      </c>
      <c r="N41" s="120">
        <f>SUM(N36:N40)</f>
        <v>109665</v>
      </c>
    </row>
    <row r="42" spans="2:14" x14ac:dyDescent="0.2">
      <c r="B42" s="130" t="s">
        <v>392</v>
      </c>
      <c r="C42" s="122" t="s">
        <v>1349</v>
      </c>
      <c r="D42" s="122" t="s">
        <v>1349</v>
      </c>
      <c r="E42" s="118">
        <v>64763</v>
      </c>
      <c r="F42" s="118">
        <v>6730</v>
      </c>
      <c r="G42" s="118">
        <v>47119</v>
      </c>
      <c r="I42" s="130" t="str">
        <f t="shared" si="1"/>
        <v>Debentures</v>
      </c>
      <c r="J42" s="122" t="s">
        <v>47</v>
      </c>
      <c r="K42" s="122" t="s">
        <v>47</v>
      </c>
      <c r="L42" s="118">
        <v>64763</v>
      </c>
      <c r="M42" s="118">
        <v>6730</v>
      </c>
      <c r="N42" s="118">
        <v>47119</v>
      </c>
    </row>
    <row r="43" spans="2:14" x14ac:dyDescent="0.2">
      <c r="B43" s="130" t="s">
        <v>296</v>
      </c>
      <c r="C43" s="122" t="s">
        <v>1349</v>
      </c>
      <c r="D43" s="122" t="s">
        <v>1349</v>
      </c>
      <c r="E43" s="118">
        <v>0</v>
      </c>
      <c r="F43" s="118">
        <v>0</v>
      </c>
      <c r="G43" s="118">
        <v>0</v>
      </c>
      <c r="I43" s="130" t="str">
        <f t="shared" ref="I43:I48" si="2">B43</f>
        <v>Trade accounts and freight payable</v>
      </c>
      <c r="J43" s="122" t="s">
        <v>47</v>
      </c>
      <c r="K43" s="122" t="s">
        <v>47</v>
      </c>
      <c r="L43" s="118">
        <v>0</v>
      </c>
      <c r="M43" s="118">
        <v>0</v>
      </c>
      <c r="N43" s="118">
        <v>0</v>
      </c>
    </row>
    <row r="44" spans="2:14" x14ac:dyDescent="0.2">
      <c r="B44" s="130" t="s">
        <v>194</v>
      </c>
      <c r="C44" s="122" t="s">
        <v>1349</v>
      </c>
      <c r="D44" s="122" t="s">
        <v>1349</v>
      </c>
      <c r="E44" s="118">
        <v>36160</v>
      </c>
      <c r="F44" s="118">
        <v>0</v>
      </c>
      <c r="G44" s="118">
        <v>0</v>
      </c>
      <c r="I44" s="130" t="str">
        <f t="shared" si="2"/>
        <v>Other accounts payable</v>
      </c>
      <c r="J44" s="122" t="s">
        <v>47</v>
      </c>
      <c r="K44" s="122" t="s">
        <v>47</v>
      </c>
      <c r="L44" s="118">
        <v>0</v>
      </c>
      <c r="M44" s="118">
        <v>0</v>
      </c>
      <c r="N44" s="118">
        <v>0</v>
      </c>
    </row>
    <row r="45" spans="2:14" x14ac:dyDescent="0.2">
      <c r="B45" s="130" t="s">
        <v>393</v>
      </c>
      <c r="C45" s="122" t="s">
        <v>1349</v>
      </c>
      <c r="D45" s="122" t="s">
        <v>1349</v>
      </c>
      <c r="E45" s="118">
        <v>30478</v>
      </c>
      <c r="F45" s="118">
        <v>0</v>
      </c>
      <c r="G45" s="118">
        <v>0</v>
      </c>
      <c r="I45" s="130" t="str">
        <f t="shared" si="2"/>
        <v>Accounts payable - subsidiary acquisition</v>
      </c>
      <c r="J45" s="122" t="s">
        <v>47</v>
      </c>
      <c r="K45" s="122" t="s">
        <v>47</v>
      </c>
      <c r="L45" s="118">
        <v>28711</v>
      </c>
      <c r="M45" s="118">
        <v>0</v>
      </c>
      <c r="N45" s="118">
        <v>0</v>
      </c>
    </row>
    <row r="46" spans="2:14" x14ac:dyDescent="0.2">
      <c r="B46" s="130" t="s">
        <v>849</v>
      </c>
      <c r="C46" s="122" t="s">
        <v>1349</v>
      </c>
      <c r="D46" s="122" t="s">
        <v>1349</v>
      </c>
      <c r="E46" s="118">
        <v>0</v>
      </c>
      <c r="F46" s="118">
        <v>0</v>
      </c>
      <c r="G46" s="118">
        <v>0</v>
      </c>
      <c r="I46" s="130" t="str">
        <f t="shared" si="2"/>
        <v>Derivatives</v>
      </c>
      <c r="J46" s="122" t="s">
        <v>47</v>
      </c>
      <c r="K46" s="122" t="s">
        <v>47</v>
      </c>
      <c r="L46" s="118">
        <v>24159</v>
      </c>
      <c r="M46" s="118">
        <v>0</v>
      </c>
      <c r="N46" s="118">
        <v>0</v>
      </c>
    </row>
    <row r="47" spans="2:14" x14ac:dyDescent="0.2">
      <c r="B47" s="130" t="s">
        <v>394</v>
      </c>
      <c r="C47" s="122" t="s">
        <v>1349</v>
      </c>
      <c r="D47" s="122" t="s">
        <v>1349</v>
      </c>
      <c r="E47" s="118">
        <v>0</v>
      </c>
      <c r="F47" s="118">
        <v>0</v>
      </c>
      <c r="G47" s="118">
        <v>0</v>
      </c>
      <c r="I47" s="130" t="str">
        <f t="shared" si="2"/>
        <v>Dividends payable</v>
      </c>
      <c r="J47" s="122" t="s">
        <v>47</v>
      </c>
      <c r="K47" s="122" t="s">
        <v>47</v>
      </c>
      <c r="L47" s="118">
        <v>0</v>
      </c>
      <c r="M47" s="118">
        <v>0</v>
      </c>
      <c r="N47" s="118">
        <v>0</v>
      </c>
    </row>
    <row r="48" spans="2:14" x14ac:dyDescent="0.2">
      <c r="B48" s="130" t="s">
        <v>792</v>
      </c>
      <c r="C48" s="122" t="s">
        <v>1349</v>
      </c>
      <c r="D48" s="122" t="s">
        <v>1349</v>
      </c>
      <c r="E48" s="118">
        <v>684</v>
      </c>
      <c r="F48" s="118">
        <v>524</v>
      </c>
      <c r="G48" s="118">
        <v>0</v>
      </c>
      <c r="I48" s="130" t="str">
        <f t="shared" si="2"/>
        <v>RelOned Parties</v>
      </c>
      <c r="J48" s="122" t="s">
        <v>47</v>
      </c>
      <c r="K48" s="122" t="s">
        <v>47</v>
      </c>
      <c r="L48" s="118">
        <v>1254</v>
      </c>
      <c r="M48" s="118">
        <v>504</v>
      </c>
      <c r="N48" s="118">
        <v>0</v>
      </c>
    </row>
    <row r="49" spans="2:14" x14ac:dyDescent="0.2">
      <c r="B49" s="127" t="s">
        <v>1273</v>
      </c>
      <c r="C49" s="120" t="s">
        <v>1349</v>
      </c>
      <c r="D49" s="120" t="s">
        <v>1349</v>
      </c>
      <c r="E49" s="120">
        <f>SUM(E42:E48)</f>
        <v>132085</v>
      </c>
      <c r="F49" s="120">
        <f>SUM(F42:F48)</f>
        <v>7254</v>
      </c>
      <c r="G49" s="120">
        <f>SUM(G42:G48)</f>
        <v>47119</v>
      </c>
      <c r="I49" s="127" t="str">
        <f>B49</f>
        <v>On June 30, 2023</v>
      </c>
      <c r="J49" s="120" t="s">
        <v>47</v>
      </c>
      <c r="K49" s="120" t="s">
        <v>47</v>
      </c>
      <c r="L49" s="120">
        <f>SUM(L42:L48)</f>
        <v>118887</v>
      </c>
      <c r="M49" s="120">
        <f>SUM(M42:M48)</f>
        <v>7234</v>
      </c>
      <c r="N49" s="120">
        <f>SUM(N42:N48)</f>
        <v>47119</v>
      </c>
    </row>
    <row r="50" spans="2:14" x14ac:dyDescent="0.2">
      <c r="B50" s="130" t="s">
        <v>392</v>
      </c>
      <c r="C50" s="122" t="s">
        <v>1349</v>
      </c>
      <c r="D50" s="122" t="s">
        <v>1349</v>
      </c>
      <c r="E50" s="118">
        <v>54076</v>
      </c>
      <c r="F50" s="118">
        <v>17670</v>
      </c>
      <c r="G50" s="118">
        <v>49258</v>
      </c>
      <c r="I50" s="130" t="str">
        <f>B50</f>
        <v>Debentures</v>
      </c>
      <c r="J50" s="122" t="s">
        <v>47</v>
      </c>
      <c r="K50" s="122" t="s">
        <v>47</v>
      </c>
      <c r="L50" s="118">
        <v>54076</v>
      </c>
      <c r="M50" s="118">
        <v>17670</v>
      </c>
      <c r="N50" s="118">
        <v>49258</v>
      </c>
    </row>
    <row r="51" spans="2:14" x14ac:dyDescent="0.2">
      <c r="B51" s="130" t="s">
        <v>296</v>
      </c>
      <c r="C51" s="122" t="s">
        <v>1349</v>
      </c>
      <c r="D51" s="122" t="s">
        <v>1349</v>
      </c>
      <c r="E51" s="118">
        <v>0</v>
      </c>
      <c r="F51" s="118">
        <v>0</v>
      </c>
      <c r="G51" s="118">
        <v>0</v>
      </c>
      <c r="I51" s="130" t="str">
        <f t="shared" ref="I51:I56" si="3">B51</f>
        <v>Trade accounts and freight payable</v>
      </c>
      <c r="J51" s="122" t="s">
        <v>47</v>
      </c>
      <c r="K51" s="122" t="s">
        <v>47</v>
      </c>
      <c r="L51" s="118">
        <v>0</v>
      </c>
      <c r="M51" s="118">
        <v>0</v>
      </c>
      <c r="N51" s="118">
        <v>0</v>
      </c>
    </row>
    <row r="52" spans="2:14" x14ac:dyDescent="0.2">
      <c r="B52" s="130" t="s">
        <v>194</v>
      </c>
      <c r="C52" s="122" t="s">
        <v>1349</v>
      </c>
      <c r="D52" s="122" t="s">
        <v>1349</v>
      </c>
      <c r="E52" s="118">
        <v>36895</v>
      </c>
      <c r="F52" s="118">
        <v>0</v>
      </c>
      <c r="G52" s="118">
        <v>0</v>
      </c>
      <c r="I52" s="130" t="str">
        <f t="shared" si="3"/>
        <v>Other accounts payable</v>
      </c>
      <c r="J52" s="122" t="s">
        <v>47</v>
      </c>
      <c r="K52" s="122" t="s">
        <v>47</v>
      </c>
      <c r="L52" s="118">
        <v>0</v>
      </c>
      <c r="M52" s="118">
        <v>0</v>
      </c>
      <c r="N52" s="118">
        <v>0</v>
      </c>
    </row>
    <row r="53" spans="2:14" x14ac:dyDescent="0.2">
      <c r="B53" s="130" t="s">
        <v>393</v>
      </c>
      <c r="C53" s="122" t="s">
        <v>1349</v>
      </c>
      <c r="D53" s="122" t="s">
        <v>1349</v>
      </c>
      <c r="E53" s="118">
        <v>32255</v>
      </c>
      <c r="F53" s="118">
        <v>0</v>
      </c>
      <c r="G53" s="118">
        <v>0</v>
      </c>
      <c r="I53" s="130" t="str">
        <f t="shared" si="3"/>
        <v>Accounts payable - subsidiary acquisition</v>
      </c>
      <c r="J53" s="122" t="s">
        <v>47</v>
      </c>
      <c r="K53" s="122" t="s">
        <v>47</v>
      </c>
      <c r="L53" s="118">
        <v>28843</v>
      </c>
      <c r="M53" s="118">
        <v>0</v>
      </c>
      <c r="N53" s="118">
        <v>0</v>
      </c>
    </row>
    <row r="54" spans="2:14" x14ac:dyDescent="0.2">
      <c r="B54" s="130" t="s">
        <v>849</v>
      </c>
      <c r="C54" s="122" t="s">
        <v>1349</v>
      </c>
      <c r="D54" s="122" t="s">
        <v>1349</v>
      </c>
      <c r="E54" s="118">
        <v>0</v>
      </c>
      <c r="F54" s="118">
        <v>0</v>
      </c>
      <c r="G54" s="118">
        <v>0</v>
      </c>
      <c r="I54" s="130" t="str">
        <f t="shared" si="3"/>
        <v>Derivatives</v>
      </c>
      <c r="J54" s="122" t="s">
        <v>47</v>
      </c>
      <c r="K54" s="122" t="s">
        <v>47</v>
      </c>
      <c r="L54" s="118">
        <v>21893</v>
      </c>
      <c r="M54" s="118">
        <v>0</v>
      </c>
      <c r="N54" s="118">
        <v>0</v>
      </c>
    </row>
    <row r="55" spans="2:14" x14ac:dyDescent="0.2">
      <c r="B55" s="130" t="s">
        <v>394</v>
      </c>
      <c r="C55" s="122" t="s">
        <v>1349</v>
      </c>
      <c r="D55" s="122" t="s">
        <v>1349</v>
      </c>
      <c r="E55" s="118">
        <v>0</v>
      </c>
      <c r="F55" s="118">
        <v>0</v>
      </c>
      <c r="G55" s="118">
        <v>0</v>
      </c>
      <c r="I55" s="130" t="str">
        <f t="shared" si="3"/>
        <v>Dividends payable</v>
      </c>
      <c r="J55" s="122" t="s">
        <v>47</v>
      </c>
      <c r="K55" s="122" t="s">
        <v>47</v>
      </c>
      <c r="L55" s="118">
        <v>0</v>
      </c>
      <c r="M55" s="118">
        <v>0</v>
      </c>
      <c r="N55" s="118">
        <v>0</v>
      </c>
    </row>
    <row r="56" spans="2:14" x14ac:dyDescent="0.2">
      <c r="B56" s="130" t="s">
        <v>792</v>
      </c>
      <c r="C56" s="122" t="s">
        <v>1349</v>
      </c>
      <c r="D56" s="122" t="s">
        <v>1349</v>
      </c>
      <c r="E56" s="118">
        <v>749</v>
      </c>
      <c r="F56" s="118">
        <v>524</v>
      </c>
      <c r="G56" s="118">
        <v>0</v>
      </c>
      <c r="I56" s="130" t="str">
        <f t="shared" si="3"/>
        <v>RelOned Parties</v>
      </c>
      <c r="J56" s="122" t="s">
        <v>47</v>
      </c>
      <c r="K56" s="122" t="s">
        <v>47</v>
      </c>
      <c r="L56" s="118">
        <v>1638</v>
      </c>
      <c r="M56" s="118">
        <v>504</v>
      </c>
      <c r="N56" s="118">
        <v>0</v>
      </c>
    </row>
    <row r="57" spans="2:14" x14ac:dyDescent="0.2">
      <c r="B57" s="127" t="s">
        <v>1251</v>
      </c>
      <c r="C57" s="120" t="s">
        <v>1349</v>
      </c>
      <c r="D57" s="120" t="s">
        <v>1349</v>
      </c>
      <c r="E57" s="120">
        <f>SUM(E50:E56)</f>
        <v>123975</v>
      </c>
      <c r="F57" s="120">
        <f>SUM(F50:F56)</f>
        <v>18194</v>
      </c>
      <c r="G57" s="120">
        <f>SUM(G50:G56)</f>
        <v>49258</v>
      </c>
      <c r="I57" s="127" t="str">
        <f>B57</f>
        <v>On March 31, 2023</v>
      </c>
      <c r="J57" s="120" t="s">
        <v>47</v>
      </c>
      <c r="K57" s="120" t="s">
        <v>47</v>
      </c>
      <c r="L57" s="120">
        <f>SUM(L50:L56)</f>
        <v>106450</v>
      </c>
      <c r="M57" s="120">
        <f>SUM(M50:M56)</f>
        <v>18174</v>
      </c>
      <c r="N57" s="120">
        <f>SUM(N50:N56)</f>
        <v>49258</v>
      </c>
    </row>
    <row r="58" spans="2:14" x14ac:dyDescent="0.2">
      <c r="B58" s="130" t="s">
        <v>392</v>
      </c>
      <c r="C58" s="122" t="s">
        <v>1349</v>
      </c>
      <c r="D58" s="122" t="s">
        <v>1349</v>
      </c>
      <c r="E58" s="118">
        <v>69133</v>
      </c>
      <c r="F58" s="118">
        <v>15549</v>
      </c>
      <c r="G58" s="118">
        <v>30359</v>
      </c>
      <c r="I58" s="130" t="str">
        <f>B58</f>
        <v>Debentures</v>
      </c>
      <c r="J58" s="122" t="s">
        <v>47</v>
      </c>
      <c r="K58" s="122" t="s">
        <v>47</v>
      </c>
      <c r="L58" s="118">
        <v>69133</v>
      </c>
      <c r="M58" s="118">
        <v>15549</v>
      </c>
      <c r="N58" s="118">
        <v>30359</v>
      </c>
    </row>
    <row r="59" spans="2:14" x14ac:dyDescent="0.2">
      <c r="B59" s="130" t="s">
        <v>296</v>
      </c>
      <c r="C59" s="122" t="s">
        <v>1349</v>
      </c>
      <c r="D59" s="122" t="s">
        <v>1349</v>
      </c>
      <c r="E59" s="118">
        <v>0</v>
      </c>
      <c r="F59" s="118">
        <v>0</v>
      </c>
      <c r="G59" s="118">
        <v>0</v>
      </c>
      <c r="I59" s="130" t="str">
        <f t="shared" ref="I59:I64" si="4">B59</f>
        <v>Trade accounts and freight payable</v>
      </c>
      <c r="J59" s="122" t="s">
        <v>47</v>
      </c>
      <c r="K59" s="122" t="s">
        <v>47</v>
      </c>
      <c r="L59" s="118">
        <v>0</v>
      </c>
      <c r="M59" s="118">
        <v>0</v>
      </c>
      <c r="N59" s="118">
        <v>0</v>
      </c>
    </row>
    <row r="60" spans="2:14" x14ac:dyDescent="0.2">
      <c r="B60" s="130" t="s">
        <v>194</v>
      </c>
      <c r="C60" s="122" t="s">
        <v>1349</v>
      </c>
      <c r="D60" s="122" t="s">
        <v>1349</v>
      </c>
      <c r="E60" s="118">
        <v>49406</v>
      </c>
      <c r="F60" s="118">
        <v>0</v>
      </c>
      <c r="G60" s="118">
        <v>0</v>
      </c>
      <c r="I60" s="130" t="str">
        <f t="shared" si="4"/>
        <v>Other accounts payable</v>
      </c>
      <c r="J60" s="122" t="s">
        <v>47</v>
      </c>
      <c r="K60" s="122" t="s">
        <v>47</v>
      </c>
      <c r="L60" s="118">
        <v>41128</v>
      </c>
      <c r="M60" s="118">
        <v>0</v>
      </c>
      <c r="N60" s="118">
        <v>0</v>
      </c>
    </row>
    <row r="61" spans="2:14" x14ac:dyDescent="0.2">
      <c r="B61" s="130" t="s">
        <v>393</v>
      </c>
      <c r="C61" s="122" t="s">
        <v>1349</v>
      </c>
      <c r="D61" s="122" t="s">
        <v>1349</v>
      </c>
      <c r="E61" s="118">
        <v>39126</v>
      </c>
      <c r="F61" s="118">
        <v>0</v>
      </c>
      <c r="G61" s="118">
        <v>0</v>
      </c>
      <c r="I61" s="130" t="str">
        <f t="shared" si="4"/>
        <v>Accounts payable - subsidiary acquisition</v>
      </c>
      <c r="J61" s="122" t="s">
        <v>47</v>
      </c>
      <c r="K61" s="122" t="s">
        <v>47</v>
      </c>
      <c r="L61" s="118">
        <v>28310</v>
      </c>
      <c r="M61" s="118">
        <v>0</v>
      </c>
      <c r="N61" s="118">
        <v>0</v>
      </c>
    </row>
    <row r="62" spans="2:14" x14ac:dyDescent="0.2">
      <c r="B62" s="130" t="s">
        <v>849</v>
      </c>
      <c r="C62" s="122" t="s">
        <v>1349</v>
      </c>
      <c r="D62" s="122" t="s">
        <v>1349</v>
      </c>
      <c r="E62" s="118">
        <v>0</v>
      </c>
      <c r="F62" s="118">
        <v>0</v>
      </c>
      <c r="G62" s="118">
        <v>0</v>
      </c>
      <c r="I62" s="130" t="str">
        <f t="shared" si="4"/>
        <v>Derivatives</v>
      </c>
      <c r="J62" s="122" t="s">
        <v>47</v>
      </c>
      <c r="K62" s="122" t="s">
        <v>47</v>
      </c>
      <c r="L62" s="118">
        <v>0</v>
      </c>
      <c r="M62" s="118">
        <v>0</v>
      </c>
      <c r="N62" s="118">
        <v>0</v>
      </c>
    </row>
    <row r="63" spans="2:14" x14ac:dyDescent="0.2">
      <c r="B63" s="130" t="s">
        <v>394</v>
      </c>
      <c r="C63" s="122" t="s">
        <v>1349</v>
      </c>
      <c r="D63" s="122" t="s">
        <v>1349</v>
      </c>
      <c r="E63" s="118">
        <v>0</v>
      </c>
      <c r="F63" s="118">
        <v>0</v>
      </c>
      <c r="G63" s="118">
        <v>0</v>
      </c>
      <c r="I63" s="130" t="str">
        <f t="shared" si="4"/>
        <v>Dividends payable</v>
      </c>
      <c r="J63" s="122" t="s">
        <v>47</v>
      </c>
      <c r="K63" s="122" t="s">
        <v>47</v>
      </c>
      <c r="L63" s="118">
        <v>0</v>
      </c>
      <c r="M63" s="118">
        <v>0</v>
      </c>
      <c r="N63" s="118">
        <v>0</v>
      </c>
    </row>
    <row r="64" spans="2:14" ht="12.75" customHeight="1" x14ac:dyDescent="0.2">
      <c r="B64" s="130" t="s">
        <v>792</v>
      </c>
      <c r="C64" s="122" t="s">
        <v>1349</v>
      </c>
      <c r="D64" s="122" t="s">
        <v>1349</v>
      </c>
      <c r="E64" s="118">
        <v>806</v>
      </c>
      <c r="F64" s="118">
        <v>524</v>
      </c>
      <c r="G64" s="118">
        <v>0</v>
      </c>
      <c r="I64" s="130" t="str">
        <f t="shared" si="4"/>
        <v>RelOned Parties</v>
      </c>
      <c r="J64" s="122" t="s">
        <v>47</v>
      </c>
      <c r="K64" s="122" t="s">
        <v>47</v>
      </c>
      <c r="L64" s="118">
        <v>1546</v>
      </c>
      <c r="M64" s="118">
        <v>504</v>
      </c>
      <c r="N64" s="118">
        <v>0</v>
      </c>
    </row>
    <row r="65" spans="2:14" x14ac:dyDescent="0.2">
      <c r="B65" s="127" t="s">
        <v>1228</v>
      </c>
      <c r="C65" s="120" t="s">
        <v>1349</v>
      </c>
      <c r="D65" s="120" t="s">
        <v>1349</v>
      </c>
      <c r="E65" s="120">
        <f>SUM(E58:E64)</f>
        <v>158471</v>
      </c>
      <c r="F65" s="120">
        <f>SUM(F58:F64)</f>
        <v>16073</v>
      </c>
      <c r="G65" s="120">
        <f>SUM(G58:G64)</f>
        <v>30359</v>
      </c>
      <c r="I65" s="127" t="str">
        <f>B65</f>
        <v>On December 31, 2022</v>
      </c>
      <c r="J65" s="120" t="s">
        <v>47</v>
      </c>
      <c r="K65" s="120" t="s">
        <v>47</v>
      </c>
      <c r="L65" s="120">
        <f>SUM(L58:L64)</f>
        <v>140117</v>
      </c>
      <c r="M65" s="120">
        <f>SUM(M58:M64)</f>
        <v>16053</v>
      </c>
      <c r="N65" s="120">
        <f>SUM(N58:N64)</f>
        <v>30359</v>
      </c>
    </row>
    <row r="66" spans="2:14" x14ac:dyDescent="0.2">
      <c r="B66" s="130" t="s">
        <v>392</v>
      </c>
      <c r="C66" s="122" t="s">
        <v>1349</v>
      </c>
      <c r="D66" s="122" t="s">
        <v>1349</v>
      </c>
      <c r="E66" s="118">
        <v>64310</v>
      </c>
      <c r="F66" s="118">
        <v>10707</v>
      </c>
      <c r="G66" s="118">
        <v>0</v>
      </c>
      <c r="I66" s="130" t="str">
        <f>B66</f>
        <v>Debentures</v>
      </c>
      <c r="J66" s="122" t="s">
        <v>47</v>
      </c>
      <c r="K66" s="122" t="s">
        <v>47</v>
      </c>
      <c r="L66" s="118">
        <v>64310</v>
      </c>
      <c r="M66" s="118">
        <v>10707</v>
      </c>
      <c r="N66" s="118">
        <v>0</v>
      </c>
    </row>
    <row r="67" spans="2:14" x14ac:dyDescent="0.2">
      <c r="B67" s="130" t="s">
        <v>296</v>
      </c>
      <c r="C67" s="122" t="s">
        <v>1349</v>
      </c>
      <c r="D67" s="122" t="s">
        <v>1349</v>
      </c>
      <c r="E67" s="118">
        <v>0</v>
      </c>
      <c r="F67" s="118">
        <v>0</v>
      </c>
      <c r="G67" s="118">
        <v>0</v>
      </c>
      <c r="I67" s="130" t="str">
        <f t="shared" ref="I67:I72" si="5">B67</f>
        <v>Trade accounts and freight payable</v>
      </c>
      <c r="J67" s="122" t="s">
        <v>47</v>
      </c>
      <c r="K67" s="122" t="s">
        <v>47</v>
      </c>
      <c r="L67" s="118">
        <v>0</v>
      </c>
      <c r="M67" s="118">
        <v>0</v>
      </c>
      <c r="N67" s="118">
        <v>0</v>
      </c>
    </row>
    <row r="68" spans="2:14" x14ac:dyDescent="0.2">
      <c r="B68" s="130" t="s">
        <v>194</v>
      </c>
      <c r="C68" s="122" t="s">
        <v>1349</v>
      </c>
      <c r="D68" s="122" t="s">
        <v>1349</v>
      </c>
      <c r="E68" s="118">
        <v>30411</v>
      </c>
      <c r="F68" s="118">
        <v>0</v>
      </c>
      <c r="G68" s="118">
        <v>0</v>
      </c>
      <c r="I68" s="130" t="str">
        <f t="shared" si="5"/>
        <v>Other accounts payable</v>
      </c>
      <c r="J68" s="122" t="s">
        <v>47</v>
      </c>
      <c r="K68" s="122" t="s">
        <v>47</v>
      </c>
      <c r="L68" s="118">
        <v>23083</v>
      </c>
      <c r="M68" s="118">
        <v>0</v>
      </c>
      <c r="N68" s="118">
        <v>0</v>
      </c>
    </row>
    <row r="69" spans="2:14" x14ac:dyDescent="0.2">
      <c r="B69" s="130" t="s">
        <v>393</v>
      </c>
      <c r="C69" s="122" t="s">
        <v>1349</v>
      </c>
      <c r="D69" s="122" t="s">
        <v>1349</v>
      </c>
      <c r="E69" s="118">
        <v>31363</v>
      </c>
      <c r="F69" s="118">
        <v>0</v>
      </c>
      <c r="G69" s="118">
        <v>0</v>
      </c>
      <c r="I69" s="130" t="str">
        <f t="shared" si="5"/>
        <v>Accounts payable - subsidiary acquisition</v>
      </c>
      <c r="J69" s="122" t="s">
        <v>47</v>
      </c>
      <c r="K69" s="122" t="s">
        <v>47</v>
      </c>
      <c r="L69" s="118">
        <v>25659</v>
      </c>
      <c r="M69" s="118">
        <v>0</v>
      </c>
      <c r="N69" s="118">
        <v>0</v>
      </c>
    </row>
    <row r="70" spans="2:14" x14ac:dyDescent="0.2">
      <c r="B70" s="130" t="s">
        <v>849</v>
      </c>
      <c r="C70" s="122" t="s">
        <v>1349</v>
      </c>
      <c r="D70" s="122" t="s">
        <v>1349</v>
      </c>
      <c r="E70" s="118">
        <v>0</v>
      </c>
      <c r="F70" s="118">
        <v>0</v>
      </c>
      <c r="G70" s="118">
        <v>0</v>
      </c>
      <c r="I70" s="130" t="str">
        <f t="shared" si="5"/>
        <v>Derivatives</v>
      </c>
      <c r="J70" s="122" t="s">
        <v>47</v>
      </c>
      <c r="K70" s="122" t="s">
        <v>47</v>
      </c>
      <c r="L70" s="118">
        <v>0</v>
      </c>
      <c r="M70" s="118">
        <v>0</v>
      </c>
      <c r="N70" s="118">
        <v>0</v>
      </c>
    </row>
    <row r="71" spans="2:14" x14ac:dyDescent="0.2">
      <c r="B71" s="130" t="s">
        <v>394</v>
      </c>
      <c r="C71" s="122" t="s">
        <v>1349</v>
      </c>
      <c r="D71" s="122" t="s">
        <v>1349</v>
      </c>
      <c r="E71" s="118">
        <v>0</v>
      </c>
      <c r="F71" s="118">
        <v>0</v>
      </c>
      <c r="G71" s="118">
        <v>0</v>
      </c>
      <c r="I71" s="130" t="str">
        <f t="shared" si="5"/>
        <v>Dividends payable</v>
      </c>
      <c r="J71" s="122" t="s">
        <v>47</v>
      </c>
      <c r="K71" s="122" t="s">
        <v>47</v>
      </c>
      <c r="L71" s="118">
        <v>0</v>
      </c>
      <c r="M71" s="118">
        <v>0</v>
      </c>
      <c r="N71" s="118">
        <v>0</v>
      </c>
    </row>
    <row r="72" spans="2:14" x14ac:dyDescent="0.2">
      <c r="B72" s="130" t="s">
        <v>792</v>
      </c>
      <c r="C72" s="122" t="s">
        <v>1349</v>
      </c>
      <c r="D72" s="122" t="s">
        <v>1349</v>
      </c>
      <c r="E72" s="118">
        <v>169</v>
      </c>
      <c r="F72" s="118">
        <v>524</v>
      </c>
      <c r="G72" s="118">
        <v>0</v>
      </c>
      <c r="I72" s="130" t="str">
        <f t="shared" si="5"/>
        <v>RelOned Parties</v>
      </c>
      <c r="J72" s="122" t="s">
        <v>47</v>
      </c>
      <c r="K72" s="122" t="s">
        <v>47</v>
      </c>
      <c r="L72" s="118">
        <v>925</v>
      </c>
      <c r="M72" s="118">
        <v>504</v>
      </c>
      <c r="N72" s="118">
        <v>0</v>
      </c>
    </row>
    <row r="73" spans="2:14" x14ac:dyDescent="0.2">
      <c r="B73" s="127" t="s">
        <v>1219</v>
      </c>
      <c r="C73" s="120" t="s">
        <v>1349</v>
      </c>
      <c r="D73" s="120" t="s">
        <v>1349</v>
      </c>
      <c r="E73" s="120">
        <f>SUM(E66:E72)</f>
        <v>126253</v>
      </c>
      <c r="F73" s="120">
        <f>SUM(F66:F72)</f>
        <v>11231</v>
      </c>
      <c r="G73" s="120">
        <f>SUM(G66:G72)</f>
        <v>0</v>
      </c>
      <c r="I73" s="127" t="str">
        <f>B73</f>
        <v>On September 30, 2022</v>
      </c>
      <c r="J73" s="120" t="s">
        <v>47</v>
      </c>
      <c r="K73" s="120" t="s">
        <v>47</v>
      </c>
      <c r="L73" s="120">
        <f>SUM(L66:L72)</f>
        <v>113977</v>
      </c>
      <c r="M73" s="120">
        <f>SUM(M66:M72)</f>
        <v>11211</v>
      </c>
      <c r="N73" s="120">
        <f>SUM(N66:N72)</f>
        <v>0</v>
      </c>
    </row>
    <row r="74" spans="2:14" x14ac:dyDescent="0.2">
      <c r="B74" s="130" t="s">
        <v>392</v>
      </c>
      <c r="C74" s="122" t="s">
        <v>1349</v>
      </c>
      <c r="D74" s="122" t="s">
        <v>1349</v>
      </c>
      <c r="E74" s="118">
        <v>19413</v>
      </c>
      <c r="F74" s="118">
        <v>59835</v>
      </c>
      <c r="G74" s="118">
        <v>0</v>
      </c>
      <c r="I74" s="130" t="str">
        <f>B74</f>
        <v>Debentures</v>
      </c>
      <c r="J74" s="122" t="s">
        <v>47</v>
      </c>
      <c r="K74" s="122" t="s">
        <v>47</v>
      </c>
      <c r="L74" s="118">
        <v>19413</v>
      </c>
      <c r="M74" s="118">
        <v>59835</v>
      </c>
      <c r="N74" s="118">
        <v>0</v>
      </c>
    </row>
    <row r="75" spans="2:14" x14ac:dyDescent="0.2">
      <c r="B75" s="130" t="s">
        <v>296</v>
      </c>
      <c r="C75" s="122" t="s">
        <v>1349</v>
      </c>
      <c r="D75" s="122" t="s">
        <v>1349</v>
      </c>
      <c r="E75" s="118">
        <v>0</v>
      </c>
      <c r="F75" s="118">
        <v>0</v>
      </c>
      <c r="G75" s="118">
        <v>0</v>
      </c>
      <c r="I75" s="130" t="str">
        <f t="shared" ref="I75:I80" si="6">B75</f>
        <v>Trade accounts and freight payable</v>
      </c>
      <c r="J75" s="122" t="s">
        <v>47</v>
      </c>
      <c r="K75" s="122" t="s">
        <v>47</v>
      </c>
      <c r="L75" s="118">
        <v>0</v>
      </c>
      <c r="M75" s="118">
        <v>0</v>
      </c>
      <c r="N75" s="118">
        <v>0</v>
      </c>
    </row>
    <row r="76" spans="2:14" x14ac:dyDescent="0.2">
      <c r="B76" s="130" t="s">
        <v>194</v>
      </c>
      <c r="C76" s="122" t="s">
        <v>1349</v>
      </c>
      <c r="D76" s="122" t="s">
        <v>1349</v>
      </c>
      <c r="E76" s="118">
        <v>34064</v>
      </c>
      <c r="F76" s="118">
        <v>0</v>
      </c>
      <c r="G76" s="118">
        <v>0</v>
      </c>
      <c r="I76" s="130" t="str">
        <f t="shared" si="6"/>
        <v>Other accounts payable</v>
      </c>
      <c r="J76" s="122" t="s">
        <v>47</v>
      </c>
      <c r="K76" s="122" t="s">
        <v>47</v>
      </c>
      <c r="L76" s="118">
        <v>24428</v>
      </c>
      <c r="M76" s="118">
        <v>0</v>
      </c>
      <c r="N76" s="118">
        <v>0</v>
      </c>
    </row>
    <row r="77" spans="2:14" x14ac:dyDescent="0.2">
      <c r="B77" s="130" t="s">
        <v>393</v>
      </c>
      <c r="C77" s="122" t="s">
        <v>1349</v>
      </c>
      <c r="D77" s="122" t="s">
        <v>1349</v>
      </c>
      <c r="E77" s="118">
        <v>26414</v>
      </c>
      <c r="F77" s="118">
        <v>0</v>
      </c>
      <c r="G77" s="118">
        <v>0</v>
      </c>
      <c r="I77" s="130" t="str">
        <f t="shared" si="6"/>
        <v>Accounts payable - subsidiary acquisition</v>
      </c>
      <c r="J77" s="122" t="s">
        <v>47</v>
      </c>
      <c r="K77" s="122" t="s">
        <v>47</v>
      </c>
      <c r="L77" s="118">
        <v>23802</v>
      </c>
      <c r="M77" s="118">
        <v>0</v>
      </c>
      <c r="N77" s="118">
        <v>0</v>
      </c>
    </row>
    <row r="78" spans="2:14" x14ac:dyDescent="0.2">
      <c r="B78" s="130" t="s">
        <v>849</v>
      </c>
      <c r="C78" s="122" t="s">
        <v>1349</v>
      </c>
      <c r="D78" s="122" t="s">
        <v>1349</v>
      </c>
      <c r="E78" s="118">
        <v>0</v>
      </c>
      <c r="F78" s="118">
        <v>0</v>
      </c>
      <c r="G78" s="118">
        <v>0</v>
      </c>
      <c r="I78" s="130" t="str">
        <f t="shared" si="6"/>
        <v>Derivatives</v>
      </c>
      <c r="J78" s="122" t="s">
        <v>47</v>
      </c>
      <c r="K78" s="122" t="s">
        <v>47</v>
      </c>
      <c r="L78" s="118">
        <v>0</v>
      </c>
      <c r="M78" s="118">
        <v>0</v>
      </c>
      <c r="N78" s="118">
        <v>0</v>
      </c>
    </row>
    <row r="79" spans="2:14" x14ac:dyDescent="0.2">
      <c r="B79" s="130" t="s">
        <v>394</v>
      </c>
      <c r="C79" s="122" t="s">
        <v>1349</v>
      </c>
      <c r="D79" s="122" t="s">
        <v>1349</v>
      </c>
      <c r="E79" s="118">
        <v>0</v>
      </c>
      <c r="F79" s="118">
        <v>0</v>
      </c>
      <c r="G79" s="118">
        <v>0</v>
      </c>
      <c r="I79" s="130" t="str">
        <f t="shared" si="6"/>
        <v>Dividends payable</v>
      </c>
      <c r="J79" s="122" t="s">
        <v>47</v>
      </c>
      <c r="K79" s="122" t="s">
        <v>47</v>
      </c>
      <c r="L79" s="118">
        <v>0</v>
      </c>
      <c r="M79" s="118">
        <v>0</v>
      </c>
      <c r="N79" s="118">
        <v>0</v>
      </c>
    </row>
    <row r="80" spans="2:14" x14ac:dyDescent="0.2">
      <c r="B80" s="130" t="s">
        <v>792</v>
      </c>
      <c r="C80" s="122" t="s">
        <v>1349</v>
      </c>
      <c r="D80" s="122" t="s">
        <v>1349</v>
      </c>
      <c r="E80" s="118">
        <v>137</v>
      </c>
      <c r="F80" s="118">
        <v>524</v>
      </c>
      <c r="G80" s="118">
        <v>0</v>
      </c>
      <c r="I80" s="130" t="str">
        <f t="shared" si="6"/>
        <v>RelOned Parties</v>
      </c>
      <c r="J80" s="122" t="s">
        <v>47</v>
      </c>
      <c r="K80" s="122" t="s">
        <v>47</v>
      </c>
      <c r="L80" s="118">
        <v>662</v>
      </c>
      <c r="M80" s="118">
        <v>504</v>
      </c>
      <c r="N80" s="118">
        <v>0</v>
      </c>
    </row>
    <row r="81" spans="2:14" x14ac:dyDescent="0.2">
      <c r="B81" s="127" t="s">
        <v>1205</v>
      </c>
      <c r="C81" s="120" t="s">
        <v>1349</v>
      </c>
      <c r="D81" s="120" t="s">
        <v>1349</v>
      </c>
      <c r="E81" s="120">
        <f>SUM(E74:E80)</f>
        <v>80028</v>
      </c>
      <c r="F81" s="120">
        <f>SUM(F74:F80)</f>
        <v>60359</v>
      </c>
      <c r="G81" s="120">
        <f>SUM(G74:G80)</f>
        <v>0</v>
      </c>
      <c r="I81" s="127" t="str">
        <f>B81</f>
        <v>On June 30, 2022</v>
      </c>
      <c r="J81" s="120" t="s">
        <v>47</v>
      </c>
      <c r="K81" s="120" t="s">
        <v>47</v>
      </c>
      <c r="L81" s="120">
        <f>SUM(L74:L80)</f>
        <v>68305</v>
      </c>
      <c r="M81" s="120">
        <f>SUM(M74:M80)</f>
        <v>60339</v>
      </c>
      <c r="N81" s="120">
        <f>SUM(N74:N80)</f>
        <v>0</v>
      </c>
    </row>
    <row r="82" spans="2:14" x14ac:dyDescent="0.2">
      <c r="B82" s="130" t="s">
        <v>392</v>
      </c>
      <c r="C82" s="122" t="s">
        <v>1349</v>
      </c>
      <c r="D82" s="122" t="s">
        <v>1349</v>
      </c>
      <c r="E82" s="118">
        <v>71924</v>
      </c>
      <c r="F82" s="118">
        <v>48740</v>
      </c>
      <c r="G82" s="118">
        <v>10614</v>
      </c>
      <c r="I82" s="130" t="str">
        <f>B82</f>
        <v>Debentures</v>
      </c>
      <c r="J82" s="122" t="s">
        <v>47</v>
      </c>
      <c r="K82" s="122" t="s">
        <v>47</v>
      </c>
      <c r="L82" s="118">
        <v>71924</v>
      </c>
      <c r="M82" s="118">
        <v>48740</v>
      </c>
      <c r="N82" s="118">
        <v>10614</v>
      </c>
    </row>
    <row r="83" spans="2:14" x14ac:dyDescent="0.2">
      <c r="B83" s="130" t="s">
        <v>296</v>
      </c>
      <c r="C83" s="122" t="s">
        <v>1349</v>
      </c>
      <c r="D83" s="122" t="s">
        <v>1349</v>
      </c>
      <c r="E83" s="118">
        <v>0</v>
      </c>
      <c r="F83" s="118">
        <v>0</v>
      </c>
      <c r="G83" s="118">
        <v>0</v>
      </c>
      <c r="I83" s="130" t="str">
        <f t="shared" ref="I83:I88" si="7">B83</f>
        <v>Trade accounts and freight payable</v>
      </c>
      <c r="J83" s="122" t="s">
        <v>47</v>
      </c>
      <c r="K83" s="122" t="s">
        <v>47</v>
      </c>
      <c r="L83" s="118">
        <v>0</v>
      </c>
      <c r="M83" s="118">
        <v>0</v>
      </c>
      <c r="N83" s="118">
        <v>0</v>
      </c>
    </row>
    <row r="84" spans="2:14" x14ac:dyDescent="0.2">
      <c r="B84" s="130" t="s">
        <v>194</v>
      </c>
      <c r="C84" s="122" t="s">
        <v>1349</v>
      </c>
      <c r="D84" s="122" t="s">
        <v>1349</v>
      </c>
      <c r="E84" s="118">
        <v>39307</v>
      </c>
      <c r="F84" s="118">
        <v>0</v>
      </c>
      <c r="G84" s="118">
        <v>0</v>
      </c>
      <c r="I84" s="130" t="str">
        <f t="shared" si="7"/>
        <v>Other accounts payable</v>
      </c>
      <c r="J84" s="122" t="s">
        <v>47</v>
      </c>
      <c r="K84" s="122" t="s">
        <v>47</v>
      </c>
      <c r="L84" s="118">
        <v>30470</v>
      </c>
      <c r="M84" s="118">
        <v>0</v>
      </c>
      <c r="N84" s="118">
        <v>0</v>
      </c>
    </row>
    <row r="85" spans="2:14" x14ac:dyDescent="0.2">
      <c r="B85" s="130" t="s">
        <v>393</v>
      </c>
      <c r="C85" s="122" t="s">
        <v>1349</v>
      </c>
      <c r="D85" s="122" t="s">
        <v>1349</v>
      </c>
      <c r="E85" s="118">
        <v>23261</v>
      </c>
      <c r="F85" s="118">
        <v>0</v>
      </c>
      <c r="G85" s="118">
        <v>0</v>
      </c>
      <c r="I85" s="130" t="str">
        <f t="shared" si="7"/>
        <v>Accounts payable - subsidiary acquisition</v>
      </c>
      <c r="J85" s="122" t="s">
        <v>47</v>
      </c>
      <c r="K85" s="122" t="s">
        <v>47</v>
      </c>
      <c r="L85" s="118">
        <v>20465</v>
      </c>
      <c r="M85" s="118">
        <v>0</v>
      </c>
      <c r="N85" s="118">
        <v>0</v>
      </c>
    </row>
    <row r="86" spans="2:14" x14ac:dyDescent="0.2">
      <c r="B86" s="130" t="s">
        <v>849</v>
      </c>
      <c r="C86" s="122" t="s">
        <v>1349</v>
      </c>
      <c r="D86" s="122" t="s">
        <v>1349</v>
      </c>
      <c r="E86" s="118">
        <v>0</v>
      </c>
      <c r="F86" s="118">
        <v>0</v>
      </c>
      <c r="G86" s="118">
        <v>0</v>
      </c>
      <c r="I86" s="130" t="str">
        <f t="shared" si="7"/>
        <v>Derivatives</v>
      </c>
      <c r="J86" s="122" t="s">
        <v>47</v>
      </c>
      <c r="K86" s="122" t="s">
        <v>47</v>
      </c>
      <c r="L86" s="118">
        <v>0</v>
      </c>
      <c r="M86" s="118">
        <v>0</v>
      </c>
      <c r="N86" s="118">
        <v>0</v>
      </c>
    </row>
    <row r="87" spans="2:14" x14ac:dyDescent="0.2">
      <c r="B87" s="130" t="s">
        <v>394</v>
      </c>
      <c r="C87" s="122" t="s">
        <v>1349</v>
      </c>
      <c r="D87" s="122" t="s">
        <v>1349</v>
      </c>
      <c r="E87" s="118">
        <v>0</v>
      </c>
      <c r="F87" s="118">
        <v>0</v>
      </c>
      <c r="G87" s="118">
        <v>0</v>
      </c>
      <c r="I87" s="130" t="str">
        <f t="shared" si="7"/>
        <v>Dividends payable</v>
      </c>
      <c r="J87" s="122" t="s">
        <v>47</v>
      </c>
      <c r="K87" s="122" t="s">
        <v>47</v>
      </c>
      <c r="L87" s="118">
        <v>0</v>
      </c>
      <c r="M87" s="118">
        <v>0</v>
      </c>
      <c r="N87" s="118">
        <v>0</v>
      </c>
    </row>
    <row r="88" spans="2:14" x14ac:dyDescent="0.2">
      <c r="B88" s="130" t="s">
        <v>792</v>
      </c>
      <c r="C88" s="122" t="s">
        <v>1349</v>
      </c>
      <c r="D88" s="122" t="s">
        <v>1349</v>
      </c>
      <c r="E88" s="118">
        <v>69</v>
      </c>
      <c r="F88" s="118">
        <v>528</v>
      </c>
      <c r="G88" s="118">
        <v>0</v>
      </c>
      <c r="I88" s="130" t="str">
        <f t="shared" si="7"/>
        <v>RelOned Parties</v>
      </c>
      <c r="J88" s="122" t="s">
        <v>47</v>
      </c>
      <c r="K88" s="122" t="s">
        <v>47</v>
      </c>
      <c r="L88" s="118">
        <v>636</v>
      </c>
      <c r="M88" s="118">
        <v>509</v>
      </c>
      <c r="N88" s="118">
        <v>0</v>
      </c>
    </row>
    <row r="89" spans="2:14" x14ac:dyDescent="0.2">
      <c r="B89" s="127" t="s">
        <v>1198</v>
      </c>
      <c r="C89" s="120" t="s">
        <v>1349</v>
      </c>
      <c r="D89" s="120" t="s">
        <v>1349</v>
      </c>
      <c r="E89" s="120">
        <f>SUM(E82:E88)</f>
        <v>134561</v>
      </c>
      <c r="F89" s="120">
        <f>SUM(F82:F88)</f>
        <v>49268</v>
      </c>
      <c r="G89" s="120">
        <f>SUM(G82:G88)</f>
        <v>10614</v>
      </c>
      <c r="I89" s="127" t="str">
        <f>B89</f>
        <v>On March 31, 2022</v>
      </c>
      <c r="J89" s="120" t="s">
        <v>47</v>
      </c>
      <c r="K89" s="120" t="s">
        <v>47</v>
      </c>
      <c r="L89" s="120">
        <f>SUM(L82:L88)</f>
        <v>123495</v>
      </c>
      <c r="M89" s="120">
        <f>SUM(M82:M88)</f>
        <v>49249</v>
      </c>
      <c r="N89" s="120">
        <f>SUM(N82:N88)</f>
        <v>10614</v>
      </c>
    </row>
    <row r="90" spans="2:14" x14ac:dyDescent="0.2">
      <c r="B90" s="130" t="s">
        <v>392</v>
      </c>
      <c r="C90" s="122" t="s">
        <v>1349</v>
      </c>
      <c r="D90" s="122" t="s">
        <v>1349</v>
      </c>
      <c r="E90" s="118">
        <v>70190</v>
      </c>
      <c r="F90" s="118">
        <v>61774</v>
      </c>
      <c r="G90" s="118">
        <v>10498</v>
      </c>
      <c r="I90" s="130" t="str">
        <f>B90</f>
        <v>Debentures</v>
      </c>
      <c r="J90" s="122" t="s">
        <v>47</v>
      </c>
      <c r="K90" s="122" t="s">
        <v>47</v>
      </c>
      <c r="L90" s="118">
        <v>70190</v>
      </c>
      <c r="M90" s="118">
        <v>61774</v>
      </c>
      <c r="N90" s="118">
        <v>10498</v>
      </c>
    </row>
    <row r="91" spans="2:14" x14ac:dyDescent="0.2">
      <c r="B91" s="130" t="s">
        <v>296</v>
      </c>
      <c r="C91" s="122" t="s">
        <v>1349</v>
      </c>
      <c r="D91" s="122" t="s">
        <v>1349</v>
      </c>
      <c r="E91" s="118">
        <v>0</v>
      </c>
      <c r="F91" s="118">
        <v>0</v>
      </c>
      <c r="G91" s="118">
        <v>0</v>
      </c>
      <c r="I91" s="130" t="str">
        <f t="shared" ref="I91:I96" si="8">B91</f>
        <v>Trade accounts and freight payable</v>
      </c>
      <c r="J91" s="122" t="s">
        <v>47</v>
      </c>
      <c r="K91" s="122" t="s">
        <v>47</v>
      </c>
      <c r="L91" s="118">
        <v>0</v>
      </c>
      <c r="M91" s="118">
        <v>0</v>
      </c>
      <c r="N91" s="118">
        <v>0</v>
      </c>
    </row>
    <row r="92" spans="2:14" x14ac:dyDescent="0.2">
      <c r="B92" s="130" t="s">
        <v>194</v>
      </c>
      <c r="C92" s="122" t="s">
        <v>1349</v>
      </c>
      <c r="D92" s="122" t="s">
        <v>1349</v>
      </c>
      <c r="E92" s="118">
        <v>47838</v>
      </c>
      <c r="F92" s="118">
        <v>0</v>
      </c>
      <c r="G92" s="118">
        <v>0</v>
      </c>
      <c r="I92" s="130" t="str">
        <f t="shared" si="8"/>
        <v>Other accounts payable</v>
      </c>
      <c r="J92" s="122" t="s">
        <v>47</v>
      </c>
      <c r="K92" s="122" t="s">
        <v>47</v>
      </c>
      <c r="L92" s="118">
        <v>39785</v>
      </c>
      <c r="M92" s="118">
        <v>0</v>
      </c>
      <c r="N92" s="118">
        <v>0</v>
      </c>
    </row>
    <row r="93" spans="2:14" x14ac:dyDescent="0.2">
      <c r="B93" s="130" t="s">
        <v>393</v>
      </c>
      <c r="C93" s="122" t="s">
        <v>1349</v>
      </c>
      <c r="D93" s="122" t="s">
        <v>1349</v>
      </c>
      <c r="E93" s="118">
        <v>27057</v>
      </c>
      <c r="F93" s="118">
        <v>0</v>
      </c>
      <c r="G93" s="118">
        <v>0</v>
      </c>
      <c r="I93" s="130" t="str">
        <f t="shared" si="8"/>
        <v>Accounts payable - subsidiary acquisition</v>
      </c>
      <c r="J93" s="122" t="s">
        <v>47</v>
      </c>
      <c r="K93" s="122" t="s">
        <v>47</v>
      </c>
      <c r="L93" s="118">
        <v>23556</v>
      </c>
      <c r="M93" s="118">
        <v>0</v>
      </c>
      <c r="N93" s="118">
        <v>0</v>
      </c>
    </row>
    <row r="94" spans="2:14" x14ac:dyDescent="0.2">
      <c r="B94" s="130" t="s">
        <v>849</v>
      </c>
      <c r="C94" s="122" t="s">
        <v>1349</v>
      </c>
      <c r="D94" s="122" t="s">
        <v>1349</v>
      </c>
      <c r="E94" s="118">
        <v>0</v>
      </c>
      <c r="F94" s="118">
        <v>0</v>
      </c>
      <c r="G94" s="118">
        <v>0</v>
      </c>
      <c r="I94" s="130" t="str">
        <f t="shared" si="8"/>
        <v>Derivatives</v>
      </c>
      <c r="J94" s="122" t="s">
        <v>47</v>
      </c>
      <c r="K94" s="122" t="s">
        <v>47</v>
      </c>
      <c r="L94" s="118">
        <v>0</v>
      </c>
      <c r="M94" s="118">
        <v>0</v>
      </c>
      <c r="N94" s="118">
        <v>0</v>
      </c>
    </row>
    <row r="95" spans="2:14" x14ac:dyDescent="0.2">
      <c r="B95" s="130" t="s">
        <v>394</v>
      </c>
      <c r="C95" s="122" t="s">
        <v>1349</v>
      </c>
      <c r="D95" s="122" t="s">
        <v>1349</v>
      </c>
      <c r="E95" s="118">
        <v>0</v>
      </c>
      <c r="F95" s="118">
        <v>0</v>
      </c>
      <c r="G95" s="118">
        <v>0</v>
      </c>
      <c r="I95" s="130" t="str">
        <f t="shared" si="8"/>
        <v>Dividends payable</v>
      </c>
      <c r="J95" s="122" t="s">
        <v>47</v>
      </c>
      <c r="K95" s="122" t="s">
        <v>47</v>
      </c>
      <c r="L95" s="118">
        <v>0</v>
      </c>
      <c r="M95" s="118">
        <v>0</v>
      </c>
      <c r="N95" s="118">
        <v>0</v>
      </c>
    </row>
    <row r="96" spans="2:14" x14ac:dyDescent="0.2">
      <c r="B96" s="130" t="s">
        <v>792</v>
      </c>
      <c r="C96" s="122" t="s">
        <v>1349</v>
      </c>
      <c r="D96" s="122" t="s">
        <v>1349</v>
      </c>
      <c r="E96" s="118">
        <v>141</v>
      </c>
      <c r="F96" s="118">
        <v>551</v>
      </c>
      <c r="G96" s="118">
        <v>0</v>
      </c>
      <c r="I96" s="130" t="str">
        <f t="shared" si="8"/>
        <v>RelOned Parties</v>
      </c>
      <c r="J96" s="122" t="s">
        <v>47</v>
      </c>
      <c r="K96" s="122" t="s">
        <v>47</v>
      </c>
      <c r="L96" s="118">
        <v>412</v>
      </c>
      <c r="M96" s="118">
        <v>532</v>
      </c>
      <c r="N96" s="118">
        <v>0</v>
      </c>
    </row>
    <row r="97" spans="2:14" x14ac:dyDescent="0.2">
      <c r="B97" s="127" t="s">
        <v>1173</v>
      </c>
      <c r="C97" s="120" t="s">
        <v>1349</v>
      </c>
      <c r="D97" s="120" t="s">
        <v>1349</v>
      </c>
      <c r="E97" s="120">
        <f>SUM(E90:E96)</f>
        <v>145226</v>
      </c>
      <c r="F97" s="120">
        <f>SUM(F90:F96)</f>
        <v>62325</v>
      </c>
      <c r="G97" s="120">
        <f>SUM(G90:G96)</f>
        <v>10498</v>
      </c>
      <c r="I97" s="127" t="str">
        <f>B97</f>
        <v>On December 31, 2021</v>
      </c>
      <c r="J97" s="120" t="s">
        <v>47</v>
      </c>
      <c r="K97" s="120" t="s">
        <v>47</v>
      </c>
      <c r="L97" s="120">
        <f>SUM(L90:L96)</f>
        <v>133943</v>
      </c>
      <c r="M97" s="120">
        <f>SUM(M90:M96)</f>
        <v>62306</v>
      </c>
      <c r="N97" s="120">
        <f>SUM(N90:N96)</f>
        <v>10498</v>
      </c>
    </row>
    <row r="98" spans="2:14" x14ac:dyDescent="0.2">
      <c r="B98" s="130" t="s">
        <v>9</v>
      </c>
      <c r="C98" s="122" t="s">
        <v>1349</v>
      </c>
      <c r="D98" s="122" t="s">
        <v>1349</v>
      </c>
      <c r="E98" s="118">
        <v>70151</v>
      </c>
      <c r="F98" s="118">
        <v>55028</v>
      </c>
      <c r="G98" s="118">
        <v>15356</v>
      </c>
      <c r="I98" s="130" t="s">
        <v>9</v>
      </c>
      <c r="J98" s="122" t="s">
        <v>47</v>
      </c>
      <c r="K98" s="122" t="s">
        <v>47</v>
      </c>
      <c r="L98" s="118">
        <v>70151</v>
      </c>
      <c r="M98" s="118">
        <v>55028</v>
      </c>
      <c r="N98" s="118">
        <v>15356</v>
      </c>
    </row>
    <row r="99" spans="2:14" x14ac:dyDescent="0.2">
      <c r="B99" s="130" t="s">
        <v>10</v>
      </c>
      <c r="C99" s="122" t="s">
        <v>1349</v>
      </c>
      <c r="D99" s="122" t="s">
        <v>1349</v>
      </c>
      <c r="E99" s="118">
        <v>0</v>
      </c>
      <c r="F99" s="118">
        <v>0</v>
      </c>
      <c r="G99" s="118">
        <v>0</v>
      </c>
      <c r="I99" s="130" t="s">
        <v>10</v>
      </c>
      <c r="J99" s="122" t="s">
        <v>47</v>
      </c>
      <c r="K99" s="122" t="s">
        <v>47</v>
      </c>
      <c r="L99" s="118">
        <v>0</v>
      </c>
      <c r="M99" s="118">
        <v>0</v>
      </c>
      <c r="N99" s="118">
        <v>0</v>
      </c>
    </row>
    <row r="100" spans="2:14" x14ac:dyDescent="0.2">
      <c r="B100" s="130" t="s">
        <v>48</v>
      </c>
      <c r="C100" s="122" t="s">
        <v>1349</v>
      </c>
      <c r="D100" s="122" t="s">
        <v>1349</v>
      </c>
      <c r="E100" s="118">
        <v>37709</v>
      </c>
      <c r="F100" s="118">
        <v>0</v>
      </c>
      <c r="G100" s="118">
        <v>0</v>
      </c>
      <c r="I100" s="130" t="s">
        <v>48</v>
      </c>
      <c r="J100" s="122" t="s">
        <v>47</v>
      </c>
      <c r="K100" s="122" t="s">
        <v>47</v>
      </c>
      <c r="L100" s="118">
        <v>29852</v>
      </c>
      <c r="M100" s="118">
        <v>0</v>
      </c>
      <c r="N100" s="118">
        <v>0</v>
      </c>
    </row>
    <row r="101" spans="2:14" x14ac:dyDescent="0.2">
      <c r="B101" s="130" t="s">
        <v>11</v>
      </c>
      <c r="C101" s="122" t="s">
        <v>1349</v>
      </c>
      <c r="D101" s="122" t="s">
        <v>1349</v>
      </c>
      <c r="E101" s="118">
        <v>23986</v>
      </c>
      <c r="F101" s="118">
        <v>0</v>
      </c>
      <c r="G101" s="118">
        <v>0</v>
      </c>
      <c r="I101" s="130" t="s">
        <v>11</v>
      </c>
      <c r="J101" s="122" t="s">
        <v>47</v>
      </c>
      <c r="K101" s="122" t="s">
        <v>47</v>
      </c>
      <c r="L101" s="118">
        <v>19688</v>
      </c>
      <c r="M101" s="118">
        <v>0</v>
      </c>
      <c r="N101" s="118">
        <v>0</v>
      </c>
    </row>
    <row r="102" spans="2:14" x14ac:dyDescent="0.2">
      <c r="B102" s="130" t="s">
        <v>848</v>
      </c>
      <c r="C102" s="122" t="s">
        <v>1349</v>
      </c>
      <c r="D102" s="122" t="s">
        <v>1349</v>
      </c>
      <c r="E102" s="118">
        <v>0</v>
      </c>
      <c r="F102" s="118">
        <v>0</v>
      </c>
      <c r="G102" s="118">
        <v>0</v>
      </c>
      <c r="I102" s="130" t="s">
        <v>848</v>
      </c>
      <c r="J102" s="122" t="s">
        <v>47</v>
      </c>
      <c r="K102" s="122" t="s">
        <v>47</v>
      </c>
      <c r="L102" s="118">
        <v>0</v>
      </c>
      <c r="M102" s="118">
        <v>0</v>
      </c>
      <c r="N102" s="118">
        <v>0</v>
      </c>
    </row>
    <row r="103" spans="2:14" x14ac:dyDescent="0.2">
      <c r="B103" s="130" t="s">
        <v>139</v>
      </c>
      <c r="C103" s="122" t="s">
        <v>1349</v>
      </c>
      <c r="D103" s="122" t="s">
        <v>1349</v>
      </c>
      <c r="E103" s="118">
        <v>0</v>
      </c>
      <c r="F103" s="118">
        <v>0</v>
      </c>
      <c r="G103" s="118">
        <v>0</v>
      </c>
      <c r="I103" s="130" t="s">
        <v>139</v>
      </c>
      <c r="J103" s="122" t="s">
        <v>47</v>
      </c>
      <c r="K103" s="122" t="s">
        <v>47</v>
      </c>
      <c r="L103" s="118">
        <v>0</v>
      </c>
      <c r="M103" s="118">
        <v>0</v>
      </c>
      <c r="N103" s="118">
        <v>0</v>
      </c>
    </row>
    <row r="104" spans="2:14" x14ac:dyDescent="0.2">
      <c r="B104" s="130" t="s">
        <v>12</v>
      </c>
      <c r="C104" s="122" t="s">
        <v>1349</v>
      </c>
      <c r="D104" s="122" t="s">
        <v>1349</v>
      </c>
      <c r="E104" s="118">
        <v>421</v>
      </c>
      <c r="F104" s="118">
        <v>553</v>
      </c>
      <c r="G104" s="118">
        <v>0</v>
      </c>
      <c r="I104" s="130" t="s">
        <v>12</v>
      </c>
      <c r="J104" s="122" t="s">
        <v>47</v>
      </c>
      <c r="K104" s="122" t="s">
        <v>47</v>
      </c>
      <c r="L104" s="118">
        <v>605</v>
      </c>
      <c r="M104" s="118">
        <v>533</v>
      </c>
      <c r="N104" s="118">
        <v>0</v>
      </c>
    </row>
    <row r="105" spans="2:14" x14ac:dyDescent="0.2">
      <c r="B105" s="127" t="s">
        <v>1165</v>
      </c>
      <c r="C105" s="120" t="s">
        <v>1349</v>
      </c>
      <c r="D105" s="120" t="s">
        <v>1349</v>
      </c>
      <c r="E105" s="120">
        <f>SUM(E98:E104)</f>
        <v>132267</v>
      </c>
      <c r="F105" s="120">
        <f>SUM(F98:F104)</f>
        <v>55581</v>
      </c>
      <c r="G105" s="120">
        <f>SUM(G98:G104)</f>
        <v>15356</v>
      </c>
      <c r="I105" s="127" t="str">
        <f>B105</f>
        <v>On September 30, 2021</v>
      </c>
      <c r="J105" s="120" t="s">
        <v>47</v>
      </c>
      <c r="K105" s="120" t="s">
        <v>47</v>
      </c>
      <c r="L105" s="120">
        <f>SUM(L98:L104)</f>
        <v>120296</v>
      </c>
      <c r="M105" s="120">
        <f>SUM(M98:M104)</f>
        <v>55561</v>
      </c>
      <c r="N105" s="120">
        <f>SUM(N98:N104)</f>
        <v>15356</v>
      </c>
    </row>
    <row r="106" spans="2:14" x14ac:dyDescent="0.2">
      <c r="B106" s="130" t="s">
        <v>9</v>
      </c>
      <c r="C106" s="122" t="s">
        <v>1349</v>
      </c>
      <c r="D106" s="122" t="s">
        <v>1349</v>
      </c>
      <c r="E106" s="118">
        <v>68193</v>
      </c>
      <c r="F106" s="118">
        <v>14130</v>
      </c>
      <c r="G106" s="118">
        <v>57035</v>
      </c>
      <c r="I106" s="130" t="s">
        <v>9</v>
      </c>
      <c r="J106" s="122" t="s">
        <v>47</v>
      </c>
      <c r="K106" s="122" t="s">
        <v>47</v>
      </c>
      <c r="L106" s="118">
        <v>68193</v>
      </c>
      <c r="M106" s="118">
        <v>14130</v>
      </c>
      <c r="N106" s="118">
        <v>57035</v>
      </c>
    </row>
    <row r="107" spans="2:14" x14ac:dyDescent="0.2">
      <c r="B107" s="130" t="s">
        <v>10</v>
      </c>
      <c r="C107" s="122" t="s">
        <v>1349</v>
      </c>
      <c r="D107" s="122" t="s">
        <v>1349</v>
      </c>
      <c r="E107" s="118">
        <v>25202</v>
      </c>
      <c r="F107" s="118">
        <v>0</v>
      </c>
      <c r="G107" s="118">
        <v>0</v>
      </c>
      <c r="I107" s="130" t="s">
        <v>10</v>
      </c>
      <c r="J107" s="122" t="s">
        <v>47</v>
      </c>
      <c r="K107" s="122" t="s">
        <v>47</v>
      </c>
      <c r="L107" s="118">
        <v>25202</v>
      </c>
      <c r="M107" s="118">
        <v>0</v>
      </c>
      <c r="N107" s="118">
        <v>0</v>
      </c>
    </row>
    <row r="108" spans="2:14" x14ac:dyDescent="0.2">
      <c r="B108" s="130" t="s">
        <v>48</v>
      </c>
      <c r="C108" s="122" t="s">
        <v>1349</v>
      </c>
      <c r="D108" s="122" t="s">
        <v>1349</v>
      </c>
      <c r="E108" s="118">
        <v>29673</v>
      </c>
      <c r="F108" s="118">
        <v>0</v>
      </c>
      <c r="G108" s="118">
        <v>0</v>
      </c>
      <c r="I108" s="130" t="s">
        <v>48</v>
      </c>
      <c r="J108" s="122" t="s">
        <v>47</v>
      </c>
      <c r="K108" s="122" t="s">
        <v>47</v>
      </c>
      <c r="L108" s="118">
        <v>23087</v>
      </c>
      <c r="M108" s="118">
        <v>0</v>
      </c>
      <c r="N108" s="118">
        <v>0</v>
      </c>
    </row>
    <row r="109" spans="2:14" x14ac:dyDescent="0.2">
      <c r="B109" s="130" t="s">
        <v>11</v>
      </c>
      <c r="C109" s="122" t="s">
        <v>1349</v>
      </c>
      <c r="D109" s="122" t="s">
        <v>1349</v>
      </c>
      <c r="E109" s="118">
        <v>26483</v>
      </c>
      <c r="F109" s="118">
        <v>0</v>
      </c>
      <c r="G109" s="118">
        <v>0</v>
      </c>
      <c r="I109" s="130" t="s">
        <v>11</v>
      </c>
      <c r="J109" s="122" t="s">
        <v>47</v>
      </c>
      <c r="K109" s="122" t="s">
        <v>47</v>
      </c>
      <c r="L109" s="118">
        <v>22422</v>
      </c>
      <c r="M109" s="118">
        <v>0</v>
      </c>
      <c r="N109" s="118">
        <v>0</v>
      </c>
    </row>
    <row r="110" spans="2:14" x14ac:dyDescent="0.2">
      <c r="B110" s="130" t="s">
        <v>848</v>
      </c>
      <c r="C110" s="122" t="s">
        <v>1349</v>
      </c>
      <c r="D110" s="122" t="s">
        <v>1349</v>
      </c>
      <c r="E110" s="118">
        <v>0</v>
      </c>
      <c r="F110" s="118">
        <v>0</v>
      </c>
      <c r="G110" s="118">
        <v>0</v>
      </c>
      <c r="I110" s="130" t="s">
        <v>848</v>
      </c>
      <c r="J110" s="122" t="s">
        <v>47</v>
      </c>
      <c r="K110" s="122" t="s">
        <v>47</v>
      </c>
      <c r="L110" s="118">
        <v>0</v>
      </c>
      <c r="M110" s="118">
        <v>0</v>
      </c>
      <c r="N110" s="118">
        <v>0</v>
      </c>
    </row>
    <row r="111" spans="2:14" x14ac:dyDescent="0.2">
      <c r="B111" s="130" t="s">
        <v>139</v>
      </c>
      <c r="C111" s="122" t="s">
        <v>1349</v>
      </c>
      <c r="D111" s="122" t="s">
        <v>1349</v>
      </c>
      <c r="E111" s="118">
        <v>0</v>
      </c>
      <c r="F111" s="118">
        <v>0</v>
      </c>
      <c r="G111" s="118">
        <v>0</v>
      </c>
      <c r="I111" s="130" t="s">
        <v>139</v>
      </c>
      <c r="J111" s="122" t="s">
        <v>47</v>
      </c>
      <c r="K111" s="122" t="s">
        <v>47</v>
      </c>
      <c r="L111" s="118">
        <v>0</v>
      </c>
      <c r="M111" s="118">
        <v>0</v>
      </c>
      <c r="N111" s="118">
        <v>0</v>
      </c>
    </row>
    <row r="112" spans="2:14" x14ac:dyDescent="0.2">
      <c r="B112" s="130" t="s">
        <v>12</v>
      </c>
      <c r="C112" s="122" t="s">
        <v>1349</v>
      </c>
      <c r="D112" s="122" t="s">
        <v>1349</v>
      </c>
      <c r="E112" s="118">
        <v>25</v>
      </c>
      <c r="F112" s="118">
        <v>553</v>
      </c>
      <c r="G112" s="118">
        <v>0</v>
      </c>
      <c r="I112" s="130" t="s">
        <v>12</v>
      </c>
      <c r="J112" s="122" t="s">
        <v>47</v>
      </c>
      <c r="K112" s="122" t="s">
        <v>47</v>
      </c>
      <c r="L112" s="118">
        <v>147</v>
      </c>
      <c r="M112" s="118">
        <v>533</v>
      </c>
      <c r="N112" s="118">
        <v>0</v>
      </c>
    </row>
    <row r="113" spans="2:14" x14ac:dyDescent="0.2">
      <c r="B113" s="127" t="s">
        <v>1143</v>
      </c>
      <c r="C113" s="120" t="s">
        <v>1349</v>
      </c>
      <c r="D113" s="120" t="s">
        <v>1349</v>
      </c>
      <c r="E113" s="120">
        <f>SUM(E106:E112)</f>
        <v>149576</v>
      </c>
      <c r="F113" s="120">
        <f>SUM(F106:F112)</f>
        <v>14683</v>
      </c>
      <c r="G113" s="120">
        <f>SUM(G106:G112)</f>
        <v>57035</v>
      </c>
      <c r="I113" s="127" t="str">
        <f>B113</f>
        <v>On June 30, 2021</v>
      </c>
      <c r="J113" s="120" t="s">
        <v>47</v>
      </c>
      <c r="K113" s="120" t="s">
        <v>47</v>
      </c>
      <c r="L113" s="120">
        <f>SUM(L106:L112)</f>
        <v>139051</v>
      </c>
      <c r="M113" s="120">
        <f>SUM(M106:M112)</f>
        <v>14663</v>
      </c>
      <c r="N113" s="120">
        <f>SUM(N106:N112)</f>
        <v>57035</v>
      </c>
    </row>
    <row r="114" spans="2:14" x14ac:dyDescent="0.2">
      <c r="B114" s="130" t="s">
        <v>392</v>
      </c>
      <c r="C114" s="122" t="s">
        <v>1349</v>
      </c>
      <c r="D114" s="122" t="s">
        <v>1349</v>
      </c>
      <c r="E114" s="118">
        <v>59039</v>
      </c>
      <c r="F114" s="118">
        <v>64778</v>
      </c>
      <c r="G114" s="118">
        <v>56558</v>
      </c>
      <c r="I114" s="130" t="str">
        <f>B114</f>
        <v>Debentures</v>
      </c>
      <c r="J114" s="122" t="s">
        <v>47</v>
      </c>
      <c r="K114" s="122" t="s">
        <v>47</v>
      </c>
      <c r="L114" s="118">
        <v>59039</v>
      </c>
      <c r="M114" s="118">
        <v>64778</v>
      </c>
      <c r="N114" s="118">
        <v>56558</v>
      </c>
    </row>
    <row r="115" spans="2:14" x14ac:dyDescent="0.2">
      <c r="B115" s="130" t="s">
        <v>296</v>
      </c>
      <c r="C115" s="122" t="s">
        <v>1349</v>
      </c>
      <c r="D115" s="122" t="s">
        <v>1349</v>
      </c>
      <c r="E115" s="118">
        <v>25676</v>
      </c>
      <c r="F115" s="118">
        <v>0</v>
      </c>
      <c r="G115" s="118">
        <v>0</v>
      </c>
      <c r="I115" s="130" t="str">
        <f t="shared" ref="I115:I120" si="9">B115</f>
        <v>Trade accounts and freight payable</v>
      </c>
      <c r="J115" s="122" t="s">
        <v>47</v>
      </c>
      <c r="K115" s="122" t="s">
        <v>47</v>
      </c>
      <c r="L115" s="118">
        <v>25676</v>
      </c>
      <c r="M115" s="118">
        <v>0</v>
      </c>
      <c r="N115" s="118">
        <v>0</v>
      </c>
    </row>
    <row r="116" spans="2:14" x14ac:dyDescent="0.2">
      <c r="B116" s="130" t="s">
        <v>194</v>
      </c>
      <c r="C116" s="122" t="s">
        <v>1349</v>
      </c>
      <c r="D116" s="122" t="s">
        <v>1349</v>
      </c>
      <c r="E116" s="118">
        <v>27426</v>
      </c>
      <c r="F116" s="118">
        <v>0</v>
      </c>
      <c r="G116" s="118">
        <v>0</v>
      </c>
      <c r="I116" s="130" t="str">
        <f t="shared" si="9"/>
        <v>Other accounts payable</v>
      </c>
      <c r="J116" s="122" t="s">
        <v>47</v>
      </c>
      <c r="K116" s="122" t="s">
        <v>47</v>
      </c>
      <c r="L116" s="118">
        <v>22320</v>
      </c>
      <c r="M116" s="118">
        <v>0</v>
      </c>
      <c r="N116" s="118">
        <v>0</v>
      </c>
    </row>
    <row r="117" spans="2:14" x14ac:dyDescent="0.2">
      <c r="B117" s="130" t="s">
        <v>393</v>
      </c>
      <c r="C117" s="122" t="s">
        <v>1349</v>
      </c>
      <c r="D117" s="122" t="s">
        <v>1349</v>
      </c>
      <c r="E117" s="118">
        <v>25480</v>
      </c>
      <c r="F117" s="118">
        <v>0</v>
      </c>
      <c r="G117" s="118">
        <v>0</v>
      </c>
      <c r="I117" s="130" t="str">
        <f t="shared" si="9"/>
        <v>Accounts payable - subsidiary acquisition</v>
      </c>
      <c r="J117" s="122" t="s">
        <v>47</v>
      </c>
      <c r="K117" s="122" t="s">
        <v>47</v>
      </c>
      <c r="L117" s="118">
        <v>21455</v>
      </c>
      <c r="M117" s="118">
        <v>0</v>
      </c>
      <c r="N117" s="118">
        <v>0</v>
      </c>
    </row>
    <row r="118" spans="2:14" x14ac:dyDescent="0.2">
      <c r="B118" s="130" t="s">
        <v>849</v>
      </c>
      <c r="C118" s="122" t="s">
        <v>1349</v>
      </c>
      <c r="D118" s="122" t="s">
        <v>1349</v>
      </c>
      <c r="E118" s="118">
        <v>0</v>
      </c>
      <c r="F118" s="118">
        <v>0</v>
      </c>
      <c r="G118" s="118">
        <v>0</v>
      </c>
      <c r="I118" s="130" t="str">
        <f t="shared" si="9"/>
        <v>Derivatives</v>
      </c>
      <c r="J118" s="122" t="s">
        <v>47</v>
      </c>
      <c r="K118" s="122" t="s">
        <v>47</v>
      </c>
      <c r="L118" s="118">
        <v>0</v>
      </c>
      <c r="M118" s="118">
        <v>0</v>
      </c>
      <c r="N118" s="118">
        <v>0</v>
      </c>
    </row>
    <row r="119" spans="2:14" x14ac:dyDescent="0.2">
      <c r="B119" s="130" t="s">
        <v>394</v>
      </c>
      <c r="C119" s="122" t="s">
        <v>1349</v>
      </c>
      <c r="D119" s="122" t="s">
        <v>1349</v>
      </c>
      <c r="E119" s="118">
        <v>0</v>
      </c>
      <c r="F119" s="118">
        <v>0</v>
      </c>
      <c r="G119" s="118">
        <v>0</v>
      </c>
      <c r="I119" s="130" t="str">
        <f t="shared" si="9"/>
        <v>Dividends payable</v>
      </c>
      <c r="J119" s="122" t="s">
        <v>47</v>
      </c>
      <c r="K119" s="122" t="s">
        <v>47</v>
      </c>
      <c r="L119" s="118">
        <v>0</v>
      </c>
      <c r="M119" s="118">
        <v>0</v>
      </c>
      <c r="N119" s="118">
        <v>0</v>
      </c>
    </row>
    <row r="120" spans="2:14" x14ac:dyDescent="0.2">
      <c r="B120" s="130" t="s">
        <v>792</v>
      </c>
      <c r="C120" s="122" t="s">
        <v>1349</v>
      </c>
      <c r="D120" s="122" t="s">
        <v>1349</v>
      </c>
      <c r="E120" s="118">
        <v>54</v>
      </c>
      <c r="F120" s="118">
        <v>559</v>
      </c>
      <c r="G120" s="118">
        <v>0</v>
      </c>
      <c r="I120" s="130" t="str">
        <f t="shared" si="9"/>
        <v>RelOned Parties</v>
      </c>
      <c r="J120" s="122" t="s">
        <v>47</v>
      </c>
      <c r="K120" s="122" t="s">
        <v>47</v>
      </c>
      <c r="L120" s="118">
        <v>217</v>
      </c>
      <c r="M120" s="118">
        <v>539</v>
      </c>
      <c r="N120" s="118">
        <v>0</v>
      </c>
    </row>
    <row r="121" spans="2:14" x14ac:dyDescent="0.2">
      <c r="B121" s="127" t="s">
        <v>1138</v>
      </c>
      <c r="C121" s="120" t="s">
        <v>1349</v>
      </c>
      <c r="D121" s="120" t="s">
        <v>1349</v>
      </c>
      <c r="E121" s="120">
        <f>SUM(E114:E120)</f>
        <v>137675</v>
      </c>
      <c r="F121" s="120">
        <f>SUM(F114:F120)</f>
        <v>65337</v>
      </c>
      <c r="G121" s="120">
        <f>SUM(G114:G120)</f>
        <v>56558</v>
      </c>
      <c r="I121" s="127" t="str">
        <f>B121</f>
        <v>On March 31, 2021</v>
      </c>
      <c r="J121" s="120" t="s">
        <v>47</v>
      </c>
      <c r="K121" s="120" t="s">
        <v>47</v>
      </c>
      <c r="L121" s="120">
        <f>SUM(L114:L120)</f>
        <v>128707</v>
      </c>
      <c r="M121" s="120">
        <f>SUM(M114:M120)</f>
        <v>65317</v>
      </c>
      <c r="N121" s="120">
        <f>SUM(N114:N120)</f>
        <v>56558</v>
      </c>
    </row>
    <row r="122" spans="2:14" x14ac:dyDescent="0.2">
      <c r="B122" s="130" t="s">
        <v>392</v>
      </c>
      <c r="C122" s="122" t="s">
        <v>1349</v>
      </c>
      <c r="D122" s="122" t="s">
        <v>1349</v>
      </c>
      <c r="E122" s="118">
        <v>48366</v>
      </c>
      <c r="F122" s="118">
        <v>64262</v>
      </c>
      <c r="G122" s="118">
        <v>67663</v>
      </c>
      <c r="I122" s="130" t="str">
        <f>B122</f>
        <v>Debentures</v>
      </c>
      <c r="J122" s="122" t="s">
        <v>47</v>
      </c>
      <c r="K122" s="122" t="s">
        <v>47</v>
      </c>
      <c r="L122" s="118">
        <v>48366</v>
      </c>
      <c r="M122" s="118">
        <v>64262</v>
      </c>
      <c r="N122" s="118">
        <v>67663</v>
      </c>
    </row>
    <row r="123" spans="2:14" x14ac:dyDescent="0.2">
      <c r="B123" s="130" t="s">
        <v>296</v>
      </c>
      <c r="C123" s="122" t="s">
        <v>1349</v>
      </c>
      <c r="D123" s="122" t="s">
        <v>1349</v>
      </c>
      <c r="E123" s="118">
        <v>25608</v>
      </c>
      <c r="F123" s="118">
        <v>0</v>
      </c>
      <c r="G123" s="118">
        <v>0</v>
      </c>
      <c r="I123" s="130" t="str">
        <f t="shared" ref="I123:I128" si="10">B123</f>
        <v>Trade accounts and freight payable</v>
      </c>
      <c r="J123" s="122" t="s">
        <v>47</v>
      </c>
      <c r="K123" s="122" t="s">
        <v>47</v>
      </c>
      <c r="L123" s="118">
        <v>25608</v>
      </c>
      <c r="M123" s="118">
        <v>0</v>
      </c>
      <c r="N123" s="118">
        <v>0</v>
      </c>
    </row>
    <row r="124" spans="2:14" x14ac:dyDescent="0.2">
      <c r="B124" s="130" t="s">
        <v>194</v>
      </c>
      <c r="C124" s="122" t="s">
        <v>1349</v>
      </c>
      <c r="D124" s="122" t="s">
        <v>1349</v>
      </c>
      <c r="E124" s="118">
        <v>31268</v>
      </c>
      <c r="F124" s="118">
        <v>0</v>
      </c>
      <c r="G124" s="118">
        <v>0</v>
      </c>
      <c r="I124" s="130" t="str">
        <f t="shared" si="10"/>
        <v>Other accounts payable</v>
      </c>
      <c r="J124" s="122" t="s">
        <v>47</v>
      </c>
      <c r="K124" s="122" t="s">
        <v>47</v>
      </c>
      <c r="L124" s="118">
        <v>26651</v>
      </c>
      <c r="M124" s="118">
        <v>0</v>
      </c>
      <c r="N124" s="118">
        <v>0</v>
      </c>
    </row>
    <row r="125" spans="2:14" x14ac:dyDescent="0.2">
      <c r="B125" s="130" t="s">
        <v>393</v>
      </c>
      <c r="C125" s="122" t="s">
        <v>1349</v>
      </c>
      <c r="D125" s="122" t="s">
        <v>1349</v>
      </c>
      <c r="E125" s="118">
        <v>30588</v>
      </c>
      <c r="F125" s="118">
        <v>0</v>
      </c>
      <c r="G125" s="118">
        <v>0</v>
      </c>
      <c r="I125" s="130" t="str">
        <f t="shared" si="10"/>
        <v>Accounts payable - subsidiary acquisition</v>
      </c>
      <c r="J125" s="122" t="s">
        <v>47</v>
      </c>
      <c r="K125" s="122" t="s">
        <v>47</v>
      </c>
      <c r="L125" s="118">
        <v>24054</v>
      </c>
      <c r="M125" s="118">
        <v>0</v>
      </c>
      <c r="N125" s="118">
        <v>0</v>
      </c>
    </row>
    <row r="126" spans="2:14" x14ac:dyDescent="0.2">
      <c r="B126" s="130" t="s">
        <v>849</v>
      </c>
      <c r="C126" s="122" t="s">
        <v>1349</v>
      </c>
      <c r="D126" s="122" t="s">
        <v>1349</v>
      </c>
      <c r="E126" s="118">
        <v>0</v>
      </c>
      <c r="F126" s="118">
        <v>0</v>
      </c>
      <c r="G126" s="118">
        <v>0</v>
      </c>
      <c r="I126" s="130" t="str">
        <f t="shared" si="10"/>
        <v>Derivatives</v>
      </c>
      <c r="J126" s="122" t="s">
        <v>47</v>
      </c>
      <c r="K126" s="122" t="s">
        <v>47</v>
      </c>
      <c r="L126" s="118">
        <v>0</v>
      </c>
      <c r="M126" s="118">
        <v>0</v>
      </c>
      <c r="N126" s="118">
        <v>0</v>
      </c>
    </row>
    <row r="127" spans="2:14" x14ac:dyDescent="0.2">
      <c r="B127" s="130" t="s">
        <v>394</v>
      </c>
      <c r="C127" s="122" t="s">
        <v>1349</v>
      </c>
      <c r="D127" s="122" t="s">
        <v>1349</v>
      </c>
      <c r="E127" s="118">
        <v>0</v>
      </c>
      <c r="F127" s="118">
        <v>0</v>
      </c>
      <c r="G127" s="118">
        <v>0</v>
      </c>
      <c r="I127" s="130" t="str">
        <f t="shared" si="10"/>
        <v>Dividends payable</v>
      </c>
      <c r="J127" s="122" t="s">
        <v>47</v>
      </c>
      <c r="K127" s="122" t="s">
        <v>47</v>
      </c>
      <c r="L127" s="118">
        <v>0</v>
      </c>
      <c r="M127" s="118">
        <v>0</v>
      </c>
      <c r="N127" s="118">
        <v>0</v>
      </c>
    </row>
    <row r="128" spans="2:14" x14ac:dyDescent="0.2">
      <c r="B128" s="130" t="s">
        <v>792</v>
      </c>
      <c r="C128" s="122" t="s">
        <v>1349</v>
      </c>
      <c r="D128" s="122" t="s">
        <v>1349</v>
      </c>
      <c r="E128" s="118">
        <v>73</v>
      </c>
      <c r="F128" s="118">
        <v>559</v>
      </c>
      <c r="G128" s="118">
        <v>0</v>
      </c>
      <c r="I128" s="130" t="str">
        <f t="shared" si="10"/>
        <v>RelOned Parties</v>
      </c>
      <c r="J128" s="122" t="s">
        <v>47</v>
      </c>
      <c r="K128" s="122" t="s">
        <v>47</v>
      </c>
      <c r="L128" s="118">
        <v>150</v>
      </c>
      <c r="M128" s="118">
        <v>539</v>
      </c>
      <c r="N128" s="118">
        <v>0</v>
      </c>
    </row>
    <row r="129" spans="2:14" x14ac:dyDescent="0.2">
      <c r="B129" s="127" t="s">
        <v>1119</v>
      </c>
      <c r="C129" s="120" t="s">
        <v>1349</v>
      </c>
      <c r="D129" s="120" t="s">
        <v>1349</v>
      </c>
      <c r="E129" s="120">
        <f>SUM(E122:E128)</f>
        <v>135903</v>
      </c>
      <c r="F129" s="120">
        <f>SUM(F122:F128)</f>
        <v>64821</v>
      </c>
      <c r="G129" s="120">
        <f>SUM(G122:G128)</f>
        <v>67663</v>
      </c>
      <c r="I129" s="127" t="str">
        <f>B129</f>
        <v>On December 30, 2020</v>
      </c>
      <c r="J129" s="120" t="s">
        <v>47</v>
      </c>
      <c r="K129" s="120" t="s">
        <v>47</v>
      </c>
      <c r="L129" s="120">
        <f>SUM(L122:L128)</f>
        <v>124829</v>
      </c>
      <c r="M129" s="120">
        <f>SUM(M122:M128)</f>
        <v>64801</v>
      </c>
      <c r="N129" s="120">
        <f>SUM(N122:N128)</f>
        <v>67663</v>
      </c>
    </row>
    <row r="130" spans="2:14" x14ac:dyDescent="0.2">
      <c r="B130" s="130" t="s">
        <v>392</v>
      </c>
      <c r="C130" s="122" t="s">
        <v>1349</v>
      </c>
      <c r="D130" s="122" t="s">
        <v>1349</v>
      </c>
      <c r="E130" s="118">
        <v>48504</v>
      </c>
      <c r="F130" s="118">
        <v>65705</v>
      </c>
      <c r="G130" s="118">
        <v>67663</v>
      </c>
      <c r="I130" s="130" t="str">
        <f>B130</f>
        <v>Debentures</v>
      </c>
      <c r="J130" s="122" t="s">
        <v>47</v>
      </c>
      <c r="K130" s="122" t="s">
        <v>47</v>
      </c>
      <c r="L130" s="118">
        <v>48504</v>
      </c>
      <c r="M130" s="118">
        <v>65705</v>
      </c>
      <c r="N130" s="118">
        <v>67663</v>
      </c>
    </row>
    <row r="131" spans="2:14" x14ac:dyDescent="0.2">
      <c r="B131" s="130" t="s">
        <v>296</v>
      </c>
      <c r="C131" s="122" t="s">
        <v>1349</v>
      </c>
      <c r="D131" s="122" t="s">
        <v>1349</v>
      </c>
      <c r="E131" s="118">
        <v>25972</v>
      </c>
      <c r="F131" s="118">
        <v>0</v>
      </c>
      <c r="G131" s="118">
        <v>0</v>
      </c>
      <c r="I131" s="130" t="str">
        <f t="shared" ref="I131:I136" si="11">B131</f>
        <v>Trade accounts and freight payable</v>
      </c>
      <c r="J131" s="122" t="s">
        <v>47</v>
      </c>
      <c r="K131" s="122" t="s">
        <v>47</v>
      </c>
      <c r="L131" s="118">
        <v>25972</v>
      </c>
      <c r="M131" s="118">
        <v>0</v>
      </c>
      <c r="N131" s="118">
        <v>0</v>
      </c>
    </row>
    <row r="132" spans="2:14" x14ac:dyDescent="0.2">
      <c r="B132" s="130" t="s">
        <v>194</v>
      </c>
      <c r="C132" s="122" t="s">
        <v>1349</v>
      </c>
      <c r="D132" s="122" t="s">
        <v>1349</v>
      </c>
      <c r="E132" s="118">
        <v>28173</v>
      </c>
      <c r="F132" s="118">
        <v>0</v>
      </c>
      <c r="G132" s="118">
        <v>0</v>
      </c>
      <c r="I132" s="130" t="str">
        <f t="shared" si="11"/>
        <v>Other accounts payable</v>
      </c>
      <c r="J132" s="122" t="s">
        <v>47</v>
      </c>
      <c r="K132" s="122" t="s">
        <v>47</v>
      </c>
      <c r="L132" s="118">
        <v>24061</v>
      </c>
      <c r="M132" s="118">
        <v>0</v>
      </c>
      <c r="N132" s="118">
        <v>0</v>
      </c>
    </row>
    <row r="133" spans="2:14" x14ac:dyDescent="0.2">
      <c r="B133" s="130" t="s">
        <v>393</v>
      </c>
      <c r="C133" s="122" t="s">
        <v>1349</v>
      </c>
      <c r="D133" s="122" t="s">
        <v>1349</v>
      </c>
      <c r="E133" s="118">
        <v>30252</v>
      </c>
      <c r="F133" s="118">
        <v>0</v>
      </c>
      <c r="G133" s="118">
        <v>0</v>
      </c>
      <c r="I133" s="130" t="str">
        <f t="shared" si="11"/>
        <v>Accounts payable - subsidiary acquisition</v>
      </c>
      <c r="J133" s="122" t="s">
        <v>47</v>
      </c>
      <c r="K133" s="122" t="s">
        <v>47</v>
      </c>
      <c r="L133" s="118">
        <v>23922</v>
      </c>
      <c r="M133" s="118">
        <v>0</v>
      </c>
      <c r="N133" s="118">
        <v>0</v>
      </c>
    </row>
    <row r="134" spans="2:14" x14ac:dyDescent="0.2">
      <c r="B134" s="130" t="s">
        <v>849</v>
      </c>
      <c r="C134" s="122" t="s">
        <v>1349</v>
      </c>
      <c r="D134" s="122" t="s">
        <v>1349</v>
      </c>
      <c r="E134" s="118">
        <v>0</v>
      </c>
      <c r="F134" s="118">
        <v>0</v>
      </c>
      <c r="G134" s="118">
        <v>0</v>
      </c>
      <c r="I134" s="130" t="str">
        <f t="shared" si="11"/>
        <v>Derivatives</v>
      </c>
      <c r="J134" s="122" t="s">
        <v>47</v>
      </c>
      <c r="K134" s="122" t="s">
        <v>47</v>
      </c>
      <c r="L134" s="118">
        <v>0</v>
      </c>
      <c r="M134" s="118">
        <v>0</v>
      </c>
      <c r="N134" s="118">
        <v>0</v>
      </c>
    </row>
    <row r="135" spans="2:14" x14ac:dyDescent="0.2">
      <c r="B135" s="130" t="s">
        <v>394</v>
      </c>
      <c r="C135" s="122" t="s">
        <v>1349</v>
      </c>
      <c r="D135" s="122" t="s">
        <v>1349</v>
      </c>
      <c r="E135" s="118">
        <v>0</v>
      </c>
      <c r="F135" s="118">
        <v>0</v>
      </c>
      <c r="G135" s="118">
        <v>0</v>
      </c>
      <c r="I135" s="130" t="str">
        <f t="shared" si="11"/>
        <v>Dividends payable</v>
      </c>
      <c r="J135" s="122" t="s">
        <v>47</v>
      </c>
      <c r="K135" s="122" t="s">
        <v>47</v>
      </c>
      <c r="L135" s="118">
        <v>0</v>
      </c>
      <c r="M135" s="118">
        <v>0</v>
      </c>
      <c r="N135" s="118">
        <v>0</v>
      </c>
    </row>
    <row r="136" spans="2:14" x14ac:dyDescent="0.2">
      <c r="B136" s="130" t="s">
        <v>792</v>
      </c>
      <c r="C136" s="122" t="s">
        <v>1349</v>
      </c>
      <c r="D136" s="122" t="s">
        <v>1349</v>
      </c>
      <c r="E136" s="118">
        <v>35</v>
      </c>
      <c r="F136" s="118">
        <v>592</v>
      </c>
      <c r="G136" s="118">
        <v>0</v>
      </c>
      <c r="I136" s="130" t="str">
        <f t="shared" si="11"/>
        <v>RelOned Parties</v>
      </c>
      <c r="J136" s="122" t="s">
        <v>47</v>
      </c>
      <c r="K136" s="122" t="s">
        <v>47</v>
      </c>
      <c r="L136" s="118">
        <v>87</v>
      </c>
      <c r="M136" s="118">
        <v>573</v>
      </c>
      <c r="N136" s="118">
        <v>0</v>
      </c>
    </row>
    <row r="137" spans="2:14" x14ac:dyDescent="0.2">
      <c r="B137" s="127" t="s">
        <v>1094</v>
      </c>
      <c r="C137" s="120" t="s">
        <v>1349</v>
      </c>
      <c r="D137" s="120" t="s">
        <v>1349</v>
      </c>
      <c r="E137" s="120">
        <f>SUM(E130:E136)</f>
        <v>132936</v>
      </c>
      <c r="F137" s="120">
        <f>SUM(F130:F136)</f>
        <v>66297</v>
      </c>
      <c r="G137" s="120">
        <f>SUM(G130:G136)</f>
        <v>67663</v>
      </c>
      <c r="I137" s="127" t="str">
        <f>B137</f>
        <v>On September 30, 2020</v>
      </c>
      <c r="J137" s="120" t="s">
        <v>47</v>
      </c>
      <c r="K137" s="120" t="s">
        <v>47</v>
      </c>
      <c r="L137" s="120">
        <f>SUM(L130:L136)</f>
        <v>122546</v>
      </c>
      <c r="M137" s="120">
        <f>SUM(M130:M136)</f>
        <v>66278</v>
      </c>
      <c r="N137" s="120">
        <f>SUM(N130:N136)</f>
        <v>67663</v>
      </c>
    </row>
    <row r="138" spans="2:14" x14ac:dyDescent="0.2">
      <c r="B138" s="130" t="s">
        <v>392</v>
      </c>
      <c r="C138" s="122" t="s">
        <v>1349</v>
      </c>
      <c r="D138" s="122" t="s">
        <v>1349</v>
      </c>
      <c r="E138" s="118">
        <v>121422</v>
      </c>
      <c r="F138" s="118">
        <v>63963</v>
      </c>
      <c r="G138" s="118">
        <v>20991</v>
      </c>
      <c r="I138" s="130" t="str">
        <f>B138</f>
        <v>Debentures</v>
      </c>
      <c r="J138" s="122" t="s">
        <v>47</v>
      </c>
      <c r="K138" s="122" t="s">
        <v>47</v>
      </c>
      <c r="L138" s="118">
        <v>121422</v>
      </c>
      <c r="M138" s="118">
        <v>63963</v>
      </c>
      <c r="N138" s="118">
        <v>20991</v>
      </c>
    </row>
    <row r="139" spans="2:14" x14ac:dyDescent="0.2">
      <c r="B139" s="130" t="s">
        <v>296</v>
      </c>
      <c r="C139" s="122" t="s">
        <v>1349</v>
      </c>
      <c r="D139" s="122" t="s">
        <v>1349</v>
      </c>
      <c r="E139" s="118">
        <v>27595</v>
      </c>
      <c r="F139" s="118">
        <v>25140</v>
      </c>
      <c r="G139" s="118">
        <v>0</v>
      </c>
      <c r="I139" s="130" t="str">
        <f t="shared" ref="I139:I145" si="12">B139</f>
        <v>Trade accounts and freight payable</v>
      </c>
      <c r="J139" s="122" t="s">
        <v>47</v>
      </c>
      <c r="K139" s="122" t="s">
        <v>47</v>
      </c>
      <c r="L139" s="118">
        <v>27595</v>
      </c>
      <c r="M139" s="118">
        <v>25140</v>
      </c>
      <c r="N139" s="118">
        <v>0</v>
      </c>
    </row>
    <row r="140" spans="2:14" x14ac:dyDescent="0.2">
      <c r="B140" s="130" t="s">
        <v>874</v>
      </c>
      <c r="C140" s="122" t="s">
        <v>1349</v>
      </c>
      <c r="D140" s="122" t="s">
        <v>1349</v>
      </c>
      <c r="E140" s="118">
        <v>0</v>
      </c>
      <c r="F140" s="118">
        <v>0</v>
      </c>
      <c r="G140" s="118">
        <v>0</v>
      </c>
      <c r="I140" s="130" t="str">
        <f t="shared" si="12"/>
        <v>Lease liabilities</v>
      </c>
      <c r="J140" s="122" t="s">
        <v>47</v>
      </c>
      <c r="K140" s="122" t="s">
        <v>47</v>
      </c>
      <c r="L140" s="118">
        <v>0</v>
      </c>
      <c r="M140" s="118">
        <v>0</v>
      </c>
      <c r="N140" s="118">
        <v>0</v>
      </c>
    </row>
    <row r="141" spans="2:14" x14ac:dyDescent="0.2">
      <c r="B141" s="130" t="s">
        <v>194</v>
      </c>
      <c r="C141" s="122" t="s">
        <v>1349</v>
      </c>
      <c r="D141" s="122" t="s">
        <v>1349</v>
      </c>
      <c r="E141" s="118">
        <v>17169</v>
      </c>
      <c r="F141" s="118">
        <v>0</v>
      </c>
      <c r="G141" s="118">
        <v>0</v>
      </c>
      <c r="I141" s="130" t="str">
        <f t="shared" si="12"/>
        <v>Other accounts payable</v>
      </c>
      <c r="J141" s="122" t="s">
        <v>47</v>
      </c>
      <c r="K141" s="122" t="s">
        <v>47</v>
      </c>
      <c r="L141" s="118">
        <v>13870</v>
      </c>
      <c r="M141" s="118">
        <v>0</v>
      </c>
      <c r="N141" s="118">
        <v>0</v>
      </c>
    </row>
    <row r="142" spans="2:14" x14ac:dyDescent="0.2">
      <c r="B142" s="130" t="s">
        <v>393</v>
      </c>
      <c r="C142" s="122" t="s">
        <v>1349</v>
      </c>
      <c r="D142" s="122" t="s">
        <v>1349</v>
      </c>
      <c r="E142" s="118">
        <v>29862</v>
      </c>
      <c r="F142" s="118">
        <v>0</v>
      </c>
      <c r="G142" s="118">
        <v>0</v>
      </c>
      <c r="I142" s="130" t="str">
        <f t="shared" si="12"/>
        <v>Accounts payable - subsidiary acquisition</v>
      </c>
      <c r="J142" s="122" t="s">
        <v>47</v>
      </c>
      <c r="K142" s="122" t="s">
        <v>47</v>
      </c>
      <c r="L142" s="118">
        <v>24591</v>
      </c>
      <c r="M142" s="118">
        <v>0</v>
      </c>
      <c r="N142" s="118">
        <v>0</v>
      </c>
    </row>
    <row r="143" spans="2:14" x14ac:dyDescent="0.2">
      <c r="B143" s="130" t="s">
        <v>849</v>
      </c>
      <c r="C143" s="122" t="s">
        <v>1349</v>
      </c>
      <c r="D143" s="122" t="s">
        <v>1349</v>
      </c>
      <c r="E143" s="118">
        <v>-23871</v>
      </c>
      <c r="F143" s="118">
        <v>0</v>
      </c>
      <c r="G143" s="118">
        <v>0</v>
      </c>
      <c r="I143" s="130" t="str">
        <f t="shared" si="12"/>
        <v>Derivatives</v>
      </c>
      <c r="J143" s="122" t="s">
        <v>47</v>
      </c>
      <c r="K143" s="122" t="s">
        <v>47</v>
      </c>
      <c r="L143" s="118">
        <v>-23871</v>
      </c>
      <c r="M143" s="118">
        <v>0</v>
      </c>
      <c r="N143" s="118">
        <v>0</v>
      </c>
    </row>
    <row r="144" spans="2:14" x14ac:dyDescent="0.2">
      <c r="B144" s="130" t="s">
        <v>394</v>
      </c>
      <c r="C144" s="122" t="s">
        <v>1349</v>
      </c>
      <c r="D144" s="122" t="s">
        <v>1349</v>
      </c>
      <c r="E144" s="118">
        <v>0</v>
      </c>
      <c r="F144" s="118">
        <v>0</v>
      </c>
      <c r="G144" s="118">
        <v>0</v>
      </c>
      <c r="I144" s="130" t="str">
        <f t="shared" si="12"/>
        <v>Dividends payable</v>
      </c>
      <c r="J144" s="122" t="s">
        <v>47</v>
      </c>
      <c r="K144" s="122" t="s">
        <v>47</v>
      </c>
      <c r="L144" s="118">
        <v>0</v>
      </c>
      <c r="M144" s="118">
        <v>0</v>
      </c>
      <c r="N144" s="118">
        <v>0</v>
      </c>
    </row>
    <row r="145" spans="2:14" x14ac:dyDescent="0.2">
      <c r="B145" s="130" t="s">
        <v>792</v>
      </c>
      <c r="C145" s="122" t="s">
        <v>1349</v>
      </c>
      <c r="D145" s="122" t="s">
        <v>1349</v>
      </c>
      <c r="E145" s="118">
        <v>37</v>
      </c>
      <c r="F145" s="118">
        <v>700</v>
      </c>
      <c r="G145" s="118">
        <v>0</v>
      </c>
      <c r="I145" s="130" t="str">
        <f t="shared" si="12"/>
        <v>RelOned Parties</v>
      </c>
      <c r="J145" s="122" t="s">
        <v>47</v>
      </c>
      <c r="K145" s="122" t="s">
        <v>47</v>
      </c>
      <c r="L145" s="118">
        <v>44</v>
      </c>
      <c r="M145" s="118">
        <v>681</v>
      </c>
      <c r="N145" s="118">
        <v>0</v>
      </c>
    </row>
    <row r="146" spans="2:14" x14ac:dyDescent="0.2">
      <c r="B146" s="127" t="s">
        <v>1030</v>
      </c>
      <c r="C146" s="120" t="s">
        <v>1349</v>
      </c>
      <c r="D146" s="120" t="s">
        <v>1349</v>
      </c>
      <c r="E146" s="120">
        <f>SUM(E138:E145)</f>
        <v>172214</v>
      </c>
      <c r="F146" s="120">
        <f>SUM(F138:F145)</f>
        <v>89803</v>
      </c>
      <c r="G146" s="120">
        <f>SUM(G138:G145)</f>
        <v>20991</v>
      </c>
      <c r="I146" s="127" t="str">
        <f>B146</f>
        <v>On June 30, 2020</v>
      </c>
      <c r="J146" s="120" t="s">
        <v>47</v>
      </c>
      <c r="K146" s="120" t="s">
        <v>47</v>
      </c>
      <c r="L146" s="120">
        <f>SUM(L138:L145)</f>
        <v>163651</v>
      </c>
      <c r="M146" s="120">
        <f>SUM(M138:M145)</f>
        <v>89784</v>
      </c>
      <c r="N146" s="120">
        <f>SUM(N138:N145)</f>
        <v>20991</v>
      </c>
    </row>
    <row r="147" spans="2:14" x14ac:dyDescent="0.2">
      <c r="B147" s="130" t="s">
        <v>392</v>
      </c>
      <c r="C147" s="122" t="s">
        <v>1349</v>
      </c>
      <c r="D147" s="122" t="s">
        <v>1349</v>
      </c>
      <c r="E147" s="118">
        <v>75513</v>
      </c>
      <c r="F147" s="118">
        <v>11437</v>
      </c>
      <c r="G147" s="118">
        <v>21436</v>
      </c>
      <c r="I147" s="130" t="str">
        <f>B147</f>
        <v>Debentures</v>
      </c>
      <c r="J147" s="122" t="s">
        <v>47</v>
      </c>
      <c r="K147" s="122" t="s">
        <v>47</v>
      </c>
      <c r="L147" s="118">
        <v>75513</v>
      </c>
      <c r="M147" s="118">
        <v>11437</v>
      </c>
      <c r="N147" s="118">
        <v>21436</v>
      </c>
    </row>
    <row r="148" spans="2:14" x14ac:dyDescent="0.2">
      <c r="B148" s="130" t="s">
        <v>296</v>
      </c>
      <c r="C148" s="122" t="s">
        <v>1349</v>
      </c>
      <c r="D148" s="122" t="s">
        <v>1349</v>
      </c>
      <c r="E148" s="118">
        <v>27364</v>
      </c>
      <c r="F148" s="118">
        <v>25876</v>
      </c>
      <c r="G148" s="118">
        <v>0</v>
      </c>
      <c r="I148" s="130" t="str">
        <f t="shared" ref="I148:I154" si="13">B148</f>
        <v>Trade accounts and freight payable</v>
      </c>
      <c r="J148" s="122" t="s">
        <v>47</v>
      </c>
      <c r="K148" s="122" t="s">
        <v>47</v>
      </c>
      <c r="L148" s="118">
        <v>27364</v>
      </c>
      <c r="M148" s="118">
        <v>25876</v>
      </c>
      <c r="N148" s="118">
        <v>0</v>
      </c>
    </row>
    <row r="149" spans="2:14" x14ac:dyDescent="0.2">
      <c r="B149" s="130" t="s">
        <v>874</v>
      </c>
      <c r="C149" s="122" t="s">
        <v>1349</v>
      </c>
      <c r="D149" s="122" t="s">
        <v>1349</v>
      </c>
      <c r="E149" s="118">
        <v>0</v>
      </c>
      <c r="F149" s="118">
        <v>0</v>
      </c>
      <c r="G149" s="118">
        <v>0</v>
      </c>
      <c r="I149" s="130" t="str">
        <f t="shared" si="13"/>
        <v>Lease liabilities</v>
      </c>
      <c r="J149" s="122" t="s">
        <v>47</v>
      </c>
      <c r="K149" s="122" t="s">
        <v>47</v>
      </c>
      <c r="L149" s="118">
        <v>0</v>
      </c>
      <c r="M149" s="118">
        <v>0</v>
      </c>
      <c r="N149" s="118">
        <v>0</v>
      </c>
    </row>
    <row r="150" spans="2:14" x14ac:dyDescent="0.2">
      <c r="B150" s="130" t="s">
        <v>194</v>
      </c>
      <c r="C150" s="122" t="s">
        <v>1349</v>
      </c>
      <c r="D150" s="122" t="s">
        <v>1349</v>
      </c>
      <c r="E150" s="118">
        <v>21287</v>
      </c>
      <c r="F150" s="118">
        <v>0</v>
      </c>
      <c r="G150" s="118">
        <v>0</v>
      </c>
      <c r="I150" s="130" t="str">
        <f t="shared" si="13"/>
        <v>Other accounts payable</v>
      </c>
      <c r="J150" s="122" t="s">
        <v>47</v>
      </c>
      <c r="K150" s="122" t="s">
        <v>47</v>
      </c>
      <c r="L150" s="118">
        <v>21287</v>
      </c>
      <c r="M150" s="118">
        <v>0</v>
      </c>
      <c r="N150" s="118">
        <v>0</v>
      </c>
    </row>
    <row r="151" spans="2:14" x14ac:dyDescent="0.2">
      <c r="B151" s="130" t="s">
        <v>393</v>
      </c>
      <c r="C151" s="122" t="s">
        <v>1349</v>
      </c>
      <c r="D151" s="122" t="s">
        <v>1349</v>
      </c>
      <c r="E151" s="118">
        <v>28825</v>
      </c>
      <c r="F151" s="118">
        <v>0</v>
      </c>
      <c r="G151" s="118">
        <v>0</v>
      </c>
      <c r="I151" s="130" t="str">
        <f t="shared" si="13"/>
        <v>Accounts payable - subsidiary acquisition</v>
      </c>
      <c r="J151" s="122" t="s">
        <v>47</v>
      </c>
      <c r="K151" s="122" t="s">
        <v>47</v>
      </c>
      <c r="L151" s="118">
        <v>28825</v>
      </c>
      <c r="M151" s="118">
        <v>0</v>
      </c>
      <c r="N151" s="118">
        <v>0</v>
      </c>
    </row>
    <row r="152" spans="2:14" x14ac:dyDescent="0.2">
      <c r="B152" s="130" t="s">
        <v>849</v>
      </c>
      <c r="C152" s="122" t="s">
        <v>1349</v>
      </c>
      <c r="D152" s="122" t="s">
        <v>1349</v>
      </c>
      <c r="E152" s="118">
        <v>-20658</v>
      </c>
      <c r="F152" s="118">
        <v>0</v>
      </c>
      <c r="G152" s="118">
        <v>0</v>
      </c>
      <c r="I152" s="130" t="str">
        <f t="shared" si="13"/>
        <v>Derivatives</v>
      </c>
      <c r="J152" s="122" t="s">
        <v>47</v>
      </c>
      <c r="K152" s="122" t="s">
        <v>47</v>
      </c>
      <c r="L152" s="118">
        <v>-20658</v>
      </c>
      <c r="M152" s="118">
        <v>0</v>
      </c>
      <c r="N152" s="118">
        <v>0</v>
      </c>
    </row>
    <row r="153" spans="2:14" x14ac:dyDescent="0.2">
      <c r="B153" s="130" t="s">
        <v>394</v>
      </c>
      <c r="C153" s="122" t="s">
        <v>1349</v>
      </c>
      <c r="D153" s="122" t="s">
        <v>1349</v>
      </c>
      <c r="E153" s="118">
        <v>0</v>
      </c>
      <c r="F153" s="118">
        <v>0</v>
      </c>
      <c r="G153" s="118">
        <v>0</v>
      </c>
      <c r="I153" s="130" t="str">
        <f t="shared" si="13"/>
        <v>Dividends payable</v>
      </c>
      <c r="J153" s="122" t="s">
        <v>47</v>
      </c>
      <c r="K153" s="122" t="s">
        <v>47</v>
      </c>
      <c r="L153" s="118">
        <v>0</v>
      </c>
      <c r="M153" s="118">
        <v>0</v>
      </c>
      <c r="N153" s="118">
        <v>0</v>
      </c>
    </row>
    <row r="154" spans="2:14" x14ac:dyDescent="0.2">
      <c r="B154" s="130" t="s">
        <v>792</v>
      </c>
      <c r="C154" s="122" t="s">
        <v>1349</v>
      </c>
      <c r="D154" s="122" t="s">
        <v>1349</v>
      </c>
      <c r="E154" s="118">
        <v>28</v>
      </c>
      <c r="F154" s="118">
        <v>663</v>
      </c>
      <c r="G154" s="118">
        <v>0</v>
      </c>
      <c r="I154" s="130" t="str">
        <f t="shared" si="13"/>
        <v>RelOned Parties</v>
      </c>
      <c r="J154" s="122" t="s">
        <v>47</v>
      </c>
      <c r="K154" s="122" t="s">
        <v>47</v>
      </c>
      <c r="L154" s="118">
        <v>28</v>
      </c>
      <c r="M154" s="118">
        <v>663</v>
      </c>
      <c r="N154" s="118">
        <v>0</v>
      </c>
    </row>
    <row r="155" spans="2:14" x14ac:dyDescent="0.2">
      <c r="B155" s="127" t="s">
        <v>996</v>
      </c>
      <c r="C155" s="120" t="s">
        <v>1349</v>
      </c>
      <c r="D155" s="120" t="s">
        <v>1349</v>
      </c>
      <c r="E155" s="120">
        <f>SUM(E147:E154)</f>
        <v>132359</v>
      </c>
      <c r="F155" s="120">
        <f>SUM(F147:F154)</f>
        <v>37976</v>
      </c>
      <c r="G155" s="120">
        <f>SUM(G147:G154)</f>
        <v>21436</v>
      </c>
      <c r="I155" s="127" t="str">
        <f>B155</f>
        <v>In March 31, 2019</v>
      </c>
      <c r="J155" s="120" t="s">
        <v>47</v>
      </c>
      <c r="K155" s="120" t="s">
        <v>47</v>
      </c>
      <c r="L155" s="120">
        <f>SUM(L147:L154)</f>
        <v>132359</v>
      </c>
      <c r="M155" s="120">
        <f>SUM(M147:M154)</f>
        <v>37976</v>
      </c>
      <c r="N155" s="120">
        <f>SUM(N147:N154)</f>
        <v>21436</v>
      </c>
    </row>
    <row r="156" spans="2:14" x14ac:dyDescent="0.2">
      <c r="B156" s="130" t="s">
        <v>392</v>
      </c>
      <c r="C156" s="122" t="s">
        <v>1349</v>
      </c>
      <c r="D156" s="122" t="s">
        <v>1349</v>
      </c>
      <c r="E156" s="118">
        <v>64886</v>
      </c>
      <c r="F156" s="118">
        <v>1654</v>
      </c>
      <c r="G156" s="118">
        <v>32474</v>
      </c>
      <c r="I156" s="130" t="str">
        <f>B156</f>
        <v>Debentures</v>
      </c>
      <c r="J156" s="122" t="s">
        <v>47</v>
      </c>
      <c r="K156" s="122" t="s">
        <v>47</v>
      </c>
      <c r="L156" s="118">
        <v>64886</v>
      </c>
      <c r="M156" s="118">
        <v>1654</v>
      </c>
      <c r="N156" s="118">
        <v>32474</v>
      </c>
    </row>
    <row r="157" spans="2:14" x14ac:dyDescent="0.2">
      <c r="B157" s="130" t="s">
        <v>296</v>
      </c>
      <c r="C157" s="122" t="s">
        <v>1349</v>
      </c>
      <c r="D157" s="122" t="s">
        <v>1349</v>
      </c>
      <c r="E157" s="118">
        <v>27583</v>
      </c>
      <c r="F157" s="118">
        <v>25991</v>
      </c>
      <c r="G157" s="118">
        <v>0</v>
      </c>
      <c r="I157" s="130" t="str">
        <f t="shared" ref="I157:I164" si="14">B157</f>
        <v>Trade accounts and freight payable</v>
      </c>
      <c r="J157" s="122" t="s">
        <v>47</v>
      </c>
      <c r="K157" s="122" t="s">
        <v>47</v>
      </c>
      <c r="L157" s="118">
        <v>27583</v>
      </c>
      <c r="M157" s="118">
        <v>25991</v>
      </c>
      <c r="N157" s="118">
        <v>0</v>
      </c>
    </row>
    <row r="158" spans="2:14" x14ac:dyDescent="0.2">
      <c r="B158" s="130" t="s">
        <v>874</v>
      </c>
      <c r="C158" s="122" t="s">
        <v>1349</v>
      </c>
      <c r="D158" s="122" t="s">
        <v>1349</v>
      </c>
      <c r="E158" s="118">
        <v>0</v>
      </c>
      <c r="F158" s="118">
        <v>0</v>
      </c>
      <c r="G158" s="118">
        <v>0</v>
      </c>
      <c r="I158" s="130" t="str">
        <f t="shared" si="14"/>
        <v>Lease liabilities</v>
      </c>
      <c r="J158" s="122" t="s">
        <v>47</v>
      </c>
      <c r="K158" s="122" t="s">
        <v>47</v>
      </c>
      <c r="L158" s="118">
        <v>0</v>
      </c>
      <c r="M158" s="118">
        <v>0</v>
      </c>
      <c r="N158" s="118">
        <v>0</v>
      </c>
    </row>
    <row r="159" spans="2:14" x14ac:dyDescent="0.2">
      <c r="B159" s="130" t="s">
        <v>194</v>
      </c>
      <c r="C159" s="122" t="s">
        <v>1349</v>
      </c>
      <c r="D159" s="122" t="s">
        <v>1349</v>
      </c>
      <c r="E159" s="118">
        <v>36312</v>
      </c>
      <c r="F159" s="118">
        <v>0</v>
      </c>
      <c r="G159" s="118">
        <v>0</v>
      </c>
      <c r="I159" s="130" t="str">
        <f t="shared" si="14"/>
        <v>Other accounts payable</v>
      </c>
      <c r="J159" s="122" t="s">
        <v>47</v>
      </c>
      <c r="K159" s="122" t="s">
        <v>47</v>
      </c>
      <c r="L159" s="118">
        <v>33452</v>
      </c>
      <c r="M159" s="118">
        <v>0</v>
      </c>
      <c r="N159" s="118">
        <v>0</v>
      </c>
    </row>
    <row r="160" spans="2:14" x14ac:dyDescent="0.2">
      <c r="B160" s="130" t="s">
        <v>393</v>
      </c>
      <c r="C160" s="122" t="s">
        <v>1349</v>
      </c>
      <c r="D160" s="122" t="s">
        <v>1349</v>
      </c>
      <c r="E160" s="118">
        <v>29637</v>
      </c>
      <c r="F160" s="118">
        <v>0</v>
      </c>
      <c r="G160" s="118">
        <v>0</v>
      </c>
      <c r="I160" s="130" t="str">
        <f t="shared" si="14"/>
        <v>Accounts payable - subsidiary acquisition</v>
      </c>
      <c r="J160" s="122" t="s">
        <v>47</v>
      </c>
      <c r="K160" s="122" t="s">
        <v>47</v>
      </c>
      <c r="L160" s="118">
        <v>23585</v>
      </c>
      <c r="M160" s="118">
        <v>0</v>
      </c>
      <c r="N160" s="118">
        <v>0</v>
      </c>
    </row>
    <row r="161" spans="2:14" x14ac:dyDescent="0.2">
      <c r="B161" s="130" t="s">
        <v>849</v>
      </c>
      <c r="C161" s="122" t="s">
        <v>1349</v>
      </c>
      <c r="D161" s="122" t="s">
        <v>1349</v>
      </c>
      <c r="E161" s="118">
        <v>-3739</v>
      </c>
      <c r="F161" s="118">
        <v>0</v>
      </c>
      <c r="G161" s="118">
        <v>0</v>
      </c>
      <c r="I161" s="130" t="str">
        <f t="shared" si="14"/>
        <v>Derivatives</v>
      </c>
      <c r="J161" s="122" t="s">
        <v>47</v>
      </c>
      <c r="K161" s="122" t="s">
        <v>47</v>
      </c>
      <c r="L161" s="118">
        <v>-3739</v>
      </c>
      <c r="M161" s="118">
        <v>0</v>
      </c>
      <c r="N161" s="118">
        <v>0</v>
      </c>
    </row>
    <row r="162" spans="2:14" x14ac:dyDescent="0.2">
      <c r="B162" s="130" t="s">
        <v>394</v>
      </c>
      <c r="C162" s="122" t="s">
        <v>1349</v>
      </c>
      <c r="D162" s="122" t="s">
        <v>1349</v>
      </c>
      <c r="E162" s="118">
        <v>0</v>
      </c>
      <c r="F162" s="118">
        <v>0</v>
      </c>
      <c r="G162" s="118">
        <v>0</v>
      </c>
      <c r="I162" s="130" t="str">
        <f t="shared" si="14"/>
        <v>Dividends payable</v>
      </c>
      <c r="J162" s="122" t="s">
        <v>47</v>
      </c>
      <c r="K162" s="122" t="s">
        <v>47</v>
      </c>
      <c r="L162" s="118">
        <v>0</v>
      </c>
      <c r="M162" s="118">
        <v>0</v>
      </c>
      <c r="N162" s="118">
        <v>0</v>
      </c>
    </row>
    <row r="163" spans="2:14" x14ac:dyDescent="0.2">
      <c r="B163" s="130" t="s">
        <v>792</v>
      </c>
      <c r="C163" s="122" t="s">
        <v>1349</v>
      </c>
      <c r="D163" s="122" t="s">
        <v>1349</v>
      </c>
      <c r="E163" s="118">
        <v>72</v>
      </c>
      <c r="F163" s="118">
        <v>542</v>
      </c>
      <c r="G163" s="118">
        <v>0</v>
      </c>
      <c r="I163" s="130" t="str">
        <f t="shared" si="14"/>
        <v>RelOned Parties</v>
      </c>
      <c r="J163" s="122" t="s">
        <v>47</v>
      </c>
      <c r="K163" s="122" t="s">
        <v>47</v>
      </c>
      <c r="L163" s="118">
        <v>148</v>
      </c>
      <c r="M163" s="118">
        <v>542</v>
      </c>
      <c r="N163" s="118">
        <v>0</v>
      </c>
    </row>
    <row r="164" spans="2:14" x14ac:dyDescent="0.2">
      <c r="B164" s="127" t="s">
        <v>972</v>
      </c>
      <c r="C164" s="120" t="s">
        <v>1349</v>
      </c>
      <c r="D164" s="120" t="s">
        <v>1349</v>
      </c>
      <c r="E164" s="120">
        <f>SUM(E156:E163)</f>
        <v>154751</v>
      </c>
      <c r="F164" s="120">
        <f>SUM(F156:F163)</f>
        <v>28187</v>
      </c>
      <c r="G164" s="120">
        <f>SUM(G156:G163)</f>
        <v>32474</v>
      </c>
      <c r="I164" s="127" t="str">
        <f t="shared" si="14"/>
        <v>in december 30, 2019</v>
      </c>
      <c r="J164" s="120" t="s">
        <v>47</v>
      </c>
      <c r="K164" s="120" t="s">
        <v>47</v>
      </c>
      <c r="L164" s="120">
        <f>SUM(L156:L163)</f>
        <v>145915</v>
      </c>
      <c r="M164" s="120">
        <f>SUM(M156:M163)</f>
        <v>28187</v>
      </c>
      <c r="N164" s="120">
        <f>SUM(N156:N163)</f>
        <v>32474</v>
      </c>
    </row>
    <row r="165" spans="2:14" x14ac:dyDescent="0.2">
      <c r="B165" s="130" t="s">
        <v>392</v>
      </c>
      <c r="C165" s="122" t="s">
        <v>1349</v>
      </c>
      <c r="D165" s="122" t="s">
        <v>1349</v>
      </c>
      <c r="E165" s="118">
        <v>70504</v>
      </c>
      <c r="F165" s="118">
        <v>1947</v>
      </c>
      <c r="G165" s="118">
        <v>32913</v>
      </c>
      <c r="I165" s="130" t="str">
        <f>B165</f>
        <v>Debentures</v>
      </c>
      <c r="J165" s="122" t="s">
        <v>47</v>
      </c>
      <c r="K165" s="122" t="s">
        <v>47</v>
      </c>
      <c r="L165" s="118">
        <v>70504</v>
      </c>
      <c r="M165" s="118">
        <v>1947</v>
      </c>
      <c r="N165" s="118">
        <v>32913</v>
      </c>
    </row>
    <row r="166" spans="2:14" x14ac:dyDescent="0.2">
      <c r="B166" s="130" t="s">
        <v>296</v>
      </c>
      <c r="C166" s="122" t="s">
        <v>1349</v>
      </c>
      <c r="D166" s="122" t="s">
        <v>1349</v>
      </c>
      <c r="E166" s="118">
        <v>29267</v>
      </c>
      <c r="F166" s="118">
        <v>26827</v>
      </c>
      <c r="G166" s="118">
        <v>0</v>
      </c>
      <c r="I166" s="130" t="str">
        <f t="shared" ref="I166:I173" si="15">B166</f>
        <v>Trade accounts and freight payable</v>
      </c>
      <c r="J166" s="122" t="s">
        <v>47</v>
      </c>
      <c r="K166" s="122" t="s">
        <v>47</v>
      </c>
      <c r="L166" s="118">
        <v>29267</v>
      </c>
      <c r="M166" s="118">
        <v>26827</v>
      </c>
      <c r="N166" s="118">
        <v>0</v>
      </c>
    </row>
    <row r="167" spans="2:14" x14ac:dyDescent="0.2">
      <c r="B167" s="130" t="s">
        <v>874</v>
      </c>
      <c r="C167" s="122" t="s">
        <v>1349</v>
      </c>
      <c r="D167" s="122" t="s">
        <v>1349</v>
      </c>
      <c r="E167" s="118">
        <v>32360</v>
      </c>
      <c r="F167" s="118">
        <v>23588</v>
      </c>
      <c r="G167" s="118">
        <v>33921</v>
      </c>
      <c r="I167" s="130" t="str">
        <f t="shared" si="15"/>
        <v>Lease liabilities</v>
      </c>
      <c r="J167" s="122" t="s">
        <v>47</v>
      </c>
      <c r="K167" s="122" t="s">
        <v>47</v>
      </c>
      <c r="L167" s="118">
        <v>20104</v>
      </c>
      <c r="M167" s="118">
        <v>16897</v>
      </c>
      <c r="N167" s="118">
        <v>35691</v>
      </c>
    </row>
    <row r="168" spans="2:14" x14ac:dyDescent="0.2">
      <c r="B168" s="130" t="s">
        <v>194</v>
      </c>
      <c r="C168" s="122" t="s">
        <v>1349</v>
      </c>
      <c r="D168" s="122" t="s">
        <v>1349</v>
      </c>
      <c r="E168" s="118">
        <v>30325</v>
      </c>
      <c r="F168" s="118">
        <v>0</v>
      </c>
      <c r="G168" s="118">
        <v>0</v>
      </c>
      <c r="I168" s="130" t="str">
        <f t="shared" si="15"/>
        <v>Other accounts payable</v>
      </c>
      <c r="J168" s="122" t="s">
        <v>47</v>
      </c>
      <c r="K168" s="122" t="s">
        <v>47</v>
      </c>
      <c r="L168" s="118">
        <v>28023</v>
      </c>
      <c r="M168" s="118">
        <v>0</v>
      </c>
      <c r="N168" s="118">
        <v>0</v>
      </c>
    </row>
    <row r="169" spans="2:14" x14ac:dyDescent="0.2">
      <c r="B169" s="130" t="s">
        <v>393</v>
      </c>
      <c r="C169" s="122" t="s">
        <v>1349</v>
      </c>
      <c r="D169" s="122" t="s">
        <v>1349</v>
      </c>
      <c r="E169" s="118">
        <v>31858</v>
      </c>
      <c r="F169" s="118">
        <v>0</v>
      </c>
      <c r="G169" s="118">
        <v>0</v>
      </c>
      <c r="I169" s="130" t="str">
        <f t="shared" si="15"/>
        <v>Accounts payable - subsidiary acquisition</v>
      </c>
      <c r="J169" s="122" t="s">
        <v>47</v>
      </c>
      <c r="K169" s="122" t="s">
        <v>47</v>
      </c>
      <c r="L169" s="118">
        <v>26897</v>
      </c>
      <c r="M169" s="118">
        <v>0</v>
      </c>
      <c r="N169" s="118">
        <v>0</v>
      </c>
    </row>
    <row r="170" spans="2:14" x14ac:dyDescent="0.2">
      <c r="B170" s="130" t="s">
        <v>849</v>
      </c>
      <c r="C170" s="122" t="s">
        <v>1349</v>
      </c>
      <c r="D170" s="122" t="s">
        <v>1349</v>
      </c>
      <c r="E170" s="118">
        <v>-5899</v>
      </c>
      <c r="F170" s="118">
        <v>0</v>
      </c>
      <c r="G170" s="118">
        <v>0</v>
      </c>
      <c r="I170" s="130" t="str">
        <f t="shared" si="15"/>
        <v>Derivatives</v>
      </c>
      <c r="J170" s="122" t="s">
        <v>47</v>
      </c>
      <c r="K170" s="122" t="s">
        <v>47</v>
      </c>
      <c r="L170" s="118">
        <v>-5899</v>
      </c>
      <c r="M170" s="118">
        <v>0</v>
      </c>
      <c r="N170" s="118">
        <v>0</v>
      </c>
    </row>
    <row r="171" spans="2:14" x14ac:dyDescent="0.2">
      <c r="B171" s="130" t="s">
        <v>394</v>
      </c>
      <c r="C171" s="122" t="s">
        <v>1349</v>
      </c>
      <c r="D171" s="122" t="s">
        <v>1349</v>
      </c>
      <c r="E171" s="118">
        <v>0</v>
      </c>
      <c r="F171" s="118">
        <v>0</v>
      </c>
      <c r="G171" s="118">
        <v>0</v>
      </c>
      <c r="I171" s="130" t="str">
        <f t="shared" si="15"/>
        <v>Dividends payable</v>
      </c>
      <c r="J171" s="122" t="s">
        <v>47</v>
      </c>
      <c r="K171" s="122" t="s">
        <v>47</v>
      </c>
      <c r="L171" s="118">
        <v>0</v>
      </c>
      <c r="M171" s="118">
        <v>0</v>
      </c>
      <c r="N171" s="118">
        <v>0</v>
      </c>
    </row>
    <row r="172" spans="2:14" x14ac:dyDescent="0.2">
      <c r="B172" s="130" t="s">
        <v>792</v>
      </c>
      <c r="C172" s="122" t="s">
        <v>1349</v>
      </c>
      <c r="D172" s="122" t="s">
        <v>1349</v>
      </c>
      <c r="E172" s="118">
        <v>32</v>
      </c>
      <c r="F172" s="118">
        <v>2829</v>
      </c>
      <c r="G172" s="118">
        <v>0</v>
      </c>
      <c r="I172" s="130" t="str">
        <f t="shared" si="15"/>
        <v>RelOned Parties</v>
      </c>
      <c r="J172" s="122" t="s">
        <v>47</v>
      </c>
      <c r="K172" s="122" t="s">
        <v>47</v>
      </c>
      <c r="L172" s="118">
        <v>185</v>
      </c>
      <c r="M172" s="118">
        <v>2829</v>
      </c>
      <c r="N172" s="118">
        <v>0</v>
      </c>
    </row>
    <row r="173" spans="2:14" x14ac:dyDescent="0.2">
      <c r="B173" s="127" t="s">
        <v>944</v>
      </c>
      <c r="C173" s="120" t="s">
        <v>1349</v>
      </c>
      <c r="D173" s="120" t="s">
        <v>1349</v>
      </c>
      <c r="E173" s="120">
        <v>188447</v>
      </c>
      <c r="F173" s="120">
        <v>55191</v>
      </c>
      <c r="G173" s="120">
        <v>66834</v>
      </c>
      <c r="I173" s="127" t="str">
        <f t="shared" si="15"/>
        <v>in September 30, 2019</v>
      </c>
      <c r="J173" s="120" t="s">
        <v>47</v>
      </c>
      <c r="K173" s="120" t="s">
        <v>47</v>
      </c>
      <c r="L173" s="120">
        <v>169081</v>
      </c>
      <c r="M173" s="120">
        <v>48500</v>
      </c>
      <c r="N173" s="120">
        <v>68604</v>
      </c>
    </row>
    <row r="174" spans="2:14" x14ac:dyDescent="0.2">
      <c r="B174" s="130" t="s">
        <v>392</v>
      </c>
      <c r="C174" s="118" t="s">
        <v>1349</v>
      </c>
      <c r="D174" s="118" t="s">
        <v>1349</v>
      </c>
      <c r="E174" s="118">
        <v>12448</v>
      </c>
      <c r="F174" s="118">
        <v>55937</v>
      </c>
      <c r="G174" s="118">
        <v>34502</v>
      </c>
      <c r="I174" s="130" t="str">
        <f>B174</f>
        <v>Debentures</v>
      </c>
      <c r="J174" s="118"/>
      <c r="K174" s="118"/>
      <c r="L174" s="118">
        <v>12448</v>
      </c>
      <c r="M174" s="118">
        <v>55937</v>
      </c>
      <c r="N174" s="118">
        <v>34502</v>
      </c>
    </row>
    <row r="175" spans="2:14" x14ac:dyDescent="0.2">
      <c r="B175" s="130" t="s">
        <v>296</v>
      </c>
      <c r="C175" s="118" t="s">
        <v>1349</v>
      </c>
      <c r="D175" s="118" t="s">
        <v>1349</v>
      </c>
      <c r="E175" s="118">
        <v>2123</v>
      </c>
      <c r="F175" s="118">
        <v>29398</v>
      </c>
      <c r="G175" s="118">
        <v>25274</v>
      </c>
      <c r="I175" s="130" t="str">
        <f t="shared" ref="I175:I182" si="16">B175</f>
        <v>Trade accounts and freight payable</v>
      </c>
      <c r="J175" s="118"/>
      <c r="K175" s="118"/>
      <c r="L175" s="118">
        <v>2123</v>
      </c>
      <c r="M175" s="118">
        <v>29398</v>
      </c>
      <c r="N175" s="118">
        <v>25274</v>
      </c>
    </row>
    <row r="176" spans="2:14" x14ac:dyDescent="0.2">
      <c r="B176" s="130" t="s">
        <v>874</v>
      </c>
      <c r="C176" s="118" t="s">
        <v>1349</v>
      </c>
      <c r="D176" s="118" t="s">
        <v>1349</v>
      </c>
      <c r="E176" s="118">
        <v>33741</v>
      </c>
      <c r="F176" s="118">
        <v>26035</v>
      </c>
      <c r="G176" s="118">
        <v>38520</v>
      </c>
      <c r="I176" s="130" t="str">
        <f t="shared" si="16"/>
        <v>Lease liabilities</v>
      </c>
      <c r="J176" s="118"/>
      <c r="K176" s="118"/>
      <c r="L176" s="118">
        <v>21988</v>
      </c>
      <c r="M176" s="118">
        <v>17327</v>
      </c>
      <c r="N176" s="118">
        <v>40172</v>
      </c>
    </row>
    <row r="177" spans="2:14" x14ac:dyDescent="0.2">
      <c r="B177" s="130" t="s">
        <v>194</v>
      </c>
      <c r="C177" s="118" t="s">
        <v>1349</v>
      </c>
      <c r="D177" s="118" t="s">
        <v>1349</v>
      </c>
      <c r="E177" s="118">
        <v>30700</v>
      </c>
      <c r="F177" s="118">
        <v>0</v>
      </c>
      <c r="G177" s="118">
        <v>0</v>
      </c>
      <c r="I177" s="130" t="str">
        <f t="shared" si="16"/>
        <v>Other accounts payable</v>
      </c>
      <c r="J177" s="118"/>
      <c r="K177" s="118"/>
      <c r="L177" s="118">
        <v>27991</v>
      </c>
      <c r="M177" s="118">
        <v>0</v>
      </c>
      <c r="N177" s="118">
        <v>0</v>
      </c>
    </row>
    <row r="178" spans="2:14" x14ac:dyDescent="0.2">
      <c r="B178" s="130" t="s">
        <v>393</v>
      </c>
      <c r="C178" s="118" t="s">
        <v>1349</v>
      </c>
      <c r="D178" s="118" t="s">
        <v>1349</v>
      </c>
      <c r="E178" s="118">
        <v>25260</v>
      </c>
      <c r="F178" s="118">
        <v>0</v>
      </c>
      <c r="G178" s="118">
        <v>0</v>
      </c>
      <c r="I178" s="130" t="str">
        <f t="shared" si="16"/>
        <v>Accounts payable - subsidiary acquisition</v>
      </c>
      <c r="J178" s="118"/>
      <c r="K178" s="118"/>
      <c r="L178" s="118">
        <v>20659</v>
      </c>
      <c r="M178" s="118">
        <v>0</v>
      </c>
      <c r="N178" s="118">
        <v>0</v>
      </c>
    </row>
    <row r="179" spans="2:14" x14ac:dyDescent="0.2">
      <c r="B179" s="130" t="s">
        <v>849</v>
      </c>
      <c r="C179" s="118" t="s">
        <v>1349</v>
      </c>
      <c r="D179" s="118" t="s">
        <v>1349</v>
      </c>
      <c r="E179" s="118">
        <v>0</v>
      </c>
      <c r="F179" s="118">
        <v>-1942</v>
      </c>
      <c r="G179" s="118">
        <v>0</v>
      </c>
      <c r="I179" s="130" t="str">
        <f t="shared" si="16"/>
        <v>Derivatives</v>
      </c>
      <c r="J179" s="118"/>
      <c r="K179" s="118"/>
      <c r="L179" s="118">
        <v>0</v>
      </c>
      <c r="M179" s="118">
        <v>-1942</v>
      </c>
      <c r="N179" s="118">
        <v>0</v>
      </c>
    </row>
    <row r="180" spans="2:14" x14ac:dyDescent="0.2">
      <c r="B180" s="130" t="s">
        <v>394</v>
      </c>
      <c r="C180" s="118" t="s">
        <v>1349</v>
      </c>
      <c r="D180" s="118" t="s">
        <v>1349</v>
      </c>
      <c r="E180" s="118">
        <v>0</v>
      </c>
      <c r="F180" s="118">
        <v>0</v>
      </c>
      <c r="G180" s="118">
        <v>0</v>
      </c>
      <c r="I180" s="130" t="str">
        <f t="shared" si="16"/>
        <v>Dividends payable</v>
      </c>
      <c r="J180" s="118"/>
      <c r="K180" s="118"/>
      <c r="L180" s="118">
        <v>0</v>
      </c>
      <c r="M180" s="118">
        <v>0</v>
      </c>
      <c r="N180" s="118">
        <v>0</v>
      </c>
    </row>
    <row r="181" spans="2:14" x14ac:dyDescent="0.2">
      <c r="B181" s="130" t="s">
        <v>792</v>
      </c>
      <c r="C181" s="118" t="s">
        <v>1349</v>
      </c>
      <c r="D181" s="118" t="s">
        <v>1349</v>
      </c>
      <c r="E181" s="118">
        <v>1025</v>
      </c>
      <c r="F181" s="118">
        <v>2445</v>
      </c>
      <c r="G181" s="118">
        <v>0</v>
      </c>
      <c r="I181" s="130" t="str">
        <f t="shared" si="16"/>
        <v>RelOned Parties</v>
      </c>
      <c r="J181" s="118"/>
      <c r="K181" s="118"/>
      <c r="L181" s="118">
        <v>1428</v>
      </c>
      <c r="M181" s="118">
        <v>2445</v>
      </c>
      <c r="N181" s="118">
        <v>0</v>
      </c>
    </row>
    <row r="182" spans="2:14" x14ac:dyDescent="0.2">
      <c r="B182" s="127" t="s">
        <v>925</v>
      </c>
      <c r="C182" s="208" t="s">
        <v>1349</v>
      </c>
      <c r="D182" s="208" t="s">
        <v>1349</v>
      </c>
      <c r="E182" s="120">
        <f>SUM(E174:E181)</f>
        <v>105297</v>
      </c>
      <c r="F182" s="120">
        <f>SUM(F174:F181)</f>
        <v>111873</v>
      </c>
      <c r="G182" s="120">
        <f>SUM(G174:G181)</f>
        <v>98296</v>
      </c>
      <c r="I182" s="127" t="str">
        <f t="shared" si="16"/>
        <v>On June 30, 2019</v>
      </c>
      <c r="J182" s="120"/>
      <c r="K182" s="120"/>
      <c r="L182" s="120">
        <f>SUM(L174:L181)</f>
        <v>86637</v>
      </c>
      <c r="M182" s="120">
        <f>SUM(M174:M181)</f>
        <v>103165</v>
      </c>
      <c r="N182" s="120">
        <f>SUM(N174:N181)</f>
        <v>99948</v>
      </c>
    </row>
    <row r="183" spans="2:14" x14ac:dyDescent="0.2">
      <c r="B183" s="130" t="s">
        <v>392</v>
      </c>
      <c r="C183" s="118" t="s">
        <v>1349</v>
      </c>
      <c r="D183" s="118" t="s">
        <v>1349</v>
      </c>
      <c r="E183" s="118">
        <v>13749</v>
      </c>
      <c r="F183" s="118">
        <v>60813</v>
      </c>
      <c r="G183" s="118">
        <v>34502.196987412302</v>
      </c>
      <c r="I183" s="130" t="str">
        <f>B183</f>
        <v>Debentures</v>
      </c>
      <c r="J183" s="118"/>
      <c r="K183" s="118"/>
      <c r="L183" s="118">
        <v>13749</v>
      </c>
      <c r="M183" s="118">
        <v>60813</v>
      </c>
      <c r="N183" s="118">
        <v>34502.196987412302</v>
      </c>
    </row>
    <row r="184" spans="2:14" x14ac:dyDescent="0.2">
      <c r="B184" s="130" t="s">
        <v>296</v>
      </c>
      <c r="C184" s="118" t="s">
        <v>1349</v>
      </c>
      <c r="D184" s="118" t="s">
        <v>1349</v>
      </c>
      <c r="E184" s="118">
        <v>4178</v>
      </c>
      <c r="F184" s="118">
        <v>28379</v>
      </c>
      <c r="G184" s="118">
        <v>26293</v>
      </c>
      <c r="I184" s="130" t="str">
        <f t="shared" ref="I184:I191" si="17">B184</f>
        <v>Trade accounts and freight payable</v>
      </c>
      <c r="J184" s="118"/>
      <c r="K184" s="118"/>
      <c r="L184" s="118">
        <v>4178</v>
      </c>
      <c r="M184" s="118">
        <v>28379</v>
      </c>
      <c r="N184" s="118">
        <v>26293</v>
      </c>
    </row>
    <row r="185" spans="2:14" x14ac:dyDescent="0.2">
      <c r="B185" s="130">
        <v>0</v>
      </c>
      <c r="C185" s="118" t="s">
        <v>1349</v>
      </c>
      <c r="D185" s="118" t="s">
        <v>1349</v>
      </c>
      <c r="E185" s="118">
        <v>31132.019873079851</v>
      </c>
      <c r="F185" s="118">
        <v>19861.033317466306</v>
      </c>
      <c r="G185" s="118">
        <v>28682.253733049885</v>
      </c>
      <c r="I185" s="130">
        <f t="shared" si="17"/>
        <v>0</v>
      </c>
      <c r="J185" s="118"/>
      <c r="K185" s="118"/>
      <c r="L185" s="118">
        <v>17525.26439848372</v>
      </c>
      <c r="M185" s="118">
        <v>10941.18317264281</v>
      </c>
      <c r="N185" s="118">
        <v>28434.334334638861</v>
      </c>
    </row>
    <row r="186" spans="2:14" x14ac:dyDescent="0.2">
      <c r="B186" s="130" t="s">
        <v>194</v>
      </c>
      <c r="C186" s="118" t="s">
        <v>1349</v>
      </c>
      <c r="D186" s="118" t="s">
        <v>1349</v>
      </c>
      <c r="E186" s="118">
        <v>32147</v>
      </c>
      <c r="F186" s="118">
        <v>0</v>
      </c>
      <c r="G186" s="118">
        <v>0</v>
      </c>
      <c r="I186" s="130" t="str">
        <f t="shared" si="17"/>
        <v>Other accounts payable</v>
      </c>
      <c r="J186" s="118"/>
      <c r="K186" s="118"/>
      <c r="L186" s="118">
        <v>29322</v>
      </c>
      <c r="M186" s="118">
        <v>0</v>
      </c>
      <c r="N186" s="118">
        <v>0</v>
      </c>
    </row>
    <row r="187" spans="2:14" x14ac:dyDescent="0.2">
      <c r="B187" s="130" t="s">
        <v>393</v>
      </c>
      <c r="C187" s="118" t="s">
        <v>1349</v>
      </c>
      <c r="D187" s="118" t="s">
        <v>1349</v>
      </c>
      <c r="E187" s="118">
        <v>22572</v>
      </c>
      <c r="F187" s="118">
        <v>0</v>
      </c>
      <c r="G187" s="118">
        <v>0</v>
      </c>
      <c r="I187" s="130" t="str">
        <f t="shared" si="17"/>
        <v>Accounts payable - subsidiary acquisition</v>
      </c>
      <c r="J187" s="118"/>
      <c r="K187" s="118"/>
      <c r="L187" s="118">
        <v>17505</v>
      </c>
      <c r="M187" s="118">
        <v>0</v>
      </c>
      <c r="N187" s="118">
        <v>0</v>
      </c>
    </row>
    <row r="188" spans="2:14" x14ac:dyDescent="0.2">
      <c r="B188" s="130" t="s">
        <v>849</v>
      </c>
      <c r="C188" s="118" t="s">
        <v>1349</v>
      </c>
      <c r="D188" s="118" t="s">
        <v>1349</v>
      </c>
      <c r="E188" s="118">
        <v>0</v>
      </c>
      <c r="F188" s="118">
        <v>-2661</v>
      </c>
      <c r="G188" s="118">
        <v>0</v>
      </c>
      <c r="I188" s="130" t="str">
        <f t="shared" si="17"/>
        <v>Derivatives</v>
      </c>
      <c r="J188" s="118"/>
      <c r="K188" s="118"/>
      <c r="L188" s="118">
        <v>0</v>
      </c>
      <c r="M188" s="118">
        <v>-2661</v>
      </c>
      <c r="N188" s="118">
        <v>0</v>
      </c>
    </row>
    <row r="189" spans="2:14" x14ac:dyDescent="0.2">
      <c r="B189" s="130" t="s">
        <v>394</v>
      </c>
      <c r="C189" s="118" t="s">
        <v>1349</v>
      </c>
      <c r="D189" s="118" t="s">
        <v>1349</v>
      </c>
      <c r="E189" s="118">
        <v>0</v>
      </c>
      <c r="F189" s="118">
        <v>0</v>
      </c>
      <c r="G189" s="118">
        <v>0</v>
      </c>
      <c r="I189" s="130" t="str">
        <f t="shared" si="17"/>
        <v>Dividends payable</v>
      </c>
      <c r="J189" s="118"/>
      <c r="K189" s="118"/>
      <c r="L189" s="118">
        <v>0</v>
      </c>
      <c r="M189" s="118">
        <v>0</v>
      </c>
      <c r="N189" s="118">
        <v>0</v>
      </c>
    </row>
    <row r="190" spans="2:14" x14ac:dyDescent="0.2">
      <c r="B190" s="130" t="s">
        <v>792</v>
      </c>
      <c r="C190" s="118" t="s">
        <v>1349</v>
      </c>
      <c r="D190" s="118" t="s">
        <v>1349</v>
      </c>
      <c r="E190" s="118">
        <v>98</v>
      </c>
      <c r="F190" s="118">
        <v>2087</v>
      </c>
      <c r="G190" s="118">
        <v>0</v>
      </c>
      <c r="I190" s="130" t="str">
        <f t="shared" si="17"/>
        <v>RelOned Parties</v>
      </c>
      <c r="J190" s="118"/>
      <c r="K190" s="118"/>
      <c r="L190" s="118">
        <v>3606</v>
      </c>
      <c r="M190" s="118">
        <v>2086</v>
      </c>
      <c r="N190" s="118">
        <v>0</v>
      </c>
    </row>
    <row r="191" spans="2:14" x14ac:dyDescent="0.2">
      <c r="B191" s="127" t="s">
        <v>864</v>
      </c>
      <c r="C191" s="208" t="s">
        <v>1349</v>
      </c>
      <c r="D191" s="208" t="s">
        <v>1349</v>
      </c>
      <c r="E191" s="120">
        <f>SUM(E183:E190)</f>
        <v>103876.01987307984</v>
      </c>
      <c r="F191" s="120">
        <f>SUM(F183:F190)</f>
        <v>108479.03331746631</v>
      </c>
      <c r="G191" s="120">
        <f>SUM(G183:G190)</f>
        <v>89477.450720462191</v>
      </c>
      <c r="I191" s="127" t="str">
        <f t="shared" si="17"/>
        <v>On March 31, 2019</v>
      </c>
      <c r="J191" s="120"/>
      <c r="K191" s="120"/>
      <c r="L191" s="120">
        <f>SUM(L183:L190)</f>
        <v>85885.26439848372</v>
      </c>
      <c r="M191" s="120">
        <f>SUM(M183:M190)</f>
        <v>99558.183172642806</v>
      </c>
      <c r="N191" s="120">
        <f>SUM(N183:N190)</f>
        <v>89229.53132205116</v>
      </c>
    </row>
    <row r="192" spans="2:14" x14ac:dyDescent="0.2">
      <c r="B192" s="130" t="s">
        <v>392</v>
      </c>
      <c r="C192" s="118" t="s">
        <v>1349</v>
      </c>
      <c r="D192" s="118" t="s">
        <v>1349</v>
      </c>
      <c r="E192" s="118">
        <v>7410</v>
      </c>
      <c r="F192" s="118">
        <v>61386</v>
      </c>
      <c r="G192" s="118">
        <v>0</v>
      </c>
      <c r="I192" s="130" t="str">
        <f>B192</f>
        <v>Debentures</v>
      </c>
      <c r="J192" s="118"/>
      <c r="K192" s="118"/>
      <c r="L192" s="118">
        <v>7410</v>
      </c>
      <c r="M192" s="118">
        <v>61386</v>
      </c>
      <c r="N192" s="118">
        <v>0</v>
      </c>
    </row>
    <row r="193" spans="2:14" x14ac:dyDescent="0.2">
      <c r="B193" s="130" t="s">
        <v>296</v>
      </c>
      <c r="C193" s="118" t="s">
        <v>1349</v>
      </c>
      <c r="D193" s="118" t="s">
        <v>1349</v>
      </c>
      <c r="E193" s="118">
        <v>52556</v>
      </c>
      <c r="F193" s="118">
        <v>28379</v>
      </c>
      <c r="G193" s="118">
        <v>26302</v>
      </c>
      <c r="I193" s="130" t="str">
        <f t="shared" ref="I193:I199" si="18">B193</f>
        <v>Trade accounts and freight payable</v>
      </c>
      <c r="J193" s="118"/>
      <c r="K193" s="118"/>
      <c r="L193" s="118">
        <v>52556</v>
      </c>
      <c r="M193" s="118">
        <v>28379</v>
      </c>
      <c r="N193" s="118">
        <v>26302</v>
      </c>
    </row>
    <row r="194" spans="2:14" x14ac:dyDescent="0.2">
      <c r="B194" s="130" t="s">
        <v>194</v>
      </c>
      <c r="C194" s="118" t="s">
        <v>1349</v>
      </c>
      <c r="D194" s="118" t="s">
        <v>1349</v>
      </c>
      <c r="E194" s="118">
        <v>36898</v>
      </c>
      <c r="F194" s="118">
        <v>0</v>
      </c>
      <c r="G194" s="118">
        <v>0</v>
      </c>
      <c r="I194" s="130" t="str">
        <f t="shared" si="18"/>
        <v>Other accounts payable</v>
      </c>
      <c r="J194" s="118"/>
      <c r="K194" s="118"/>
      <c r="L194" s="118">
        <v>32774</v>
      </c>
      <c r="M194" s="118">
        <v>0</v>
      </c>
      <c r="N194" s="118">
        <v>0</v>
      </c>
    </row>
    <row r="195" spans="2:14" x14ac:dyDescent="0.2">
      <c r="B195" s="130" t="s">
        <v>393</v>
      </c>
      <c r="C195" s="118" t="s">
        <v>1349</v>
      </c>
      <c r="D195" s="118" t="s">
        <v>1349</v>
      </c>
      <c r="E195" s="118">
        <v>0</v>
      </c>
      <c r="F195" s="118">
        <v>0</v>
      </c>
      <c r="G195" s="118">
        <v>0</v>
      </c>
      <c r="I195" s="130" t="str">
        <f t="shared" si="18"/>
        <v>Accounts payable - subsidiary acquisition</v>
      </c>
      <c r="J195" s="118"/>
      <c r="K195" s="118"/>
      <c r="L195" s="118">
        <v>37990</v>
      </c>
      <c r="M195" s="118">
        <v>0</v>
      </c>
      <c r="N195" s="118">
        <v>0</v>
      </c>
    </row>
    <row r="196" spans="2:14" x14ac:dyDescent="0.2">
      <c r="B196" s="130" t="s">
        <v>849</v>
      </c>
      <c r="C196" s="118" t="s">
        <v>1349</v>
      </c>
      <c r="D196" s="118" t="s">
        <v>1349</v>
      </c>
      <c r="E196" s="118">
        <v>0</v>
      </c>
      <c r="F196" s="118">
        <v>0</v>
      </c>
      <c r="G196" s="118">
        <v>0</v>
      </c>
      <c r="I196" s="130" t="str">
        <f t="shared" si="18"/>
        <v>Derivatives</v>
      </c>
      <c r="J196" s="118"/>
      <c r="K196" s="118"/>
      <c r="L196" s="118">
        <v>13833</v>
      </c>
      <c r="M196" s="118">
        <v>0</v>
      </c>
      <c r="N196" s="118">
        <v>0</v>
      </c>
    </row>
    <row r="197" spans="2:14" x14ac:dyDescent="0.2">
      <c r="B197" s="130" t="s">
        <v>394</v>
      </c>
      <c r="C197" s="118" t="s">
        <v>1349</v>
      </c>
      <c r="D197" s="118" t="s">
        <v>1349</v>
      </c>
      <c r="E197" s="118">
        <v>0</v>
      </c>
      <c r="F197" s="118">
        <v>0</v>
      </c>
      <c r="G197" s="118">
        <v>0</v>
      </c>
      <c r="I197" s="130" t="str">
        <f t="shared" si="18"/>
        <v>Dividends payable</v>
      </c>
      <c r="J197" s="118"/>
      <c r="K197" s="118"/>
      <c r="L197" s="118">
        <v>0</v>
      </c>
      <c r="M197" s="118">
        <v>0</v>
      </c>
      <c r="N197" s="118">
        <v>0</v>
      </c>
    </row>
    <row r="198" spans="2:14" x14ac:dyDescent="0.2">
      <c r="B198" s="130" t="s">
        <v>792</v>
      </c>
      <c r="C198" s="118" t="s">
        <v>1349</v>
      </c>
      <c r="D198" s="118" t="s">
        <v>1349</v>
      </c>
      <c r="E198" s="118">
        <v>2311</v>
      </c>
      <c r="F198" s="118">
        <v>1958</v>
      </c>
      <c r="G198" s="118" t="s">
        <v>47</v>
      </c>
      <c r="I198" s="130" t="str">
        <f t="shared" si="18"/>
        <v>RelOned Parties</v>
      </c>
      <c r="J198" s="118"/>
      <c r="K198" s="118"/>
      <c r="L198" s="118">
        <v>7869</v>
      </c>
      <c r="M198" s="118">
        <v>1958</v>
      </c>
      <c r="N198" s="118">
        <v>0</v>
      </c>
    </row>
    <row r="199" spans="2:14" x14ac:dyDescent="0.2">
      <c r="B199" s="127" t="s">
        <v>926</v>
      </c>
      <c r="C199" s="208" t="s">
        <v>1349</v>
      </c>
      <c r="D199" s="208" t="s">
        <v>1349</v>
      </c>
      <c r="E199" s="120">
        <f>SUM(E192:E198)</f>
        <v>99175</v>
      </c>
      <c r="F199" s="120">
        <f>SUM(F192:F198)</f>
        <v>91723</v>
      </c>
      <c r="G199" s="120">
        <f>SUM(G192:G198)</f>
        <v>26302</v>
      </c>
      <c r="I199" s="127" t="str">
        <f t="shared" si="18"/>
        <v>On Dezembro 31, 2018</v>
      </c>
      <c r="J199" s="120"/>
      <c r="K199" s="120"/>
      <c r="L199" s="120">
        <f>SUM(L192:L198)</f>
        <v>152432</v>
      </c>
      <c r="M199" s="120">
        <f>SUM(M192:M198)</f>
        <v>91723</v>
      </c>
      <c r="N199" s="120">
        <f>SUM(N192:N198)</f>
        <v>26302</v>
      </c>
    </row>
    <row r="200" spans="2:14" x14ac:dyDescent="0.2">
      <c r="B200" s="130" t="s">
        <v>392</v>
      </c>
      <c r="C200" s="118" t="s">
        <v>1349</v>
      </c>
      <c r="D200" s="118" t="s">
        <v>1349</v>
      </c>
      <c r="E200" s="118">
        <v>5702</v>
      </c>
      <c r="F200" s="118">
        <v>66820</v>
      </c>
      <c r="G200" s="118">
        <v>0</v>
      </c>
      <c r="I200" s="130" t="str">
        <f>B200</f>
        <v>Debentures</v>
      </c>
      <c r="J200" s="118"/>
      <c r="K200" s="118"/>
      <c r="L200" s="118">
        <v>5702</v>
      </c>
      <c r="M200" s="118">
        <v>66820</v>
      </c>
      <c r="N200" s="118">
        <v>0</v>
      </c>
    </row>
    <row r="201" spans="2:14" x14ac:dyDescent="0.2">
      <c r="B201" s="130" t="s">
        <v>296</v>
      </c>
      <c r="C201" s="118" t="s">
        <v>1349</v>
      </c>
      <c r="D201" s="118" t="s">
        <v>1349</v>
      </c>
      <c r="E201" s="118">
        <v>52533</v>
      </c>
      <c r="F201" s="118">
        <v>29721</v>
      </c>
      <c r="G201" s="118">
        <v>27074</v>
      </c>
      <c r="I201" s="130" t="str">
        <f t="shared" ref="I201:I206" si="19">B201</f>
        <v>Trade accounts and freight payable</v>
      </c>
      <c r="J201" s="118"/>
      <c r="K201" s="118"/>
      <c r="L201" s="118">
        <v>52533</v>
      </c>
      <c r="M201" s="118">
        <v>29721</v>
      </c>
      <c r="N201" s="118">
        <v>27074</v>
      </c>
    </row>
    <row r="202" spans="2:14" x14ac:dyDescent="0.2">
      <c r="B202" s="130" t="s">
        <v>194</v>
      </c>
      <c r="C202" s="118" t="s">
        <v>1349</v>
      </c>
      <c r="D202" s="118" t="s">
        <v>1349</v>
      </c>
      <c r="E202" s="118">
        <v>27786</v>
      </c>
      <c r="F202" s="118">
        <v>0</v>
      </c>
      <c r="G202" s="118">
        <v>0</v>
      </c>
      <c r="I202" s="130" t="str">
        <f t="shared" si="19"/>
        <v>Other accounts payable</v>
      </c>
      <c r="J202" s="118"/>
      <c r="K202" s="118"/>
      <c r="L202" s="118">
        <v>25294</v>
      </c>
      <c r="M202" s="118">
        <v>0</v>
      </c>
      <c r="N202" s="118">
        <v>0</v>
      </c>
    </row>
    <row r="203" spans="2:14" x14ac:dyDescent="0.2">
      <c r="B203" s="130" t="s">
        <v>393</v>
      </c>
      <c r="C203" s="118" t="s">
        <v>1349</v>
      </c>
      <c r="D203" s="118" t="s">
        <v>1349</v>
      </c>
      <c r="E203" s="118">
        <v>26432</v>
      </c>
      <c r="F203" s="118">
        <v>0</v>
      </c>
      <c r="G203" s="118">
        <v>0</v>
      </c>
      <c r="I203" s="130" t="str">
        <f t="shared" si="19"/>
        <v>Accounts payable - subsidiary acquisition</v>
      </c>
      <c r="J203" s="118"/>
      <c r="K203" s="118"/>
      <c r="L203" s="118">
        <v>18257</v>
      </c>
      <c r="M203" s="118">
        <v>0</v>
      </c>
      <c r="N203" s="118">
        <v>0</v>
      </c>
    </row>
    <row r="204" spans="2:14" x14ac:dyDescent="0.2">
      <c r="B204" s="130" t="s">
        <v>394</v>
      </c>
      <c r="C204" s="118" t="s">
        <v>1349</v>
      </c>
      <c r="D204" s="118" t="s">
        <v>1349</v>
      </c>
      <c r="E204" s="118">
        <v>0</v>
      </c>
      <c r="F204" s="118">
        <v>0</v>
      </c>
      <c r="G204" s="118">
        <v>0</v>
      </c>
      <c r="I204" s="130" t="str">
        <f t="shared" si="19"/>
        <v>Dividends payable</v>
      </c>
      <c r="J204" s="118"/>
      <c r="K204" s="118"/>
      <c r="L204" s="118">
        <v>0</v>
      </c>
      <c r="M204" s="118">
        <v>0</v>
      </c>
      <c r="N204" s="118">
        <v>0</v>
      </c>
    </row>
    <row r="205" spans="2:14" x14ac:dyDescent="0.2">
      <c r="B205" s="130" t="s">
        <v>792</v>
      </c>
      <c r="C205" s="118" t="s">
        <v>1349</v>
      </c>
      <c r="D205" s="118" t="s">
        <v>1349</v>
      </c>
      <c r="E205" s="118">
        <v>1588</v>
      </c>
      <c r="F205" s="118">
        <v>1503</v>
      </c>
      <c r="G205" s="118" t="s">
        <v>47</v>
      </c>
      <c r="I205" s="130" t="str">
        <f t="shared" si="19"/>
        <v>RelOned Parties</v>
      </c>
      <c r="J205" s="118"/>
      <c r="K205" s="118"/>
      <c r="L205" s="118">
        <v>7460</v>
      </c>
      <c r="M205" s="118">
        <v>1503</v>
      </c>
      <c r="N205" s="118">
        <v>0</v>
      </c>
    </row>
    <row r="206" spans="2:14" x14ac:dyDescent="0.2">
      <c r="B206" s="127" t="s">
        <v>791</v>
      </c>
      <c r="C206" s="208" t="s">
        <v>1349</v>
      </c>
      <c r="D206" s="208" t="s">
        <v>1349</v>
      </c>
      <c r="E206" s="120">
        <f>SUM(E200:E205)</f>
        <v>114041</v>
      </c>
      <c r="F206" s="120">
        <f>SUM(F200:F205)</f>
        <v>98044</v>
      </c>
      <c r="G206" s="120">
        <f>SUM(G200:G205)</f>
        <v>27074</v>
      </c>
      <c r="I206" s="127" t="str">
        <f t="shared" si="19"/>
        <v>On September 30, 2018</v>
      </c>
      <c r="J206" s="120"/>
      <c r="K206" s="120"/>
      <c r="L206" s="120">
        <f>SUM(L200:L205)</f>
        <v>109246</v>
      </c>
      <c r="M206" s="120">
        <f>SUM(M200:M205)</f>
        <v>98044</v>
      </c>
      <c r="N206" s="120">
        <f>SUM(N200:N205)</f>
        <v>27074</v>
      </c>
    </row>
    <row r="207" spans="2:14" x14ac:dyDescent="0.2">
      <c r="B207" s="130" t="s">
        <v>392</v>
      </c>
      <c r="C207" s="118" t="s">
        <v>1349</v>
      </c>
      <c r="D207" s="118" t="s">
        <v>1349</v>
      </c>
      <c r="E207" s="118">
        <v>47473</v>
      </c>
      <c r="F207" s="118">
        <v>7114</v>
      </c>
      <c r="G207" s="118">
        <v>0</v>
      </c>
      <c r="I207" s="130" t="str">
        <f>B207</f>
        <v>Debentures</v>
      </c>
      <c r="J207" s="118"/>
      <c r="K207" s="118"/>
      <c r="L207" s="118">
        <v>47473</v>
      </c>
      <c r="M207" s="118">
        <v>7114</v>
      </c>
      <c r="N207" s="118">
        <v>0</v>
      </c>
    </row>
    <row r="208" spans="2:14" x14ac:dyDescent="0.2">
      <c r="B208" s="130" t="s">
        <v>296</v>
      </c>
      <c r="C208" s="118" t="s">
        <v>1349</v>
      </c>
      <c r="D208" s="118" t="s">
        <v>1349</v>
      </c>
      <c r="E208" s="118">
        <v>54245</v>
      </c>
      <c r="F208" s="118">
        <v>2120</v>
      </c>
      <c r="G208" s="118">
        <v>54675</v>
      </c>
      <c r="I208" s="130" t="str">
        <f t="shared" ref="I208:I213" si="20">B208</f>
        <v>Trade accounts and freight payable</v>
      </c>
      <c r="J208" s="118"/>
      <c r="K208" s="118"/>
      <c r="L208" s="118">
        <v>54245</v>
      </c>
      <c r="M208" s="118">
        <v>2120</v>
      </c>
      <c r="N208" s="118">
        <v>54675</v>
      </c>
    </row>
    <row r="209" spans="2:14" x14ac:dyDescent="0.2">
      <c r="B209" s="130" t="s">
        <v>194</v>
      </c>
      <c r="C209" s="118" t="s">
        <v>1349</v>
      </c>
      <c r="D209" s="118" t="s">
        <v>1349</v>
      </c>
      <c r="E209" s="118">
        <v>24553</v>
      </c>
      <c r="F209" s="118">
        <v>0</v>
      </c>
      <c r="G209" s="118">
        <v>0</v>
      </c>
      <c r="I209" s="130" t="str">
        <f t="shared" si="20"/>
        <v>Other accounts payable</v>
      </c>
      <c r="J209" s="118"/>
      <c r="K209" s="118"/>
      <c r="L209" s="118">
        <v>22834</v>
      </c>
      <c r="M209" s="118">
        <v>0</v>
      </c>
      <c r="N209" s="118">
        <v>0</v>
      </c>
    </row>
    <row r="210" spans="2:14" x14ac:dyDescent="0.2">
      <c r="B210" s="130" t="s">
        <v>393</v>
      </c>
      <c r="C210" s="118" t="s">
        <v>1349</v>
      </c>
      <c r="D210" s="118" t="s">
        <v>1349</v>
      </c>
      <c r="E210" s="118">
        <v>22510</v>
      </c>
      <c r="F210" s="118">
        <v>0</v>
      </c>
      <c r="G210" s="118">
        <v>0</v>
      </c>
      <c r="I210" s="130" t="str">
        <f t="shared" si="20"/>
        <v>Accounts payable - subsidiary acquisition</v>
      </c>
      <c r="J210" s="118"/>
      <c r="K210" s="118"/>
      <c r="L210" s="118">
        <v>16473</v>
      </c>
      <c r="M210" s="118">
        <v>0</v>
      </c>
      <c r="N210" s="118">
        <v>0</v>
      </c>
    </row>
    <row r="211" spans="2:14" x14ac:dyDescent="0.2">
      <c r="B211" s="130" t="s">
        <v>394</v>
      </c>
      <c r="C211" s="118" t="s">
        <v>1349</v>
      </c>
      <c r="D211" s="118" t="s">
        <v>1349</v>
      </c>
      <c r="E211" s="118">
        <v>0</v>
      </c>
      <c r="F211" s="118">
        <v>0</v>
      </c>
      <c r="G211" s="118">
        <v>0</v>
      </c>
      <c r="I211" s="130" t="str">
        <f t="shared" si="20"/>
        <v>Dividends payable</v>
      </c>
      <c r="J211" s="118"/>
      <c r="K211" s="118"/>
      <c r="L211" s="118">
        <v>0</v>
      </c>
      <c r="M211" s="118">
        <v>0</v>
      </c>
      <c r="N211" s="118">
        <v>0</v>
      </c>
    </row>
    <row r="212" spans="2:14" x14ac:dyDescent="0.2">
      <c r="B212" s="130" t="s">
        <v>792</v>
      </c>
      <c r="C212" s="118" t="s">
        <v>1349</v>
      </c>
      <c r="D212" s="118" t="s">
        <v>1349</v>
      </c>
      <c r="E212" s="118">
        <v>784</v>
      </c>
      <c r="F212" s="118">
        <v>1042</v>
      </c>
      <c r="G212" s="118" t="s">
        <v>47</v>
      </c>
      <c r="I212" s="130" t="str">
        <f t="shared" si="20"/>
        <v>RelOned Parties</v>
      </c>
      <c r="J212" s="118"/>
      <c r="K212" s="118"/>
      <c r="L212" s="118">
        <v>6457</v>
      </c>
      <c r="M212" s="118">
        <v>1042</v>
      </c>
      <c r="N212" s="118">
        <v>0</v>
      </c>
    </row>
    <row r="213" spans="2:14" x14ac:dyDescent="0.2">
      <c r="B213" s="127" t="s">
        <v>793</v>
      </c>
      <c r="C213" s="208" t="s">
        <v>1349</v>
      </c>
      <c r="D213" s="208" t="s">
        <v>1349</v>
      </c>
      <c r="E213" s="120">
        <f>SUM(E207:E212)</f>
        <v>149565</v>
      </c>
      <c r="F213" s="120">
        <f>SUM(F207:F212)</f>
        <v>10276</v>
      </c>
      <c r="G213" s="120">
        <f>SUM(G207:G212)</f>
        <v>54675</v>
      </c>
      <c r="I213" s="127" t="str">
        <f t="shared" si="20"/>
        <v>On June, 2018</v>
      </c>
      <c r="J213" s="120"/>
      <c r="K213" s="120"/>
      <c r="L213" s="120">
        <f>SUM(L207:L212)</f>
        <v>147482</v>
      </c>
      <c r="M213" s="120">
        <f>SUM(M207:M212)</f>
        <v>10276</v>
      </c>
      <c r="N213" s="120">
        <f>SUM(N207:N212)</f>
        <v>54675</v>
      </c>
    </row>
    <row r="214" spans="2:14" x14ac:dyDescent="0.2">
      <c r="B214" s="130" t="s">
        <v>392</v>
      </c>
      <c r="C214" s="118" t="s">
        <v>1349</v>
      </c>
      <c r="D214" s="118" t="s">
        <v>1349</v>
      </c>
      <c r="E214" s="118">
        <v>5434</v>
      </c>
      <c r="F214" s="118">
        <v>49462</v>
      </c>
      <c r="G214" s="118">
        <v>5807</v>
      </c>
      <c r="I214" s="130" t="str">
        <f>B214</f>
        <v>Debentures</v>
      </c>
      <c r="J214" s="118"/>
      <c r="K214" s="118"/>
      <c r="L214" s="118">
        <v>4152</v>
      </c>
      <c r="M214" s="118">
        <v>48228</v>
      </c>
      <c r="N214" s="118">
        <v>3478</v>
      </c>
    </row>
    <row r="215" spans="2:14" x14ac:dyDescent="0.2">
      <c r="B215" s="130" t="s">
        <v>296</v>
      </c>
      <c r="C215" s="118" t="s">
        <v>1349</v>
      </c>
      <c r="D215" s="118" t="s">
        <v>1349</v>
      </c>
      <c r="E215" s="118">
        <v>55291</v>
      </c>
      <c r="F215" s="118">
        <v>4173</v>
      </c>
      <c r="G215" s="118">
        <v>54675</v>
      </c>
      <c r="I215" s="130" t="str">
        <f t="shared" ref="I215:I220" si="21">B215</f>
        <v>Trade accounts and freight payable</v>
      </c>
      <c r="J215" s="118"/>
      <c r="K215" s="118"/>
      <c r="L215" s="118">
        <v>55291</v>
      </c>
      <c r="M215" s="118">
        <v>4173</v>
      </c>
      <c r="N215" s="118">
        <v>54675</v>
      </c>
    </row>
    <row r="216" spans="2:14" x14ac:dyDescent="0.2">
      <c r="B216" s="130" t="s">
        <v>194</v>
      </c>
      <c r="C216" s="118" t="s">
        <v>1349</v>
      </c>
      <c r="D216" s="118" t="s">
        <v>1349</v>
      </c>
      <c r="E216" s="118">
        <v>28016</v>
      </c>
      <c r="F216" s="118">
        <v>0</v>
      </c>
      <c r="G216" s="118">
        <v>0</v>
      </c>
      <c r="I216" s="130" t="str">
        <f t="shared" si="21"/>
        <v>Other accounts payable</v>
      </c>
      <c r="J216" s="118"/>
      <c r="K216" s="118"/>
      <c r="L216" s="118">
        <v>25222</v>
      </c>
      <c r="M216" s="118">
        <v>0</v>
      </c>
      <c r="N216" s="118">
        <v>0</v>
      </c>
    </row>
    <row r="217" spans="2:14" x14ac:dyDescent="0.2">
      <c r="B217" s="130" t="s">
        <v>393</v>
      </c>
      <c r="C217" s="118" t="s">
        <v>1349</v>
      </c>
      <c r="D217" s="118" t="s">
        <v>1349</v>
      </c>
      <c r="E217" s="118">
        <v>22736</v>
      </c>
      <c r="F217" s="118">
        <v>0</v>
      </c>
      <c r="G217" s="118">
        <v>0</v>
      </c>
      <c r="I217" s="130" t="str">
        <f t="shared" si="21"/>
        <v>Accounts payable - subsidiary acquisition</v>
      </c>
      <c r="J217" s="118"/>
      <c r="K217" s="118"/>
      <c r="L217" s="118">
        <v>18132</v>
      </c>
      <c r="M217" s="118">
        <v>0</v>
      </c>
      <c r="N217" s="118">
        <v>0</v>
      </c>
    </row>
    <row r="218" spans="2:14" x14ac:dyDescent="0.2">
      <c r="B218" s="130" t="s">
        <v>394</v>
      </c>
      <c r="C218" s="118" t="s">
        <v>1349</v>
      </c>
      <c r="D218" s="118" t="s">
        <v>1349</v>
      </c>
      <c r="E218" s="118">
        <v>3128</v>
      </c>
      <c r="F218" s="118">
        <v>0</v>
      </c>
      <c r="G218" s="118">
        <v>0</v>
      </c>
      <c r="I218" s="130" t="str">
        <f t="shared" si="21"/>
        <v>Dividends payable</v>
      </c>
      <c r="J218" s="118"/>
      <c r="K218" s="118"/>
      <c r="L218" s="118">
        <v>3128</v>
      </c>
      <c r="M218" s="118">
        <v>0</v>
      </c>
      <c r="N218" s="118">
        <v>0</v>
      </c>
    </row>
    <row r="219" spans="2:14" x14ac:dyDescent="0.2">
      <c r="B219" s="130" t="s">
        <v>792</v>
      </c>
      <c r="C219" s="118" t="s">
        <v>1349</v>
      </c>
      <c r="D219" s="118" t="s">
        <v>1349</v>
      </c>
      <c r="E219" s="118">
        <v>812</v>
      </c>
      <c r="F219" s="118">
        <v>0</v>
      </c>
      <c r="G219" s="118">
        <v>0</v>
      </c>
      <c r="I219" s="130" t="str">
        <f t="shared" si="21"/>
        <v>RelOned Parties</v>
      </c>
      <c r="J219" s="118"/>
      <c r="K219" s="118"/>
      <c r="L219" s="118">
        <v>7011</v>
      </c>
      <c r="M219" s="118">
        <v>0</v>
      </c>
      <c r="N219" s="118">
        <v>0</v>
      </c>
    </row>
    <row r="220" spans="2:14" x14ac:dyDescent="0.2">
      <c r="B220" s="127" t="s">
        <v>794</v>
      </c>
      <c r="C220" s="208" t="s">
        <v>1349</v>
      </c>
      <c r="D220" s="208" t="s">
        <v>1349</v>
      </c>
      <c r="E220" s="120">
        <f>SUM(E214:E219)</f>
        <v>115417</v>
      </c>
      <c r="F220" s="120">
        <f>SUM(F214:F219)</f>
        <v>53635</v>
      </c>
      <c r="G220" s="120">
        <f>SUM(G214:G219)</f>
        <v>60482</v>
      </c>
      <c r="I220" s="127" t="str">
        <f t="shared" si="21"/>
        <v>On March, 2018</v>
      </c>
      <c r="J220" s="120"/>
      <c r="K220" s="120"/>
      <c r="L220" s="120">
        <f>SUM(L214:L219)</f>
        <v>112936</v>
      </c>
      <c r="M220" s="120">
        <f>SUM(M214:M219)</f>
        <v>52401</v>
      </c>
      <c r="N220" s="120">
        <f>SUM(N214:N219)</f>
        <v>58153</v>
      </c>
    </row>
    <row r="221" spans="2:14" x14ac:dyDescent="0.2">
      <c r="B221" s="130" t="s">
        <v>392</v>
      </c>
      <c r="C221" s="118" t="s">
        <v>1349</v>
      </c>
      <c r="D221" s="118" t="s">
        <v>1349</v>
      </c>
      <c r="E221" s="118">
        <v>5552</v>
      </c>
      <c r="F221" s="118">
        <v>50401</v>
      </c>
      <c r="G221" s="118">
        <v>6118</v>
      </c>
      <c r="I221" s="130" t="str">
        <f>B221</f>
        <v>Debentures</v>
      </c>
      <c r="J221" s="118"/>
      <c r="K221" s="118"/>
      <c r="L221" s="118">
        <v>4513</v>
      </c>
      <c r="M221" s="118">
        <v>49155</v>
      </c>
      <c r="N221" s="118">
        <v>3486</v>
      </c>
    </row>
    <row r="222" spans="2:14" x14ac:dyDescent="0.2">
      <c r="B222" s="130" t="s">
        <v>296</v>
      </c>
      <c r="C222" s="118" t="s">
        <v>1349</v>
      </c>
      <c r="D222" s="118" t="s">
        <v>1349</v>
      </c>
      <c r="E222" s="118">
        <v>78591</v>
      </c>
      <c r="F222" s="118">
        <v>52908</v>
      </c>
      <c r="G222" s="118">
        <v>54949</v>
      </c>
      <c r="I222" s="130" t="str">
        <f t="shared" ref="I222:I284" si="22">B222</f>
        <v>Trade accounts and freight payable</v>
      </c>
      <c r="J222" s="118"/>
      <c r="K222" s="118"/>
      <c r="L222" s="118">
        <v>78591</v>
      </c>
      <c r="M222" s="118">
        <v>52908</v>
      </c>
      <c r="N222" s="118">
        <v>54949</v>
      </c>
    </row>
    <row r="223" spans="2:14" x14ac:dyDescent="0.2">
      <c r="B223" s="130" t="s">
        <v>194</v>
      </c>
      <c r="C223" s="118" t="s">
        <v>1349</v>
      </c>
      <c r="D223" s="118" t="s">
        <v>1349</v>
      </c>
      <c r="E223" s="118">
        <v>32237</v>
      </c>
      <c r="F223" s="118">
        <v>0</v>
      </c>
      <c r="G223" s="118">
        <v>0</v>
      </c>
      <c r="I223" s="130" t="str">
        <f t="shared" si="22"/>
        <v>Other accounts payable</v>
      </c>
      <c r="J223" s="118"/>
      <c r="K223" s="118"/>
      <c r="L223" s="118">
        <v>29406</v>
      </c>
      <c r="M223" s="118">
        <v>0</v>
      </c>
      <c r="N223" s="118">
        <v>0</v>
      </c>
    </row>
    <row r="224" spans="2:14" x14ac:dyDescent="0.2">
      <c r="B224" s="130" t="s">
        <v>393</v>
      </c>
      <c r="C224" s="118" t="s">
        <v>1349</v>
      </c>
      <c r="D224" s="118" t="s">
        <v>1349</v>
      </c>
      <c r="E224" s="118">
        <v>26067</v>
      </c>
      <c r="F224" s="118">
        <v>0</v>
      </c>
      <c r="G224" s="118">
        <v>0</v>
      </c>
      <c r="I224" s="130" t="str">
        <f t="shared" si="22"/>
        <v>Accounts payable - subsidiary acquisition</v>
      </c>
      <c r="J224" s="118"/>
      <c r="K224" s="118"/>
      <c r="L224" s="118">
        <v>20320</v>
      </c>
      <c r="M224" s="118">
        <v>0</v>
      </c>
      <c r="N224" s="118">
        <v>0</v>
      </c>
    </row>
    <row r="225" spans="2:14" x14ac:dyDescent="0.2">
      <c r="B225" s="130" t="s">
        <v>394</v>
      </c>
      <c r="C225" s="118" t="s">
        <v>1349</v>
      </c>
      <c r="D225" s="118" t="s">
        <v>1349</v>
      </c>
      <c r="E225" s="118">
        <v>3128</v>
      </c>
      <c r="F225" s="118">
        <v>0</v>
      </c>
      <c r="G225" s="118">
        <v>0</v>
      </c>
      <c r="I225" s="130" t="str">
        <f t="shared" si="22"/>
        <v>Dividends payable</v>
      </c>
      <c r="J225" s="118"/>
      <c r="K225" s="118"/>
      <c r="L225" s="118">
        <v>3128</v>
      </c>
      <c r="M225" s="118">
        <v>0</v>
      </c>
      <c r="N225" s="118">
        <v>0</v>
      </c>
    </row>
    <row r="226" spans="2:14" x14ac:dyDescent="0.2">
      <c r="B226" s="130" t="s">
        <v>792</v>
      </c>
      <c r="C226" s="118" t="s">
        <v>1349</v>
      </c>
      <c r="D226" s="118" t="s">
        <v>1349</v>
      </c>
      <c r="E226" s="118">
        <v>826</v>
      </c>
      <c r="F226" s="118">
        <v>0</v>
      </c>
      <c r="G226" s="118">
        <v>0</v>
      </c>
      <c r="I226" s="130" t="str">
        <f t="shared" si="22"/>
        <v>RelOned Parties</v>
      </c>
      <c r="J226" s="118"/>
      <c r="K226" s="118"/>
      <c r="L226" s="118">
        <v>1297</v>
      </c>
      <c r="M226" s="118">
        <v>0</v>
      </c>
      <c r="N226" s="118">
        <v>0</v>
      </c>
    </row>
    <row r="227" spans="2:14" x14ac:dyDescent="0.2">
      <c r="B227" s="127" t="s">
        <v>795</v>
      </c>
      <c r="C227" s="208" t="s">
        <v>1349</v>
      </c>
      <c r="D227" s="208" t="s">
        <v>1349</v>
      </c>
      <c r="E227" s="120">
        <f>SUM(E221:E226)</f>
        <v>146401</v>
      </c>
      <c r="F227" s="120">
        <f>SUM(F221:F226)</f>
        <v>103309</v>
      </c>
      <c r="G227" s="120">
        <f>SUM(G221:G226)</f>
        <v>61067</v>
      </c>
      <c r="I227" s="127" t="str">
        <f t="shared" si="22"/>
        <v>On December, 2017</v>
      </c>
      <c r="J227" s="120"/>
      <c r="K227" s="120"/>
      <c r="L227" s="120">
        <f>SUM(L221:L226)</f>
        <v>137255</v>
      </c>
      <c r="M227" s="120">
        <f>SUM(M221:M226)</f>
        <v>102063</v>
      </c>
      <c r="N227" s="120">
        <f>SUM(N221:N226)</f>
        <v>58435</v>
      </c>
    </row>
    <row r="228" spans="2:14" x14ac:dyDescent="0.2">
      <c r="B228" s="130" t="s">
        <v>9</v>
      </c>
      <c r="C228" s="118" t="s">
        <v>1349</v>
      </c>
      <c r="D228" s="118" t="s">
        <v>1349</v>
      </c>
      <c r="E228" s="118">
        <v>5749.8968440162789</v>
      </c>
      <c r="F228" s="118">
        <v>48755.824826898111</v>
      </c>
      <c r="G228" s="118">
        <v>10039.639121399066</v>
      </c>
      <c r="I228" s="130" t="s">
        <v>9</v>
      </c>
      <c r="J228" s="118"/>
      <c r="K228" s="118"/>
      <c r="L228" s="118">
        <v>5058.1188241579403</v>
      </c>
      <c r="M228" s="118">
        <v>47495.633562386676</v>
      </c>
      <c r="N228" s="118">
        <v>6999.4209869006991</v>
      </c>
    </row>
    <row r="229" spans="2:14" x14ac:dyDescent="0.2">
      <c r="B229" s="130" t="s">
        <v>10</v>
      </c>
      <c r="C229" s="118" t="s">
        <v>1349</v>
      </c>
      <c r="D229" s="118" t="s">
        <v>1349</v>
      </c>
      <c r="E229" s="118">
        <v>77363.945685988001</v>
      </c>
      <c r="F229" s="118">
        <v>53758.682839744004</v>
      </c>
      <c r="G229" s="118">
        <v>58184.243896650005</v>
      </c>
      <c r="I229" s="130" t="s">
        <v>10</v>
      </c>
      <c r="J229" s="118"/>
      <c r="K229" s="118"/>
      <c r="L229" s="118">
        <v>77363.945685988001</v>
      </c>
      <c r="M229" s="118">
        <v>53758.682839744004</v>
      </c>
      <c r="N229" s="118">
        <v>0</v>
      </c>
    </row>
    <row r="230" spans="2:14" x14ac:dyDescent="0.2">
      <c r="B230" s="130" t="s">
        <v>48</v>
      </c>
      <c r="C230" s="118" t="s">
        <v>1349</v>
      </c>
      <c r="D230" s="118" t="s">
        <v>1349</v>
      </c>
      <c r="E230" s="118">
        <v>26706</v>
      </c>
      <c r="F230" s="118">
        <v>0</v>
      </c>
      <c r="G230" s="118">
        <v>0</v>
      </c>
      <c r="I230" s="130" t="s">
        <v>48</v>
      </c>
      <c r="J230" s="118"/>
      <c r="K230" s="118"/>
      <c r="L230" s="118">
        <v>24179</v>
      </c>
      <c r="M230" s="118">
        <v>0</v>
      </c>
      <c r="N230" s="118">
        <v>0</v>
      </c>
    </row>
    <row r="231" spans="2:14" x14ac:dyDescent="0.2">
      <c r="B231" s="130" t="s">
        <v>11</v>
      </c>
      <c r="C231" s="118" t="s">
        <v>1349</v>
      </c>
      <c r="D231" s="118" t="s">
        <v>1349</v>
      </c>
      <c r="E231" s="118">
        <v>20787</v>
      </c>
      <c r="F231" s="118">
        <v>0</v>
      </c>
      <c r="G231" s="118">
        <v>0</v>
      </c>
      <c r="I231" s="130" t="s">
        <v>11</v>
      </c>
      <c r="J231" s="118"/>
      <c r="K231" s="118"/>
      <c r="L231" s="118">
        <v>15389</v>
      </c>
      <c r="M231" s="118">
        <v>0</v>
      </c>
      <c r="N231" s="118">
        <v>0</v>
      </c>
    </row>
    <row r="232" spans="2:14" x14ac:dyDescent="0.2">
      <c r="B232" s="130" t="s">
        <v>141</v>
      </c>
      <c r="C232" s="118" t="s">
        <v>1349</v>
      </c>
      <c r="D232" s="118" t="s">
        <v>1349</v>
      </c>
      <c r="E232" s="118">
        <v>0</v>
      </c>
      <c r="F232" s="118">
        <v>0</v>
      </c>
      <c r="G232" s="118">
        <v>0</v>
      </c>
      <c r="I232" s="130" t="s">
        <v>141</v>
      </c>
      <c r="J232" s="118"/>
      <c r="K232" s="118"/>
      <c r="L232" s="118">
        <v>0</v>
      </c>
      <c r="M232" s="118">
        <v>0</v>
      </c>
      <c r="N232" s="118">
        <v>0</v>
      </c>
    </row>
    <row r="233" spans="2:14" x14ac:dyDescent="0.2">
      <c r="B233" s="130" t="s">
        <v>139</v>
      </c>
      <c r="C233" s="118" t="s">
        <v>1349</v>
      </c>
      <c r="D233" s="118" t="s">
        <v>1349</v>
      </c>
      <c r="E233" s="118">
        <v>0</v>
      </c>
      <c r="F233" s="118">
        <v>0</v>
      </c>
      <c r="G233" s="118">
        <v>0</v>
      </c>
      <c r="I233" s="130" t="s">
        <v>139</v>
      </c>
      <c r="J233" s="118"/>
      <c r="K233" s="118"/>
      <c r="L233" s="118">
        <v>0</v>
      </c>
      <c r="M233" s="118">
        <v>0</v>
      </c>
      <c r="N233" s="118">
        <v>0</v>
      </c>
    </row>
    <row r="234" spans="2:14" x14ac:dyDescent="0.2">
      <c r="B234" s="130" t="s">
        <v>12</v>
      </c>
      <c r="C234" s="118" t="s">
        <v>1349</v>
      </c>
      <c r="D234" s="118" t="s">
        <v>1349</v>
      </c>
      <c r="E234" s="118">
        <v>826</v>
      </c>
      <c r="F234" s="118">
        <v>0</v>
      </c>
      <c r="G234" s="118">
        <v>0</v>
      </c>
      <c r="I234" s="130" t="s">
        <v>12</v>
      </c>
      <c r="J234" s="118"/>
      <c r="K234" s="118"/>
      <c r="L234" s="118">
        <v>15068</v>
      </c>
      <c r="M234" s="118">
        <v>0</v>
      </c>
      <c r="N234" s="118">
        <v>0</v>
      </c>
    </row>
    <row r="235" spans="2:14" x14ac:dyDescent="0.2">
      <c r="B235" s="127" t="s">
        <v>147</v>
      </c>
      <c r="C235" s="208" t="s">
        <v>1349</v>
      </c>
      <c r="D235" s="208" t="s">
        <v>1349</v>
      </c>
      <c r="E235" s="120">
        <v>131432.84253000427</v>
      </c>
      <c r="F235" s="120">
        <v>102514.50766664211</v>
      </c>
      <c r="G235" s="120">
        <v>68223.883018049077</v>
      </c>
      <c r="I235" s="127" t="s">
        <v>147</v>
      </c>
      <c r="J235" s="120"/>
      <c r="K235" s="120"/>
      <c r="L235" s="120">
        <v>137058.06451014592</v>
      </c>
      <c r="M235" s="120">
        <v>101254.31640213067</v>
      </c>
      <c r="N235" s="120">
        <v>6999.4209869006991</v>
      </c>
    </row>
    <row r="236" spans="2:14" x14ac:dyDescent="0.2">
      <c r="B236" s="130" t="s">
        <v>395</v>
      </c>
      <c r="C236" s="118" t="s">
        <v>1349</v>
      </c>
      <c r="D236" s="118" t="s">
        <v>1349</v>
      </c>
      <c r="E236" s="118">
        <v>7175.2015286857295</v>
      </c>
      <c r="F236" s="118">
        <v>50616.114076211648</v>
      </c>
      <c r="G236" s="118">
        <v>10698.597012035214</v>
      </c>
      <c r="I236" s="130" t="str">
        <f t="shared" si="22"/>
        <v>Loans and financings</v>
      </c>
      <c r="J236" s="118"/>
      <c r="K236" s="118"/>
      <c r="L236" s="118">
        <v>6544.4125176342641</v>
      </c>
      <c r="M236" s="118">
        <v>49206</v>
      </c>
      <c r="N236" s="118">
        <v>7278.6670000000004</v>
      </c>
    </row>
    <row r="237" spans="2:14" x14ac:dyDescent="0.2">
      <c r="B237" s="130" t="s">
        <v>392</v>
      </c>
      <c r="C237" s="118" t="s">
        <v>1349</v>
      </c>
      <c r="D237" s="118" t="s">
        <v>1349</v>
      </c>
      <c r="E237" s="118">
        <v>137978.40153308402</v>
      </c>
      <c r="F237" s="118">
        <v>107107.025158274</v>
      </c>
      <c r="G237" s="118">
        <v>0</v>
      </c>
      <c r="I237" s="130" t="str">
        <f t="shared" si="22"/>
        <v>Debentures</v>
      </c>
      <c r="J237" s="118"/>
      <c r="K237" s="118"/>
      <c r="L237" s="118">
        <v>137978.40153308402</v>
      </c>
      <c r="M237" s="118">
        <v>107107.025158274</v>
      </c>
      <c r="N237" s="118">
        <v>0</v>
      </c>
    </row>
    <row r="238" spans="2:14" x14ac:dyDescent="0.2">
      <c r="B238" s="130" t="s">
        <v>296</v>
      </c>
      <c r="C238" s="118" t="s">
        <v>1349</v>
      </c>
      <c r="D238" s="118" t="s">
        <v>1349</v>
      </c>
      <c r="E238" s="118">
        <v>23235</v>
      </c>
      <c r="F238" s="118">
        <v>0</v>
      </c>
      <c r="G238" s="118">
        <v>0</v>
      </c>
      <c r="I238" s="130" t="str">
        <f t="shared" si="22"/>
        <v>Trade accounts and freight payable</v>
      </c>
      <c r="J238" s="118"/>
      <c r="K238" s="118"/>
      <c r="L238" s="118">
        <v>20278</v>
      </c>
      <c r="M238" s="118">
        <v>0</v>
      </c>
      <c r="N238" s="118">
        <v>0</v>
      </c>
    </row>
    <row r="239" spans="2:14" x14ac:dyDescent="0.2">
      <c r="B239" s="130" t="s">
        <v>194</v>
      </c>
      <c r="C239" s="118" t="s">
        <v>1349</v>
      </c>
      <c r="D239" s="118" t="s">
        <v>1349</v>
      </c>
      <c r="E239" s="118">
        <v>18806</v>
      </c>
      <c r="F239" s="118">
        <v>0</v>
      </c>
      <c r="G239" s="118">
        <v>0</v>
      </c>
      <c r="I239" s="130" t="str">
        <f t="shared" si="22"/>
        <v>Other accounts payable</v>
      </c>
      <c r="J239" s="118"/>
      <c r="K239" s="118"/>
      <c r="L239" s="118">
        <v>14136</v>
      </c>
      <c r="M239" s="118">
        <v>0</v>
      </c>
      <c r="N239" s="118">
        <v>0</v>
      </c>
    </row>
    <row r="240" spans="2:14" x14ac:dyDescent="0.2">
      <c r="B240" s="130" t="s">
        <v>393</v>
      </c>
      <c r="C240" s="118" t="s">
        <v>1349</v>
      </c>
      <c r="D240" s="118" t="s">
        <v>1349</v>
      </c>
      <c r="E240" s="118">
        <v>0</v>
      </c>
      <c r="F240" s="118">
        <v>0</v>
      </c>
      <c r="G240" s="118">
        <v>0</v>
      </c>
      <c r="I240" s="130" t="str">
        <f t="shared" si="22"/>
        <v>Accounts payable - subsidiary acquisition</v>
      </c>
      <c r="J240" s="118"/>
      <c r="K240" s="118"/>
      <c r="L240" s="118">
        <v>0</v>
      </c>
      <c r="M240" s="118">
        <v>0</v>
      </c>
      <c r="N240" s="118">
        <v>0</v>
      </c>
    </row>
    <row r="241" spans="2:14" x14ac:dyDescent="0.2">
      <c r="B241" s="130" t="s">
        <v>394</v>
      </c>
      <c r="C241" s="118" t="s">
        <v>1349</v>
      </c>
      <c r="D241" s="118" t="s">
        <v>1349</v>
      </c>
      <c r="E241" s="118">
        <v>0</v>
      </c>
      <c r="F241" s="118">
        <v>0</v>
      </c>
      <c r="G241" s="118">
        <v>0</v>
      </c>
      <c r="I241" s="130" t="str">
        <f t="shared" si="22"/>
        <v>Dividends payable</v>
      </c>
      <c r="J241" s="118"/>
      <c r="K241" s="118"/>
      <c r="L241" s="118">
        <v>0</v>
      </c>
      <c r="M241" s="118">
        <v>0</v>
      </c>
      <c r="N241" s="118">
        <v>0</v>
      </c>
    </row>
    <row r="242" spans="2:14" x14ac:dyDescent="0.2">
      <c r="B242" s="130" t="s">
        <v>792</v>
      </c>
      <c r="C242" s="118" t="s">
        <v>1349</v>
      </c>
      <c r="D242" s="118" t="s">
        <v>1349</v>
      </c>
      <c r="E242" s="118">
        <v>882</v>
      </c>
      <c r="F242" s="118">
        <v>0</v>
      </c>
      <c r="G242" s="118">
        <v>0</v>
      </c>
      <c r="I242" s="130" t="str">
        <f t="shared" si="22"/>
        <v>RelOned Parties</v>
      </c>
      <c r="J242" s="118"/>
      <c r="K242" s="118"/>
      <c r="L242" s="118">
        <v>17985</v>
      </c>
      <c r="M242" s="118">
        <v>0</v>
      </c>
      <c r="N242" s="118">
        <v>0</v>
      </c>
    </row>
    <row r="243" spans="2:14" x14ac:dyDescent="0.2">
      <c r="B243" s="127" t="s">
        <v>796</v>
      </c>
      <c r="C243" s="208" t="s">
        <v>1349</v>
      </c>
      <c r="D243" s="208" t="s">
        <v>1349</v>
      </c>
      <c r="E243" s="120">
        <f>SUM(E236:E242)</f>
        <v>188076.60306176974</v>
      </c>
      <c r="F243" s="120">
        <f>SUM(F236:F242)</f>
        <v>157723.13923448566</v>
      </c>
      <c r="G243" s="120">
        <f>SUM(G236:G242)</f>
        <v>10698.597012035214</v>
      </c>
      <c r="I243" s="127" t="str">
        <f t="shared" si="22"/>
        <v>On June, 2017</v>
      </c>
      <c r="J243" s="120"/>
      <c r="K243" s="120"/>
      <c r="L243" s="120">
        <f>SUM(L236:L242)</f>
        <v>196921.81405071827</v>
      </c>
      <c r="M243" s="120">
        <f>SUM(M236:M242)</f>
        <v>156313.02515827399</v>
      </c>
      <c r="N243" s="120">
        <f>SUM(N236:N242)</f>
        <v>7278.6670000000004</v>
      </c>
    </row>
    <row r="244" spans="2:14" x14ac:dyDescent="0.2">
      <c r="B244" s="130" t="s">
        <v>395</v>
      </c>
      <c r="C244" s="118" t="s">
        <v>1349</v>
      </c>
      <c r="D244" s="118" t="s">
        <v>1349</v>
      </c>
      <c r="E244" s="118">
        <v>1092</v>
      </c>
      <c r="F244" s="118">
        <v>476</v>
      </c>
      <c r="G244" s="118">
        <v>1213</v>
      </c>
      <c r="I244" s="130" t="str">
        <f t="shared" si="22"/>
        <v>Loans and financings</v>
      </c>
      <c r="J244" s="118"/>
      <c r="K244" s="118"/>
      <c r="L244" s="118">
        <v>931</v>
      </c>
      <c r="M244" s="118">
        <v>0</v>
      </c>
      <c r="N244" s="118">
        <v>0</v>
      </c>
    </row>
    <row r="245" spans="2:14" x14ac:dyDescent="0.2">
      <c r="B245" s="130" t="s">
        <v>392</v>
      </c>
      <c r="C245" s="118" t="s">
        <v>1349</v>
      </c>
      <c r="D245" s="118" t="s">
        <v>1349</v>
      </c>
      <c r="E245" s="118">
        <v>147149</v>
      </c>
      <c r="F245" s="118">
        <v>106770</v>
      </c>
      <c r="G245" s="118">
        <v>0</v>
      </c>
      <c r="I245" s="130" t="str">
        <f t="shared" si="22"/>
        <v>Debentures</v>
      </c>
      <c r="J245" s="118"/>
      <c r="K245" s="118"/>
      <c r="L245" s="118">
        <v>147149</v>
      </c>
      <c r="M245" s="118">
        <v>106770</v>
      </c>
      <c r="N245" s="118">
        <v>0</v>
      </c>
    </row>
    <row r="246" spans="2:14" x14ac:dyDescent="0.2">
      <c r="B246" s="130" t="s">
        <v>296</v>
      </c>
      <c r="C246" s="118" t="s">
        <v>1349</v>
      </c>
      <c r="D246" s="118" t="s">
        <v>1349</v>
      </c>
      <c r="E246" s="118">
        <v>23189</v>
      </c>
      <c r="F246" s="118">
        <v>0</v>
      </c>
      <c r="G246" s="118">
        <v>0</v>
      </c>
      <c r="I246" s="130" t="str">
        <f t="shared" si="22"/>
        <v>Trade accounts and freight payable</v>
      </c>
      <c r="J246" s="118"/>
      <c r="K246" s="118"/>
      <c r="L246" s="118">
        <v>19429</v>
      </c>
      <c r="M246" s="118">
        <v>0</v>
      </c>
      <c r="N246" s="118">
        <v>0</v>
      </c>
    </row>
    <row r="247" spans="2:14" x14ac:dyDescent="0.2">
      <c r="B247" s="130" t="s">
        <v>194</v>
      </c>
      <c r="C247" s="118" t="s">
        <v>1349</v>
      </c>
      <c r="D247" s="118" t="s">
        <v>1349</v>
      </c>
      <c r="E247" s="118">
        <v>19131</v>
      </c>
      <c r="F247" s="118">
        <v>0</v>
      </c>
      <c r="G247" s="118">
        <v>0</v>
      </c>
      <c r="I247" s="130" t="str">
        <f t="shared" si="22"/>
        <v>Other accounts payable</v>
      </c>
      <c r="J247" s="118"/>
      <c r="K247" s="118"/>
      <c r="L247" s="118">
        <v>13169</v>
      </c>
      <c r="M247" s="118">
        <v>0</v>
      </c>
      <c r="N247" s="118">
        <v>0</v>
      </c>
    </row>
    <row r="248" spans="2:14" x14ac:dyDescent="0.2">
      <c r="B248" s="130" t="s">
        <v>393</v>
      </c>
      <c r="C248" s="118" t="s">
        <v>1349</v>
      </c>
      <c r="D248" s="118" t="s">
        <v>1349</v>
      </c>
      <c r="E248" s="118">
        <v>0</v>
      </c>
      <c r="F248" s="118">
        <v>0</v>
      </c>
      <c r="G248" s="118">
        <v>0</v>
      </c>
      <c r="I248" s="130" t="str">
        <f t="shared" si="22"/>
        <v>Accounts payable - subsidiary acquisition</v>
      </c>
      <c r="J248" s="118"/>
      <c r="K248" s="118"/>
      <c r="L248" s="118">
        <v>0</v>
      </c>
      <c r="M248" s="118">
        <v>0</v>
      </c>
      <c r="N248" s="118">
        <v>0</v>
      </c>
    </row>
    <row r="249" spans="2:14" x14ac:dyDescent="0.2">
      <c r="B249" s="130" t="s">
        <v>394</v>
      </c>
      <c r="C249" s="118" t="s">
        <v>1349</v>
      </c>
      <c r="D249" s="118" t="s">
        <v>1349</v>
      </c>
      <c r="E249" s="118">
        <v>3284</v>
      </c>
      <c r="F249" s="118">
        <v>0</v>
      </c>
      <c r="G249" s="118">
        <v>0</v>
      </c>
      <c r="I249" s="130" t="str">
        <f t="shared" si="22"/>
        <v>Dividends payable</v>
      </c>
      <c r="J249" s="118"/>
      <c r="K249" s="118"/>
      <c r="L249" s="118">
        <v>3284</v>
      </c>
      <c r="M249" s="118">
        <v>0</v>
      </c>
      <c r="N249" s="118">
        <v>0</v>
      </c>
    </row>
    <row r="250" spans="2:14" x14ac:dyDescent="0.2">
      <c r="B250" s="130" t="s">
        <v>792</v>
      </c>
      <c r="C250" s="118" t="s">
        <v>1349</v>
      </c>
      <c r="D250" s="118" t="s">
        <v>1349</v>
      </c>
      <c r="E250" s="118">
        <v>1158</v>
      </c>
      <c r="F250" s="118">
        <v>0</v>
      </c>
      <c r="G250" s="118">
        <v>0</v>
      </c>
      <c r="I250" s="130" t="str">
        <f t="shared" si="22"/>
        <v>RelOned Parties</v>
      </c>
      <c r="J250" s="118"/>
      <c r="K250" s="118"/>
      <c r="L250" s="118">
        <v>18202</v>
      </c>
      <c r="M250" s="118">
        <v>0</v>
      </c>
      <c r="N250" s="118">
        <v>0</v>
      </c>
    </row>
    <row r="251" spans="2:14" x14ac:dyDescent="0.2">
      <c r="B251" s="127" t="s">
        <v>797</v>
      </c>
      <c r="C251" s="208" t="s">
        <v>1349</v>
      </c>
      <c r="D251" s="208" t="s">
        <v>1349</v>
      </c>
      <c r="E251" s="120">
        <f>SUM(E244:E250)</f>
        <v>195003</v>
      </c>
      <c r="F251" s="120">
        <f>SUM(F244:F250)</f>
        <v>107246</v>
      </c>
      <c r="G251" s="120">
        <f>SUM(G244:G250)</f>
        <v>1213</v>
      </c>
      <c r="I251" s="127" t="str">
        <f t="shared" si="22"/>
        <v>On March, 2017</v>
      </c>
      <c r="J251" s="120"/>
      <c r="K251" s="120"/>
      <c r="L251" s="120">
        <f>SUM(L244:L250)</f>
        <v>202164</v>
      </c>
      <c r="M251" s="120">
        <f>SUM(M244:M250)</f>
        <v>106770</v>
      </c>
      <c r="N251" s="120">
        <f>SUM(N244:N250)</f>
        <v>0</v>
      </c>
    </row>
    <row r="252" spans="2:14" x14ac:dyDescent="0.2">
      <c r="B252" s="130" t="s">
        <v>395</v>
      </c>
      <c r="C252" s="118" t="s">
        <v>1349</v>
      </c>
      <c r="D252" s="118" t="s">
        <v>1349</v>
      </c>
      <c r="E252" s="118">
        <v>1048</v>
      </c>
      <c r="F252" s="118">
        <v>0</v>
      </c>
      <c r="G252" s="118">
        <v>134</v>
      </c>
      <c r="I252" s="130" t="str">
        <f t="shared" si="22"/>
        <v>Loans and financings</v>
      </c>
      <c r="J252" s="118"/>
      <c r="K252" s="118"/>
      <c r="L252" s="118">
        <v>1048</v>
      </c>
      <c r="M252" s="118">
        <v>0</v>
      </c>
      <c r="N252" s="118">
        <v>134</v>
      </c>
    </row>
    <row r="253" spans="2:14" x14ac:dyDescent="0.2">
      <c r="B253" s="130" t="s">
        <v>392</v>
      </c>
      <c r="C253" s="118" t="s">
        <v>1349</v>
      </c>
      <c r="D253" s="118" t="s">
        <v>1349</v>
      </c>
      <c r="E253" s="118">
        <v>127043</v>
      </c>
      <c r="F253" s="118">
        <v>0</v>
      </c>
      <c r="G253" s="118">
        <v>113342</v>
      </c>
      <c r="I253" s="130" t="str">
        <f t="shared" si="22"/>
        <v>Debentures</v>
      </c>
      <c r="J253" s="118"/>
      <c r="K253" s="118"/>
      <c r="L253" s="118">
        <v>127043</v>
      </c>
      <c r="M253" s="118">
        <v>0</v>
      </c>
      <c r="N253" s="118">
        <v>113342</v>
      </c>
    </row>
    <row r="254" spans="2:14" x14ac:dyDescent="0.2">
      <c r="B254" s="130" t="s">
        <v>296</v>
      </c>
      <c r="C254" s="118" t="s">
        <v>1349</v>
      </c>
      <c r="D254" s="118" t="s">
        <v>1349</v>
      </c>
      <c r="E254" s="118">
        <v>43164</v>
      </c>
      <c r="F254" s="118">
        <v>0</v>
      </c>
      <c r="G254" s="118">
        <v>0</v>
      </c>
      <c r="I254" s="130" t="str">
        <f t="shared" si="22"/>
        <v>Trade accounts and freight payable</v>
      </c>
      <c r="J254" s="118"/>
      <c r="K254" s="118"/>
      <c r="L254" s="118">
        <v>37990</v>
      </c>
      <c r="M254" s="118">
        <v>0</v>
      </c>
      <c r="N254" s="118">
        <v>0</v>
      </c>
    </row>
    <row r="255" spans="2:14" x14ac:dyDescent="0.2">
      <c r="B255" s="130" t="s">
        <v>194</v>
      </c>
      <c r="C255" s="118" t="s">
        <v>1349</v>
      </c>
      <c r="D255" s="118" t="s">
        <v>1349</v>
      </c>
      <c r="E255" s="118">
        <v>18011</v>
      </c>
      <c r="F255" s="118">
        <v>0</v>
      </c>
      <c r="G255" s="118">
        <v>0</v>
      </c>
      <c r="I255" s="130" t="str">
        <f t="shared" si="22"/>
        <v>Other accounts payable</v>
      </c>
      <c r="J255" s="118"/>
      <c r="K255" s="118"/>
      <c r="L255" s="118">
        <v>13833</v>
      </c>
      <c r="M255" s="118">
        <v>0</v>
      </c>
      <c r="N255" s="118">
        <v>0</v>
      </c>
    </row>
    <row r="256" spans="2:14" x14ac:dyDescent="0.2">
      <c r="B256" s="130" t="s">
        <v>393</v>
      </c>
      <c r="C256" s="118" t="s">
        <v>1349</v>
      </c>
      <c r="D256" s="118" t="s">
        <v>1349</v>
      </c>
      <c r="E256" s="118">
        <v>12541</v>
      </c>
      <c r="F256" s="118">
        <v>0</v>
      </c>
      <c r="G256" s="118">
        <v>0</v>
      </c>
      <c r="I256" s="130" t="str">
        <f t="shared" si="22"/>
        <v>Accounts payable - subsidiary acquisition</v>
      </c>
      <c r="J256" s="118"/>
      <c r="K256" s="118"/>
      <c r="L256" s="118">
        <v>0</v>
      </c>
      <c r="M256" s="118">
        <v>0</v>
      </c>
      <c r="N256" s="118">
        <v>0</v>
      </c>
    </row>
    <row r="257" spans="2:14" x14ac:dyDescent="0.2">
      <c r="B257" s="127" t="s">
        <v>798</v>
      </c>
      <c r="C257" s="208" t="s">
        <v>1349</v>
      </c>
      <c r="D257" s="208" t="s">
        <v>1349</v>
      </c>
      <c r="E257" s="120">
        <f>SUM(E252:E256)</f>
        <v>201807</v>
      </c>
      <c r="F257" s="120">
        <f>SUM(F252:F256)</f>
        <v>0</v>
      </c>
      <c r="G257" s="120">
        <f>SUM(G252:G256)</f>
        <v>113476</v>
      </c>
      <c r="I257" s="127" t="str">
        <f t="shared" si="22"/>
        <v>On December, 2016</v>
      </c>
      <c r="J257" s="120"/>
      <c r="K257" s="120"/>
      <c r="L257" s="120">
        <f>SUM(L252:L256)</f>
        <v>179914</v>
      </c>
      <c r="M257" s="120">
        <f>SUM(M252:M256)</f>
        <v>0</v>
      </c>
      <c r="N257" s="120">
        <f>SUM(N252:N256)</f>
        <v>113476</v>
      </c>
    </row>
    <row r="258" spans="2:14" x14ac:dyDescent="0.2">
      <c r="B258" s="130" t="s">
        <v>395</v>
      </c>
      <c r="C258" s="118" t="s">
        <v>1349</v>
      </c>
      <c r="D258" s="118" t="s">
        <v>1349</v>
      </c>
      <c r="E258" s="118">
        <v>1049</v>
      </c>
      <c r="F258" s="118">
        <v>396</v>
      </c>
      <c r="G258" s="118">
        <v>0</v>
      </c>
      <c r="I258" s="130" t="str">
        <f t="shared" si="22"/>
        <v>Loans and financings</v>
      </c>
      <c r="J258" s="118"/>
      <c r="K258" s="118"/>
      <c r="L258" s="118">
        <v>1049</v>
      </c>
      <c r="M258" s="118">
        <v>396</v>
      </c>
      <c r="N258" s="118">
        <v>0</v>
      </c>
    </row>
    <row r="259" spans="2:14" x14ac:dyDescent="0.2">
      <c r="B259" s="130" t="s">
        <v>392</v>
      </c>
      <c r="C259" s="118" t="s">
        <v>1349</v>
      </c>
      <c r="D259" s="118" t="s">
        <v>1349</v>
      </c>
      <c r="E259" s="118">
        <v>126941</v>
      </c>
      <c r="F259" s="118">
        <v>116661</v>
      </c>
      <c r="G259" s="118">
        <v>96686</v>
      </c>
      <c r="I259" s="130" t="str">
        <f t="shared" si="22"/>
        <v>Debentures</v>
      </c>
      <c r="J259" s="118"/>
      <c r="K259" s="118"/>
      <c r="L259" s="118">
        <v>126941</v>
      </c>
      <c r="M259" s="118">
        <v>116661</v>
      </c>
      <c r="N259" s="118">
        <v>96686</v>
      </c>
    </row>
    <row r="260" spans="2:14" x14ac:dyDescent="0.2">
      <c r="B260" s="130" t="s">
        <v>296</v>
      </c>
      <c r="C260" s="118" t="s">
        <v>1349</v>
      </c>
      <c r="D260" s="118" t="s">
        <v>1349</v>
      </c>
      <c r="E260" s="118">
        <v>32399</v>
      </c>
      <c r="F260" s="118">
        <v>0</v>
      </c>
      <c r="G260" s="118">
        <v>0</v>
      </c>
      <c r="I260" s="130" t="str">
        <f t="shared" si="22"/>
        <v>Trade accounts and freight payable</v>
      </c>
      <c r="J260" s="118"/>
      <c r="K260" s="118"/>
      <c r="L260" s="118">
        <v>28948</v>
      </c>
      <c r="M260" s="118">
        <v>0</v>
      </c>
      <c r="N260" s="118">
        <v>0</v>
      </c>
    </row>
    <row r="261" spans="2:14" x14ac:dyDescent="0.2">
      <c r="B261" s="130" t="s">
        <v>194</v>
      </c>
      <c r="C261" s="118" t="s">
        <v>1349</v>
      </c>
      <c r="D261" s="118" t="s">
        <v>1349</v>
      </c>
      <c r="E261" s="118">
        <v>22518</v>
      </c>
      <c r="F261" s="118">
        <v>0</v>
      </c>
      <c r="G261" s="118">
        <v>0</v>
      </c>
      <c r="I261" s="130" t="str">
        <f t="shared" si="22"/>
        <v>Other accounts payable</v>
      </c>
      <c r="J261" s="118"/>
      <c r="K261" s="118"/>
      <c r="L261" s="118">
        <v>11479</v>
      </c>
      <c r="M261" s="118">
        <v>0</v>
      </c>
      <c r="N261" s="118">
        <v>0</v>
      </c>
    </row>
    <row r="262" spans="2:14" x14ac:dyDescent="0.2">
      <c r="B262" s="130" t="s">
        <v>393</v>
      </c>
      <c r="C262" s="118" t="s">
        <v>1349</v>
      </c>
      <c r="D262" s="118" t="s">
        <v>1349</v>
      </c>
      <c r="E262" s="118">
        <v>12157</v>
      </c>
      <c r="F262" s="118">
        <v>0</v>
      </c>
      <c r="G262" s="118">
        <v>0</v>
      </c>
      <c r="I262" s="130" t="str">
        <f t="shared" si="22"/>
        <v>Accounts payable - subsidiary acquisition</v>
      </c>
      <c r="J262" s="118"/>
      <c r="K262" s="118"/>
      <c r="L262" s="118"/>
      <c r="M262" s="118">
        <v>0</v>
      </c>
      <c r="N262" s="118">
        <v>0</v>
      </c>
    </row>
    <row r="263" spans="2:14" x14ac:dyDescent="0.2">
      <c r="B263" s="127" t="s">
        <v>799</v>
      </c>
      <c r="C263" s="208" t="s">
        <v>1349</v>
      </c>
      <c r="D263" s="208" t="s">
        <v>1349</v>
      </c>
      <c r="E263" s="120">
        <f>SUM(E258:E262)</f>
        <v>195064</v>
      </c>
      <c r="F263" s="120">
        <f>SUM(F258:F262)</f>
        <v>117057</v>
      </c>
      <c r="G263" s="120">
        <f>SUM(G258:G262)</f>
        <v>96686</v>
      </c>
      <c r="I263" s="127" t="str">
        <f t="shared" si="22"/>
        <v>On September, 2016</v>
      </c>
      <c r="J263" s="120"/>
      <c r="K263" s="120"/>
      <c r="L263" s="120">
        <f>SUM(L258:L262)</f>
        <v>168417</v>
      </c>
      <c r="M263" s="120">
        <f>SUM(M258:M261)</f>
        <v>117057</v>
      </c>
      <c r="N263" s="120">
        <f>SUM(N258:N261)</f>
        <v>96686</v>
      </c>
    </row>
    <row r="264" spans="2:14" x14ac:dyDescent="0.2">
      <c r="B264" s="130" t="s">
        <v>395</v>
      </c>
      <c r="C264" s="118" t="s">
        <v>1349</v>
      </c>
      <c r="D264" s="118" t="s">
        <v>1349</v>
      </c>
      <c r="E264" s="118">
        <v>1087</v>
      </c>
      <c r="F264" s="118">
        <v>657</v>
      </c>
      <c r="G264" s="118">
        <v>0</v>
      </c>
      <c r="I264" s="130" t="str">
        <f t="shared" si="22"/>
        <v>Loans and financings</v>
      </c>
      <c r="J264" s="118"/>
      <c r="K264" s="118"/>
      <c r="L264" s="336">
        <v>1087</v>
      </c>
      <c r="M264" s="336">
        <v>657</v>
      </c>
      <c r="N264" s="336">
        <v>0</v>
      </c>
    </row>
    <row r="265" spans="2:14" x14ac:dyDescent="0.2">
      <c r="B265" s="130" t="s">
        <v>392</v>
      </c>
      <c r="C265" s="118" t="s">
        <v>1349</v>
      </c>
      <c r="D265" s="118" t="s">
        <v>1349</v>
      </c>
      <c r="E265" s="118">
        <v>127502</v>
      </c>
      <c r="F265" s="118">
        <v>116661</v>
      </c>
      <c r="G265" s="118">
        <v>96686</v>
      </c>
      <c r="I265" s="130" t="str">
        <f t="shared" si="22"/>
        <v>Debentures</v>
      </c>
      <c r="J265" s="118"/>
      <c r="K265" s="118"/>
      <c r="L265" s="336">
        <v>127502</v>
      </c>
      <c r="M265" s="336">
        <v>116661</v>
      </c>
      <c r="N265" s="336">
        <v>96686</v>
      </c>
    </row>
    <row r="266" spans="2:14" x14ac:dyDescent="0.2">
      <c r="B266" s="130" t="s">
        <v>296</v>
      </c>
      <c r="C266" s="118" t="s">
        <v>1349</v>
      </c>
      <c r="D266" s="118" t="s">
        <v>1349</v>
      </c>
      <c r="E266" s="118">
        <v>30891</v>
      </c>
      <c r="F266" s="118">
        <v>0</v>
      </c>
      <c r="G266" s="118">
        <v>0</v>
      </c>
      <c r="I266" s="130" t="str">
        <f t="shared" si="22"/>
        <v>Trade accounts and freight payable</v>
      </c>
      <c r="J266" s="118"/>
      <c r="K266" s="118"/>
      <c r="L266" s="336">
        <v>27377</v>
      </c>
      <c r="M266" s="336">
        <v>0</v>
      </c>
      <c r="N266" s="336">
        <v>0</v>
      </c>
    </row>
    <row r="267" spans="2:14" x14ac:dyDescent="0.2">
      <c r="B267" s="130" t="s">
        <v>194</v>
      </c>
      <c r="C267" s="118" t="s">
        <v>1349</v>
      </c>
      <c r="D267" s="118" t="s">
        <v>1349</v>
      </c>
      <c r="E267" s="118">
        <v>24228</v>
      </c>
      <c r="F267" s="118">
        <v>0</v>
      </c>
      <c r="G267" s="118">
        <v>0</v>
      </c>
      <c r="I267" s="130" t="str">
        <f t="shared" si="22"/>
        <v>Other accounts payable</v>
      </c>
      <c r="J267" s="118"/>
      <c r="K267" s="118"/>
      <c r="L267" s="336">
        <v>11215</v>
      </c>
      <c r="M267" s="336">
        <v>0</v>
      </c>
      <c r="N267" s="336">
        <v>0</v>
      </c>
    </row>
    <row r="268" spans="2:14" x14ac:dyDescent="0.2">
      <c r="B268" s="130" t="s">
        <v>393</v>
      </c>
      <c r="C268" s="118" t="s">
        <v>1349</v>
      </c>
      <c r="D268" s="118" t="s">
        <v>1349</v>
      </c>
      <c r="E268" s="118">
        <v>11749</v>
      </c>
      <c r="F268" s="118">
        <v>0</v>
      </c>
      <c r="G268" s="118">
        <v>0</v>
      </c>
      <c r="I268" s="130" t="str">
        <f t="shared" si="22"/>
        <v>Accounts payable - subsidiary acquisition</v>
      </c>
      <c r="J268" s="118"/>
      <c r="K268" s="118"/>
      <c r="L268" s="336"/>
      <c r="M268" s="336">
        <v>0</v>
      </c>
      <c r="N268" s="336">
        <v>0</v>
      </c>
    </row>
    <row r="269" spans="2:14" x14ac:dyDescent="0.2">
      <c r="B269" s="127" t="s">
        <v>800</v>
      </c>
      <c r="C269" s="208" t="s">
        <v>1349</v>
      </c>
      <c r="D269" s="208" t="s">
        <v>1349</v>
      </c>
      <c r="E269" s="120">
        <f>SUM(E264:E268)</f>
        <v>195457</v>
      </c>
      <c r="F269" s="120">
        <f>SUM(F264:F268)</f>
        <v>117318</v>
      </c>
      <c r="G269" s="120">
        <f>SUM(G264:G268)</f>
        <v>96686</v>
      </c>
      <c r="I269" s="127" t="str">
        <f t="shared" si="22"/>
        <v>On June, 2016</v>
      </c>
      <c r="J269" s="120"/>
      <c r="K269" s="120"/>
      <c r="L269" s="120">
        <f>SUM(L264:L268)</f>
        <v>167181</v>
      </c>
      <c r="M269" s="120">
        <f>SUM(M264:M268)</f>
        <v>117318</v>
      </c>
      <c r="N269" s="120">
        <f>SUM(N264:N268)</f>
        <v>96686</v>
      </c>
    </row>
    <row r="270" spans="2:14" x14ac:dyDescent="0.2">
      <c r="B270" s="130" t="s">
        <v>395</v>
      </c>
      <c r="C270" s="118" t="s">
        <v>1349</v>
      </c>
      <c r="D270" s="118" t="s">
        <v>1349</v>
      </c>
      <c r="E270" s="118">
        <v>1132</v>
      </c>
      <c r="F270" s="118">
        <v>919</v>
      </c>
      <c r="G270" s="118">
        <v>0</v>
      </c>
      <c r="I270" s="130" t="str">
        <f t="shared" si="22"/>
        <v>Loans and financings</v>
      </c>
      <c r="J270" s="118"/>
      <c r="K270" s="118"/>
      <c r="L270" s="118">
        <v>1132</v>
      </c>
      <c r="M270" s="118">
        <v>919</v>
      </c>
      <c r="N270" s="118">
        <v>0</v>
      </c>
    </row>
    <row r="271" spans="2:14" x14ac:dyDescent="0.2">
      <c r="B271" s="130" t="s">
        <v>392</v>
      </c>
      <c r="C271" s="118" t="s">
        <v>1349</v>
      </c>
      <c r="D271" s="118" t="s">
        <v>1349</v>
      </c>
      <c r="E271" s="118">
        <v>126467</v>
      </c>
      <c r="F271" s="118">
        <v>116661</v>
      </c>
      <c r="G271" s="118">
        <v>96686</v>
      </c>
      <c r="I271" s="130" t="str">
        <f t="shared" si="22"/>
        <v>Debentures</v>
      </c>
      <c r="J271" s="118"/>
      <c r="K271" s="118"/>
      <c r="L271" s="118">
        <v>126467</v>
      </c>
      <c r="M271" s="118">
        <v>116661</v>
      </c>
      <c r="N271" s="118">
        <v>96686</v>
      </c>
    </row>
    <row r="272" spans="2:14" x14ac:dyDescent="0.2">
      <c r="B272" s="130" t="s">
        <v>296</v>
      </c>
      <c r="C272" s="118" t="s">
        <v>1349</v>
      </c>
      <c r="D272" s="118" t="s">
        <v>1349</v>
      </c>
      <c r="E272" s="118">
        <v>33904</v>
      </c>
      <c r="F272" s="118">
        <v>0</v>
      </c>
      <c r="G272" s="118">
        <v>0</v>
      </c>
      <c r="I272" s="130" t="str">
        <f t="shared" si="22"/>
        <v>Trade accounts and freight payable</v>
      </c>
      <c r="J272" s="118"/>
      <c r="K272" s="118"/>
      <c r="L272" s="118">
        <v>29390</v>
      </c>
      <c r="M272" s="118">
        <v>0</v>
      </c>
      <c r="N272" s="118">
        <v>0</v>
      </c>
    </row>
    <row r="273" spans="2:14" x14ac:dyDescent="0.2">
      <c r="B273" s="130" t="s">
        <v>194</v>
      </c>
      <c r="C273" s="118" t="s">
        <v>1349</v>
      </c>
      <c r="D273" s="118" t="s">
        <v>1349</v>
      </c>
      <c r="E273" s="118">
        <v>31994</v>
      </c>
      <c r="F273" s="118">
        <v>0</v>
      </c>
      <c r="G273" s="118">
        <v>0</v>
      </c>
      <c r="I273" s="130" t="str">
        <f t="shared" si="22"/>
        <v>Other accounts payable</v>
      </c>
      <c r="J273" s="118"/>
      <c r="K273" s="118"/>
      <c r="L273" s="118">
        <v>10766</v>
      </c>
      <c r="M273" s="118">
        <v>0</v>
      </c>
      <c r="N273" s="118">
        <v>0</v>
      </c>
    </row>
    <row r="274" spans="2:14" x14ac:dyDescent="0.2">
      <c r="B274" s="130" t="s">
        <v>393</v>
      </c>
      <c r="C274" s="118" t="s">
        <v>1349</v>
      </c>
      <c r="D274" s="118" t="s">
        <v>1349</v>
      </c>
      <c r="E274" s="118">
        <v>11366</v>
      </c>
      <c r="F274" s="118">
        <v>0</v>
      </c>
      <c r="G274" s="118">
        <v>0</v>
      </c>
      <c r="I274" s="130" t="str">
        <f t="shared" si="22"/>
        <v>Accounts payable - subsidiary acquisition</v>
      </c>
      <c r="J274" s="118"/>
      <c r="K274" s="118"/>
      <c r="L274" s="118">
        <v>0</v>
      </c>
      <c r="M274" s="118">
        <v>0</v>
      </c>
      <c r="N274" s="118">
        <v>0</v>
      </c>
    </row>
    <row r="275" spans="2:14" x14ac:dyDescent="0.2">
      <c r="B275" s="130" t="s">
        <v>396</v>
      </c>
      <c r="C275" s="118" t="s">
        <v>1349</v>
      </c>
      <c r="D275" s="118" t="s">
        <v>1349</v>
      </c>
      <c r="E275" s="118">
        <v>0</v>
      </c>
      <c r="F275" s="118">
        <v>0</v>
      </c>
      <c r="G275" s="118">
        <v>0</v>
      </c>
      <c r="I275" s="130" t="str">
        <f t="shared" si="22"/>
        <v>Insurance and rental payable</v>
      </c>
      <c r="J275" s="118"/>
      <c r="K275" s="118"/>
      <c r="L275" s="118">
        <v>0</v>
      </c>
      <c r="M275" s="118">
        <v>0</v>
      </c>
      <c r="N275" s="118">
        <v>0</v>
      </c>
    </row>
    <row r="276" spans="2:14" x14ac:dyDescent="0.2">
      <c r="B276" s="127" t="s">
        <v>801</v>
      </c>
      <c r="C276" s="208" t="s">
        <v>1349</v>
      </c>
      <c r="D276" s="208" t="s">
        <v>1349</v>
      </c>
      <c r="E276" s="120">
        <f>SUM(E270:E275)</f>
        <v>204863</v>
      </c>
      <c r="F276" s="120">
        <f>SUM(F270:F275)</f>
        <v>117580</v>
      </c>
      <c r="G276" s="120">
        <f>SUM(G270:G275)</f>
        <v>96686</v>
      </c>
      <c r="I276" s="127" t="str">
        <f t="shared" si="22"/>
        <v>On March, 2016</v>
      </c>
      <c r="J276" s="120"/>
      <c r="K276" s="120"/>
      <c r="L276" s="120">
        <f>SUM(L270:L275)</f>
        <v>167755</v>
      </c>
      <c r="M276" s="120">
        <f>SUM(M270:M275)</f>
        <v>117580</v>
      </c>
      <c r="N276" s="120">
        <f>SUM(N270:N275)</f>
        <v>96686</v>
      </c>
    </row>
    <row r="277" spans="2:14" x14ac:dyDescent="0.2">
      <c r="B277" s="130" t="s">
        <v>395</v>
      </c>
      <c r="C277" s="118" t="s">
        <v>1349</v>
      </c>
      <c r="D277" s="118" t="s">
        <v>1349</v>
      </c>
      <c r="E277" s="118">
        <v>1295</v>
      </c>
      <c r="F277" s="118">
        <v>1047</v>
      </c>
      <c r="G277" s="118">
        <v>134</v>
      </c>
      <c r="I277" s="130" t="str">
        <f t="shared" si="22"/>
        <v>Loans and financings</v>
      </c>
      <c r="J277" s="118"/>
      <c r="K277" s="118"/>
      <c r="L277" s="118">
        <v>1295</v>
      </c>
      <c r="M277" s="118">
        <v>1047</v>
      </c>
      <c r="N277" s="118">
        <v>134</v>
      </c>
    </row>
    <row r="278" spans="2:14" x14ac:dyDescent="0.2">
      <c r="B278" s="130" t="s">
        <v>392</v>
      </c>
      <c r="C278" s="118" t="s">
        <v>1349</v>
      </c>
      <c r="D278" s="118" t="s">
        <v>1349</v>
      </c>
      <c r="E278" s="118">
        <v>81814</v>
      </c>
      <c r="F278" s="118">
        <v>116655</v>
      </c>
      <c r="G278" s="118">
        <v>163352</v>
      </c>
      <c r="I278" s="130" t="str">
        <f t="shared" si="22"/>
        <v>Debentures</v>
      </c>
      <c r="J278" s="118"/>
      <c r="K278" s="118"/>
      <c r="L278" s="118">
        <v>81814</v>
      </c>
      <c r="M278" s="118">
        <v>116655</v>
      </c>
      <c r="N278" s="118">
        <v>163352</v>
      </c>
    </row>
    <row r="279" spans="2:14" x14ac:dyDescent="0.2">
      <c r="B279" s="130" t="s">
        <v>296</v>
      </c>
      <c r="C279" s="118" t="s">
        <v>1349</v>
      </c>
      <c r="D279" s="118" t="s">
        <v>1349</v>
      </c>
      <c r="E279" s="118">
        <v>45404</v>
      </c>
      <c r="F279" s="118">
        <v>0</v>
      </c>
      <c r="G279" s="118">
        <v>0</v>
      </c>
      <c r="I279" s="130" t="str">
        <f t="shared" si="22"/>
        <v>Trade accounts and freight payable</v>
      </c>
      <c r="J279" s="118"/>
      <c r="K279" s="118"/>
      <c r="L279" s="118">
        <v>39617</v>
      </c>
      <c r="M279" s="118">
        <v>0</v>
      </c>
      <c r="N279" s="118">
        <v>0</v>
      </c>
    </row>
    <row r="280" spans="2:14" x14ac:dyDescent="0.2">
      <c r="B280" s="130" t="s">
        <v>194</v>
      </c>
      <c r="C280" s="118" t="s">
        <v>1349</v>
      </c>
      <c r="D280" s="118" t="s">
        <v>1349</v>
      </c>
      <c r="E280" s="118">
        <v>30643</v>
      </c>
      <c r="F280" s="118">
        <v>0</v>
      </c>
      <c r="G280" s="118">
        <v>0</v>
      </c>
      <c r="I280" s="130" t="str">
        <f t="shared" si="22"/>
        <v>Other accounts payable</v>
      </c>
      <c r="J280" s="118"/>
      <c r="K280" s="118"/>
      <c r="L280" s="118">
        <v>12692</v>
      </c>
      <c r="M280" s="118">
        <v>0</v>
      </c>
      <c r="N280" s="118">
        <v>0</v>
      </c>
    </row>
    <row r="281" spans="2:14" x14ac:dyDescent="0.2">
      <c r="B281" s="130" t="s">
        <v>393</v>
      </c>
      <c r="C281" s="118" t="s">
        <v>1349</v>
      </c>
      <c r="D281" s="118" t="s">
        <v>1349</v>
      </c>
      <c r="E281" s="118">
        <v>0</v>
      </c>
      <c r="F281" s="118">
        <v>11008</v>
      </c>
      <c r="G281" s="118">
        <v>0</v>
      </c>
      <c r="I281" s="130" t="str">
        <f t="shared" si="22"/>
        <v>Accounts payable - subsidiary acquisition</v>
      </c>
      <c r="J281" s="118"/>
      <c r="K281" s="118"/>
      <c r="L281" s="118">
        <v>0</v>
      </c>
      <c r="M281" s="118">
        <v>0</v>
      </c>
      <c r="N281" s="118">
        <v>0</v>
      </c>
    </row>
    <row r="282" spans="2:14" x14ac:dyDescent="0.2">
      <c r="B282" s="130" t="s">
        <v>396</v>
      </c>
      <c r="C282" s="118" t="s">
        <v>1349</v>
      </c>
      <c r="D282" s="118" t="s">
        <v>1349</v>
      </c>
      <c r="E282" s="118">
        <v>0</v>
      </c>
      <c r="F282" s="118">
        <v>0</v>
      </c>
      <c r="G282" s="118">
        <v>0</v>
      </c>
      <c r="I282" s="130" t="str">
        <f t="shared" si="22"/>
        <v>Insurance and rental payable</v>
      </c>
      <c r="J282" s="118"/>
      <c r="K282" s="118"/>
      <c r="L282" s="118">
        <v>0</v>
      </c>
      <c r="M282" s="118">
        <v>0</v>
      </c>
      <c r="N282" s="118">
        <v>0</v>
      </c>
    </row>
    <row r="283" spans="2:14" x14ac:dyDescent="0.2">
      <c r="B283" s="127" t="s">
        <v>802</v>
      </c>
      <c r="C283" s="208" t="s">
        <v>1349</v>
      </c>
      <c r="D283" s="208" t="s">
        <v>1349</v>
      </c>
      <c r="E283" s="120">
        <f>SUM(E277:E282)</f>
        <v>159156</v>
      </c>
      <c r="F283" s="120">
        <f>SUM(F277:F282)</f>
        <v>128710</v>
      </c>
      <c r="G283" s="120">
        <f>SUM(G277:G282)</f>
        <v>163486</v>
      </c>
      <c r="I283" s="127" t="str">
        <f t="shared" si="22"/>
        <v>On December 2015</v>
      </c>
      <c r="J283" s="120"/>
      <c r="K283" s="120"/>
      <c r="L283" s="120">
        <f>SUM(L277:L282)</f>
        <v>135418</v>
      </c>
      <c r="M283" s="120">
        <f>SUM(M277:M282)</f>
        <v>117702</v>
      </c>
      <c r="N283" s="120">
        <f>SUM(N277:N282)</f>
        <v>163486</v>
      </c>
    </row>
    <row r="284" spans="2:14" x14ac:dyDescent="0.2">
      <c r="B284" s="130" t="s">
        <v>395</v>
      </c>
      <c r="C284" s="118" t="s">
        <v>1349</v>
      </c>
      <c r="D284" s="118" t="s">
        <v>1349</v>
      </c>
      <c r="E284" s="118">
        <v>1694</v>
      </c>
      <c r="F284" s="118">
        <v>1126</v>
      </c>
      <c r="G284" s="118">
        <v>396</v>
      </c>
      <c r="I284" s="130" t="str">
        <f t="shared" si="22"/>
        <v>Loans and financings</v>
      </c>
      <c r="J284" s="118"/>
      <c r="K284" s="118"/>
      <c r="L284" s="118">
        <v>1295</v>
      </c>
      <c r="M284" s="118">
        <v>1047</v>
      </c>
      <c r="N284" s="118">
        <v>134</v>
      </c>
    </row>
    <row r="285" spans="2:14" x14ac:dyDescent="0.2">
      <c r="B285" s="130" t="s">
        <v>392</v>
      </c>
      <c r="C285" s="118" t="s">
        <v>1349</v>
      </c>
      <c r="D285" s="118" t="s">
        <v>1349</v>
      </c>
      <c r="E285" s="118">
        <v>30338</v>
      </c>
      <c r="F285" s="118">
        <v>116655</v>
      </c>
      <c r="G285" s="118">
        <v>213347</v>
      </c>
      <c r="I285" s="130" t="str">
        <f t="shared" ref="I285:I341" si="23">B285</f>
        <v>Debentures</v>
      </c>
      <c r="J285" s="118"/>
      <c r="K285" s="118"/>
      <c r="L285" s="118">
        <v>81814</v>
      </c>
      <c r="M285" s="118">
        <v>116655</v>
      </c>
      <c r="N285" s="118">
        <v>163352</v>
      </c>
    </row>
    <row r="286" spans="2:14" x14ac:dyDescent="0.2">
      <c r="B286" s="130" t="s">
        <v>296</v>
      </c>
      <c r="C286" s="118" t="s">
        <v>1349</v>
      </c>
      <c r="D286" s="118" t="s">
        <v>1349</v>
      </c>
      <c r="E286" s="118">
        <v>39489</v>
      </c>
      <c r="F286" s="118">
        <v>0</v>
      </c>
      <c r="G286" s="118">
        <v>0</v>
      </c>
      <c r="I286" s="130" t="str">
        <f t="shared" si="23"/>
        <v>Trade accounts and freight payable</v>
      </c>
      <c r="J286" s="118"/>
      <c r="K286" s="118"/>
      <c r="L286" s="118">
        <v>39617</v>
      </c>
      <c r="M286" s="118">
        <v>0</v>
      </c>
      <c r="N286" s="118">
        <v>0</v>
      </c>
    </row>
    <row r="287" spans="2:14" x14ac:dyDescent="0.2">
      <c r="B287" s="130" t="s">
        <v>194</v>
      </c>
      <c r="C287" s="118" t="s">
        <v>1349</v>
      </c>
      <c r="D287" s="118" t="s">
        <v>1349</v>
      </c>
      <c r="E287" s="118">
        <v>18667</v>
      </c>
      <c r="F287" s="118">
        <v>0</v>
      </c>
      <c r="G287" s="118">
        <v>0</v>
      </c>
      <c r="I287" s="130" t="str">
        <f t="shared" si="23"/>
        <v>Other accounts payable</v>
      </c>
      <c r="J287" s="118"/>
      <c r="K287" s="118"/>
      <c r="L287" s="118">
        <v>12692</v>
      </c>
      <c r="M287" s="118">
        <v>0</v>
      </c>
      <c r="N287" s="118">
        <v>0</v>
      </c>
    </row>
    <row r="288" spans="2:14" x14ac:dyDescent="0.2">
      <c r="B288" s="130" t="s">
        <v>393</v>
      </c>
      <c r="C288" s="118" t="s">
        <v>1349</v>
      </c>
      <c r="D288" s="118" t="s">
        <v>1349</v>
      </c>
      <c r="E288" s="118">
        <v>0</v>
      </c>
      <c r="F288" s="118">
        <v>10650</v>
      </c>
      <c r="G288" s="118">
        <v>0</v>
      </c>
      <c r="I288" s="130" t="str">
        <f t="shared" si="23"/>
        <v>Accounts payable - subsidiary acquisition</v>
      </c>
      <c r="J288" s="118"/>
      <c r="K288" s="118"/>
      <c r="L288" s="118">
        <v>0</v>
      </c>
      <c r="M288" s="118" t="s">
        <v>47</v>
      </c>
      <c r="N288" s="118">
        <v>0</v>
      </c>
    </row>
    <row r="289" spans="2:14" x14ac:dyDescent="0.2">
      <c r="B289" s="130" t="s">
        <v>396</v>
      </c>
      <c r="C289" s="118" t="s">
        <v>1349</v>
      </c>
      <c r="D289" s="118" t="s">
        <v>1349</v>
      </c>
      <c r="E289" s="118">
        <v>2167</v>
      </c>
      <c r="F289" s="118">
        <v>0</v>
      </c>
      <c r="G289" s="118">
        <v>0</v>
      </c>
      <c r="I289" s="130" t="str">
        <f t="shared" si="23"/>
        <v>Insurance and rental payable</v>
      </c>
      <c r="J289" s="118"/>
      <c r="K289" s="118"/>
      <c r="L289" s="118">
        <v>0</v>
      </c>
      <c r="M289" s="118">
        <v>0</v>
      </c>
      <c r="N289" s="118">
        <v>0</v>
      </c>
    </row>
    <row r="290" spans="2:14" x14ac:dyDescent="0.2">
      <c r="B290" s="127" t="s">
        <v>803</v>
      </c>
      <c r="C290" s="208" t="s">
        <v>1349</v>
      </c>
      <c r="D290" s="208" t="s">
        <v>1349</v>
      </c>
      <c r="E290" s="120">
        <f>SUM(E284:E289)</f>
        <v>92355</v>
      </c>
      <c r="F290" s="120">
        <f>SUM(F284:F289)</f>
        <v>128431</v>
      </c>
      <c r="G290" s="120">
        <f>SUM(G284:G289)</f>
        <v>213743</v>
      </c>
      <c r="I290" s="127" t="str">
        <f t="shared" si="23"/>
        <v>On September, 2015</v>
      </c>
      <c r="J290" s="120"/>
      <c r="K290" s="120"/>
      <c r="L290" s="120">
        <f>SUM(L284:L289)</f>
        <v>135418</v>
      </c>
      <c r="M290" s="120">
        <f>SUM(M284:M289)</f>
        <v>117702</v>
      </c>
      <c r="N290" s="120">
        <f>SUM(N284:N289)</f>
        <v>163486</v>
      </c>
    </row>
    <row r="291" spans="2:14" x14ac:dyDescent="0.2">
      <c r="B291" s="130" t="s">
        <v>395</v>
      </c>
      <c r="C291" s="118" t="s">
        <v>1349</v>
      </c>
      <c r="D291" s="118" t="s">
        <v>1349</v>
      </c>
      <c r="E291" s="118">
        <v>1949</v>
      </c>
      <c r="F291" s="118">
        <v>1119</v>
      </c>
      <c r="G291" s="118">
        <v>919</v>
      </c>
      <c r="I291" s="130" t="str">
        <f t="shared" si="23"/>
        <v>Loans and financings</v>
      </c>
      <c r="J291" s="118"/>
      <c r="K291" s="118"/>
      <c r="L291" s="118">
        <v>1949</v>
      </c>
      <c r="M291" s="118">
        <v>1119</v>
      </c>
      <c r="N291" s="118">
        <v>919</v>
      </c>
    </row>
    <row r="292" spans="2:14" x14ac:dyDescent="0.2">
      <c r="B292" s="130" t="s">
        <v>392</v>
      </c>
      <c r="C292" s="118" t="s">
        <v>1349</v>
      </c>
      <c r="D292" s="118" t="s">
        <v>1349</v>
      </c>
      <c r="E292" s="118">
        <v>30485</v>
      </c>
      <c r="F292" s="118">
        <v>116655</v>
      </c>
      <c r="G292" s="118">
        <v>213347</v>
      </c>
      <c r="I292" s="130" t="str">
        <f t="shared" si="23"/>
        <v>Debentures</v>
      </c>
      <c r="J292" s="118"/>
      <c r="K292" s="118"/>
      <c r="L292" s="118">
        <v>30485</v>
      </c>
      <c r="M292" s="118">
        <v>116655</v>
      </c>
      <c r="N292" s="118">
        <v>213347</v>
      </c>
    </row>
    <row r="293" spans="2:14" x14ac:dyDescent="0.2">
      <c r="B293" s="130" t="s">
        <v>296</v>
      </c>
      <c r="C293" s="118" t="s">
        <v>1349</v>
      </c>
      <c r="D293" s="118" t="s">
        <v>1349</v>
      </c>
      <c r="E293" s="118">
        <v>39196</v>
      </c>
      <c r="F293" s="118">
        <v>0</v>
      </c>
      <c r="G293" s="118">
        <v>0</v>
      </c>
      <c r="I293" s="130" t="str">
        <f t="shared" si="23"/>
        <v>Trade accounts and freight payable</v>
      </c>
      <c r="J293" s="118"/>
      <c r="K293" s="118"/>
      <c r="L293" s="118">
        <v>33210</v>
      </c>
      <c r="M293" s="118">
        <v>0</v>
      </c>
      <c r="N293" s="118">
        <v>0</v>
      </c>
    </row>
    <row r="294" spans="2:14" x14ac:dyDescent="0.2">
      <c r="B294" s="130" t="s">
        <v>194</v>
      </c>
      <c r="C294" s="118" t="s">
        <v>1349</v>
      </c>
      <c r="D294" s="118" t="s">
        <v>1349</v>
      </c>
      <c r="E294" s="118">
        <v>25575</v>
      </c>
      <c r="F294" s="118">
        <v>0</v>
      </c>
      <c r="G294" s="118">
        <v>0</v>
      </c>
      <c r="I294" s="130" t="str">
        <f t="shared" si="23"/>
        <v>Other accounts payable</v>
      </c>
      <c r="J294" s="118"/>
      <c r="K294" s="118"/>
      <c r="L294" s="118">
        <v>8525</v>
      </c>
      <c r="M294" s="118">
        <v>0</v>
      </c>
      <c r="N294" s="118">
        <v>0</v>
      </c>
    </row>
    <row r="295" spans="2:14" x14ac:dyDescent="0.2">
      <c r="B295" s="130" t="s">
        <v>804</v>
      </c>
      <c r="C295" s="118" t="s">
        <v>1349</v>
      </c>
      <c r="D295" s="118" t="s">
        <v>1349</v>
      </c>
      <c r="E295" s="118">
        <v>0</v>
      </c>
      <c r="F295" s="118">
        <v>10283</v>
      </c>
      <c r="G295" s="118">
        <v>0</v>
      </c>
      <c r="I295" s="130" t="str">
        <f t="shared" si="23"/>
        <v>Accounts payable - floOning price</v>
      </c>
      <c r="J295" s="118"/>
      <c r="K295" s="118"/>
      <c r="L295" s="118">
        <v>0</v>
      </c>
      <c r="M295" s="118">
        <v>0</v>
      </c>
      <c r="N295" s="118">
        <v>0</v>
      </c>
    </row>
    <row r="296" spans="2:14" x14ac:dyDescent="0.2">
      <c r="B296" s="130" t="s">
        <v>396</v>
      </c>
      <c r="C296" s="118" t="s">
        <v>1349</v>
      </c>
      <c r="D296" s="118" t="s">
        <v>1349</v>
      </c>
      <c r="E296" s="118">
        <v>3474</v>
      </c>
      <c r="F296" s="118">
        <v>0</v>
      </c>
      <c r="G296" s="118">
        <v>0</v>
      </c>
      <c r="I296" s="130" t="str">
        <f t="shared" si="23"/>
        <v>Insurance and rental payable</v>
      </c>
      <c r="J296" s="118"/>
      <c r="K296" s="118"/>
      <c r="L296" s="118">
        <v>3349</v>
      </c>
      <c r="M296" s="118">
        <v>0</v>
      </c>
      <c r="N296" s="118">
        <v>0</v>
      </c>
    </row>
    <row r="297" spans="2:14" x14ac:dyDescent="0.2">
      <c r="B297" s="127" t="s">
        <v>805</v>
      </c>
      <c r="C297" s="208" t="s">
        <v>1349</v>
      </c>
      <c r="D297" s="208" t="s">
        <v>1349</v>
      </c>
      <c r="E297" s="120">
        <f>SUM(E291:E296)</f>
        <v>100679</v>
      </c>
      <c r="F297" s="120">
        <f>SUM(F291:F296)</f>
        <v>128057</v>
      </c>
      <c r="G297" s="120">
        <f>SUM(G291:G296)</f>
        <v>214266</v>
      </c>
      <c r="I297" s="127" t="str">
        <f t="shared" si="23"/>
        <v>On June, 2015</v>
      </c>
      <c r="J297" s="120"/>
      <c r="K297" s="120"/>
      <c r="L297" s="120">
        <f>SUM(L291:L296)</f>
        <v>77518</v>
      </c>
      <c r="M297" s="120">
        <f>SUM(M291:M296)</f>
        <v>117774</v>
      </c>
      <c r="N297" s="120">
        <f>SUM(N291:N296)</f>
        <v>214266</v>
      </c>
    </row>
    <row r="298" spans="2:14" x14ac:dyDescent="0.2">
      <c r="B298" s="130" t="s">
        <v>395</v>
      </c>
      <c r="C298" s="118" t="s">
        <v>1349</v>
      </c>
      <c r="D298" s="118" t="s">
        <v>1349</v>
      </c>
      <c r="E298" s="118">
        <v>100937</v>
      </c>
      <c r="F298" s="118">
        <v>78902</v>
      </c>
      <c r="G298" s="118">
        <v>925</v>
      </c>
      <c r="I298" s="130" t="str">
        <f t="shared" si="23"/>
        <v>Loans and financings</v>
      </c>
      <c r="J298" s="118"/>
      <c r="K298" s="118"/>
      <c r="L298" s="118">
        <v>100937</v>
      </c>
      <c r="M298" s="118">
        <v>78902</v>
      </c>
      <c r="N298" s="118">
        <v>925</v>
      </c>
    </row>
    <row r="299" spans="2:14" x14ac:dyDescent="0.2">
      <c r="B299" s="130" t="s">
        <v>392</v>
      </c>
      <c r="C299" s="118" t="s">
        <v>1349</v>
      </c>
      <c r="D299" s="118" t="s">
        <v>1349</v>
      </c>
      <c r="E299" s="118">
        <v>28643</v>
      </c>
      <c r="F299" s="118">
        <v>116655</v>
      </c>
      <c r="G299" s="118">
        <v>213347</v>
      </c>
      <c r="I299" s="130" t="str">
        <f t="shared" si="23"/>
        <v>Debentures</v>
      </c>
      <c r="J299" s="118"/>
      <c r="K299" s="118"/>
      <c r="L299" s="118">
        <v>28643</v>
      </c>
      <c r="M299" s="118">
        <v>116655</v>
      </c>
      <c r="N299" s="118">
        <v>213347</v>
      </c>
    </row>
    <row r="300" spans="2:14" x14ac:dyDescent="0.2">
      <c r="B300" s="130" t="s">
        <v>296</v>
      </c>
      <c r="C300" s="118" t="s">
        <v>1349</v>
      </c>
      <c r="D300" s="118" t="s">
        <v>1349</v>
      </c>
      <c r="E300" s="118">
        <v>48471</v>
      </c>
      <c r="F300" s="118">
        <v>0</v>
      </c>
      <c r="G300" s="118">
        <v>0</v>
      </c>
      <c r="I300" s="130" t="str">
        <f t="shared" si="23"/>
        <v>Trade accounts and freight payable</v>
      </c>
      <c r="J300" s="118"/>
      <c r="K300" s="118"/>
      <c r="L300" s="118">
        <v>42184</v>
      </c>
      <c r="M300" s="118">
        <v>0</v>
      </c>
      <c r="N300" s="118">
        <v>0</v>
      </c>
    </row>
    <row r="301" spans="2:14" x14ac:dyDescent="0.2">
      <c r="B301" s="130" t="s">
        <v>194</v>
      </c>
      <c r="C301" s="118" t="s">
        <v>1349</v>
      </c>
      <c r="D301" s="118" t="s">
        <v>1349</v>
      </c>
      <c r="E301" s="118">
        <v>22014</v>
      </c>
      <c r="F301" s="118">
        <v>0</v>
      </c>
      <c r="G301" s="118">
        <v>0</v>
      </c>
      <c r="I301" s="130" t="str">
        <f t="shared" si="23"/>
        <v>Other accounts payable</v>
      </c>
      <c r="J301" s="118"/>
      <c r="K301" s="118"/>
      <c r="L301" s="118">
        <v>15086</v>
      </c>
      <c r="M301" s="118">
        <v>0</v>
      </c>
      <c r="N301" s="118">
        <v>0</v>
      </c>
    </row>
    <row r="302" spans="2:14" x14ac:dyDescent="0.2">
      <c r="B302" s="130" t="s">
        <v>804</v>
      </c>
      <c r="C302" s="118" t="s">
        <v>1349</v>
      </c>
      <c r="D302" s="118" t="s">
        <v>1349</v>
      </c>
      <c r="E302" s="118">
        <v>0</v>
      </c>
      <c r="F302" s="118">
        <v>9981</v>
      </c>
      <c r="G302" s="118">
        <v>0</v>
      </c>
      <c r="I302" s="130" t="str">
        <f t="shared" si="23"/>
        <v>Accounts payable - floOning price</v>
      </c>
      <c r="J302" s="118"/>
      <c r="K302" s="118"/>
      <c r="L302" s="118">
        <v>0</v>
      </c>
      <c r="M302" s="118">
        <v>0</v>
      </c>
      <c r="N302" s="118">
        <v>0</v>
      </c>
    </row>
    <row r="303" spans="2:14" x14ac:dyDescent="0.2">
      <c r="B303" s="130" t="s">
        <v>396</v>
      </c>
      <c r="C303" s="118" t="s">
        <v>1349</v>
      </c>
      <c r="D303" s="118" t="s">
        <v>1349</v>
      </c>
      <c r="E303" s="118">
        <v>3753</v>
      </c>
      <c r="F303" s="118">
        <v>0</v>
      </c>
      <c r="G303" s="118">
        <v>0</v>
      </c>
      <c r="I303" s="130" t="str">
        <f t="shared" si="23"/>
        <v>Insurance and rental payable</v>
      </c>
      <c r="J303" s="118"/>
      <c r="K303" s="118"/>
      <c r="L303" s="118">
        <v>4181</v>
      </c>
      <c r="M303" s="118">
        <v>0</v>
      </c>
      <c r="N303" s="118">
        <v>0</v>
      </c>
    </row>
    <row r="304" spans="2:14" x14ac:dyDescent="0.2">
      <c r="B304" s="127" t="s">
        <v>806</v>
      </c>
      <c r="C304" s="208" t="s">
        <v>1349</v>
      </c>
      <c r="D304" s="208" t="s">
        <v>1349</v>
      </c>
      <c r="E304" s="120">
        <f>SUM(E298:E303)</f>
        <v>203818</v>
      </c>
      <c r="F304" s="120">
        <f>SUM(F298:F303)</f>
        <v>205538</v>
      </c>
      <c r="G304" s="120">
        <f>SUM(G298:G303)</f>
        <v>214272</v>
      </c>
      <c r="I304" s="127" t="str">
        <f t="shared" si="23"/>
        <v>On March, 2015</v>
      </c>
      <c r="J304" s="120"/>
      <c r="K304" s="120"/>
      <c r="L304" s="120">
        <f>SUM(L298:L303)</f>
        <v>191031</v>
      </c>
      <c r="M304" s="120">
        <f>SUM(M298:M303)</f>
        <v>195557</v>
      </c>
      <c r="N304" s="120">
        <f>SUM(N298:N303)</f>
        <v>214272</v>
      </c>
    </row>
    <row r="305" spans="2:14" x14ac:dyDescent="0.2">
      <c r="B305" s="130" t="s">
        <v>395</v>
      </c>
      <c r="C305" s="118" t="s">
        <v>1349</v>
      </c>
      <c r="D305" s="118" t="s">
        <v>1349</v>
      </c>
      <c r="E305" s="118">
        <v>25980</v>
      </c>
      <c r="F305" s="118">
        <v>122336</v>
      </c>
      <c r="G305" s="118">
        <v>1241</v>
      </c>
      <c r="I305" s="130" t="str">
        <f t="shared" si="23"/>
        <v>Loans and financings</v>
      </c>
      <c r="J305" s="118"/>
      <c r="K305" s="118"/>
      <c r="L305" s="118">
        <v>25980</v>
      </c>
      <c r="M305" s="118">
        <v>122336</v>
      </c>
      <c r="N305" s="118">
        <v>1241</v>
      </c>
    </row>
    <row r="306" spans="2:14" x14ac:dyDescent="0.2">
      <c r="B306" s="130" t="s">
        <v>392</v>
      </c>
      <c r="C306" s="118" t="s">
        <v>1349</v>
      </c>
      <c r="D306" s="118" t="s">
        <v>1349</v>
      </c>
      <c r="E306" s="118">
        <v>9798</v>
      </c>
      <c r="F306" s="118">
        <v>116667</v>
      </c>
      <c r="G306" s="118">
        <v>233333</v>
      </c>
      <c r="I306" s="130" t="str">
        <f t="shared" si="23"/>
        <v>Debentures</v>
      </c>
      <c r="J306" s="118"/>
      <c r="K306" s="118"/>
      <c r="L306" s="118">
        <v>9798</v>
      </c>
      <c r="M306" s="118">
        <v>116667</v>
      </c>
      <c r="N306" s="118">
        <v>233333</v>
      </c>
    </row>
    <row r="307" spans="2:14" x14ac:dyDescent="0.2">
      <c r="B307" s="130" t="s">
        <v>296</v>
      </c>
      <c r="C307" s="118" t="s">
        <v>1349</v>
      </c>
      <c r="D307" s="118" t="s">
        <v>1349</v>
      </c>
      <c r="E307" s="118">
        <v>51894</v>
      </c>
      <c r="F307" s="118">
        <v>0</v>
      </c>
      <c r="G307" s="118">
        <v>0</v>
      </c>
      <c r="I307" s="130" t="str">
        <f t="shared" si="23"/>
        <v>Trade accounts and freight payable</v>
      </c>
      <c r="J307" s="118"/>
      <c r="K307" s="118"/>
      <c r="L307" s="118">
        <v>47545</v>
      </c>
      <c r="M307" s="118">
        <v>0</v>
      </c>
      <c r="N307" s="118">
        <v>0</v>
      </c>
    </row>
    <row r="308" spans="2:14" x14ac:dyDescent="0.2">
      <c r="B308" s="130" t="s">
        <v>194</v>
      </c>
      <c r="C308" s="118" t="s">
        <v>1349</v>
      </c>
      <c r="D308" s="118" t="s">
        <v>1349</v>
      </c>
      <c r="E308" s="118">
        <v>31656</v>
      </c>
      <c r="F308" s="118">
        <v>0</v>
      </c>
      <c r="G308" s="118">
        <v>0</v>
      </c>
      <c r="I308" s="130" t="str">
        <f t="shared" si="23"/>
        <v>Other accounts payable</v>
      </c>
      <c r="J308" s="118"/>
      <c r="K308" s="118"/>
      <c r="L308" s="118">
        <v>25167</v>
      </c>
      <c r="M308" s="118">
        <v>0</v>
      </c>
      <c r="N308" s="118">
        <v>0</v>
      </c>
    </row>
    <row r="309" spans="2:14" x14ac:dyDescent="0.2">
      <c r="B309" s="130" t="s">
        <v>804</v>
      </c>
      <c r="C309" s="118" t="s">
        <v>1349</v>
      </c>
      <c r="D309" s="118" t="s">
        <v>1349</v>
      </c>
      <c r="E309" s="118">
        <v>0</v>
      </c>
      <c r="F309" s="118">
        <v>9709</v>
      </c>
      <c r="G309" s="118">
        <v>0</v>
      </c>
      <c r="I309" s="130" t="str">
        <f t="shared" si="23"/>
        <v>Accounts payable - floOning price</v>
      </c>
      <c r="J309" s="118"/>
      <c r="K309" s="118"/>
      <c r="L309" s="118">
        <v>0</v>
      </c>
      <c r="M309" s="118">
        <v>0</v>
      </c>
      <c r="N309" s="118">
        <v>0</v>
      </c>
    </row>
    <row r="310" spans="2:14" x14ac:dyDescent="0.2">
      <c r="B310" s="130" t="s">
        <v>396</v>
      </c>
      <c r="C310" s="118" t="s">
        <v>1349</v>
      </c>
      <c r="D310" s="118" t="s">
        <v>1349</v>
      </c>
      <c r="E310" s="118">
        <v>4673</v>
      </c>
      <c r="F310" s="118">
        <v>0</v>
      </c>
      <c r="G310" s="118">
        <v>0</v>
      </c>
      <c r="I310" s="130" t="str">
        <f t="shared" si="23"/>
        <v>Insurance and rental payable</v>
      </c>
      <c r="J310" s="118"/>
      <c r="K310" s="118"/>
      <c r="L310" s="118">
        <v>4576</v>
      </c>
      <c r="M310" s="118">
        <v>0</v>
      </c>
      <c r="N310" s="118">
        <v>0</v>
      </c>
    </row>
    <row r="311" spans="2:14" x14ac:dyDescent="0.2">
      <c r="B311" s="127" t="s">
        <v>807</v>
      </c>
      <c r="C311" s="208" t="s">
        <v>1349</v>
      </c>
      <c r="D311" s="208" t="s">
        <v>1349</v>
      </c>
      <c r="E311" s="120">
        <f>SUM(E305:E310)</f>
        <v>124001</v>
      </c>
      <c r="F311" s="120">
        <f>SUM(F305:F310)</f>
        <v>248712</v>
      </c>
      <c r="G311" s="120">
        <f>SUM(G305:G310)</f>
        <v>234574</v>
      </c>
      <c r="I311" s="127" t="str">
        <f t="shared" si="23"/>
        <v>On December, 2014</v>
      </c>
      <c r="J311" s="120"/>
      <c r="K311" s="120"/>
      <c r="L311" s="120">
        <f>SUM(L305:L310)</f>
        <v>113066</v>
      </c>
      <c r="M311" s="120">
        <f>SUM(M305:M310)</f>
        <v>239003</v>
      </c>
      <c r="N311" s="120">
        <f>SUM(N305:N310)</f>
        <v>234574</v>
      </c>
    </row>
    <row r="312" spans="2:14" x14ac:dyDescent="0.2">
      <c r="B312" s="130" t="s">
        <v>395</v>
      </c>
      <c r="C312" s="118" t="s">
        <v>1349</v>
      </c>
      <c r="D312" s="118" t="s">
        <v>1349</v>
      </c>
      <c r="E312" s="118">
        <v>24323</v>
      </c>
      <c r="F312" s="118">
        <v>114332</v>
      </c>
      <c r="G312" s="118">
        <v>437</v>
      </c>
      <c r="I312" s="130" t="str">
        <f t="shared" si="23"/>
        <v>Loans and financings</v>
      </c>
      <c r="J312" s="118"/>
      <c r="K312" s="118"/>
      <c r="L312" s="118">
        <v>24323</v>
      </c>
      <c r="M312" s="118">
        <v>114332</v>
      </c>
      <c r="N312" s="118">
        <v>437</v>
      </c>
    </row>
    <row r="313" spans="2:14" x14ac:dyDescent="0.2">
      <c r="B313" s="130" t="s">
        <v>392</v>
      </c>
      <c r="C313" s="118" t="s">
        <v>1349</v>
      </c>
      <c r="D313" s="118" t="s">
        <v>1349</v>
      </c>
      <c r="E313" s="118">
        <v>8318</v>
      </c>
      <c r="F313" s="118">
        <v>57370</v>
      </c>
      <c r="G313" s="118">
        <v>292630</v>
      </c>
      <c r="I313" s="130" t="str">
        <f t="shared" si="23"/>
        <v>Debentures</v>
      </c>
      <c r="J313" s="118"/>
      <c r="K313" s="118"/>
      <c r="L313" s="118">
        <v>8318</v>
      </c>
      <c r="M313" s="118">
        <v>57370</v>
      </c>
      <c r="N313" s="118">
        <v>292630</v>
      </c>
    </row>
    <row r="314" spans="2:14" x14ac:dyDescent="0.2">
      <c r="B314" s="130" t="s">
        <v>296</v>
      </c>
      <c r="C314" s="118" t="s">
        <v>1349</v>
      </c>
      <c r="D314" s="118" t="s">
        <v>1349</v>
      </c>
      <c r="E314" s="118">
        <v>53006</v>
      </c>
      <c r="F314" s="118">
        <v>0</v>
      </c>
      <c r="G314" s="118">
        <v>0</v>
      </c>
      <c r="I314" s="130" t="str">
        <f t="shared" si="23"/>
        <v>Trade accounts and freight payable</v>
      </c>
      <c r="J314" s="118"/>
      <c r="K314" s="118"/>
      <c r="L314" s="118">
        <v>48126</v>
      </c>
      <c r="M314" s="118">
        <v>0</v>
      </c>
      <c r="N314" s="118">
        <v>0</v>
      </c>
    </row>
    <row r="315" spans="2:14" x14ac:dyDescent="0.2">
      <c r="B315" s="130" t="s">
        <v>194</v>
      </c>
      <c r="C315" s="118" t="s">
        <v>1349</v>
      </c>
      <c r="D315" s="118" t="s">
        <v>1349</v>
      </c>
      <c r="E315" s="118">
        <v>20672</v>
      </c>
      <c r="F315" s="118">
        <v>0</v>
      </c>
      <c r="G315" s="118">
        <v>0</v>
      </c>
      <c r="I315" s="130" t="str">
        <f t="shared" si="23"/>
        <v>Other accounts payable</v>
      </c>
      <c r="J315" s="118"/>
      <c r="K315" s="118"/>
      <c r="L315" s="118">
        <v>9344</v>
      </c>
      <c r="M315" s="118">
        <v>0</v>
      </c>
      <c r="N315" s="118">
        <v>0</v>
      </c>
    </row>
    <row r="316" spans="2:14" x14ac:dyDescent="0.2">
      <c r="B316" s="130" t="s">
        <v>804</v>
      </c>
      <c r="C316" s="118" t="s">
        <v>1349</v>
      </c>
      <c r="D316" s="118" t="s">
        <v>1349</v>
      </c>
      <c r="E316" s="118">
        <v>0</v>
      </c>
      <c r="F316" s="118">
        <v>9448</v>
      </c>
      <c r="G316" s="118">
        <v>0</v>
      </c>
      <c r="I316" s="130" t="str">
        <f t="shared" si="23"/>
        <v>Accounts payable - floOning price</v>
      </c>
      <c r="J316" s="118"/>
      <c r="K316" s="118"/>
      <c r="L316" s="118">
        <v>0</v>
      </c>
      <c r="M316" s="118">
        <v>0</v>
      </c>
      <c r="N316" s="118">
        <v>0</v>
      </c>
    </row>
    <row r="317" spans="2:14" x14ac:dyDescent="0.2">
      <c r="B317" s="130" t="s">
        <v>396</v>
      </c>
      <c r="C317" s="118" t="s">
        <v>1349</v>
      </c>
      <c r="D317" s="118" t="s">
        <v>1349</v>
      </c>
      <c r="E317" s="118">
        <v>5992</v>
      </c>
      <c r="F317" s="118">
        <v>0</v>
      </c>
      <c r="G317" s="118">
        <v>0</v>
      </c>
      <c r="I317" s="130" t="str">
        <f t="shared" si="23"/>
        <v>Insurance and rental payable</v>
      </c>
      <c r="J317" s="118"/>
      <c r="K317" s="118"/>
      <c r="L317" s="118">
        <v>4947</v>
      </c>
      <c r="M317" s="118">
        <v>0</v>
      </c>
      <c r="N317" s="118">
        <v>0</v>
      </c>
    </row>
    <row r="318" spans="2:14" x14ac:dyDescent="0.2">
      <c r="B318" s="127" t="s">
        <v>808</v>
      </c>
      <c r="C318" s="208" t="s">
        <v>1349</v>
      </c>
      <c r="D318" s="208" t="s">
        <v>1349</v>
      </c>
      <c r="E318" s="120">
        <f>SUM(E312:E317)</f>
        <v>112311</v>
      </c>
      <c r="F318" s="120">
        <f>SUM(F312:F317)</f>
        <v>181150</v>
      </c>
      <c r="G318" s="120">
        <f>SUM(G312:G317)</f>
        <v>293067</v>
      </c>
      <c r="I318" s="127" t="str">
        <f t="shared" si="23"/>
        <v>On September, 2014</v>
      </c>
      <c r="J318" s="120"/>
      <c r="K318" s="120"/>
      <c r="L318" s="120">
        <f>SUM(L312:L317)</f>
        <v>95058</v>
      </c>
      <c r="M318" s="120">
        <f>SUM(M312:M317)</f>
        <v>171702</v>
      </c>
      <c r="N318" s="120">
        <f>SUM(N312:N317)</f>
        <v>293067</v>
      </c>
    </row>
    <row r="319" spans="2:14" x14ac:dyDescent="0.2">
      <c r="B319" s="130" t="s">
        <v>395</v>
      </c>
      <c r="C319" s="118" t="s">
        <v>1349</v>
      </c>
      <c r="D319" s="118" t="s">
        <v>1349</v>
      </c>
      <c r="E319" s="118">
        <v>3909</v>
      </c>
      <c r="F319" s="118">
        <v>51250</v>
      </c>
      <c r="G319" s="118">
        <v>657</v>
      </c>
      <c r="I319" s="130" t="str">
        <f t="shared" si="23"/>
        <v>Loans and financings</v>
      </c>
      <c r="J319" s="118"/>
      <c r="K319" s="118"/>
      <c r="L319" s="118">
        <v>3909</v>
      </c>
      <c r="M319" s="118">
        <v>51250</v>
      </c>
      <c r="N319" s="118">
        <v>657</v>
      </c>
    </row>
    <row r="320" spans="2:14" x14ac:dyDescent="0.2">
      <c r="B320" s="130" t="s">
        <v>392</v>
      </c>
      <c r="C320" s="118" t="s">
        <v>1349</v>
      </c>
      <c r="D320" s="118" t="s">
        <v>1349</v>
      </c>
      <c r="E320" s="118">
        <v>8630</v>
      </c>
      <c r="F320" s="118">
        <v>57370</v>
      </c>
      <c r="G320" s="118">
        <v>292630</v>
      </c>
      <c r="I320" s="130" t="str">
        <f t="shared" si="23"/>
        <v>Debentures</v>
      </c>
      <c r="J320" s="118"/>
      <c r="K320" s="118"/>
      <c r="L320" s="118">
        <v>8630</v>
      </c>
      <c r="M320" s="118">
        <v>57370</v>
      </c>
      <c r="N320" s="118">
        <v>292630</v>
      </c>
    </row>
    <row r="321" spans="2:14" x14ac:dyDescent="0.2">
      <c r="B321" s="130" t="s">
        <v>296</v>
      </c>
      <c r="C321" s="118" t="s">
        <v>1349</v>
      </c>
      <c r="D321" s="118" t="s">
        <v>1349</v>
      </c>
      <c r="E321" s="118">
        <v>46278</v>
      </c>
      <c r="F321" s="118">
        <v>0</v>
      </c>
      <c r="G321" s="118">
        <v>0</v>
      </c>
      <c r="I321" s="130" t="str">
        <f t="shared" si="23"/>
        <v>Trade accounts and freight payable</v>
      </c>
      <c r="J321" s="118"/>
      <c r="K321" s="118"/>
      <c r="L321" s="118">
        <v>40697</v>
      </c>
      <c r="M321" s="118">
        <v>0</v>
      </c>
      <c r="N321" s="118">
        <v>0</v>
      </c>
    </row>
    <row r="322" spans="2:14" x14ac:dyDescent="0.2">
      <c r="B322" s="130" t="s">
        <v>194</v>
      </c>
      <c r="C322" s="118" t="s">
        <v>1349</v>
      </c>
      <c r="D322" s="118" t="s">
        <v>1349</v>
      </c>
      <c r="E322" s="118">
        <v>21772</v>
      </c>
      <c r="F322" s="118">
        <v>0</v>
      </c>
      <c r="G322" s="118">
        <v>0</v>
      </c>
      <c r="I322" s="130" t="str">
        <f t="shared" si="23"/>
        <v>Other accounts payable</v>
      </c>
      <c r="J322" s="118"/>
      <c r="K322" s="118"/>
      <c r="L322" s="118">
        <v>11235</v>
      </c>
      <c r="M322" s="118">
        <v>0</v>
      </c>
      <c r="N322" s="118">
        <v>0</v>
      </c>
    </row>
    <row r="323" spans="2:14" x14ac:dyDescent="0.2">
      <c r="B323" s="130" t="s">
        <v>804</v>
      </c>
      <c r="C323" s="118" t="s">
        <v>1349</v>
      </c>
      <c r="D323" s="118" t="s">
        <v>1349</v>
      </c>
      <c r="E323" s="118">
        <v>0</v>
      </c>
      <c r="F323" s="118">
        <v>9197</v>
      </c>
      <c r="G323" s="118">
        <v>0</v>
      </c>
      <c r="I323" s="130" t="str">
        <f t="shared" si="23"/>
        <v>Accounts payable - floOning price</v>
      </c>
      <c r="J323" s="118"/>
      <c r="K323" s="118"/>
      <c r="L323" s="118">
        <v>0</v>
      </c>
      <c r="M323" s="118">
        <v>0</v>
      </c>
      <c r="N323" s="118">
        <v>0</v>
      </c>
    </row>
    <row r="324" spans="2:14" x14ac:dyDescent="0.2">
      <c r="B324" s="130" t="s">
        <v>396</v>
      </c>
      <c r="C324" s="118" t="s">
        <v>1349</v>
      </c>
      <c r="D324" s="118" t="s">
        <v>1349</v>
      </c>
      <c r="E324" s="118">
        <v>6459</v>
      </c>
      <c r="F324" s="118">
        <v>0</v>
      </c>
      <c r="G324" s="118">
        <v>0</v>
      </c>
      <c r="I324" s="130" t="str">
        <f t="shared" si="23"/>
        <v>Insurance and rental payable</v>
      </c>
      <c r="J324" s="118"/>
      <c r="K324" s="118"/>
      <c r="L324" s="118">
        <v>6182</v>
      </c>
      <c r="M324" s="118">
        <v>0</v>
      </c>
      <c r="N324" s="118">
        <v>0</v>
      </c>
    </row>
    <row r="325" spans="2:14" x14ac:dyDescent="0.2">
      <c r="B325" s="130" t="s">
        <v>809</v>
      </c>
      <c r="C325" s="118" t="s">
        <v>1349</v>
      </c>
      <c r="D325" s="118" t="s">
        <v>1349</v>
      </c>
      <c r="E325" s="118">
        <v>1420</v>
      </c>
      <c r="F325" s="118">
        <v>0</v>
      </c>
      <c r="G325" s="118">
        <v>0</v>
      </c>
      <c r="I325" s="130" t="str">
        <f t="shared" si="23"/>
        <v>RelOned parties</v>
      </c>
      <c r="J325" s="118"/>
      <c r="K325" s="118"/>
      <c r="L325" s="118">
        <v>35</v>
      </c>
      <c r="M325" s="118">
        <v>0</v>
      </c>
      <c r="N325" s="118">
        <v>0</v>
      </c>
    </row>
    <row r="326" spans="2:14" x14ac:dyDescent="0.2">
      <c r="B326" s="127" t="s">
        <v>810</v>
      </c>
      <c r="C326" s="208" t="s">
        <v>1349</v>
      </c>
      <c r="D326" s="208" t="s">
        <v>1349</v>
      </c>
      <c r="E326" s="120">
        <f>SUM(E319:E325)</f>
        <v>88468</v>
      </c>
      <c r="F326" s="120">
        <f>SUM(F319:F325)</f>
        <v>117817</v>
      </c>
      <c r="G326" s="120">
        <f>SUM(G319:G325)</f>
        <v>293287</v>
      </c>
      <c r="I326" s="127" t="str">
        <f t="shared" si="23"/>
        <v>On June, 2014</v>
      </c>
      <c r="J326" s="120"/>
      <c r="K326" s="120"/>
      <c r="L326" s="120">
        <f>SUM(L319:L325)</f>
        <v>70688</v>
      </c>
      <c r="M326" s="120">
        <f>SUM(M319:M325)</f>
        <v>108620</v>
      </c>
      <c r="N326" s="120">
        <f>SUM(N319:N325)</f>
        <v>293287</v>
      </c>
    </row>
    <row r="327" spans="2:14" x14ac:dyDescent="0.2">
      <c r="B327" s="130" t="s">
        <v>395</v>
      </c>
      <c r="C327" s="118" t="s">
        <v>1349</v>
      </c>
      <c r="D327" s="118" t="s">
        <v>1349</v>
      </c>
      <c r="E327" s="118">
        <v>80949</v>
      </c>
      <c r="F327" s="118">
        <v>39811</v>
      </c>
      <c r="G327" s="118">
        <v>110154</v>
      </c>
      <c r="I327" s="130" t="str">
        <f t="shared" si="23"/>
        <v>Loans and financings</v>
      </c>
      <c r="J327" s="118"/>
      <c r="K327" s="118"/>
      <c r="L327" s="118">
        <v>3851</v>
      </c>
      <c r="M327" s="118">
        <v>52121</v>
      </c>
      <c r="N327" s="118">
        <v>2138</v>
      </c>
    </row>
    <row r="328" spans="2:14" x14ac:dyDescent="0.2">
      <c r="B328" s="130" t="s">
        <v>392</v>
      </c>
      <c r="C328" s="118" t="s">
        <v>1349</v>
      </c>
      <c r="D328" s="118" t="s">
        <v>1349</v>
      </c>
      <c r="E328" s="118">
        <v>0</v>
      </c>
      <c r="F328" s="118">
        <v>95021</v>
      </c>
      <c r="G328" s="118">
        <v>190042</v>
      </c>
      <c r="I328" s="130" t="str">
        <f t="shared" si="23"/>
        <v>Debentures</v>
      </c>
      <c r="J328" s="118"/>
      <c r="K328" s="118"/>
      <c r="L328" s="118">
        <v>0</v>
      </c>
      <c r="M328" s="118">
        <v>95021</v>
      </c>
      <c r="N328" s="118">
        <v>190042</v>
      </c>
    </row>
    <row r="329" spans="2:14" x14ac:dyDescent="0.2">
      <c r="B329" s="130" t="s">
        <v>296</v>
      </c>
      <c r="C329" s="118" t="s">
        <v>1349</v>
      </c>
      <c r="D329" s="118" t="s">
        <v>1349</v>
      </c>
      <c r="E329" s="118">
        <v>53213</v>
      </c>
      <c r="F329" s="118">
        <v>0</v>
      </c>
      <c r="G329" s="118">
        <v>0</v>
      </c>
      <c r="I329" s="130" t="str">
        <f t="shared" si="23"/>
        <v>Trade accounts and freight payable</v>
      </c>
      <c r="J329" s="118"/>
      <c r="K329" s="118"/>
      <c r="L329" s="118">
        <v>39443</v>
      </c>
      <c r="M329" s="118">
        <v>0</v>
      </c>
      <c r="N329" s="118">
        <v>0</v>
      </c>
    </row>
    <row r="330" spans="2:14" x14ac:dyDescent="0.2">
      <c r="B330" s="130" t="s">
        <v>194</v>
      </c>
      <c r="C330" s="118" t="s">
        <v>1349</v>
      </c>
      <c r="D330" s="118" t="s">
        <v>1349</v>
      </c>
      <c r="E330" s="118">
        <v>45861</v>
      </c>
      <c r="F330" s="118">
        <v>0</v>
      </c>
      <c r="G330" s="118">
        <v>0</v>
      </c>
      <c r="I330" s="130" t="str">
        <f t="shared" si="23"/>
        <v>Other accounts payable</v>
      </c>
      <c r="J330" s="118"/>
      <c r="K330" s="118"/>
      <c r="L330" s="118">
        <v>12028</v>
      </c>
      <c r="M330" s="118">
        <v>0</v>
      </c>
      <c r="N330" s="118">
        <v>0</v>
      </c>
    </row>
    <row r="331" spans="2:14" x14ac:dyDescent="0.2">
      <c r="B331" s="130" t="s">
        <v>804</v>
      </c>
      <c r="C331" s="118" t="s">
        <v>1349</v>
      </c>
      <c r="D331" s="118" t="s">
        <v>1349</v>
      </c>
      <c r="E331" s="118">
        <v>0</v>
      </c>
      <c r="F331" s="118">
        <v>8972</v>
      </c>
      <c r="G331" s="118">
        <v>0</v>
      </c>
      <c r="I331" s="130" t="str">
        <f t="shared" si="23"/>
        <v>Accounts payable - floOning price</v>
      </c>
      <c r="J331" s="118"/>
      <c r="K331" s="118"/>
      <c r="L331" s="118">
        <v>0</v>
      </c>
      <c r="M331" s="118">
        <v>0</v>
      </c>
      <c r="N331" s="118">
        <v>0</v>
      </c>
    </row>
    <row r="332" spans="2:14" x14ac:dyDescent="0.2">
      <c r="B332" s="130" t="s">
        <v>396</v>
      </c>
      <c r="C332" s="118" t="s">
        <v>1349</v>
      </c>
      <c r="D332" s="118" t="s">
        <v>1349</v>
      </c>
      <c r="E332" s="118">
        <v>4106</v>
      </c>
      <c r="F332" s="118">
        <v>0</v>
      </c>
      <c r="G332" s="118">
        <v>0</v>
      </c>
      <c r="I332" s="130" t="str">
        <f t="shared" si="23"/>
        <v>Insurance and rental payable</v>
      </c>
      <c r="J332" s="118"/>
      <c r="K332" s="118"/>
      <c r="L332" s="118">
        <v>3269</v>
      </c>
      <c r="M332" s="118">
        <v>0</v>
      </c>
      <c r="N332" s="118">
        <v>0</v>
      </c>
    </row>
    <row r="333" spans="2:14" x14ac:dyDescent="0.2">
      <c r="B333" s="130" t="s">
        <v>809</v>
      </c>
      <c r="C333" s="118" t="s">
        <v>1349</v>
      </c>
      <c r="D333" s="118" t="s">
        <v>1349</v>
      </c>
      <c r="E333" s="118">
        <v>756</v>
      </c>
      <c r="F333" s="118">
        <v>0</v>
      </c>
      <c r="G333" s="118">
        <v>0</v>
      </c>
      <c r="I333" s="130" t="str">
        <f t="shared" si="23"/>
        <v>RelOned parties</v>
      </c>
      <c r="J333" s="118"/>
      <c r="K333" s="118"/>
      <c r="L333" s="118">
        <v>14075</v>
      </c>
      <c r="M333" s="118">
        <v>0</v>
      </c>
      <c r="N333" s="118">
        <v>0</v>
      </c>
    </row>
    <row r="334" spans="2:14" x14ac:dyDescent="0.2">
      <c r="B334" s="127" t="s">
        <v>811</v>
      </c>
      <c r="C334" s="208" t="s">
        <v>1349</v>
      </c>
      <c r="D334" s="208" t="s">
        <v>1349</v>
      </c>
      <c r="E334" s="120">
        <f>SUM(E327:E333)</f>
        <v>184885</v>
      </c>
      <c r="F334" s="120">
        <f>SUM(F327:F333)</f>
        <v>143804</v>
      </c>
      <c r="G334" s="120">
        <f>SUM(G327:G333)</f>
        <v>300196</v>
      </c>
      <c r="I334" s="127" t="str">
        <f t="shared" si="23"/>
        <v>On March, 2014</v>
      </c>
      <c r="J334" s="120"/>
      <c r="K334" s="120"/>
      <c r="L334" s="120">
        <f>SUM(L327:L333)</f>
        <v>72666</v>
      </c>
      <c r="M334" s="120">
        <f>SUM(M327:M333)</f>
        <v>147142</v>
      </c>
      <c r="N334" s="120">
        <f>SUM(N327:N333)</f>
        <v>192180</v>
      </c>
    </row>
    <row r="335" spans="2:14" x14ac:dyDescent="0.2">
      <c r="B335" s="130" t="s">
        <v>395</v>
      </c>
      <c r="C335" s="118" t="s">
        <v>1349</v>
      </c>
      <c r="D335" s="118" t="s">
        <v>1349</v>
      </c>
      <c r="E335" s="118">
        <v>83235</v>
      </c>
      <c r="F335" s="118">
        <v>151621</v>
      </c>
      <c r="G335" s="118">
        <v>5339</v>
      </c>
      <c r="I335" s="130" t="str">
        <f t="shared" si="23"/>
        <v>Loans and financings</v>
      </c>
      <c r="J335" s="118"/>
      <c r="K335" s="118"/>
      <c r="L335" s="118">
        <v>3914</v>
      </c>
      <c r="M335" s="118">
        <v>55822</v>
      </c>
      <c r="N335" s="118">
        <v>1239</v>
      </c>
    </row>
    <row r="336" spans="2:14" x14ac:dyDescent="0.2">
      <c r="B336" s="130" t="s">
        <v>392</v>
      </c>
      <c r="C336" s="118" t="s">
        <v>1349</v>
      </c>
      <c r="D336" s="118" t="s">
        <v>1349</v>
      </c>
      <c r="E336" s="118">
        <v>0</v>
      </c>
      <c r="F336" s="118">
        <v>93333</v>
      </c>
      <c r="G336" s="118">
        <v>194512</v>
      </c>
      <c r="I336" s="130" t="str">
        <f t="shared" si="23"/>
        <v>Debentures</v>
      </c>
      <c r="J336" s="118"/>
      <c r="K336" s="118"/>
      <c r="L336" s="118">
        <v>0</v>
      </c>
      <c r="M336" s="118">
        <v>93333</v>
      </c>
      <c r="N336" s="118">
        <v>194512</v>
      </c>
    </row>
    <row r="337" spans="2:14" x14ac:dyDescent="0.2">
      <c r="B337" s="130" t="s">
        <v>296</v>
      </c>
      <c r="C337" s="118" t="s">
        <v>1349</v>
      </c>
      <c r="D337" s="118" t="s">
        <v>1349</v>
      </c>
      <c r="E337" s="118">
        <v>64297</v>
      </c>
      <c r="F337" s="118">
        <v>0</v>
      </c>
      <c r="G337" s="118">
        <v>0</v>
      </c>
      <c r="I337" s="130" t="str">
        <f t="shared" si="23"/>
        <v>Trade accounts and freight payable</v>
      </c>
      <c r="J337" s="118"/>
      <c r="K337" s="118"/>
      <c r="L337" s="118">
        <v>45129</v>
      </c>
      <c r="M337" s="118">
        <v>0</v>
      </c>
      <c r="N337" s="118">
        <v>0</v>
      </c>
    </row>
    <row r="338" spans="2:14" x14ac:dyDescent="0.2">
      <c r="B338" s="130" t="s">
        <v>194</v>
      </c>
      <c r="C338" s="118" t="s">
        <v>1349</v>
      </c>
      <c r="D338" s="118" t="s">
        <v>1349</v>
      </c>
      <c r="E338" s="118">
        <v>47352</v>
      </c>
      <c r="F338" s="118">
        <v>0</v>
      </c>
      <c r="G338" s="118">
        <v>0</v>
      </c>
      <c r="I338" s="130" t="str">
        <f t="shared" si="23"/>
        <v>Other accounts payable</v>
      </c>
      <c r="J338" s="118"/>
      <c r="K338" s="118"/>
      <c r="L338" s="118">
        <v>15219</v>
      </c>
      <c r="M338" s="118">
        <v>0</v>
      </c>
      <c r="N338" s="118">
        <v>0</v>
      </c>
    </row>
    <row r="339" spans="2:14" x14ac:dyDescent="0.2">
      <c r="B339" s="130" t="s">
        <v>804</v>
      </c>
      <c r="C339" s="118" t="s">
        <v>1349</v>
      </c>
      <c r="D339" s="118" t="s">
        <v>1349</v>
      </c>
      <c r="E339" s="118">
        <v>0</v>
      </c>
      <c r="F339" s="118">
        <v>8762</v>
      </c>
      <c r="G339" s="118">
        <v>0</v>
      </c>
      <c r="I339" s="130" t="str">
        <f t="shared" si="23"/>
        <v>Accounts payable - floOning price</v>
      </c>
      <c r="J339" s="118"/>
      <c r="K339" s="118"/>
      <c r="L339" s="118">
        <v>3681</v>
      </c>
      <c r="M339" s="118">
        <v>0</v>
      </c>
      <c r="N339" s="118">
        <v>0</v>
      </c>
    </row>
    <row r="340" spans="2:14" x14ac:dyDescent="0.2">
      <c r="B340" s="130" t="s">
        <v>396</v>
      </c>
      <c r="C340" s="118" t="s">
        <v>1349</v>
      </c>
      <c r="D340" s="118" t="s">
        <v>1349</v>
      </c>
      <c r="E340" s="118">
        <v>4279</v>
      </c>
      <c r="F340" s="118">
        <v>0</v>
      </c>
      <c r="G340" s="118">
        <v>0</v>
      </c>
      <c r="I340" s="130" t="str">
        <f t="shared" si="23"/>
        <v>Insurance and rental payable</v>
      </c>
      <c r="J340" s="118"/>
      <c r="K340" s="118"/>
      <c r="L340" s="118">
        <v>14278</v>
      </c>
      <c r="M340" s="118">
        <v>0</v>
      </c>
      <c r="N340" s="118">
        <v>0</v>
      </c>
    </row>
    <row r="341" spans="2:14" x14ac:dyDescent="0.2">
      <c r="B341" s="127" t="s">
        <v>812</v>
      </c>
      <c r="C341" s="208" t="s">
        <v>1349</v>
      </c>
      <c r="D341" s="208" t="s">
        <v>1349</v>
      </c>
      <c r="E341" s="120">
        <f>SUM(E335:E340)</f>
        <v>199163</v>
      </c>
      <c r="F341" s="120">
        <f>SUM(F335:F340)</f>
        <v>253716</v>
      </c>
      <c r="G341" s="120">
        <f>SUM(G335:G340)</f>
        <v>199851</v>
      </c>
      <c r="I341" s="127" t="str">
        <f t="shared" si="23"/>
        <v>On December, 2013</v>
      </c>
      <c r="J341" s="120"/>
      <c r="K341" s="120"/>
      <c r="L341" s="120">
        <f>SUM(L335:L340)</f>
        <v>82221</v>
      </c>
      <c r="M341" s="120">
        <f>SUM(M335:M340)</f>
        <v>149155</v>
      </c>
      <c r="N341" s="120">
        <f>SUM(N335:N340)</f>
        <v>195751</v>
      </c>
    </row>
    <row r="342" spans="2:14" x14ac:dyDescent="0.2">
      <c r="B342" t="s">
        <v>1350</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21">
    <pageSetUpPr autoPageBreaks="0"/>
  </sheetPr>
  <dimension ref="B1:AU33"/>
  <sheetViews>
    <sheetView showGridLines="0" zoomScaleNormal="100" workbookViewId="0">
      <pane xSplit="2" ySplit="5" topLeftCell="AH6" activePane="bottomRight" state="frozen"/>
      <selection activeCell="AU7" sqref="AU7"/>
      <selection pane="topRight" activeCell="AU7" sqref="AU7"/>
      <selection pane="bottomLeft" activeCell="AU7" sqref="AU7"/>
      <selection pane="bottomRight" activeCell="AU5" sqref="AU5"/>
    </sheetView>
  </sheetViews>
  <sheetFormatPr defaultRowHeight="12.75" x14ac:dyDescent="0.2"/>
  <cols>
    <col min="1" max="1" width="1.42578125" customWidth="1"/>
    <col min="2" max="2" width="33.42578125" bestFit="1" customWidth="1"/>
    <col min="3" max="47" width="10.7109375" customWidth="1"/>
  </cols>
  <sheetData>
    <row r="1" spans="2:47" s="557" customFormat="1" ht="7.5" customHeight="1" x14ac:dyDescent="0.2"/>
    <row r="2" spans="2:47" s="557" customFormat="1" ht="12.75" customHeight="1" x14ac:dyDescent="0.2"/>
    <row r="3" spans="2:47" ht="12.75" customHeight="1" x14ac:dyDescent="0.2">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1214"/>
    </row>
    <row r="4" spans="2:47" ht="12.75" customHeight="1" x14ac:dyDescent="0.2">
      <c r="Q4" s="74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row>
    <row r="5" spans="2:47" x14ac:dyDescent="0.2">
      <c r="B5" s="141" t="s">
        <v>391</v>
      </c>
      <c r="C5" s="247" t="s">
        <v>470</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x14ac:dyDescent="0.2">
      <c r="B6" s="130" t="s">
        <v>402</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2">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row>
    <row r="7" spans="2:47" x14ac:dyDescent="0.2">
      <c r="B7" s="130" t="s">
        <v>392</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row>
    <row r="8" spans="2:47" x14ac:dyDescent="0.2">
      <c r="B8" s="130" t="s">
        <v>403</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x14ac:dyDescent="0.2">
      <c r="B9" s="130" t="s">
        <v>399</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row>
    <row r="10" spans="2:47" x14ac:dyDescent="0.2">
      <c r="B10" s="127" t="s">
        <v>358</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T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SUM(AU6:AU9)</f>
        <v>-135339</v>
      </c>
    </row>
    <row r="11" spans="2:47" x14ac:dyDescent="0.2">
      <c r="B11" s="130" t="s">
        <v>404</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row>
    <row r="12" spans="2:47" x14ac:dyDescent="0.2">
      <c r="B12" s="127" t="s">
        <v>1291</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SUM(AU10:AU11)</f>
        <v>786070</v>
      </c>
    </row>
    <row r="13" spans="2:47" x14ac:dyDescent="0.2">
      <c r="B13" s="127" t="s">
        <v>405</v>
      </c>
      <c r="C13" s="145">
        <f>+C10/C12</f>
        <v>0.41097130084174616</v>
      </c>
      <c r="D13" s="145">
        <f t="shared" ref="D13:I13" si="12">+D10/D12</f>
        <v>0.40463863083429474</v>
      </c>
      <c r="E13" s="145">
        <f t="shared" si="12"/>
        <v>0.38590060439963786</v>
      </c>
      <c r="F13" s="145">
        <f t="shared" si="12"/>
        <v>0.46495973627142678</v>
      </c>
      <c r="G13" s="145">
        <f t="shared" si="12"/>
        <v>0.42296864320230959</v>
      </c>
      <c r="H13" s="145">
        <f t="shared" si="12"/>
        <v>0.33185672036551589</v>
      </c>
      <c r="I13" s="145">
        <f t="shared" si="12"/>
        <v>0.38566939926895161</v>
      </c>
      <c r="J13" s="145">
        <f t="shared" ref="J13:X13" si="13">+J10/J12</f>
        <v>0.29709789328690062</v>
      </c>
      <c r="K13" s="145">
        <f t="shared" si="13"/>
        <v>0.29224557214007874</v>
      </c>
      <c r="L13" s="145">
        <f t="shared" si="13"/>
        <v>0.23131915398534603</v>
      </c>
      <c r="M13" s="145">
        <f t="shared" si="13"/>
        <v>0.25415970549882477</v>
      </c>
      <c r="N13" s="145">
        <f t="shared" si="13"/>
        <v>0.2143286594661914</v>
      </c>
      <c r="O13" s="145">
        <f t="shared" si="13"/>
        <v>0.20664701769663274</v>
      </c>
      <c r="P13" s="145">
        <f t="shared" si="13"/>
        <v>0.20051600215981361</v>
      </c>
      <c r="Q13" s="145">
        <f t="shared" si="13"/>
        <v>0.18501142812908694</v>
      </c>
      <c r="R13" s="145">
        <f t="shared" si="13"/>
        <v>0.15710417293494111</v>
      </c>
      <c r="S13" s="145">
        <f t="shared" si="13"/>
        <v>0.14177700268477936</v>
      </c>
      <c r="T13" s="145">
        <f t="shared" si="13"/>
        <v>5.8398185165969826E-2</v>
      </c>
      <c r="U13" s="145">
        <f t="shared" si="13"/>
        <v>0.11200683463270676</v>
      </c>
      <c r="V13" s="145">
        <f t="shared" si="13"/>
        <v>0.11579249340760386</v>
      </c>
      <c r="W13" s="145">
        <f t="shared" si="13"/>
        <v>0.13414703905501452</v>
      </c>
      <c r="X13" s="145">
        <f t="shared" si="13"/>
        <v>6.3642377189012292E-2</v>
      </c>
      <c r="Y13" s="145">
        <f t="shared" ref="Y13:AD13" si="14">+Y10/Y12</f>
        <v>5.8191166160317831E-2</v>
      </c>
      <c r="Z13" s="145">
        <f t="shared" si="14"/>
        <v>4.6212237526146269E-2</v>
      </c>
      <c r="AA13" s="145">
        <f t="shared" si="14"/>
        <v>0.10863267536211667</v>
      </c>
      <c r="AB13" s="145">
        <f t="shared" si="14"/>
        <v>1.2574870169733372E-2</v>
      </c>
      <c r="AC13" s="145">
        <f t="shared" si="14"/>
        <v>-0.11847636955013628</v>
      </c>
      <c r="AD13" s="145">
        <f t="shared" si="14"/>
        <v>-9.6093154666661948E-2</v>
      </c>
      <c r="AE13" s="145">
        <f t="shared" ref="AE13:AK13" si="15">+AE10/AE12</f>
        <v>-0.11908496895698696</v>
      </c>
      <c r="AF13" s="145">
        <f t="shared" si="15"/>
        <v>-0.20602192064271668</v>
      </c>
      <c r="AG13" s="145">
        <f t="shared" si="15"/>
        <v>-0.16315755950148267</v>
      </c>
      <c r="AH13" s="145">
        <f t="shared" si="15"/>
        <v>-0.16283569826803057</v>
      </c>
      <c r="AI13" s="145">
        <f t="shared" si="15"/>
        <v>-2.7511880541550602E-2</v>
      </c>
      <c r="AJ13" s="145">
        <f>+AJ10/AJ12</f>
        <v>-0.14988469649884698</v>
      </c>
      <c r="AK13" s="145">
        <f t="shared" si="15"/>
        <v>-7.8098673546266068E-2</v>
      </c>
      <c r="AL13" s="145">
        <f t="shared" ref="AL13:AR13" si="16">+AL10/AL12</f>
        <v>-0.10625798135345747</v>
      </c>
      <c r="AM13" s="145">
        <f t="shared" si="16"/>
        <v>-0.13050865941217388</v>
      </c>
      <c r="AN13" s="145">
        <f t="shared" si="16"/>
        <v>-0.23324066157792117</v>
      </c>
      <c r="AO13" s="145">
        <f t="shared" si="16"/>
        <v>-0.22203284241823285</v>
      </c>
      <c r="AP13" s="145">
        <f t="shared" si="16"/>
        <v>-0.24740024918710304</v>
      </c>
      <c r="AQ13" s="145">
        <f t="shared" si="16"/>
        <v>-0.18557124736927885</v>
      </c>
      <c r="AR13" s="145">
        <f t="shared" si="16"/>
        <v>-0.28258894965523618</v>
      </c>
      <c r="AS13" s="145">
        <f t="shared" ref="AS13:AT13" si="17">+AS10/AS12</f>
        <v>-0.24800778653232841</v>
      </c>
      <c r="AT13" s="145">
        <f t="shared" si="17"/>
        <v>-0.21545220664222697</v>
      </c>
      <c r="AU13" s="145">
        <f>+AU10/AU12</f>
        <v>-0.17217168954418818</v>
      </c>
    </row>
    <row r="14" spans="2:47" x14ac:dyDescent="0.2">
      <c r="B14" s="40"/>
    </row>
    <row r="15" spans="2:47" x14ac:dyDescent="0.2">
      <c r="B15" s="144" t="s">
        <v>397</v>
      </c>
      <c r="C15" s="247" t="str">
        <f>C5</f>
        <v>4Q13</v>
      </c>
      <c r="D15" s="247" t="str">
        <f t="shared" ref="D15:R15" si="18">D5</f>
        <v>1Q14</v>
      </c>
      <c r="E15" s="247" t="str">
        <f t="shared" si="18"/>
        <v>2Q14</v>
      </c>
      <c r="F15" s="247" t="str">
        <f t="shared" si="18"/>
        <v>3Q14</v>
      </c>
      <c r="G15" s="247" t="str">
        <f t="shared" si="18"/>
        <v>4Q14</v>
      </c>
      <c r="H15" s="247" t="str">
        <f t="shared" si="18"/>
        <v>1Q15</v>
      </c>
      <c r="I15" s="247" t="str">
        <f t="shared" si="18"/>
        <v>2Q15</v>
      </c>
      <c r="J15" s="247" t="str">
        <f t="shared" si="18"/>
        <v>3Q15</v>
      </c>
      <c r="K15" s="247" t="str">
        <f t="shared" si="18"/>
        <v>4Q15</v>
      </c>
      <c r="L15" s="247" t="str">
        <f t="shared" si="18"/>
        <v>1Q16</v>
      </c>
      <c r="M15" s="247" t="str">
        <f t="shared" si="18"/>
        <v>2Q16</v>
      </c>
      <c r="N15" s="247" t="str">
        <f t="shared" si="18"/>
        <v>3Q16</v>
      </c>
      <c r="O15" s="247" t="str">
        <f t="shared" si="18"/>
        <v>4Q16</v>
      </c>
      <c r="P15" s="247" t="str">
        <f t="shared" si="18"/>
        <v>1Q17</v>
      </c>
      <c r="Q15" s="247" t="str">
        <f t="shared" si="18"/>
        <v>2Q17</v>
      </c>
      <c r="R15" s="247" t="str">
        <f t="shared" si="18"/>
        <v>3Q17</v>
      </c>
      <c r="S15" s="247" t="str">
        <f t="shared" ref="S15:AC15" si="19">S5</f>
        <v>4Q17</v>
      </c>
      <c r="T15" s="247" t="str">
        <f t="shared" si="19"/>
        <v>1Q18</v>
      </c>
      <c r="U15" s="247" t="str">
        <f t="shared" si="19"/>
        <v>2Q18</v>
      </c>
      <c r="V15" s="247" t="str">
        <f t="shared" si="19"/>
        <v>3Q18</v>
      </c>
      <c r="W15" s="247" t="str">
        <f t="shared" si="19"/>
        <v>4Q18</v>
      </c>
      <c r="X15" s="247" t="str">
        <f t="shared" si="19"/>
        <v>1Q19</v>
      </c>
      <c r="Y15" s="247" t="str">
        <f t="shared" si="19"/>
        <v>2Q19</v>
      </c>
      <c r="Z15" s="247" t="str">
        <f t="shared" si="19"/>
        <v>3Q19</v>
      </c>
      <c r="AA15" s="247" t="str">
        <f t="shared" si="19"/>
        <v>4Q19</v>
      </c>
      <c r="AB15" s="247" t="str">
        <f t="shared" si="19"/>
        <v>1Q20</v>
      </c>
      <c r="AC15" s="247" t="str">
        <f t="shared" si="19"/>
        <v>2Q20</v>
      </c>
      <c r="AD15" s="247" t="str">
        <f>AD5</f>
        <v>3Q20</v>
      </c>
      <c r="AE15" s="247" t="str">
        <f t="shared" ref="AE15:AK15" si="20">AE5</f>
        <v>4Q20</v>
      </c>
      <c r="AF15" s="247" t="str">
        <f t="shared" si="20"/>
        <v>1Q21</v>
      </c>
      <c r="AG15" s="247" t="str">
        <f t="shared" si="20"/>
        <v>2Q21</v>
      </c>
      <c r="AH15" s="247" t="str">
        <f t="shared" si="20"/>
        <v>3Q21</v>
      </c>
      <c r="AI15" s="247" t="str">
        <f t="shared" si="20"/>
        <v>4Q21</v>
      </c>
      <c r="AJ15" s="247" t="str">
        <f t="shared" si="20"/>
        <v>1Q22</v>
      </c>
      <c r="AK15" s="247" t="str">
        <f t="shared" si="20"/>
        <v>2Q22</v>
      </c>
      <c r="AL15" s="247" t="str">
        <f t="shared" ref="AL15:AS15" si="21">AL5</f>
        <v>3Q22</v>
      </c>
      <c r="AM15" s="247" t="str">
        <f t="shared" si="21"/>
        <v>4Q22</v>
      </c>
      <c r="AN15" s="247" t="str">
        <f t="shared" si="21"/>
        <v>1Q23</v>
      </c>
      <c r="AO15" s="247" t="str">
        <f t="shared" si="21"/>
        <v>2Q23</v>
      </c>
      <c r="AP15" s="247" t="str">
        <f t="shared" si="21"/>
        <v>3Q23</v>
      </c>
      <c r="AQ15" s="247" t="str">
        <f t="shared" si="21"/>
        <v>4Q23</v>
      </c>
      <c r="AR15" s="247" t="str">
        <f t="shared" si="21"/>
        <v>1Q24</v>
      </c>
      <c r="AS15" s="247" t="str">
        <f t="shared" si="21"/>
        <v>2Q24</v>
      </c>
      <c r="AT15" s="247" t="str">
        <f>AT5</f>
        <v>3Q24</v>
      </c>
      <c r="AU15" s="247" t="str">
        <f>AU5</f>
        <v>4Q24</v>
      </c>
    </row>
    <row r="16" spans="2:47" x14ac:dyDescent="0.2">
      <c r="B16" s="130" t="s">
        <v>402</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2">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row>
    <row r="17" spans="2:47" x14ac:dyDescent="0.2">
      <c r="B17" s="130" t="s">
        <v>392</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row>
    <row r="18" spans="2:47" x14ac:dyDescent="0.2">
      <c r="B18" s="130" t="s">
        <v>403</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row>
    <row r="19" spans="2:47" x14ac:dyDescent="0.2">
      <c r="B19" s="130" t="s">
        <v>399</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row>
    <row r="20" spans="2:47" x14ac:dyDescent="0.2">
      <c r="B20" s="127" t="s">
        <v>358</v>
      </c>
      <c r="C20" s="120">
        <f>SUM(C16:C19)</f>
        <v>171309</v>
      </c>
      <c r="D20" s="120">
        <f t="shared" ref="D20:I20" si="22">SUM(D16:D19)</f>
        <v>143401</v>
      </c>
      <c r="E20" s="120">
        <f t="shared" si="22"/>
        <v>252643</v>
      </c>
      <c r="F20" s="120">
        <f t="shared" si="22"/>
        <v>325832</v>
      </c>
      <c r="G20" s="120">
        <f t="shared" si="22"/>
        <v>358406</v>
      </c>
      <c r="H20" s="120">
        <f t="shared" si="22"/>
        <v>279011</v>
      </c>
      <c r="I20" s="120">
        <f t="shared" si="22"/>
        <v>318358</v>
      </c>
      <c r="J20" s="120">
        <f t="shared" ref="J20:Q20" si="23">SUM(J16:J19)</f>
        <v>236980</v>
      </c>
      <c r="K20" s="120">
        <f t="shared" si="23"/>
        <v>235718</v>
      </c>
      <c r="L20" s="120">
        <f t="shared" si="23"/>
        <v>214857</v>
      </c>
      <c r="M20" s="120">
        <f t="shared" si="23"/>
        <v>220748</v>
      </c>
      <c r="N20" s="120">
        <f t="shared" si="23"/>
        <v>201487</v>
      </c>
      <c r="O20" s="120">
        <f t="shared" si="23"/>
        <v>198175</v>
      </c>
      <c r="P20" s="120">
        <f t="shared" si="23"/>
        <v>186721</v>
      </c>
      <c r="Q20" s="120">
        <f t="shared" si="23"/>
        <v>177998</v>
      </c>
      <c r="R20" s="120">
        <f t="shared" ref="R20:X20" si="24">SUM(R16:R19)</f>
        <v>168455</v>
      </c>
      <c r="S20" s="120">
        <f t="shared" si="24"/>
        <v>171744</v>
      </c>
      <c r="T20" s="120">
        <f t="shared" si="24"/>
        <v>124734</v>
      </c>
      <c r="U20" s="120">
        <f t="shared" si="24"/>
        <v>92464</v>
      </c>
      <c r="V20" s="120">
        <f t="shared" si="24"/>
        <v>72589</v>
      </c>
      <c r="W20" s="120">
        <f t="shared" si="24"/>
        <v>82873</v>
      </c>
      <c r="X20" s="120">
        <f t="shared" si="24"/>
        <v>44327</v>
      </c>
      <c r="Y20" s="120">
        <f t="shared" ref="Y20:AD20" si="25">SUM(Y16:Y19)</f>
        <v>46113</v>
      </c>
      <c r="Z20" s="120">
        <f t="shared" si="25"/>
        <v>46223</v>
      </c>
      <c r="AA20" s="120">
        <f t="shared" si="25"/>
        <v>100654</v>
      </c>
      <c r="AB20" s="120">
        <f t="shared" si="25"/>
        <v>48253</v>
      </c>
      <c r="AC20" s="120">
        <f t="shared" si="25"/>
        <v>-19345</v>
      </c>
      <c r="AD20" s="120">
        <f t="shared" si="25"/>
        <v>8658</v>
      </c>
      <c r="AE20" s="120">
        <f t="shared" ref="AE20:AK20" si="26">SUM(AE16:AE19)</f>
        <v>-17552</v>
      </c>
      <c r="AF20" s="120">
        <f t="shared" si="26"/>
        <v>-50847</v>
      </c>
      <c r="AG20" s="120">
        <f t="shared" si="26"/>
        <v>-46736</v>
      </c>
      <c r="AH20" s="120">
        <f t="shared" si="26"/>
        <v>-41915</v>
      </c>
      <c r="AI20" s="120">
        <f t="shared" si="26"/>
        <v>28951</v>
      </c>
      <c r="AJ20" s="120">
        <f t="shared" si="26"/>
        <v>-10270</v>
      </c>
      <c r="AK20" s="120">
        <f t="shared" si="26"/>
        <v>6279</v>
      </c>
      <c r="AL20" s="120">
        <f t="shared" ref="AL20:AS20" si="27">SUM(AL16:AL19)</f>
        <v>-18471</v>
      </c>
      <c r="AM20" s="120">
        <f t="shared" si="27"/>
        <v>-29291</v>
      </c>
      <c r="AN20" s="120">
        <f t="shared" si="27"/>
        <v>-88140</v>
      </c>
      <c r="AO20" s="120">
        <f t="shared" si="27"/>
        <v>-69827</v>
      </c>
      <c r="AP20" s="120">
        <f t="shared" si="27"/>
        <v>-92578</v>
      </c>
      <c r="AQ20" s="120">
        <f t="shared" si="27"/>
        <v>-51397</v>
      </c>
      <c r="AR20" s="120">
        <f t="shared" si="27"/>
        <v>-108312</v>
      </c>
      <c r="AS20" s="120">
        <f t="shared" si="27"/>
        <v>-129492</v>
      </c>
      <c r="AT20" s="120">
        <f>SUM(AT16:AT19)</f>
        <v>-104964</v>
      </c>
      <c r="AU20" s="120">
        <f>SUM(AU16:AU19)</f>
        <v>-73105</v>
      </c>
    </row>
    <row r="21" spans="2:47" x14ac:dyDescent="0.2">
      <c r="B21" s="130" t="s">
        <v>404</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row>
    <row r="22" spans="2:47" x14ac:dyDescent="0.2">
      <c r="B22" s="127" t="s">
        <v>1291</v>
      </c>
      <c r="C22" s="120">
        <f>SUM(C20:C21)</f>
        <v>572849</v>
      </c>
      <c r="D22" s="120">
        <f t="shared" ref="D22:I22" si="28">SUM(D20:D21)</f>
        <v>546379</v>
      </c>
      <c r="E22" s="120">
        <f t="shared" si="28"/>
        <v>629020</v>
      </c>
      <c r="F22" s="120">
        <f t="shared" si="28"/>
        <v>674380</v>
      </c>
      <c r="G22" s="120">
        <f t="shared" si="28"/>
        <v>720503</v>
      </c>
      <c r="H22" s="120">
        <f t="shared" si="28"/>
        <v>648841</v>
      </c>
      <c r="I22" s="120">
        <f t="shared" si="28"/>
        <v>689453</v>
      </c>
      <c r="J22" s="120">
        <f t="shared" ref="J22:X22" si="29">SUM(J20:J21)</f>
        <v>607964</v>
      </c>
      <c r="K22" s="120">
        <f t="shared" si="29"/>
        <v>599077</v>
      </c>
      <c r="L22" s="120">
        <f t="shared" si="29"/>
        <v>577639</v>
      </c>
      <c r="M22" s="120">
        <f t="shared" si="29"/>
        <v>582802</v>
      </c>
      <c r="N22" s="120">
        <f t="shared" si="29"/>
        <v>567382</v>
      </c>
      <c r="O22" s="120">
        <f t="shared" si="29"/>
        <v>577174</v>
      </c>
      <c r="P22" s="120">
        <f t="shared" si="29"/>
        <v>567249</v>
      </c>
      <c r="Q22" s="120">
        <f t="shared" si="29"/>
        <v>578071</v>
      </c>
      <c r="R22" s="120">
        <f t="shared" si="29"/>
        <v>569064</v>
      </c>
      <c r="S22" s="120">
        <f t="shared" si="29"/>
        <v>620550</v>
      </c>
      <c r="T22" s="120">
        <f t="shared" si="29"/>
        <v>587536</v>
      </c>
      <c r="U22" s="120">
        <f t="shared" si="29"/>
        <v>547723</v>
      </c>
      <c r="V22" s="120">
        <f t="shared" si="29"/>
        <v>538004</v>
      </c>
      <c r="W22" s="120">
        <f t="shared" si="29"/>
        <v>567245</v>
      </c>
      <c r="X22" s="120">
        <f t="shared" si="29"/>
        <v>555332</v>
      </c>
      <c r="Y22" s="120">
        <f t="shared" ref="Y22:AD22" si="30">SUM(Y20:Y21)</f>
        <v>561953</v>
      </c>
      <c r="Z22" s="120">
        <f t="shared" si="30"/>
        <v>623958</v>
      </c>
      <c r="AA22" s="120">
        <f t="shared" si="30"/>
        <v>675733</v>
      </c>
      <c r="AB22" s="120">
        <f t="shared" si="30"/>
        <v>643384</v>
      </c>
      <c r="AC22" s="120">
        <f t="shared" si="30"/>
        <v>570743</v>
      </c>
      <c r="AD22" s="120">
        <f t="shared" si="30"/>
        <v>628605</v>
      </c>
      <c r="AE22" s="120">
        <f t="shared" ref="AE22:AK22" si="31">SUM(AE20:AE21)</f>
        <v>607111</v>
      </c>
      <c r="AF22" s="120">
        <f t="shared" si="31"/>
        <v>594064</v>
      </c>
      <c r="AG22" s="120">
        <f t="shared" si="31"/>
        <v>609818</v>
      </c>
      <c r="AH22" s="120">
        <f t="shared" si="31"/>
        <v>626719</v>
      </c>
      <c r="AI22" s="120">
        <f t="shared" si="31"/>
        <v>709685</v>
      </c>
      <c r="AJ22" s="120">
        <f>SUM(AJ20:AJ21)</f>
        <v>689172</v>
      </c>
      <c r="AK22" s="120">
        <f t="shared" si="31"/>
        <v>713852</v>
      </c>
      <c r="AL22" s="120">
        <f t="shared" ref="AL22:AR22" si="32">SUM(AL20:AL21)</f>
        <v>717908</v>
      </c>
      <c r="AM22" s="120">
        <f t="shared" si="32"/>
        <v>736898</v>
      </c>
      <c r="AN22" s="120">
        <f t="shared" si="32"/>
        <v>712704</v>
      </c>
      <c r="AO22" s="120">
        <f t="shared" si="32"/>
        <v>731115</v>
      </c>
      <c r="AP22" s="120">
        <f t="shared" si="32"/>
        <v>726955</v>
      </c>
      <c r="AQ22" s="120">
        <f t="shared" si="32"/>
        <v>783773</v>
      </c>
      <c r="AR22" s="120">
        <f t="shared" si="32"/>
        <v>764141</v>
      </c>
      <c r="AS22" s="120">
        <f t="shared" ref="AS22" si="33">SUM(AS20:AS21)</f>
        <v>758738</v>
      </c>
      <c r="AT22" s="120">
        <f>SUM(AT20:AT21)</f>
        <v>787043</v>
      </c>
      <c r="AU22" s="120">
        <f>SUM(AU20:AU21)</f>
        <v>848304</v>
      </c>
    </row>
    <row r="23" spans="2:47" x14ac:dyDescent="0.2">
      <c r="B23" s="127" t="s">
        <v>405</v>
      </c>
      <c r="C23" s="145">
        <f>+C20/C22</f>
        <v>0.29904739294299199</v>
      </c>
      <c r="D23" s="145">
        <f t="shared" ref="D23:I23" si="34">+D20/D22</f>
        <v>0.26245701244008279</v>
      </c>
      <c r="E23" s="145">
        <f t="shared" si="34"/>
        <v>0.40164541667991477</v>
      </c>
      <c r="F23" s="145">
        <f t="shared" si="34"/>
        <v>0.48315786351908419</v>
      </c>
      <c r="G23" s="145">
        <f t="shared" si="34"/>
        <v>0.49743859498156151</v>
      </c>
      <c r="H23" s="145">
        <f t="shared" si="34"/>
        <v>0.43001444113426862</v>
      </c>
      <c r="I23" s="145">
        <f t="shared" si="34"/>
        <v>0.46175446332092251</v>
      </c>
      <c r="J23" s="145">
        <f t="shared" ref="J23:X23" si="35">+J20/J22</f>
        <v>0.38979281667993498</v>
      </c>
      <c r="K23" s="145">
        <f t="shared" si="35"/>
        <v>0.3934686192259092</v>
      </c>
      <c r="L23" s="145">
        <f t="shared" si="35"/>
        <v>0.37195722587983154</v>
      </c>
      <c r="M23" s="145">
        <f t="shared" si="35"/>
        <v>0.37877014835227057</v>
      </c>
      <c r="N23" s="145">
        <f t="shared" si="35"/>
        <v>0.35511701111420524</v>
      </c>
      <c r="O23" s="145">
        <f t="shared" si="35"/>
        <v>0.3433539972348027</v>
      </c>
      <c r="P23" s="145">
        <f t="shared" si="35"/>
        <v>0.3291693771165749</v>
      </c>
      <c r="Q23" s="145">
        <f t="shared" si="35"/>
        <v>0.30791719356272845</v>
      </c>
      <c r="R23" s="145">
        <f t="shared" si="35"/>
        <v>0.2960211856662871</v>
      </c>
      <c r="S23" s="145">
        <f t="shared" si="35"/>
        <v>0.27676093787768913</v>
      </c>
      <c r="T23" s="145">
        <f t="shared" si="35"/>
        <v>0.21230018245690477</v>
      </c>
      <c r="U23" s="145">
        <f t="shared" si="35"/>
        <v>0.16881525880782805</v>
      </c>
      <c r="V23" s="145">
        <f t="shared" si="35"/>
        <v>0.13492278867815108</v>
      </c>
      <c r="W23" s="145">
        <f t="shared" si="35"/>
        <v>0.14609736533596593</v>
      </c>
      <c r="X23" s="145">
        <f t="shared" si="35"/>
        <v>7.9820719857670724E-2</v>
      </c>
      <c r="Y23" s="145">
        <f t="shared" ref="Y23:AD23" si="36">+Y20/Y22</f>
        <v>8.2058463964068171E-2</v>
      </c>
      <c r="Z23" s="145">
        <f t="shared" si="36"/>
        <v>7.4080306687309083E-2</v>
      </c>
      <c r="AA23" s="145">
        <f t="shared" si="36"/>
        <v>0.14895528263382135</v>
      </c>
      <c r="AB23" s="145">
        <f t="shared" si="36"/>
        <v>7.4998756574611747E-2</v>
      </c>
      <c r="AC23" s="145">
        <f t="shared" si="36"/>
        <v>-3.3894414824185315E-2</v>
      </c>
      <c r="AD23" s="145">
        <f t="shared" si="36"/>
        <v>1.3773355286706278E-2</v>
      </c>
      <c r="AE23" s="145">
        <f t="shared" ref="AE23:AK23" si="37">+AE20/AE22</f>
        <v>-2.8910693431678885E-2</v>
      </c>
      <c r="AF23" s="145">
        <f t="shared" si="37"/>
        <v>-8.5591788090172108E-2</v>
      </c>
      <c r="AG23" s="145">
        <f t="shared" si="37"/>
        <v>-7.6639259582367197E-2</v>
      </c>
      <c r="AH23" s="145">
        <f t="shared" si="37"/>
        <v>-6.6880053101948403E-2</v>
      </c>
      <c r="AI23" s="145">
        <f t="shared" si="37"/>
        <v>4.0794155153342677E-2</v>
      </c>
      <c r="AJ23" s="145">
        <f>+AJ20/AJ22</f>
        <v>-1.4901940299373742E-2</v>
      </c>
      <c r="AK23" s="145">
        <f t="shared" si="37"/>
        <v>8.7959408953116325E-3</v>
      </c>
      <c r="AL23" s="145">
        <f t="shared" ref="AL23:AR23" si="38">+AL20/AL22</f>
        <v>-2.5728923483231834E-2</v>
      </c>
      <c r="AM23" s="145">
        <f t="shared" si="38"/>
        <v>-3.9749056178738439E-2</v>
      </c>
      <c r="AN23" s="145">
        <f t="shared" si="38"/>
        <v>-0.12366985452586207</v>
      </c>
      <c r="AO23" s="145">
        <f t="shared" si="38"/>
        <v>-9.5507546692380818E-2</v>
      </c>
      <c r="AP23" s="145">
        <f t="shared" si="38"/>
        <v>-0.12735038619997111</v>
      </c>
      <c r="AQ23" s="145">
        <f t="shared" si="38"/>
        <v>-6.5576384999228091E-2</v>
      </c>
      <c r="AR23" s="145">
        <f t="shared" si="38"/>
        <v>-0.14174347404471163</v>
      </c>
      <c r="AS23" s="145">
        <f t="shared" ref="AS23" si="39">+AS20/AS22</f>
        <v>-0.17066760858161842</v>
      </c>
      <c r="AT23" s="145">
        <f>+AT20/AT22</f>
        <v>-0.13336501309331256</v>
      </c>
      <c r="AU23" s="145">
        <f>+AU20/AU22</f>
        <v>-8.6177832475150415E-2</v>
      </c>
    </row>
    <row r="24" spans="2:47" x14ac:dyDescent="0.2">
      <c r="B24" s="40"/>
      <c r="D24" s="143"/>
      <c r="E24" s="143"/>
      <c r="F24" s="143"/>
      <c r="G24" s="143"/>
      <c r="H24" s="143"/>
    </row>
    <row r="27" spans="2:47" x14ac:dyDescent="0.2">
      <c r="K27" s="185"/>
    </row>
    <row r="29" spans="2:47" x14ac:dyDescent="0.2">
      <c r="C29" s="185">
        <f>+C6-BalSheet!R43-BalSheet!R61</f>
        <v>0</v>
      </c>
      <c r="D29" s="185">
        <f>+D6-BalSheet!S43-BalSheet!S61</f>
        <v>0</v>
      </c>
      <c r="E29" s="185">
        <f>+E6-BalSheet!T43-BalSheet!T61</f>
        <v>0</v>
      </c>
      <c r="F29" s="185">
        <f>+F6-BalSheet!U43-BalSheet!U61</f>
        <v>0</v>
      </c>
      <c r="G29" s="185">
        <f>+G6-BalSheet!V43-BalSheet!V61</f>
        <v>0</v>
      </c>
      <c r="H29" s="185">
        <f>+H6-BalSheet!W43-BalSheet!W61</f>
        <v>0</v>
      </c>
      <c r="I29" s="185">
        <f>+I6-BalSheet!X43-BalSheet!X61</f>
        <v>0</v>
      </c>
      <c r="J29" s="185">
        <f>+J6-BalSheet!Y43-BalSheet!Y61</f>
        <v>0</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row>
    <row r="30" spans="2:47" x14ac:dyDescent="0.2">
      <c r="C30" s="185">
        <f>+C7-BalSheet!R44-BalSheet!R63</f>
        <v>0</v>
      </c>
      <c r="D30" s="185">
        <f>+D7-BalSheet!S44-BalSheet!S63</f>
        <v>0</v>
      </c>
      <c r="E30" s="185">
        <f>+E7-BalSheet!T44-BalSheet!T63</f>
        <v>0</v>
      </c>
      <c r="F30" s="185">
        <f>+F7-BalSheet!U44-BalSheet!U63</f>
        <v>0</v>
      </c>
      <c r="G30" s="185">
        <f>+G7-BalSheet!V44-BalSheet!V63</f>
        <v>0</v>
      </c>
      <c r="H30" s="185">
        <f>+H7-BalSheet!W44-BalSheet!W63</f>
        <v>0</v>
      </c>
      <c r="I30" s="185">
        <f>+I7-BalSheet!X44-BalSheet!X63</f>
        <v>0</v>
      </c>
      <c r="J30" s="185">
        <f>+J7-BalSheet!Y44-BalSheet!Y63</f>
        <v>0</v>
      </c>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row>
    <row r="31" spans="2:47" x14ac:dyDescent="0.2">
      <c r="C31" s="185">
        <f>+C8+BalSheet!R16+BalSheet!R30-BalSheet!R56-BalSheet!R73</f>
        <v>0</v>
      </c>
      <c r="D31" s="185">
        <f>+D8+BalSheet!S16+BalSheet!S30-BalSheet!S56-BalSheet!S73</f>
        <v>0</v>
      </c>
      <c r="E31" s="185">
        <f>+E8+BalSheet!T16+BalSheet!T30-BalSheet!T56-BalSheet!T73</f>
        <v>0</v>
      </c>
      <c r="F31" s="185">
        <f>+F8+BalSheet!U16+BalSheet!U30-BalSheet!U56-BalSheet!U73</f>
        <v>0</v>
      </c>
      <c r="G31" s="185">
        <f>+G8+BalSheet!V16+BalSheet!V30-BalSheet!V56-BalSheet!V73</f>
        <v>0</v>
      </c>
      <c r="H31" s="185">
        <f>+H8+BalSheet!W16+BalSheet!W30-BalSheet!W56-BalSheet!W73</f>
        <v>0</v>
      </c>
      <c r="I31" s="185">
        <f>+I8+BalSheet!X16+BalSheet!X30-BalSheet!X56-BalSheet!X73</f>
        <v>0</v>
      </c>
      <c r="J31" s="185">
        <f>+J8+BalSheet!Y16+BalSheet!Y30-BalSheet!Y56-BalSheet!Y73</f>
        <v>0</v>
      </c>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row>
    <row r="32" spans="2:47" x14ac:dyDescent="0.2">
      <c r="C32" s="185">
        <f>+C9+BalSheet!R7+BalSheet!R19</f>
        <v>0</v>
      </c>
      <c r="D32" s="185">
        <f>+D9+BalSheet!S7+BalSheet!S19</f>
        <v>0</v>
      </c>
      <c r="E32" s="185">
        <f>+E9+BalSheet!T7+BalSheet!T19</f>
        <v>0</v>
      </c>
      <c r="F32" s="185">
        <f>+F9+BalSheet!U7+BalSheet!U19</f>
        <v>0</v>
      </c>
      <c r="G32" s="185">
        <f>+G9+BalSheet!V7+BalSheet!V19</f>
        <v>0</v>
      </c>
      <c r="H32" s="185">
        <f>+H9+BalSheet!W7+BalSheet!W19</f>
        <v>0</v>
      </c>
      <c r="I32" s="185">
        <f>+I9+BalSheet!X7+BalSheet!X19</f>
        <v>0</v>
      </c>
      <c r="J32" s="185">
        <f>+J9+BalSheet!Y7+BalSheet!Y19</f>
        <v>0</v>
      </c>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row>
    <row r="33" spans="3:47" x14ac:dyDescent="0.2">
      <c r="C33" s="185">
        <f>+C11-BalSheet!R76-BalSheet!R85</f>
        <v>0</v>
      </c>
      <c r="D33" s="185">
        <f>+D11-BalSheet!S76-BalSheet!S85</f>
        <v>0</v>
      </c>
      <c r="E33" s="185">
        <f>+E11-BalSheet!T76-BalSheet!T85</f>
        <v>0</v>
      </c>
      <c r="F33" s="185">
        <f>+F11-BalSheet!U76-BalSheet!U85</f>
        <v>0</v>
      </c>
      <c r="G33" s="185">
        <f>+G11-BalSheet!V76-BalSheet!V85</f>
        <v>0</v>
      </c>
      <c r="H33" s="185">
        <f>+H11-BalSheet!W76-BalSheet!W85</f>
        <v>0</v>
      </c>
      <c r="I33" s="185">
        <f>+I11-BalSheet!X76-BalSheet!X85</f>
        <v>0</v>
      </c>
      <c r="J33" s="185">
        <f>+J11-BalSheet!Y76-BalSheet!Y85</f>
        <v>0</v>
      </c>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24">
    <pageSetUpPr autoPageBreaks="0"/>
  </sheetPr>
  <dimension ref="B1:AU18"/>
  <sheetViews>
    <sheetView showGridLines="0" workbookViewId="0">
      <pane xSplit="2" ySplit="4" topLeftCell="AH5" activePane="bottomRight" state="frozen"/>
      <selection activeCell="Y8" sqref="Y8"/>
      <selection pane="topRight" activeCell="Y8" sqref="Y8"/>
      <selection pane="bottomLeft" activeCell="Y8" sqref="Y8"/>
      <selection pane="bottomRight" activeCell="AU5" sqref="AU5"/>
    </sheetView>
  </sheetViews>
  <sheetFormatPr defaultRowHeight="12.75" x14ac:dyDescent="0.2"/>
  <cols>
    <col min="1" max="1" width="1.42578125" customWidth="1"/>
    <col min="2" max="2" width="29.28515625" bestFit="1" customWidth="1"/>
    <col min="3" max="47" width="10.7109375" customWidth="1"/>
  </cols>
  <sheetData>
    <row r="1" spans="2:47" s="551" customFormat="1" ht="7.5" customHeight="1" x14ac:dyDescent="0.2"/>
    <row r="2" spans="2:47" s="551" customFormat="1" x14ac:dyDescent="0.2"/>
    <row r="3" spans="2:47" x14ac:dyDescent="0.2">
      <c r="B3" s="40"/>
      <c r="C3" s="40"/>
      <c r="D3" s="40"/>
      <c r="E3" s="40"/>
      <c r="G3" s="148"/>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row>
    <row r="4" spans="2:47" x14ac:dyDescent="0.2">
      <c r="B4" s="40"/>
      <c r="C4" s="1250" t="s">
        <v>1435</v>
      </c>
      <c r="D4" s="1251"/>
      <c r="E4" s="225" t="s">
        <v>1439</v>
      </c>
      <c r="G4" s="148"/>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row>
    <row r="5" spans="2:47" x14ac:dyDescent="0.2">
      <c r="B5" s="141" t="s">
        <v>391</v>
      </c>
      <c r="C5" s="247" t="s">
        <v>470</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x14ac:dyDescent="0.2">
      <c r="B6" s="130" t="s">
        <v>406</v>
      </c>
      <c r="C6" s="118">
        <v>21689</v>
      </c>
      <c r="D6" s="118">
        <v>16938</v>
      </c>
      <c r="E6" s="161">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row>
    <row r="7" spans="2:47" x14ac:dyDescent="0.2">
      <c r="B7" s="130" t="s">
        <v>407</v>
      </c>
      <c r="C7" s="118">
        <v>182759</v>
      </c>
      <c r="D7" s="118">
        <v>204536</v>
      </c>
      <c r="E7" s="161">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row>
    <row r="8" spans="2:47" x14ac:dyDescent="0.2">
      <c r="B8" s="127" t="s">
        <v>399</v>
      </c>
      <c r="C8" s="120">
        <f>SUM(C6:C7)</f>
        <v>204448</v>
      </c>
      <c r="D8" s="120">
        <f t="shared" ref="D8:I8" si="0">SUM(D6:D7)</f>
        <v>221474</v>
      </c>
      <c r="E8" s="163">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row>
    <row r="9" spans="2:47" x14ac:dyDescent="0.2">
      <c r="C9" s="149">
        <f>+C8-BalSheet!R7</f>
        <v>0</v>
      </c>
      <c r="D9" s="149">
        <f>+D8-BalSheet!S7</f>
        <v>0</v>
      </c>
      <c r="E9" s="149">
        <f>+E8-BalSheet!T7</f>
        <v>0</v>
      </c>
      <c r="F9" s="149">
        <f>+F8-BalSheet!U7</f>
        <v>0</v>
      </c>
      <c r="G9" s="149">
        <f>+G8-BalSheet!V7</f>
        <v>0</v>
      </c>
      <c r="H9" s="149">
        <f>+H8-BalSheet!W7</f>
        <v>0</v>
      </c>
      <c r="I9" s="149">
        <f>+I8-BalSheet!X7</f>
        <v>0</v>
      </c>
      <c r="J9" s="149">
        <f>+J8-BalSheet!Y7</f>
        <v>0</v>
      </c>
      <c r="K9" s="149">
        <f>+K8-BalSheet!Z7-BalSheet!Z19</f>
        <v>0</v>
      </c>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row>
    <row r="10" spans="2:47" x14ac:dyDescent="0.2">
      <c r="B10" s="144" t="s">
        <v>397</v>
      </c>
      <c r="C10" s="247" t="str">
        <f>C5</f>
        <v>4Q13</v>
      </c>
      <c r="D10" s="247" t="str">
        <f t="shared" ref="D10:R10" si="6">D5</f>
        <v>1Q14</v>
      </c>
      <c r="E10" s="247" t="str">
        <f t="shared" si="6"/>
        <v>2Q14</v>
      </c>
      <c r="F10" s="247" t="str">
        <f t="shared" si="6"/>
        <v>3Q14</v>
      </c>
      <c r="G10" s="247" t="str">
        <f t="shared" si="6"/>
        <v>4Q14</v>
      </c>
      <c r="H10" s="247" t="str">
        <f t="shared" si="6"/>
        <v>1Q15</v>
      </c>
      <c r="I10" s="247" t="str">
        <f t="shared" si="6"/>
        <v>2Q15</v>
      </c>
      <c r="J10" s="247" t="str">
        <f t="shared" si="6"/>
        <v>3Q15</v>
      </c>
      <c r="K10" s="247" t="str">
        <f t="shared" si="6"/>
        <v>4Q15</v>
      </c>
      <c r="L10" s="247" t="str">
        <f t="shared" si="6"/>
        <v>1Q16</v>
      </c>
      <c r="M10" s="247" t="str">
        <f t="shared" si="6"/>
        <v>2Q16</v>
      </c>
      <c r="N10" s="247" t="str">
        <f t="shared" si="6"/>
        <v>3Q16</v>
      </c>
      <c r="O10" s="247" t="str">
        <f t="shared" si="6"/>
        <v>4Q16</v>
      </c>
      <c r="P10" s="247" t="str">
        <f t="shared" si="6"/>
        <v>1Q17</v>
      </c>
      <c r="Q10" s="247" t="str">
        <f t="shared" si="6"/>
        <v>2Q17</v>
      </c>
      <c r="R10" s="247" t="str">
        <f t="shared" si="6"/>
        <v>3Q17</v>
      </c>
      <c r="S10" s="247" t="str">
        <f t="shared" ref="S10:AB10" si="7">S5</f>
        <v>4Q17</v>
      </c>
      <c r="T10" s="247" t="str">
        <f t="shared" si="7"/>
        <v>1Q18</v>
      </c>
      <c r="U10" s="247" t="str">
        <f t="shared" si="7"/>
        <v>2Q18</v>
      </c>
      <c r="V10" s="247" t="str">
        <f t="shared" si="7"/>
        <v>3Q18</v>
      </c>
      <c r="W10" s="247" t="str">
        <f t="shared" si="7"/>
        <v>4Q18</v>
      </c>
      <c r="X10" s="247" t="str">
        <f t="shared" si="7"/>
        <v>1Q19</v>
      </c>
      <c r="Y10" s="247" t="str">
        <f t="shared" si="7"/>
        <v>2Q19</v>
      </c>
      <c r="Z10" s="247" t="str">
        <f t="shared" si="7"/>
        <v>3Q19</v>
      </c>
      <c r="AA10" s="247" t="str">
        <f t="shared" si="7"/>
        <v>4Q19</v>
      </c>
      <c r="AB10" s="247" t="str">
        <f t="shared" si="7"/>
        <v>1Q20</v>
      </c>
      <c r="AC10" s="247" t="str">
        <f t="shared" ref="AC10:AK10" si="8">AC5</f>
        <v>2Q20</v>
      </c>
      <c r="AD10" s="247" t="str">
        <f t="shared" si="8"/>
        <v>3Q20</v>
      </c>
      <c r="AE10" s="247" t="str">
        <f t="shared" si="8"/>
        <v>4Q20</v>
      </c>
      <c r="AF10" s="247" t="str">
        <f t="shared" si="8"/>
        <v>1Q21</v>
      </c>
      <c r="AG10" s="247" t="str">
        <f t="shared" si="8"/>
        <v>2Q21</v>
      </c>
      <c r="AH10" s="247" t="str">
        <f t="shared" si="8"/>
        <v>3Q21</v>
      </c>
      <c r="AI10" s="247" t="str">
        <f t="shared" si="8"/>
        <v>4Q21</v>
      </c>
      <c r="AJ10" s="247" t="str">
        <f t="shared" si="8"/>
        <v>1Q22</v>
      </c>
      <c r="AK10" s="247" t="str">
        <f t="shared" si="8"/>
        <v>2Q22</v>
      </c>
      <c r="AL10" s="247" t="str">
        <f t="shared" ref="AL10:AS10" si="9">AL5</f>
        <v>3Q22</v>
      </c>
      <c r="AM10" s="247" t="str">
        <f t="shared" si="9"/>
        <v>4Q22</v>
      </c>
      <c r="AN10" s="247" t="str">
        <f t="shared" si="9"/>
        <v>1Q23</v>
      </c>
      <c r="AO10" s="247" t="str">
        <f t="shared" si="9"/>
        <v>2Q23</v>
      </c>
      <c r="AP10" s="247" t="str">
        <f t="shared" si="9"/>
        <v>3Q23</v>
      </c>
      <c r="AQ10" s="247" t="str">
        <f t="shared" si="9"/>
        <v>4Q23</v>
      </c>
      <c r="AR10" s="247" t="str">
        <f t="shared" si="9"/>
        <v>1Q24</v>
      </c>
      <c r="AS10" s="247" t="str">
        <f t="shared" si="9"/>
        <v>2Q24</v>
      </c>
      <c r="AT10" s="247" t="str">
        <f>AT5</f>
        <v>3Q24</v>
      </c>
      <c r="AU10" s="247" t="str">
        <f>AU5</f>
        <v>4Q24</v>
      </c>
    </row>
    <row r="11" spans="2:47" x14ac:dyDescent="0.2">
      <c r="B11" s="130" t="s">
        <v>406</v>
      </c>
      <c r="C11" s="118">
        <v>20465</v>
      </c>
      <c r="D11" s="118">
        <v>13853</v>
      </c>
      <c r="E11" s="161">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row>
    <row r="12" spans="2:47" x14ac:dyDescent="0.2">
      <c r="B12" s="130" t="s">
        <v>407</v>
      </c>
      <c r="C12" s="118">
        <v>140667</v>
      </c>
      <c r="D12" s="118">
        <v>186237</v>
      </c>
      <c r="E12" s="161">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row>
    <row r="13" spans="2:47" x14ac:dyDescent="0.2">
      <c r="B13" s="127" t="s">
        <v>399</v>
      </c>
      <c r="C13" s="120">
        <f t="shared" ref="C13:L13" si="10">SUM(C11:C12)</f>
        <v>161132</v>
      </c>
      <c r="D13" s="120">
        <f t="shared" si="10"/>
        <v>200090</v>
      </c>
      <c r="E13" s="163">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row>
    <row r="14" spans="2:47" x14ac:dyDescent="0.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2:47" x14ac:dyDescent="0.2">
      <c r="B15" s="144" t="s">
        <v>401</v>
      </c>
      <c r="C15" s="247" t="str">
        <f>C5</f>
        <v>4Q13</v>
      </c>
      <c r="D15" s="247" t="str">
        <f t="shared" ref="D15:R15" si="15">D5</f>
        <v>1Q14</v>
      </c>
      <c r="E15" s="247" t="str">
        <f t="shared" si="15"/>
        <v>2Q14</v>
      </c>
      <c r="F15" s="247" t="str">
        <f t="shared" si="15"/>
        <v>3Q14</v>
      </c>
      <c r="G15" s="247" t="str">
        <f t="shared" si="15"/>
        <v>4Q14</v>
      </c>
      <c r="H15" s="247" t="str">
        <f t="shared" si="15"/>
        <v>1Q15</v>
      </c>
      <c r="I15" s="247" t="str">
        <f t="shared" si="15"/>
        <v>2Q15</v>
      </c>
      <c r="J15" s="247" t="str">
        <f t="shared" si="15"/>
        <v>3Q15</v>
      </c>
      <c r="K15" s="247" t="str">
        <f t="shared" si="15"/>
        <v>4Q15</v>
      </c>
      <c r="L15" s="247" t="str">
        <f t="shared" si="15"/>
        <v>1Q16</v>
      </c>
      <c r="M15" s="247" t="str">
        <f t="shared" si="15"/>
        <v>2Q16</v>
      </c>
      <c r="N15" s="247" t="str">
        <f t="shared" si="15"/>
        <v>3Q16</v>
      </c>
      <c r="O15" s="247" t="str">
        <f t="shared" si="15"/>
        <v>4Q16</v>
      </c>
      <c r="P15" s="247" t="str">
        <f t="shared" si="15"/>
        <v>1Q17</v>
      </c>
      <c r="Q15" s="247" t="str">
        <f t="shared" si="15"/>
        <v>2Q17</v>
      </c>
      <c r="R15" s="247" t="str">
        <f t="shared" si="15"/>
        <v>3Q17</v>
      </c>
      <c r="S15" s="247" t="str">
        <f t="shared" ref="S15:AB15" si="16">S5</f>
        <v>4Q17</v>
      </c>
      <c r="T15" s="247" t="str">
        <f t="shared" si="16"/>
        <v>1Q18</v>
      </c>
      <c r="U15" s="247" t="str">
        <f t="shared" si="16"/>
        <v>2Q18</v>
      </c>
      <c r="V15" s="247" t="str">
        <f t="shared" si="16"/>
        <v>3Q18</v>
      </c>
      <c r="W15" s="247" t="str">
        <f t="shared" si="16"/>
        <v>4Q18</v>
      </c>
      <c r="X15" s="247" t="str">
        <f t="shared" si="16"/>
        <v>1Q19</v>
      </c>
      <c r="Y15" s="247" t="str">
        <f t="shared" si="16"/>
        <v>2Q19</v>
      </c>
      <c r="Z15" s="247" t="str">
        <f t="shared" si="16"/>
        <v>3Q19</v>
      </c>
      <c r="AA15" s="247" t="str">
        <f t="shared" si="16"/>
        <v>4Q19</v>
      </c>
      <c r="AB15" s="247" t="str">
        <f t="shared" si="16"/>
        <v>1Q20</v>
      </c>
      <c r="AC15" s="247" t="str">
        <f t="shared" ref="AC15:AI15" si="17">AC5</f>
        <v>2Q20</v>
      </c>
      <c r="AD15" s="247" t="str">
        <f t="shared" si="17"/>
        <v>3Q20</v>
      </c>
      <c r="AE15" s="247" t="str">
        <f t="shared" si="17"/>
        <v>4Q20</v>
      </c>
      <c r="AF15" s="247" t="str">
        <f t="shared" si="17"/>
        <v>1Q21</v>
      </c>
      <c r="AG15" s="247" t="str">
        <f t="shared" si="17"/>
        <v>2Q21</v>
      </c>
      <c r="AH15" s="247" t="str">
        <f t="shared" si="17"/>
        <v>3Q21</v>
      </c>
      <c r="AI15" s="247" t="str">
        <f t="shared" si="17"/>
        <v>4Q21</v>
      </c>
      <c r="AJ15" s="247" t="str">
        <f t="shared" ref="AJ15:AO15" si="18">AJ5</f>
        <v>1Q22</v>
      </c>
      <c r="AK15" s="247" t="str">
        <f t="shared" si="18"/>
        <v>2Q22</v>
      </c>
      <c r="AL15" s="247" t="str">
        <f t="shared" si="18"/>
        <v>3Q22</v>
      </c>
      <c r="AM15" s="247" t="str">
        <f t="shared" si="18"/>
        <v>4Q22</v>
      </c>
      <c r="AN15" s="247" t="str">
        <f t="shared" si="18"/>
        <v>1Q23</v>
      </c>
      <c r="AO15" s="247" t="str">
        <f t="shared" si="18"/>
        <v>2Q23</v>
      </c>
      <c r="AP15" s="247" t="str">
        <f t="shared" ref="AP15:AU15" si="19">AP5</f>
        <v>3Q23</v>
      </c>
      <c r="AQ15" s="247" t="str">
        <f t="shared" si="19"/>
        <v>4Q23</v>
      </c>
      <c r="AR15" s="247" t="str">
        <f t="shared" si="19"/>
        <v>1Q24</v>
      </c>
      <c r="AS15" s="247" t="str">
        <f t="shared" si="19"/>
        <v>2Q24</v>
      </c>
      <c r="AT15" s="247" t="str">
        <f t="shared" si="19"/>
        <v>3Q24</v>
      </c>
      <c r="AU15" s="247" t="str">
        <f t="shared" si="19"/>
        <v>4Q24</v>
      </c>
    </row>
    <row r="16" spans="2:47" x14ac:dyDescent="0.2">
      <c r="B16" s="130" t="s">
        <v>406</v>
      </c>
      <c r="C16" s="118">
        <f t="shared" ref="C16:J17" si="20">+C6-C11</f>
        <v>1224</v>
      </c>
      <c r="D16" s="118">
        <f t="shared" si="20"/>
        <v>3085</v>
      </c>
      <c r="E16" s="161">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f>+AU6-AU11</f>
        <v>70</v>
      </c>
    </row>
    <row r="17" spans="2:47" x14ac:dyDescent="0.2">
      <c r="B17" s="130" t="s">
        <v>407</v>
      </c>
      <c r="C17" s="118">
        <f t="shared" si="20"/>
        <v>42092</v>
      </c>
      <c r="D17" s="118">
        <f t="shared" si="20"/>
        <v>18299</v>
      </c>
      <c r="E17" s="161">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f>+AU7-AU12</f>
        <v>82452</v>
      </c>
    </row>
    <row r="18" spans="2:47" x14ac:dyDescent="0.2">
      <c r="B18" s="127" t="s">
        <v>399</v>
      </c>
      <c r="C18" s="120">
        <f t="shared" ref="C18:K18" si="26">SUM(C16:C17)</f>
        <v>43316</v>
      </c>
      <c r="D18" s="120">
        <f t="shared" si="26"/>
        <v>21384</v>
      </c>
      <c r="E18" s="163">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5">
    <pageSetUpPr autoPageBreaks="0"/>
  </sheetPr>
  <dimension ref="B1:AU25"/>
  <sheetViews>
    <sheetView showGridLines="0" zoomScaleNormal="100" workbookViewId="0">
      <pane xSplit="2" ySplit="4" topLeftCell="AJ5" activePane="bottomRight" state="frozen"/>
      <selection activeCell="Y8" sqref="Y8"/>
      <selection pane="topRight" activeCell="Y8" sqref="Y8"/>
      <selection pane="bottomLeft" activeCell="Y8" sqref="Y8"/>
      <selection pane="bottomRight" activeCell="AU5" sqref="AU5"/>
    </sheetView>
  </sheetViews>
  <sheetFormatPr defaultRowHeight="12.75" x14ac:dyDescent="0.2"/>
  <cols>
    <col min="1" max="1" width="1.42578125" customWidth="1"/>
    <col min="2" max="2" width="53.28515625" customWidth="1"/>
    <col min="3" max="3" width="11" customWidth="1"/>
    <col min="4" max="4" width="11.42578125" customWidth="1"/>
    <col min="5" max="47" width="10.7109375" customWidth="1"/>
  </cols>
  <sheetData>
    <row r="1" spans="2:47" s="551" customFormat="1" ht="7.5" customHeight="1" x14ac:dyDescent="0.2"/>
    <row r="2" spans="2:47" s="551" customFormat="1" x14ac:dyDescent="0.2"/>
    <row r="3" spans="2:47" x14ac:dyDescent="0.2">
      <c r="B3" s="41"/>
      <c r="D3" s="49"/>
      <c r="E3" s="49"/>
      <c r="F3" s="49"/>
      <c r="G3" s="49"/>
      <c r="H3" s="46"/>
      <c r="I3" s="55"/>
      <c r="J3" s="55"/>
      <c r="K3" s="55"/>
      <c r="L3" s="55"/>
      <c r="M3" s="55"/>
      <c r="N3" s="55"/>
      <c r="O3" s="55"/>
      <c r="P3" s="55"/>
      <c r="Q3" s="55"/>
      <c r="R3" s="55"/>
      <c r="S3" s="55"/>
      <c r="T3" s="55"/>
      <c r="U3" s="55"/>
      <c r="V3" s="55"/>
      <c r="W3" s="55"/>
      <c r="X3" s="824"/>
      <c r="Y3" s="824"/>
      <c r="Z3" s="824"/>
      <c r="AA3" s="824"/>
      <c r="AB3" s="824"/>
      <c r="AC3" s="824"/>
      <c r="AD3" s="824"/>
      <c r="AE3" s="824"/>
      <c r="AF3" s="824"/>
      <c r="AG3" s="560"/>
      <c r="AH3" s="560"/>
      <c r="AI3" s="560"/>
      <c r="AJ3" s="560"/>
      <c r="AK3" s="560"/>
      <c r="AL3" s="560"/>
      <c r="AM3" s="560"/>
      <c r="AN3" s="560"/>
      <c r="AO3" s="560"/>
      <c r="AP3" s="560"/>
      <c r="AQ3" s="560"/>
      <c r="AR3" s="560"/>
      <c r="AS3" s="560"/>
      <c r="AT3" s="560"/>
      <c r="AU3" s="560"/>
    </row>
    <row r="4" spans="2:47" x14ac:dyDescent="0.2">
      <c r="B4" s="41"/>
      <c r="C4" s="1250" t="s">
        <v>1435</v>
      </c>
      <c r="D4" s="1251"/>
      <c r="E4" s="225" t="s">
        <v>1439</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824"/>
      <c r="AI4" s="824"/>
      <c r="AJ4" s="824"/>
      <c r="AK4" s="824"/>
      <c r="AL4" s="824"/>
      <c r="AM4" s="824"/>
      <c r="AN4" s="824"/>
      <c r="AO4" s="824"/>
      <c r="AP4" s="824"/>
      <c r="AQ4" s="824"/>
      <c r="AR4" s="824"/>
      <c r="AS4" s="824"/>
      <c r="AT4" s="824"/>
      <c r="AU4" s="824"/>
    </row>
    <row r="5" spans="2:47" x14ac:dyDescent="0.2">
      <c r="B5" s="144" t="s">
        <v>391</v>
      </c>
      <c r="C5" s="247" t="s">
        <v>470</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x14ac:dyDescent="0.2">
      <c r="B6" s="130" t="s">
        <v>408</v>
      </c>
      <c r="C6" s="118">
        <v>345150</v>
      </c>
      <c r="D6" s="118">
        <v>308741</v>
      </c>
      <c r="E6" s="161">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row>
    <row r="7" spans="2:47" x14ac:dyDescent="0.2">
      <c r="B7" s="127" t="s">
        <v>409</v>
      </c>
      <c r="C7" s="120">
        <f t="shared" ref="C7:Q7" si="0">SUM(C6:C6)</f>
        <v>345150</v>
      </c>
      <c r="D7" s="120">
        <f t="shared" si="0"/>
        <v>308741</v>
      </c>
      <c r="E7" s="163">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row>
    <row r="8" spans="2:47" x14ac:dyDescent="0.2">
      <c r="B8" s="130" t="s">
        <v>1385</v>
      </c>
      <c r="C8" s="118" t="s">
        <v>47</v>
      </c>
      <c r="D8" s="118" t="s">
        <v>47</v>
      </c>
      <c r="E8" s="161" t="s">
        <v>47</v>
      </c>
      <c r="F8" s="118" t="s">
        <v>47</v>
      </c>
      <c r="G8" s="118" t="s">
        <v>47</v>
      </c>
      <c r="H8" s="118" t="s">
        <v>47</v>
      </c>
      <c r="I8" s="118" t="s">
        <v>47</v>
      </c>
      <c r="J8" s="118" t="s">
        <v>47</v>
      </c>
      <c r="K8" s="118" t="s">
        <v>47</v>
      </c>
      <c r="L8" s="118" t="s">
        <v>47</v>
      </c>
      <c r="M8" s="118" t="s">
        <v>47</v>
      </c>
      <c r="N8" s="118" t="s">
        <v>47</v>
      </c>
      <c r="O8" s="118" t="s">
        <v>47</v>
      </c>
      <c r="P8" s="118" t="s">
        <v>47</v>
      </c>
      <c r="Q8" s="118" t="s">
        <v>47</v>
      </c>
      <c r="R8" s="118" t="s">
        <v>47</v>
      </c>
      <c r="S8" s="118" t="s">
        <v>47</v>
      </c>
      <c r="T8" s="118" t="s">
        <v>47</v>
      </c>
      <c r="U8" s="118" t="s">
        <v>47</v>
      </c>
      <c r="V8" s="118" t="s">
        <v>47</v>
      </c>
      <c r="W8" s="118" t="s">
        <v>47</v>
      </c>
      <c r="X8" s="118" t="s">
        <v>47</v>
      </c>
      <c r="Y8" s="118" t="s">
        <v>47</v>
      </c>
      <c r="Z8" s="118" t="s">
        <v>47</v>
      </c>
      <c r="AA8" s="118" t="s">
        <v>47</v>
      </c>
      <c r="AB8" s="118" t="s">
        <v>47</v>
      </c>
      <c r="AC8" s="118" t="s">
        <v>47</v>
      </c>
      <c r="AD8" s="118" t="s">
        <v>47</v>
      </c>
      <c r="AE8" s="118" t="s">
        <v>47</v>
      </c>
      <c r="AF8" s="118" t="s">
        <v>47</v>
      </c>
      <c r="AG8" s="118" t="s">
        <v>47</v>
      </c>
      <c r="AH8" s="118" t="s">
        <v>47</v>
      </c>
      <c r="AI8" s="118" t="s">
        <v>47</v>
      </c>
      <c r="AJ8" s="118" t="s">
        <v>47</v>
      </c>
      <c r="AK8" s="118" t="s">
        <v>47</v>
      </c>
      <c r="AL8" s="118" t="s">
        <v>47</v>
      </c>
      <c r="AM8" s="118" t="s">
        <v>47</v>
      </c>
      <c r="AN8" s="118" t="s">
        <v>47</v>
      </c>
      <c r="AO8" s="118" t="s">
        <v>47</v>
      </c>
      <c r="AP8" s="118" t="s">
        <v>47</v>
      </c>
      <c r="AQ8" s="118" t="s">
        <v>47</v>
      </c>
      <c r="AR8" s="118" t="s">
        <v>47</v>
      </c>
      <c r="AS8" s="118" t="s">
        <v>47</v>
      </c>
      <c r="AT8" s="118" t="s">
        <v>47</v>
      </c>
      <c r="AU8" s="118">
        <v>10789</v>
      </c>
    </row>
    <row r="9" spans="2:47" x14ac:dyDescent="0.2">
      <c r="B9" s="130" t="s">
        <v>410</v>
      </c>
      <c r="C9" s="118">
        <v>-6725</v>
      </c>
      <c r="D9" s="118">
        <v>-7202</v>
      </c>
      <c r="E9" s="161">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2">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row>
    <row r="10" spans="2:47" x14ac:dyDescent="0.2">
      <c r="B10" s="127" t="s">
        <v>411</v>
      </c>
      <c r="C10" s="120">
        <f t="shared" ref="C10:AU10" si="4">SUM(C7:C9)</f>
        <v>338425</v>
      </c>
      <c r="D10" s="120">
        <f t="shared" si="4"/>
        <v>301539</v>
      </c>
      <c r="E10" s="163">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row>
    <row r="11" spans="2:47" s="258" customFormat="1" x14ac:dyDescent="0.2">
      <c r="B11" s="255" t="s">
        <v>412</v>
      </c>
      <c r="C11" s="259">
        <f>C10/(IncS!O6/90)</f>
        <v>53.264519175279361</v>
      </c>
      <c r="D11" s="259">
        <f>D10/(IncS!P6/90)</f>
        <v>57.289653731103819</v>
      </c>
      <c r="E11" s="260">
        <f>E10/(IncS!Q6/90)</f>
        <v>46.45261460913224</v>
      </c>
      <c r="F11" s="259">
        <f>F10/(IncS!R6/90)</f>
        <v>48.776487378098594</v>
      </c>
      <c r="G11" s="259">
        <f>G10/(IncS!S6/90)</f>
        <v>46.311248724249111</v>
      </c>
      <c r="H11" s="259">
        <f>H10/(IncS!T6/90)</f>
        <v>50.832461934759877</v>
      </c>
      <c r="I11" s="259">
        <f>I10/(IncS!U6/90)</f>
        <v>58.358331092692396</v>
      </c>
      <c r="J11" s="259">
        <f>J10/(IncS!V6/90)</f>
        <v>47.823680693430958</v>
      </c>
      <c r="K11" s="259">
        <f>K10/(IncS!W6/90)</f>
        <v>47.713316679253914</v>
      </c>
      <c r="L11" s="259">
        <f>L10/(IncS!X6/90)</f>
        <v>46.336666535887467</v>
      </c>
      <c r="M11" s="259">
        <f>M10/(IncS!Y6/90)</f>
        <v>44.110378040067964</v>
      </c>
      <c r="N11" s="259">
        <f>N10/(IncS!Z6/90)</f>
        <v>38.894306878741482</v>
      </c>
      <c r="O11" s="259">
        <f>O10/(IncS!AA6/90)</f>
        <v>44.275026198992798</v>
      </c>
      <c r="P11" s="259">
        <f>P10/(IncS!AB6/90)</f>
        <v>39.719237402548863</v>
      </c>
      <c r="Q11" s="259">
        <f>Q10/(IncS!AC6/90)</f>
        <v>35.014730035534399</v>
      </c>
      <c r="R11" s="259">
        <f>R10/(IncS!AD6/90)</f>
        <v>34.780388227402035</v>
      </c>
      <c r="S11" s="259">
        <f>S10/(IncS!AE6/90)</f>
        <v>39.037343944115563</v>
      </c>
      <c r="T11" s="259">
        <f>T10/(IncS!AF6/90)</f>
        <v>41.663506875971962</v>
      </c>
      <c r="U11" s="259">
        <f>U10/(IncS!AG6/90)</f>
        <v>43.922375863127726</v>
      </c>
      <c r="V11" s="259">
        <f>V10/(IncS!AH6/90)</f>
        <v>41.225349933842544</v>
      </c>
      <c r="W11" s="259">
        <f>W10/(IncS!AI6/90)</f>
        <v>46.313049769519438</v>
      </c>
      <c r="X11" s="259">
        <f>X10/(IncS!AJ6/90)</f>
        <v>49.646939808097962</v>
      </c>
      <c r="Y11" s="259">
        <f>Y10/(IncS!AK6/90)</f>
        <v>47.815763249532246</v>
      </c>
      <c r="Z11" s="259">
        <f>Z10/(IncS!AL6/90)</f>
        <v>48.213560576659368</v>
      </c>
      <c r="AA11" s="259">
        <f>AA10/(IncS!AM6/90)</f>
        <v>50.675232910702135</v>
      </c>
      <c r="AB11" s="259">
        <f>AB10/(IncS!AN6/90)</f>
        <v>54.307420809725244</v>
      </c>
      <c r="AC11" s="259">
        <f>AC10/(IncS!AO6/90)</f>
        <v>71.568658460625841</v>
      </c>
      <c r="AD11" s="259">
        <f>AD10/(IncS!AP6/90)</f>
        <v>50.163895693743683</v>
      </c>
      <c r="AE11" s="259">
        <f>AE10/(IncS!AQ6/90)</f>
        <v>49.36897007920826</v>
      </c>
      <c r="AF11" s="259">
        <f>AF10/(IncS!AR6/90)</f>
        <v>52.347476219140027</v>
      </c>
      <c r="AG11" s="259">
        <f>AG10/(IncS!AS6/90)</f>
        <v>60.187450597363473</v>
      </c>
      <c r="AH11" s="259">
        <f>AH10/(IncS!AT6/90)</f>
        <v>61.114199538102213</v>
      </c>
      <c r="AI11" s="259">
        <f>AI10/(IncS!AU6/90)</f>
        <v>71.782561682617512</v>
      </c>
      <c r="AJ11" s="259">
        <v>67.482475285711402</v>
      </c>
      <c r="AK11" s="259">
        <f>AK10/(IncS!AW6/90)</f>
        <v>63.808961158789771</v>
      </c>
      <c r="AL11" s="259">
        <f>AL10/(IncS!AX6/90)</f>
        <v>50.874665931595509</v>
      </c>
      <c r="AM11" s="259">
        <f>AM10/(IncS!AY6/90)</f>
        <v>55.826079891574423</v>
      </c>
      <c r="AN11" s="259">
        <f>AN10/(IncS!AZ6/90)</f>
        <v>56.070215665586787</v>
      </c>
      <c r="AO11" s="259">
        <f>AO10/(IncS!BA6/90)</f>
        <v>51.983792337188738</v>
      </c>
      <c r="AP11" s="259">
        <f>AP10/(IncS!BB6/90)</f>
        <v>47.576690603690487</v>
      </c>
      <c r="AQ11" s="259">
        <f>AQ10/(IncS!BC6/90)</f>
        <v>54.941851530098845</v>
      </c>
      <c r="AR11" s="259">
        <f>AR10/(IncS!BD6/90)</f>
        <v>54.791267344803188</v>
      </c>
      <c r="AS11" s="259">
        <f>AS10/(IncS!BE6/90)</f>
        <v>52.770403894665691</v>
      </c>
      <c r="AT11" s="259">
        <f>AT10/(IncS!BF6/90)</f>
        <v>47.646607614023388</v>
      </c>
      <c r="AU11" s="259">
        <f>AU10/(IncS!BG6/90)</f>
        <v>51.164407216993304</v>
      </c>
    </row>
    <row r="12" spans="2:47" x14ac:dyDescent="0.2">
      <c r="B12" s="150"/>
      <c r="C12" s="151">
        <f>+C10-BalSheet!R8</f>
        <v>0</v>
      </c>
      <c r="D12" s="151">
        <f>+D10-BalSheet!S8</f>
        <v>0</v>
      </c>
      <c r="E12" s="151">
        <f>+E10-BalSheet!T8</f>
        <v>0</v>
      </c>
      <c r="F12" s="151">
        <f>+F10-BalSheet!U8-BalSheet!U26</f>
        <v>0</v>
      </c>
      <c r="G12" s="151">
        <f>+G10-BalSheet!V8</f>
        <v>0</v>
      </c>
      <c r="H12" s="151">
        <f>+H10-BalSheet!W8</f>
        <v>0</v>
      </c>
      <c r="I12" s="151">
        <f>+I10-BalSheet!X8</f>
        <v>0</v>
      </c>
      <c r="J12" s="151">
        <f>+J10-BalSheet!Y8</f>
        <v>0</v>
      </c>
      <c r="K12" s="151">
        <f>+K10-BalSheet!Z8</f>
        <v>0</v>
      </c>
      <c r="L12" s="151">
        <f>+L10-BalSheet!AA8</f>
        <v>0</v>
      </c>
      <c r="M12" s="151">
        <f>+M10-BalSheet!AB8</f>
        <v>0</v>
      </c>
      <c r="N12" s="151">
        <f>+N10-BalSheet!AC8</f>
        <v>0</v>
      </c>
      <c r="O12" s="151">
        <f>+O10-BalSheet!AD8</f>
        <v>0</v>
      </c>
      <c r="P12" s="151">
        <f>+P10-BalSheet!AE8</f>
        <v>0</v>
      </c>
      <c r="Q12" s="151">
        <f>+Q10-BalSheet!AF8</f>
        <v>0</v>
      </c>
      <c r="R12" s="151">
        <f>+R10-BalSheet!AG8</f>
        <v>0</v>
      </c>
      <c r="S12" s="151">
        <f>+S10-BalSheet!AH8</f>
        <v>0</v>
      </c>
      <c r="T12" s="151">
        <f>+T10-BalSheet!AI8</f>
        <v>0</v>
      </c>
      <c r="U12" s="151">
        <f>+U10-BalSheet!AJ8</f>
        <v>0</v>
      </c>
      <c r="V12" s="151">
        <v>0</v>
      </c>
      <c r="W12" s="151">
        <v>0</v>
      </c>
      <c r="X12" s="151">
        <v>0</v>
      </c>
      <c r="Y12" s="151"/>
      <c r="Z12" s="151"/>
      <c r="AA12" s="151">
        <v>0</v>
      </c>
      <c r="AB12" s="151">
        <v>0</v>
      </c>
      <c r="AC12" s="151">
        <v>0</v>
      </c>
      <c r="AD12" s="151">
        <v>0</v>
      </c>
      <c r="AE12" s="151">
        <v>0</v>
      </c>
      <c r="AF12" s="151">
        <v>0</v>
      </c>
      <c r="AG12" s="151">
        <v>0</v>
      </c>
      <c r="AH12" s="151">
        <v>0</v>
      </c>
      <c r="AI12" s="151"/>
      <c r="AJ12" s="151">
        <v>0</v>
      </c>
      <c r="AK12" s="151">
        <v>0</v>
      </c>
      <c r="AL12" s="151">
        <v>0</v>
      </c>
      <c r="AM12" s="151">
        <v>0</v>
      </c>
      <c r="AN12" s="151">
        <v>0</v>
      </c>
      <c r="AO12" s="151">
        <v>0</v>
      </c>
      <c r="AP12" s="151">
        <v>0</v>
      </c>
      <c r="AQ12" s="151">
        <v>0</v>
      </c>
      <c r="AR12" s="151">
        <v>0</v>
      </c>
      <c r="AS12" s="151">
        <v>0</v>
      </c>
      <c r="AT12" s="151">
        <v>0</v>
      </c>
      <c r="AU12" s="151">
        <v>0</v>
      </c>
    </row>
    <row r="13" spans="2:47" x14ac:dyDescent="0.2">
      <c r="B13" s="144" t="s">
        <v>397</v>
      </c>
      <c r="C13" s="247" t="str">
        <f t="shared" ref="C13:AU13" si="6">C5</f>
        <v>4Q13</v>
      </c>
      <c r="D13" s="247" t="str">
        <f t="shared" si="6"/>
        <v>1Q14</v>
      </c>
      <c r="E13" s="247" t="str">
        <f t="shared" si="6"/>
        <v>2Q14</v>
      </c>
      <c r="F13" s="247" t="str">
        <f t="shared" si="6"/>
        <v>3Q14</v>
      </c>
      <c r="G13" s="247" t="str">
        <f t="shared" si="6"/>
        <v>4Q14</v>
      </c>
      <c r="H13" s="247" t="str">
        <f t="shared" si="6"/>
        <v>1Q15</v>
      </c>
      <c r="I13" s="247" t="str">
        <f t="shared" si="6"/>
        <v>2Q15</v>
      </c>
      <c r="J13" s="247" t="str">
        <f t="shared" si="6"/>
        <v>3Q15</v>
      </c>
      <c r="K13" s="247" t="str">
        <f t="shared" si="6"/>
        <v>4Q15</v>
      </c>
      <c r="L13" s="247" t="str">
        <f t="shared" si="6"/>
        <v>1Q16</v>
      </c>
      <c r="M13" s="247" t="str">
        <f t="shared" si="6"/>
        <v>2Q16</v>
      </c>
      <c r="N13" s="247" t="str">
        <f t="shared" si="6"/>
        <v>3Q16</v>
      </c>
      <c r="O13" s="247" t="str">
        <f t="shared" si="6"/>
        <v>4Q16</v>
      </c>
      <c r="P13" s="247" t="str">
        <f t="shared" si="6"/>
        <v>1Q17</v>
      </c>
      <c r="Q13" s="247" t="str">
        <f t="shared" si="6"/>
        <v>2Q17</v>
      </c>
      <c r="R13" s="247" t="str">
        <f t="shared" si="6"/>
        <v>3Q17</v>
      </c>
      <c r="S13" s="247" t="str">
        <f t="shared" si="6"/>
        <v>4Q17</v>
      </c>
      <c r="T13" s="247" t="str">
        <f t="shared" si="6"/>
        <v>1Q18</v>
      </c>
      <c r="U13" s="247" t="str">
        <f t="shared" si="6"/>
        <v>2Q18</v>
      </c>
      <c r="V13" s="247" t="str">
        <f t="shared" si="6"/>
        <v>3Q18</v>
      </c>
      <c r="W13" s="247" t="str">
        <f t="shared" si="6"/>
        <v>4Q18</v>
      </c>
      <c r="X13" s="247" t="str">
        <f t="shared" si="6"/>
        <v>1Q19</v>
      </c>
      <c r="Y13" s="247" t="str">
        <f t="shared" si="6"/>
        <v>2Q19</v>
      </c>
      <c r="Z13" s="247" t="str">
        <f t="shared" si="6"/>
        <v>3Q19</v>
      </c>
      <c r="AA13" s="247" t="str">
        <f t="shared" si="6"/>
        <v>4Q19</v>
      </c>
      <c r="AB13" s="247" t="str">
        <f t="shared" si="6"/>
        <v>1Q20</v>
      </c>
      <c r="AC13" s="247" t="str">
        <f t="shared" si="6"/>
        <v>2Q20</v>
      </c>
      <c r="AD13" s="247" t="str">
        <f t="shared" si="6"/>
        <v>3Q20</v>
      </c>
      <c r="AE13" s="247" t="str">
        <f t="shared" si="6"/>
        <v>4Q20</v>
      </c>
      <c r="AF13" s="247" t="str">
        <f t="shared" si="6"/>
        <v>1Q21</v>
      </c>
      <c r="AG13" s="247" t="str">
        <f t="shared" si="6"/>
        <v>2Q21</v>
      </c>
      <c r="AH13" s="247" t="str">
        <f t="shared" si="6"/>
        <v>3Q21</v>
      </c>
      <c r="AI13" s="247" t="str">
        <f t="shared" si="6"/>
        <v>4Q21</v>
      </c>
      <c r="AJ13" s="247" t="str">
        <f t="shared" si="6"/>
        <v>1Q22</v>
      </c>
      <c r="AK13" s="247" t="str">
        <f t="shared" si="6"/>
        <v>2Q22</v>
      </c>
      <c r="AL13" s="247" t="str">
        <f t="shared" si="6"/>
        <v>3Q22</v>
      </c>
      <c r="AM13" s="247" t="str">
        <f t="shared" si="6"/>
        <v>4Q22</v>
      </c>
      <c r="AN13" s="247" t="str">
        <f t="shared" si="6"/>
        <v>1Q23</v>
      </c>
      <c r="AO13" s="247" t="str">
        <f t="shared" si="6"/>
        <v>2Q23</v>
      </c>
      <c r="AP13" s="247" t="str">
        <f t="shared" si="6"/>
        <v>3Q23</v>
      </c>
      <c r="AQ13" s="247" t="str">
        <f t="shared" si="6"/>
        <v>4Q23</v>
      </c>
      <c r="AR13" s="247" t="str">
        <f t="shared" si="6"/>
        <v>1Q24</v>
      </c>
      <c r="AS13" s="247" t="str">
        <f t="shared" si="6"/>
        <v>2Q24</v>
      </c>
      <c r="AT13" s="247" t="str">
        <f t="shared" si="6"/>
        <v>3Q24</v>
      </c>
      <c r="AU13" s="247" t="str">
        <f t="shared" si="6"/>
        <v>4Q24</v>
      </c>
    </row>
    <row r="14" spans="2:47" x14ac:dyDescent="0.2">
      <c r="B14" s="130" t="s">
        <v>408</v>
      </c>
      <c r="C14" s="118">
        <v>207766</v>
      </c>
      <c r="D14" s="118">
        <v>171790</v>
      </c>
      <c r="E14" s="161">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row>
    <row r="15" spans="2:47" x14ac:dyDescent="0.2">
      <c r="B15" s="127" t="s">
        <v>409</v>
      </c>
      <c r="C15" s="120">
        <f t="shared" ref="C15:L15" si="7">SUM(C14:C14)</f>
        <v>207766</v>
      </c>
      <c r="D15" s="120">
        <f t="shared" si="7"/>
        <v>171790</v>
      </c>
      <c r="E15" s="163">
        <f t="shared" si="7"/>
        <v>190607</v>
      </c>
      <c r="F15" s="120">
        <f t="shared" si="7"/>
        <v>209969</v>
      </c>
      <c r="G15" s="120">
        <f t="shared" si="7"/>
        <v>224339</v>
      </c>
      <c r="H15" s="120">
        <f t="shared" si="7"/>
        <v>175404</v>
      </c>
      <c r="I15" s="120">
        <f t="shared" si="7"/>
        <v>188896</v>
      </c>
      <c r="J15" s="120">
        <f t="shared" si="7"/>
        <v>147386</v>
      </c>
      <c r="K15" s="120">
        <f t="shared" si="7"/>
        <v>156121</v>
      </c>
      <c r="L15" s="120">
        <f t="shared" si="7"/>
        <v>116865</v>
      </c>
      <c r="M15" s="120">
        <f t="shared" ref="M15:AA15" si="8">SUM(M14:M14)</f>
        <v>123475</v>
      </c>
      <c r="N15" s="120">
        <f t="shared" si="8"/>
        <v>114780</v>
      </c>
      <c r="O15" s="120">
        <f t="shared" si="8"/>
        <v>140973</v>
      </c>
      <c r="P15" s="120">
        <f t="shared" si="8"/>
        <v>107485</v>
      </c>
      <c r="Q15" s="120">
        <f t="shared" si="8"/>
        <v>113929</v>
      </c>
      <c r="R15" s="120">
        <f t="shared" si="8"/>
        <v>129023</v>
      </c>
      <c r="S15" s="120">
        <f t="shared" si="8"/>
        <v>146163</v>
      </c>
      <c r="T15" s="120">
        <f t="shared" si="8"/>
        <v>127469</v>
      </c>
      <c r="U15" s="120">
        <f t="shared" si="8"/>
        <v>152846</v>
      </c>
      <c r="V15" s="120">
        <f t="shared" si="8"/>
        <v>163315</v>
      </c>
      <c r="W15" s="120">
        <f t="shared" si="8"/>
        <v>195622</v>
      </c>
      <c r="X15" s="120">
        <f t="shared" si="8"/>
        <v>171213</v>
      </c>
      <c r="Y15" s="120">
        <f t="shared" si="8"/>
        <v>181060</v>
      </c>
      <c r="Z15" s="120">
        <f t="shared" si="8"/>
        <v>184129</v>
      </c>
      <c r="AA15" s="120">
        <f t="shared" si="8"/>
        <v>220639</v>
      </c>
      <c r="AB15" s="120">
        <f t="shared" ref="AB15:AH15" si="9">SUM(AB14:AB14)</f>
        <v>167760</v>
      </c>
      <c r="AC15" s="120">
        <f t="shared" si="9"/>
        <v>78450</v>
      </c>
      <c r="AD15" s="120">
        <f t="shared" si="9"/>
        <v>160873</v>
      </c>
      <c r="AE15" s="120">
        <f t="shared" si="9"/>
        <v>176348</v>
      </c>
      <c r="AF15" s="120">
        <f t="shared" si="9"/>
        <v>142264</v>
      </c>
      <c r="AG15" s="120">
        <f t="shared" si="9"/>
        <v>147023</v>
      </c>
      <c r="AH15" s="120">
        <f t="shared" si="9"/>
        <v>132850</v>
      </c>
      <c r="AI15" s="120">
        <f t="shared" ref="AI15:AN15" si="10">SUM(AI14:AI14)</f>
        <v>217645</v>
      </c>
      <c r="AJ15" s="120">
        <f t="shared" si="10"/>
        <v>149507</v>
      </c>
      <c r="AK15" s="120">
        <f t="shared" si="10"/>
        <v>204452</v>
      </c>
      <c r="AL15" s="120">
        <f t="shared" si="10"/>
        <v>243845</v>
      </c>
      <c r="AM15" s="120">
        <f t="shared" si="10"/>
        <v>269179</v>
      </c>
      <c r="AN15" s="120">
        <f t="shared" si="10"/>
        <v>207164</v>
      </c>
      <c r="AO15" s="120">
        <f t="shared" ref="AO15:AU15" si="11">SUM(AO14:AO14)</f>
        <v>214788</v>
      </c>
      <c r="AP15" s="120">
        <f t="shared" si="11"/>
        <v>229736</v>
      </c>
      <c r="AQ15" s="120">
        <f t="shared" si="11"/>
        <v>294342</v>
      </c>
      <c r="AR15" s="120">
        <f t="shared" si="11"/>
        <v>231773</v>
      </c>
      <c r="AS15" s="120">
        <f t="shared" si="11"/>
        <v>292725</v>
      </c>
      <c r="AT15" s="120">
        <f t="shared" si="11"/>
        <v>345747</v>
      </c>
      <c r="AU15" s="120">
        <f t="shared" si="11"/>
        <v>386285</v>
      </c>
    </row>
    <row r="16" spans="2:47" x14ac:dyDescent="0.2">
      <c r="B16" s="130" t="s">
        <v>1385</v>
      </c>
      <c r="C16" s="118" t="s">
        <v>47</v>
      </c>
      <c r="D16" s="118" t="s">
        <v>47</v>
      </c>
      <c r="E16" s="161" t="s">
        <v>47</v>
      </c>
      <c r="F16" s="118" t="s">
        <v>47</v>
      </c>
      <c r="G16" s="118" t="s">
        <v>47</v>
      </c>
      <c r="H16" s="118" t="s">
        <v>47</v>
      </c>
      <c r="I16" s="118" t="s">
        <v>47</v>
      </c>
      <c r="J16" s="118" t="s">
        <v>47</v>
      </c>
      <c r="K16" s="118" t="s">
        <v>47</v>
      </c>
      <c r="L16" s="118" t="s">
        <v>47</v>
      </c>
      <c r="M16" s="118" t="s">
        <v>47</v>
      </c>
      <c r="N16" s="118" t="s">
        <v>47</v>
      </c>
      <c r="O16" s="118" t="s">
        <v>47</v>
      </c>
      <c r="P16" s="118" t="s">
        <v>47</v>
      </c>
      <c r="Q16" s="118" t="s">
        <v>47</v>
      </c>
      <c r="R16" s="118" t="s">
        <v>47</v>
      </c>
      <c r="S16" s="118" t="s">
        <v>47</v>
      </c>
      <c r="T16" s="118" t="s">
        <v>47</v>
      </c>
      <c r="U16" s="118" t="s">
        <v>47</v>
      </c>
      <c r="V16" s="118" t="s">
        <v>47</v>
      </c>
      <c r="W16" s="118" t="s">
        <v>47</v>
      </c>
      <c r="X16" s="118" t="s">
        <v>47</v>
      </c>
      <c r="Y16" s="118" t="s">
        <v>47</v>
      </c>
      <c r="Z16" s="118" t="s">
        <v>47</v>
      </c>
      <c r="AA16" s="118" t="s">
        <v>47</v>
      </c>
      <c r="AB16" s="118" t="s">
        <v>47</v>
      </c>
      <c r="AC16" s="118" t="s">
        <v>47</v>
      </c>
      <c r="AD16" s="118" t="s">
        <v>47</v>
      </c>
      <c r="AE16" s="118" t="s">
        <v>47</v>
      </c>
      <c r="AF16" s="118" t="s">
        <v>47</v>
      </c>
      <c r="AG16" s="118" t="s">
        <v>47</v>
      </c>
      <c r="AH16" s="118" t="s">
        <v>47</v>
      </c>
      <c r="AI16" s="118" t="s">
        <v>47</v>
      </c>
      <c r="AJ16" s="118" t="s">
        <v>47</v>
      </c>
      <c r="AK16" s="118" t="s">
        <v>47</v>
      </c>
      <c r="AL16" s="118" t="s">
        <v>47</v>
      </c>
      <c r="AM16" s="118" t="s">
        <v>47</v>
      </c>
      <c r="AN16" s="118" t="s">
        <v>47</v>
      </c>
      <c r="AO16" s="118" t="s">
        <v>47</v>
      </c>
      <c r="AP16" s="118" t="s">
        <v>47</v>
      </c>
      <c r="AQ16" s="118" t="s">
        <v>47</v>
      </c>
      <c r="AR16" s="118" t="s">
        <v>47</v>
      </c>
      <c r="AS16" s="118" t="s">
        <v>47</v>
      </c>
      <c r="AT16" s="118" t="s">
        <v>47</v>
      </c>
      <c r="AU16" s="118">
        <v>10789</v>
      </c>
    </row>
    <row r="17" spans="2:47" x14ac:dyDescent="0.2">
      <c r="B17" s="130" t="s">
        <v>410</v>
      </c>
      <c r="C17" s="118">
        <v>-2247</v>
      </c>
      <c r="D17" s="118">
        <v>-2569</v>
      </c>
      <c r="E17" s="161">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-2974</v>
      </c>
      <c r="AJ17" s="118">
        <v>-911</v>
      </c>
      <c r="AK17" s="118">
        <v>-929</v>
      </c>
      <c r="AL17" s="118">
        <v>-858</v>
      </c>
      <c r="AM17" s="118">
        <v>-797</v>
      </c>
      <c r="AN17" s="118">
        <v>-769</v>
      </c>
      <c r="AO17" s="118">
        <v>-1092</v>
      </c>
      <c r="AP17" s="118">
        <v>-1059</v>
      </c>
      <c r="AQ17" s="118">
        <v>-1048</v>
      </c>
      <c r="AR17" s="118">
        <v>-1125</v>
      </c>
      <c r="AS17" s="118">
        <v>-1270</v>
      </c>
      <c r="AT17" s="118">
        <v>-1887</v>
      </c>
      <c r="AU17" s="118">
        <v>-2974</v>
      </c>
    </row>
    <row r="18" spans="2:47" x14ac:dyDescent="0.2">
      <c r="B18" s="127" t="s">
        <v>411</v>
      </c>
      <c r="C18" s="120">
        <f t="shared" ref="C18:L18" si="12">SUM(C15:C17)</f>
        <v>205519</v>
      </c>
      <c r="D18" s="120">
        <f t="shared" si="12"/>
        <v>169221</v>
      </c>
      <c r="E18" s="163">
        <f t="shared" si="12"/>
        <v>187369</v>
      </c>
      <c r="F18" s="120">
        <f t="shared" si="12"/>
        <v>195868</v>
      </c>
      <c r="G18" s="120">
        <f t="shared" si="12"/>
        <v>211250</v>
      </c>
      <c r="H18" s="120">
        <f t="shared" si="12"/>
        <v>162529</v>
      </c>
      <c r="I18" s="120">
        <f t="shared" si="12"/>
        <v>177486</v>
      </c>
      <c r="J18" s="120">
        <f t="shared" si="12"/>
        <v>135671</v>
      </c>
      <c r="K18" s="120">
        <f t="shared" si="12"/>
        <v>143671</v>
      </c>
      <c r="L18" s="120">
        <f t="shared" si="12"/>
        <v>104350</v>
      </c>
      <c r="M18" s="120">
        <f t="shared" ref="M18:AA18" si="13">SUM(M15:M17)</f>
        <v>111069</v>
      </c>
      <c r="N18" s="120">
        <f t="shared" si="13"/>
        <v>102375</v>
      </c>
      <c r="O18" s="120">
        <f t="shared" si="13"/>
        <v>128601</v>
      </c>
      <c r="P18" s="120">
        <f t="shared" si="13"/>
        <v>95109</v>
      </c>
      <c r="Q18" s="120">
        <f t="shared" si="13"/>
        <v>101549</v>
      </c>
      <c r="R18" s="120">
        <f t="shared" si="13"/>
        <v>116710</v>
      </c>
      <c r="S18" s="120">
        <f t="shared" si="13"/>
        <v>146052</v>
      </c>
      <c r="T18" s="120">
        <f t="shared" si="13"/>
        <v>127301</v>
      </c>
      <c r="U18" s="120">
        <f t="shared" si="13"/>
        <v>152787</v>
      </c>
      <c r="V18" s="120">
        <f t="shared" si="13"/>
        <v>163251</v>
      </c>
      <c r="W18" s="120">
        <f t="shared" si="13"/>
        <v>195543</v>
      </c>
      <c r="X18" s="120">
        <f t="shared" si="13"/>
        <v>171055</v>
      </c>
      <c r="Y18" s="120">
        <f t="shared" si="13"/>
        <v>180982</v>
      </c>
      <c r="Z18" s="120">
        <f t="shared" si="13"/>
        <v>183965</v>
      </c>
      <c r="AA18" s="120">
        <f t="shared" si="13"/>
        <v>220464</v>
      </c>
      <c r="AB18" s="120">
        <f t="shared" ref="AB18:AH18" si="14">SUM(AB15:AB17)</f>
        <v>167664</v>
      </c>
      <c r="AC18" s="120">
        <f t="shared" si="14"/>
        <v>78292</v>
      </c>
      <c r="AD18" s="120">
        <f t="shared" si="14"/>
        <v>160598</v>
      </c>
      <c r="AE18" s="120">
        <f t="shared" si="14"/>
        <v>176106</v>
      </c>
      <c r="AF18" s="120">
        <f t="shared" si="14"/>
        <v>141931</v>
      </c>
      <c r="AG18" s="120">
        <f t="shared" si="14"/>
        <v>146653</v>
      </c>
      <c r="AH18" s="120">
        <f t="shared" si="14"/>
        <v>132360</v>
      </c>
      <c r="AI18" s="120">
        <f t="shared" ref="AI18:AN18" si="15">SUM(AI15:AI17)</f>
        <v>214671</v>
      </c>
      <c r="AJ18" s="120">
        <f t="shared" si="15"/>
        <v>148596</v>
      </c>
      <c r="AK18" s="120">
        <f t="shared" si="15"/>
        <v>203523</v>
      </c>
      <c r="AL18" s="120">
        <f t="shared" si="15"/>
        <v>242987</v>
      </c>
      <c r="AM18" s="120">
        <f t="shared" si="15"/>
        <v>268382</v>
      </c>
      <c r="AN18" s="120">
        <f t="shared" si="15"/>
        <v>206395</v>
      </c>
      <c r="AO18" s="120">
        <f t="shared" ref="AO18:AU18" si="16">SUM(AO15:AO17)</f>
        <v>213696</v>
      </c>
      <c r="AP18" s="120">
        <f t="shared" si="16"/>
        <v>228677</v>
      </c>
      <c r="AQ18" s="120">
        <f t="shared" si="16"/>
        <v>293294</v>
      </c>
      <c r="AR18" s="120">
        <f t="shared" si="16"/>
        <v>230648</v>
      </c>
      <c r="AS18" s="120">
        <f t="shared" si="16"/>
        <v>291455</v>
      </c>
      <c r="AT18" s="120">
        <f t="shared" si="16"/>
        <v>343860</v>
      </c>
      <c r="AU18" s="120">
        <f t="shared" si="16"/>
        <v>394100</v>
      </c>
    </row>
    <row r="19" spans="2:47" x14ac:dyDescent="0.2">
      <c r="B19" s="148"/>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row>
    <row r="20" spans="2:47" x14ac:dyDescent="0.2">
      <c r="B20" s="144" t="s">
        <v>401</v>
      </c>
      <c r="C20" s="247" t="str">
        <f t="shared" ref="C20:U20" si="17">C5</f>
        <v>4Q13</v>
      </c>
      <c r="D20" s="247" t="str">
        <f t="shared" si="17"/>
        <v>1Q14</v>
      </c>
      <c r="E20" s="247" t="str">
        <f t="shared" si="17"/>
        <v>2Q14</v>
      </c>
      <c r="F20" s="247" t="str">
        <f t="shared" si="17"/>
        <v>3Q14</v>
      </c>
      <c r="G20" s="247" t="str">
        <f t="shared" si="17"/>
        <v>4Q14</v>
      </c>
      <c r="H20" s="247" t="str">
        <f t="shared" si="17"/>
        <v>1Q15</v>
      </c>
      <c r="I20" s="247" t="str">
        <f t="shared" si="17"/>
        <v>2Q15</v>
      </c>
      <c r="J20" s="247" t="str">
        <f t="shared" si="17"/>
        <v>3Q15</v>
      </c>
      <c r="K20" s="247" t="str">
        <f t="shared" si="17"/>
        <v>4Q15</v>
      </c>
      <c r="L20" s="247" t="str">
        <f t="shared" si="17"/>
        <v>1Q16</v>
      </c>
      <c r="M20" s="247" t="str">
        <f t="shared" si="17"/>
        <v>2Q16</v>
      </c>
      <c r="N20" s="247" t="str">
        <f t="shared" si="17"/>
        <v>3Q16</v>
      </c>
      <c r="O20" s="247" t="str">
        <f t="shared" si="17"/>
        <v>4Q16</v>
      </c>
      <c r="P20" s="247" t="str">
        <f t="shared" si="17"/>
        <v>1Q17</v>
      </c>
      <c r="Q20" s="247" t="str">
        <f t="shared" si="17"/>
        <v>2Q17</v>
      </c>
      <c r="R20" s="247" t="str">
        <f t="shared" si="17"/>
        <v>3Q17</v>
      </c>
      <c r="S20" s="247" t="str">
        <f t="shared" si="17"/>
        <v>4Q17</v>
      </c>
      <c r="T20" s="247" t="str">
        <f t="shared" si="17"/>
        <v>1Q18</v>
      </c>
      <c r="U20" s="247" t="str">
        <f t="shared" si="17"/>
        <v>2Q18</v>
      </c>
      <c r="V20" s="247" t="s">
        <v>161</v>
      </c>
      <c r="W20" s="247" t="str">
        <f t="shared" ref="W20:AU20" si="18">W5</f>
        <v>4Q18</v>
      </c>
      <c r="X20" s="247" t="str">
        <f t="shared" si="18"/>
        <v>1Q19</v>
      </c>
      <c r="Y20" s="247" t="str">
        <f t="shared" si="18"/>
        <v>2Q19</v>
      </c>
      <c r="Z20" s="247" t="str">
        <f t="shared" si="18"/>
        <v>3Q19</v>
      </c>
      <c r="AA20" s="247" t="str">
        <f t="shared" si="18"/>
        <v>4Q19</v>
      </c>
      <c r="AB20" s="247" t="str">
        <f t="shared" si="18"/>
        <v>1Q20</v>
      </c>
      <c r="AC20" s="247" t="str">
        <f t="shared" si="18"/>
        <v>2Q20</v>
      </c>
      <c r="AD20" s="247" t="str">
        <f t="shared" si="18"/>
        <v>3Q20</v>
      </c>
      <c r="AE20" s="247" t="str">
        <f t="shared" si="18"/>
        <v>4Q20</v>
      </c>
      <c r="AF20" s="247" t="str">
        <f t="shared" si="18"/>
        <v>1Q21</v>
      </c>
      <c r="AG20" s="247" t="str">
        <f t="shared" si="18"/>
        <v>2Q21</v>
      </c>
      <c r="AH20" s="247" t="str">
        <f t="shared" si="18"/>
        <v>3Q21</v>
      </c>
      <c r="AI20" s="247" t="str">
        <f t="shared" si="18"/>
        <v>4Q21</v>
      </c>
      <c r="AJ20" s="247" t="str">
        <f t="shared" si="18"/>
        <v>1Q22</v>
      </c>
      <c r="AK20" s="247" t="str">
        <f t="shared" si="18"/>
        <v>2Q22</v>
      </c>
      <c r="AL20" s="247" t="str">
        <f t="shared" si="18"/>
        <v>3Q22</v>
      </c>
      <c r="AM20" s="247" t="str">
        <f t="shared" si="18"/>
        <v>4Q22</v>
      </c>
      <c r="AN20" s="247" t="str">
        <f t="shared" si="18"/>
        <v>1Q23</v>
      </c>
      <c r="AO20" s="247" t="str">
        <f t="shared" si="18"/>
        <v>2Q23</v>
      </c>
      <c r="AP20" s="247" t="str">
        <f t="shared" si="18"/>
        <v>3Q23</v>
      </c>
      <c r="AQ20" s="247" t="str">
        <f t="shared" si="18"/>
        <v>4Q23</v>
      </c>
      <c r="AR20" s="247" t="str">
        <f t="shared" si="18"/>
        <v>1Q24</v>
      </c>
      <c r="AS20" s="247" t="str">
        <f t="shared" si="18"/>
        <v>2Q24</v>
      </c>
      <c r="AT20" s="247" t="str">
        <f t="shared" si="18"/>
        <v>3Q24</v>
      </c>
      <c r="AU20" s="247" t="str">
        <f t="shared" si="18"/>
        <v>4Q24</v>
      </c>
    </row>
    <row r="21" spans="2:47" x14ac:dyDescent="0.2">
      <c r="B21" s="130" t="s">
        <v>408</v>
      </c>
      <c r="C21" s="118">
        <f t="shared" ref="C21:N21" si="19">+C6-C14</f>
        <v>137384</v>
      </c>
      <c r="D21" s="118">
        <f t="shared" si="19"/>
        <v>136951</v>
      </c>
      <c r="E21" s="161">
        <f t="shared" si="19"/>
        <v>74402</v>
      </c>
      <c r="F21" s="118">
        <f t="shared" si="19"/>
        <v>67720</v>
      </c>
      <c r="G21" s="118">
        <f t="shared" si="19"/>
        <v>45270</v>
      </c>
      <c r="H21" s="118">
        <f t="shared" si="19"/>
        <v>39450</v>
      </c>
      <c r="I21" s="118">
        <f t="shared" si="19"/>
        <v>48243</v>
      </c>
      <c r="J21" s="118">
        <f t="shared" si="19"/>
        <v>51347</v>
      </c>
      <c r="K21" s="118">
        <f t="shared" si="19"/>
        <v>48684</v>
      </c>
      <c r="L21" s="118">
        <f t="shared" si="19"/>
        <v>30219</v>
      </c>
      <c r="M21" s="118">
        <f t="shared" si="19"/>
        <v>32994</v>
      </c>
      <c r="N21" s="118">
        <f t="shared" si="19"/>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0">+AB6-AB14</f>
        <v>40834</v>
      </c>
      <c r="AC21" s="118">
        <f t="shared" si="20"/>
        <v>49205</v>
      </c>
      <c r="AD21" s="118">
        <f t="shared" si="20"/>
        <v>39166</v>
      </c>
      <c r="AE21" s="118">
        <f t="shared" si="20"/>
        <v>36078</v>
      </c>
      <c r="AF21" s="118">
        <f t="shared" si="20"/>
        <v>27291</v>
      </c>
      <c r="AG21" s="118">
        <f t="shared" si="20"/>
        <v>50538</v>
      </c>
      <c r="AH21" s="118">
        <f t="shared" si="20"/>
        <v>64354</v>
      </c>
      <c r="AI21" s="118">
        <f t="shared" si="20"/>
        <v>85955</v>
      </c>
      <c r="AJ21" s="118">
        <v>75216</v>
      </c>
      <c r="AK21" s="118">
        <v>63082</v>
      </c>
      <c r="AL21" s="118">
        <f t="shared" ref="AL21:AU21" si="21">+AL6-AL14</f>
        <v>46261</v>
      </c>
      <c r="AM21" s="118">
        <f t="shared" si="21"/>
        <v>45906</v>
      </c>
      <c r="AN21" s="118">
        <f t="shared" si="21"/>
        <v>54090</v>
      </c>
      <c r="AO21" s="118">
        <f t="shared" si="21"/>
        <v>50870</v>
      </c>
      <c r="AP21" s="118">
        <f t="shared" si="21"/>
        <v>52781</v>
      </c>
      <c r="AQ21" s="118">
        <f t="shared" si="21"/>
        <v>52961</v>
      </c>
      <c r="AR21" s="118">
        <f t="shared" si="21"/>
        <v>64234</v>
      </c>
      <c r="AS21" s="118">
        <v>52169</v>
      </c>
      <c r="AT21" s="118">
        <f t="shared" si="21"/>
        <v>52148</v>
      </c>
      <c r="AU21" s="118">
        <f t="shared" si="21"/>
        <v>44247</v>
      </c>
    </row>
    <row r="22" spans="2:47" x14ac:dyDescent="0.2">
      <c r="B22" s="127" t="s">
        <v>409</v>
      </c>
      <c r="C22" s="120">
        <f t="shared" ref="C22:K22" si="22">SUM(C21:C21)</f>
        <v>137384</v>
      </c>
      <c r="D22" s="120">
        <f t="shared" si="22"/>
        <v>136951</v>
      </c>
      <c r="E22" s="163">
        <f t="shared" si="22"/>
        <v>74402</v>
      </c>
      <c r="F22" s="120">
        <f t="shared" si="22"/>
        <v>67720</v>
      </c>
      <c r="G22" s="120">
        <f t="shared" si="22"/>
        <v>45270</v>
      </c>
      <c r="H22" s="120">
        <f t="shared" si="22"/>
        <v>39450</v>
      </c>
      <c r="I22" s="120">
        <f t="shared" si="22"/>
        <v>48243</v>
      </c>
      <c r="J22" s="120">
        <f t="shared" si="22"/>
        <v>51347</v>
      </c>
      <c r="K22" s="120">
        <f t="shared" si="22"/>
        <v>48684</v>
      </c>
      <c r="L22" s="120">
        <f t="shared" ref="L22:Y22" si="23">SUM(L21:L21)</f>
        <v>30219</v>
      </c>
      <c r="M22" s="120">
        <f t="shared" si="23"/>
        <v>32994</v>
      </c>
      <c r="N22" s="120">
        <f t="shared" si="23"/>
        <v>28974</v>
      </c>
      <c r="O22" s="120">
        <f t="shared" si="23"/>
        <v>31354</v>
      </c>
      <c r="P22" s="120">
        <f t="shared" si="23"/>
        <v>26886</v>
      </c>
      <c r="Q22" s="120">
        <f t="shared" si="23"/>
        <v>27531</v>
      </c>
      <c r="R22" s="120">
        <f t="shared" si="23"/>
        <v>26550</v>
      </c>
      <c r="S22" s="120">
        <f t="shared" si="23"/>
        <v>26985</v>
      </c>
      <c r="T22" s="120">
        <f t="shared" si="23"/>
        <v>23892</v>
      </c>
      <c r="U22" s="120">
        <f t="shared" si="23"/>
        <v>23942</v>
      </c>
      <c r="V22" s="120">
        <f t="shared" si="23"/>
        <v>28354</v>
      </c>
      <c r="W22" s="120">
        <f t="shared" si="23"/>
        <v>33543</v>
      </c>
      <c r="X22" s="120">
        <f t="shared" si="23"/>
        <v>34406</v>
      </c>
      <c r="Y22" s="120">
        <f t="shared" si="23"/>
        <v>35733</v>
      </c>
      <c r="Z22" s="120">
        <f t="shared" ref="Z22:AE22" si="24">SUM(Z21:Z21)</f>
        <v>39691</v>
      </c>
      <c r="AA22" s="120">
        <f t="shared" si="24"/>
        <v>40756</v>
      </c>
      <c r="AB22" s="120">
        <f t="shared" si="24"/>
        <v>40834</v>
      </c>
      <c r="AC22" s="120">
        <f t="shared" si="24"/>
        <v>49205</v>
      </c>
      <c r="AD22" s="120">
        <f t="shared" si="24"/>
        <v>39166</v>
      </c>
      <c r="AE22" s="120">
        <f t="shared" si="24"/>
        <v>36078</v>
      </c>
      <c r="AF22" s="120">
        <f t="shared" ref="AF22:AK22" si="25">SUM(AF21:AF21)</f>
        <v>27291</v>
      </c>
      <c r="AG22" s="120">
        <f t="shared" si="25"/>
        <v>50538</v>
      </c>
      <c r="AH22" s="120">
        <f t="shared" si="25"/>
        <v>64354</v>
      </c>
      <c r="AI22" s="120">
        <f t="shared" si="25"/>
        <v>85955</v>
      </c>
      <c r="AJ22" s="120">
        <f t="shared" si="25"/>
        <v>75216</v>
      </c>
      <c r="AK22" s="120">
        <f t="shared" si="25"/>
        <v>63082</v>
      </c>
      <c r="AL22" s="120">
        <f t="shared" ref="AL22:AS22" si="26">SUM(AL21:AL21)</f>
        <v>46261</v>
      </c>
      <c r="AM22" s="120">
        <f t="shared" si="26"/>
        <v>45906</v>
      </c>
      <c r="AN22" s="120">
        <f t="shared" si="26"/>
        <v>54090</v>
      </c>
      <c r="AO22" s="120">
        <f t="shared" si="26"/>
        <v>50870</v>
      </c>
      <c r="AP22" s="120">
        <f t="shared" si="26"/>
        <v>52781</v>
      </c>
      <c r="AQ22" s="120">
        <f t="shared" si="26"/>
        <v>52961</v>
      </c>
      <c r="AR22" s="120">
        <f t="shared" si="26"/>
        <v>64234</v>
      </c>
      <c r="AS22" s="120">
        <f t="shared" si="26"/>
        <v>52169</v>
      </c>
      <c r="AT22" s="120">
        <f>SUM(AT21:AT21)</f>
        <v>52148</v>
      </c>
      <c r="AU22" s="120">
        <f>SUM(AU21:AU21)</f>
        <v>44247</v>
      </c>
    </row>
    <row r="23" spans="2:47" x14ac:dyDescent="0.2">
      <c r="B23" s="130" t="s">
        <v>1385</v>
      </c>
      <c r="C23" s="118" t="s">
        <v>47</v>
      </c>
      <c r="D23" s="118" t="s">
        <v>47</v>
      </c>
      <c r="E23" s="161" t="s">
        <v>47</v>
      </c>
      <c r="F23" s="118" t="s">
        <v>47</v>
      </c>
      <c r="G23" s="118" t="s">
        <v>47</v>
      </c>
      <c r="H23" s="118" t="s">
        <v>47</v>
      </c>
      <c r="I23" s="118" t="s">
        <v>47</v>
      </c>
      <c r="J23" s="118" t="s">
        <v>47</v>
      </c>
      <c r="K23" s="118" t="s">
        <v>47</v>
      </c>
      <c r="L23" s="118" t="s">
        <v>47</v>
      </c>
      <c r="M23" s="118" t="s">
        <v>47</v>
      </c>
      <c r="N23" s="118" t="s">
        <v>47</v>
      </c>
      <c r="O23" s="118" t="s">
        <v>47</v>
      </c>
      <c r="P23" s="118" t="s">
        <v>47</v>
      </c>
      <c r="Q23" s="118" t="s">
        <v>47</v>
      </c>
      <c r="R23" s="118" t="s">
        <v>47</v>
      </c>
      <c r="S23" s="118" t="s">
        <v>47</v>
      </c>
      <c r="T23" s="118" t="s">
        <v>47</v>
      </c>
      <c r="U23" s="118" t="s">
        <v>47</v>
      </c>
      <c r="V23" s="118" t="s">
        <v>47</v>
      </c>
      <c r="W23" s="118" t="s">
        <v>47</v>
      </c>
      <c r="X23" s="118" t="s">
        <v>47</v>
      </c>
      <c r="Y23" s="118" t="s">
        <v>47</v>
      </c>
      <c r="Z23" s="118" t="s">
        <v>47</v>
      </c>
      <c r="AA23" s="118" t="s">
        <v>47</v>
      </c>
      <c r="AB23" s="118" t="s">
        <v>47</v>
      </c>
      <c r="AC23" s="118" t="s">
        <v>47</v>
      </c>
      <c r="AD23" s="118" t="s">
        <v>47</v>
      </c>
      <c r="AE23" s="118" t="s">
        <v>47</v>
      </c>
      <c r="AF23" s="118" t="s">
        <v>47</v>
      </c>
      <c r="AG23" s="118" t="s">
        <v>47</v>
      </c>
      <c r="AH23" s="118" t="s">
        <v>47</v>
      </c>
      <c r="AI23" s="118" t="s">
        <v>47</v>
      </c>
      <c r="AJ23" s="118" t="s">
        <v>47</v>
      </c>
      <c r="AK23" s="118" t="s">
        <v>47</v>
      </c>
      <c r="AL23" s="118" t="s">
        <v>47</v>
      </c>
      <c r="AM23" s="118" t="s">
        <v>47</v>
      </c>
      <c r="AN23" s="118" t="s">
        <v>47</v>
      </c>
      <c r="AO23" s="118" t="s">
        <v>47</v>
      </c>
      <c r="AP23" s="118" t="s">
        <v>47</v>
      </c>
      <c r="AQ23" s="118" t="s">
        <v>47</v>
      </c>
      <c r="AR23" s="118" t="s">
        <v>47</v>
      </c>
      <c r="AS23" s="118" t="s">
        <v>47</v>
      </c>
      <c r="AT23" s="118" t="s">
        <v>47</v>
      </c>
      <c r="AU23" s="118">
        <v>10789</v>
      </c>
    </row>
    <row r="24" spans="2:47" x14ac:dyDescent="0.2">
      <c r="B24" s="130" t="s">
        <v>410</v>
      </c>
      <c r="C24" s="118">
        <f t="shared" ref="C24:K24" si="27">+C9-C17</f>
        <v>-4478</v>
      </c>
      <c r="D24" s="118">
        <f t="shared" si="27"/>
        <v>-4633</v>
      </c>
      <c r="E24" s="161">
        <f t="shared" si="27"/>
        <v>-1481</v>
      </c>
      <c r="F24" s="118">
        <f t="shared" si="27"/>
        <v>-1558</v>
      </c>
      <c r="G24" s="118">
        <f t="shared" si="27"/>
        <v>-2916</v>
      </c>
      <c r="H24" s="118">
        <f t="shared" si="27"/>
        <v>-2670</v>
      </c>
      <c r="I24" s="118">
        <f t="shared" si="27"/>
        <v>-3861</v>
      </c>
      <c r="J24" s="118">
        <f t="shared" si="27"/>
        <v>-4678</v>
      </c>
      <c r="K24" s="118">
        <f t="shared" si="27"/>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8">+AB9-AB17</f>
        <v>-46</v>
      </c>
      <c r="AC24" s="118">
        <f t="shared" si="28"/>
        <v>-53</v>
      </c>
      <c r="AD24" s="118">
        <f t="shared" si="28"/>
        <v>-47</v>
      </c>
      <c r="AE24" s="118">
        <f t="shared" si="28"/>
        <v>-46</v>
      </c>
      <c r="AF24" s="118">
        <f t="shared" si="28"/>
        <v>-102</v>
      </c>
      <c r="AG24" s="118">
        <f t="shared" si="28"/>
        <v>-103</v>
      </c>
      <c r="AH24" s="118">
        <f>+AH9-AH17</f>
        <v>-278</v>
      </c>
      <c r="AI24" s="118">
        <f>+AI9-AI17</f>
        <v>2043</v>
      </c>
      <c r="AJ24" s="118">
        <v>-116</v>
      </c>
      <c r="AK24" s="118">
        <v>-145</v>
      </c>
      <c r="AL24" s="118">
        <f t="shared" ref="AL24:AQ24" si="29">+AL9-AL17</f>
        <v>-161</v>
      </c>
      <c r="AM24" s="118">
        <f t="shared" si="29"/>
        <v>-235</v>
      </c>
      <c r="AN24" s="118">
        <f t="shared" si="29"/>
        <v>-552</v>
      </c>
      <c r="AO24" s="118">
        <f t="shared" si="29"/>
        <v>-521</v>
      </c>
      <c r="AP24" s="118">
        <f t="shared" si="29"/>
        <v>-703</v>
      </c>
      <c r="AQ24" s="118">
        <f t="shared" si="29"/>
        <v>-750</v>
      </c>
      <c r="AR24" s="118">
        <f>+AR9-AR17</f>
        <v>-692</v>
      </c>
      <c r="AS24" s="118">
        <v>-682</v>
      </c>
      <c r="AT24" s="118">
        <f>+AT9-AT17</f>
        <v>-669</v>
      </c>
      <c r="AU24" s="118">
        <f>+AU9-AU17</f>
        <v>-413</v>
      </c>
    </row>
    <row r="25" spans="2:47" x14ac:dyDescent="0.2">
      <c r="B25" s="127" t="s">
        <v>411</v>
      </c>
      <c r="C25" s="120">
        <f t="shared" ref="C25:K25" si="30">SUM(C22:C24)</f>
        <v>132906</v>
      </c>
      <c r="D25" s="120">
        <f t="shared" si="30"/>
        <v>132318</v>
      </c>
      <c r="E25" s="163">
        <f t="shared" si="30"/>
        <v>72921</v>
      </c>
      <c r="F25" s="120">
        <f t="shared" si="30"/>
        <v>66162</v>
      </c>
      <c r="G25" s="120">
        <f t="shared" si="30"/>
        <v>42354</v>
      </c>
      <c r="H25" s="120">
        <f t="shared" si="30"/>
        <v>36780</v>
      </c>
      <c r="I25" s="120">
        <f t="shared" si="30"/>
        <v>44382</v>
      </c>
      <c r="J25" s="120">
        <f t="shared" si="30"/>
        <v>46669</v>
      </c>
      <c r="K25" s="120">
        <f t="shared" si="30"/>
        <v>43929</v>
      </c>
      <c r="L25" s="120">
        <f t="shared" ref="L25:Y25" si="31">SUM(L22:L24)</f>
        <v>24901</v>
      </c>
      <c r="M25" s="120">
        <f t="shared" si="31"/>
        <v>27659</v>
      </c>
      <c r="N25" s="120">
        <f t="shared" si="31"/>
        <v>24062</v>
      </c>
      <c r="O25" s="120">
        <f t="shared" si="31"/>
        <v>25654</v>
      </c>
      <c r="P25" s="120">
        <f t="shared" si="31"/>
        <v>21021</v>
      </c>
      <c r="Q25" s="120">
        <f t="shared" si="31"/>
        <v>21690</v>
      </c>
      <c r="R25" s="120">
        <f t="shared" si="31"/>
        <v>20723</v>
      </c>
      <c r="S25" s="120">
        <f t="shared" si="31"/>
        <v>25128</v>
      </c>
      <c r="T25" s="120">
        <f t="shared" si="31"/>
        <v>22155</v>
      </c>
      <c r="U25" s="120">
        <f t="shared" si="31"/>
        <v>23097</v>
      </c>
      <c r="V25" s="120">
        <f t="shared" si="31"/>
        <v>27231</v>
      </c>
      <c r="W25" s="120">
        <f t="shared" si="31"/>
        <v>30684</v>
      </c>
      <c r="X25" s="120">
        <f t="shared" si="31"/>
        <v>31550</v>
      </c>
      <c r="Y25" s="120">
        <f t="shared" si="31"/>
        <v>34896</v>
      </c>
      <c r="Z25" s="120">
        <f t="shared" ref="Z25:AE25" si="32">SUM(Z22:Z24)</f>
        <v>38808</v>
      </c>
      <c r="AA25" s="120">
        <f t="shared" si="32"/>
        <v>40709</v>
      </c>
      <c r="AB25" s="120">
        <f t="shared" si="32"/>
        <v>40788</v>
      </c>
      <c r="AC25" s="120">
        <f t="shared" si="32"/>
        <v>49152</v>
      </c>
      <c r="AD25" s="120">
        <f t="shared" si="32"/>
        <v>39119</v>
      </c>
      <c r="AE25" s="120">
        <f t="shared" si="32"/>
        <v>36032</v>
      </c>
      <c r="AF25" s="120">
        <f t="shared" ref="AF25:AK25" si="33">SUM(AF22:AF24)</f>
        <v>27189</v>
      </c>
      <c r="AG25" s="120">
        <f t="shared" si="33"/>
        <v>50435</v>
      </c>
      <c r="AH25" s="120">
        <f t="shared" si="33"/>
        <v>64076</v>
      </c>
      <c r="AI25" s="120">
        <f t="shared" si="33"/>
        <v>87998</v>
      </c>
      <c r="AJ25" s="120">
        <f t="shared" si="33"/>
        <v>75100</v>
      </c>
      <c r="AK25" s="120">
        <f t="shared" si="33"/>
        <v>62937</v>
      </c>
      <c r="AL25" s="120">
        <f t="shared" ref="AL25:AS25" si="34">SUM(AL22:AL24)</f>
        <v>46100</v>
      </c>
      <c r="AM25" s="120">
        <f t="shared" si="34"/>
        <v>45671</v>
      </c>
      <c r="AN25" s="120">
        <f t="shared" si="34"/>
        <v>53538</v>
      </c>
      <c r="AO25" s="120">
        <f t="shared" si="34"/>
        <v>50349</v>
      </c>
      <c r="AP25" s="120">
        <f t="shared" si="34"/>
        <v>52078</v>
      </c>
      <c r="AQ25" s="120">
        <f t="shared" si="34"/>
        <v>52211</v>
      </c>
      <c r="AR25" s="120">
        <f t="shared" si="34"/>
        <v>63542</v>
      </c>
      <c r="AS25" s="120">
        <f t="shared" si="34"/>
        <v>51487</v>
      </c>
      <c r="AT25" s="120">
        <f>SUM(AT22:AT24)</f>
        <v>51479</v>
      </c>
      <c r="AU25" s="120">
        <f>SUM(AU22:AU24)</f>
        <v>54623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6">
    <pageSetUpPr autoPageBreaks="0"/>
  </sheetPr>
  <dimension ref="A1:AT164"/>
  <sheetViews>
    <sheetView showGridLines="0" zoomScaleNormal="100" workbookViewId="0">
      <pane xSplit="2" ySplit="5" topLeftCell="AF6" activePane="bottomRight" state="frozen"/>
      <selection activeCell="Y21" sqref="Y21"/>
      <selection pane="topRight" activeCell="Y21" sqref="Y21"/>
      <selection pane="bottomLeft" activeCell="Y21" sqref="Y21"/>
      <selection pane="bottomRight" activeCell="AT5" sqref="AT5"/>
    </sheetView>
  </sheetViews>
  <sheetFormatPr defaultColWidth="9.28515625" defaultRowHeight="14.25" x14ac:dyDescent="0.2"/>
  <cols>
    <col min="1" max="1" width="1.42578125" style="25" customWidth="1"/>
    <col min="2" max="2" width="46.7109375" style="25" customWidth="1"/>
    <col min="3" max="21" width="10.7109375" style="25" customWidth="1"/>
    <col min="22" max="46" width="9.28515625" style="25"/>
    <col min="47" max="47" width="13.42578125" style="25" bestFit="1" customWidth="1"/>
    <col min="48" max="48" width="16.28515625" style="25" bestFit="1" customWidth="1"/>
    <col min="49" max="16384" width="9.28515625" style="25"/>
  </cols>
  <sheetData>
    <row r="1" spans="2:46" s="556" customFormat="1" x14ac:dyDescent="0.2"/>
    <row r="2" spans="2:46" s="556" customFormat="1" ht="12.75" customHeight="1" x14ac:dyDescent="0.2">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row>
    <row r="3" spans="2:46" ht="12.75" customHeight="1" x14ac:dyDescent="0.2">
      <c r="V3" s="354"/>
      <c r="W3" s="354"/>
      <c r="X3" s="354"/>
      <c r="Y3" s="354"/>
      <c r="Z3" s="354"/>
      <c r="AA3" s="354"/>
      <c r="AB3" s="354"/>
      <c r="AC3" s="354"/>
      <c r="AD3" s="354"/>
      <c r="AE3" s="354"/>
      <c r="AF3" s="354"/>
      <c r="AG3" s="556"/>
      <c r="AH3" s="556"/>
      <c r="AI3" s="556"/>
      <c r="AJ3" s="556"/>
      <c r="AK3" s="556"/>
      <c r="AL3" s="556"/>
      <c r="AM3" s="556"/>
      <c r="AN3" s="556"/>
      <c r="AO3" s="354"/>
      <c r="AP3" s="354"/>
      <c r="AQ3" s="354"/>
      <c r="AR3" s="354"/>
      <c r="AS3" s="354"/>
      <c r="AT3" s="354"/>
    </row>
    <row r="4" spans="2:46" ht="12.75" customHeight="1" x14ac:dyDescent="0.2">
      <c r="B4" s="1250" t="s">
        <v>1435</v>
      </c>
      <c r="C4" s="1251"/>
      <c r="D4" s="225" t="s">
        <v>1439</v>
      </c>
      <c r="R4" s="750"/>
      <c r="AG4" s="556"/>
      <c r="AH4" s="556"/>
      <c r="AI4" s="556"/>
      <c r="AJ4" s="556"/>
      <c r="AK4" s="556"/>
      <c r="AL4" s="556"/>
      <c r="AM4" s="556"/>
      <c r="AN4" s="556"/>
      <c r="AO4" s="556"/>
      <c r="AP4" s="556"/>
      <c r="AQ4" s="556"/>
      <c r="AR4" s="556"/>
      <c r="AS4" s="556"/>
      <c r="AT4" s="556"/>
    </row>
    <row r="5" spans="2:46" ht="15" customHeight="1" x14ac:dyDescent="0.2">
      <c r="B5" s="152" t="s">
        <v>391</v>
      </c>
      <c r="C5" s="247" t="s">
        <v>471</v>
      </c>
      <c r="D5" s="115" t="s">
        <v>472</v>
      </c>
      <c r="E5" s="115" t="s">
        <v>473</v>
      </c>
      <c r="F5" s="115" t="s">
        <v>474</v>
      </c>
      <c r="G5" s="115" t="s">
        <v>475</v>
      </c>
      <c r="H5" s="115" t="s">
        <v>476</v>
      </c>
      <c r="I5" s="115" t="s">
        <v>477</v>
      </c>
      <c r="J5" s="115" t="s">
        <v>478</v>
      </c>
      <c r="K5" s="115" t="s">
        <v>479</v>
      </c>
      <c r="L5" s="115" t="s">
        <v>371</v>
      </c>
      <c r="M5" s="247"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2:46" ht="15" customHeight="1" x14ac:dyDescent="0.2">
      <c r="B6" s="130" t="s">
        <v>413</v>
      </c>
      <c r="C6" s="118">
        <v>173730</v>
      </c>
      <c r="D6" s="161">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row>
    <row r="7" spans="2:46" ht="15" customHeight="1" x14ac:dyDescent="0.2">
      <c r="B7" s="130" t="s">
        <v>414</v>
      </c>
      <c r="C7" s="118">
        <v>47608</v>
      </c>
      <c r="D7" s="161">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row>
    <row r="8" spans="2:46" ht="15" customHeight="1" x14ac:dyDescent="0.2">
      <c r="B8" s="130" t="s">
        <v>415</v>
      </c>
      <c r="C8" s="118">
        <v>25317</v>
      </c>
      <c r="D8" s="161">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row>
    <row r="9" spans="2:46" ht="15" customHeight="1" x14ac:dyDescent="0.2">
      <c r="B9" s="130" t="s">
        <v>416</v>
      </c>
      <c r="C9" s="118">
        <v>21251</v>
      </c>
      <c r="D9" s="161">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row>
    <row r="10" spans="2:46" ht="15" customHeight="1" x14ac:dyDescent="0.2">
      <c r="B10" s="130" t="s">
        <v>417</v>
      </c>
      <c r="C10" s="118">
        <v>40835</v>
      </c>
      <c r="D10" s="161">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2">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row>
    <row r="11" spans="2:46" s="254" customFormat="1" ht="15" customHeight="1" x14ac:dyDescent="0.2">
      <c r="B11" s="255" t="s">
        <v>1222</v>
      </c>
      <c r="C11" s="256">
        <f t="shared" ref="C11:AJ11" si="0">C10/C12</f>
        <v>0.13226296475038948</v>
      </c>
      <c r="D11" s="257">
        <f t="shared" si="0"/>
        <v>0.12552026534947869</v>
      </c>
      <c r="E11" s="256">
        <f t="shared" si="0"/>
        <v>0.15281483962274342</v>
      </c>
      <c r="F11" s="256">
        <f t="shared" si="0"/>
        <v>7.6725925321484076E-2</v>
      </c>
      <c r="G11" s="256">
        <f t="shared" si="0"/>
        <v>0.11279287330000838</v>
      </c>
      <c r="H11" s="256">
        <f t="shared" si="0"/>
        <v>8.9200848447534994E-2</v>
      </c>
      <c r="I11" s="256">
        <f t="shared" si="0"/>
        <v>0.10491966608464623</v>
      </c>
      <c r="J11" s="256">
        <f t="shared" si="0"/>
        <v>9.8732941090305407E-2</v>
      </c>
      <c r="K11" s="256">
        <f t="shared" si="0"/>
        <v>0.14023279214598461</v>
      </c>
      <c r="L11" s="256">
        <f t="shared" si="0"/>
        <v>0.12286778850762771</v>
      </c>
      <c r="M11" s="256">
        <f t="shared" si="0"/>
        <v>0.1404343531310433</v>
      </c>
      <c r="N11" s="256">
        <f t="shared" si="0"/>
        <v>0.1208342279503502</v>
      </c>
      <c r="O11" s="256">
        <f t="shared" si="0"/>
        <v>0.14097535926650839</v>
      </c>
      <c r="P11" s="256">
        <f t="shared" si="0"/>
        <v>0.1344832461473208</v>
      </c>
      <c r="Q11" s="256">
        <f t="shared" si="0"/>
        <v>0.12545235998534451</v>
      </c>
      <c r="R11" s="256">
        <f t="shared" si="0"/>
        <v>1.5166216184997805E-2</v>
      </c>
      <c r="S11" s="256">
        <f t="shared" si="0"/>
        <v>1.5849525307047391E-2</v>
      </c>
      <c r="T11" s="256">
        <f t="shared" si="0"/>
        <v>7.8908070683530555E-3</v>
      </c>
      <c r="U11" s="256">
        <f t="shared" si="0"/>
        <v>7.3668668381428404E-3</v>
      </c>
      <c r="V11" s="256">
        <f t="shared" si="0"/>
        <v>1.2052451290554841E-2</v>
      </c>
      <c r="W11" s="256">
        <f t="shared" si="0"/>
        <v>1.6073417339837272E-2</v>
      </c>
      <c r="X11" s="256">
        <f t="shared" si="0"/>
        <v>5.7151291785251367E-3</v>
      </c>
      <c r="Y11" s="256">
        <f t="shared" si="0"/>
        <v>6.4828880350281479E-3</v>
      </c>
      <c r="Z11" s="256">
        <f t="shared" si="0"/>
        <v>2.9151284454561103E-3</v>
      </c>
      <c r="AA11" s="256">
        <f t="shared" si="0"/>
        <v>3.1736291552010125E-3</v>
      </c>
      <c r="AB11" s="256">
        <f t="shared" si="0"/>
        <v>8.7658141083388815E-3</v>
      </c>
      <c r="AC11" s="256">
        <f t="shared" si="0"/>
        <v>4.88404761071591E-3</v>
      </c>
      <c r="AD11" s="256">
        <f t="shared" si="0"/>
        <v>5.6066583186615577E-3</v>
      </c>
      <c r="AE11" s="256">
        <f t="shared" si="0"/>
        <v>6.6409129780897053E-3</v>
      </c>
      <c r="AF11" s="256">
        <f t="shared" si="0"/>
        <v>6.4941967291115149E-3</v>
      </c>
      <c r="AG11" s="256">
        <f t="shared" si="0"/>
        <v>9.9592300359019094E-3</v>
      </c>
      <c r="AH11" s="256">
        <f t="shared" si="0"/>
        <v>6.5968379446640316E-2</v>
      </c>
      <c r="AI11" s="256">
        <f t="shared" si="0"/>
        <v>1.3194021083734197E-2</v>
      </c>
      <c r="AJ11" s="256">
        <f t="shared" si="0"/>
        <v>1.3164681872210635E-2</v>
      </c>
      <c r="AK11" s="256">
        <v>1.2898733566351609E-2</v>
      </c>
      <c r="AL11" s="256">
        <f>AL10/AL12</f>
        <v>1.6370185822873192E-2</v>
      </c>
      <c r="AM11" s="256">
        <f>AM10/AM12</f>
        <v>1.8736555229776387E-2</v>
      </c>
      <c r="AN11" s="256">
        <f>AN10/AN12</f>
        <v>2.1203953955837958E-2</v>
      </c>
      <c r="AO11" s="256">
        <f>AO10/AO12</f>
        <v>1.9478473861749914E-2</v>
      </c>
      <c r="AP11" s="256">
        <f>AP10/AP12</f>
        <v>1.937789192722205E-2</v>
      </c>
      <c r="AQ11" s="256">
        <f t="shared" ref="AQ11:AT11" si="1">AQ10/AQ12</f>
        <v>1.8465779525484196E-2</v>
      </c>
      <c r="AR11" s="256">
        <f t="shared" si="1"/>
        <v>1.5398934165279767E-2</v>
      </c>
      <c r="AS11" s="256">
        <f t="shared" si="1"/>
        <v>1.6919036429208712E-2</v>
      </c>
      <c r="AT11" s="256">
        <f t="shared" si="1"/>
        <v>1.0414188311909019E-2</v>
      </c>
    </row>
    <row r="12" spans="2:46" ht="15" customHeight="1" x14ac:dyDescent="0.2">
      <c r="B12" s="127" t="s">
        <v>418</v>
      </c>
      <c r="C12" s="120">
        <f t="shared" ref="C12:M12" si="2">SUM(C6:C10)</f>
        <v>308741</v>
      </c>
      <c r="D12" s="163">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T12" si="7">SUM(AR6:AR10)</f>
        <v>344894</v>
      </c>
      <c r="AS12" s="120">
        <f t="shared" si="7"/>
        <v>397895</v>
      </c>
      <c r="AT12" s="120">
        <f t="shared" si="7"/>
        <v>441321</v>
      </c>
    </row>
    <row r="13" spans="2:46" ht="15" customHeight="1" x14ac:dyDescent="0.2">
      <c r="C13" s="151">
        <f>+C12-'Account Receivable'!D7</f>
        <v>0</v>
      </c>
      <c r="D13" s="151">
        <f>+D12-'Account Receivable'!E7</f>
        <v>0</v>
      </c>
      <c r="E13" s="151">
        <f>+E12-'Account Receivable'!F7</f>
        <v>0</v>
      </c>
      <c r="F13" s="151">
        <f>+F12-'Account Receivable'!G7</f>
        <v>0</v>
      </c>
      <c r="G13" s="151">
        <f>+G12-'Account Receivable'!H7</f>
        <v>0</v>
      </c>
      <c r="H13" s="151">
        <f>+H12-'Account Receivable'!I7</f>
        <v>0</v>
      </c>
      <c r="I13" s="151">
        <f>+I12-'Account Receivable'!J7</f>
        <v>0</v>
      </c>
      <c r="J13" s="151">
        <f>+J12-'Account Receivable'!K7</f>
        <v>0</v>
      </c>
      <c r="K13" s="151"/>
      <c r="L13" s="151"/>
      <c r="M13" s="151"/>
      <c r="N13" s="151"/>
      <c r="O13" s="151"/>
      <c r="P13" s="151"/>
      <c r="Q13" s="151"/>
      <c r="R13" s="151"/>
      <c r="S13" s="151">
        <f>BalSheet!AI8-'Accounts Receivable - ADA'!T12-S12</f>
        <v>0</v>
      </c>
      <c r="T13" s="151">
        <f>BalSheet!AJ8-'Accounts Receivable - ADA'!U12-T12</f>
        <v>0</v>
      </c>
      <c r="U13" s="151">
        <f>BalSheet!AK8-'Accounts Receivable - ADA'!V12-U12</f>
        <v>0</v>
      </c>
      <c r="V13" s="151">
        <f>BalSheet!AL8-'Accounts Receivable - ADA'!W12-V12</f>
        <v>0</v>
      </c>
      <c r="W13" s="151">
        <f>BalSheet!AM8-'Accounts Receivable - ADA'!X12-W12</f>
        <v>0</v>
      </c>
      <c r="X13" s="151">
        <f>BalSheet!AN8-'Accounts Receivable - ADA'!Y12-X12</f>
        <v>0</v>
      </c>
      <c r="Y13" s="151">
        <f>BalSheet!AO8-'Accounts Receivable - ADA'!Z12-Y12</f>
        <v>0</v>
      </c>
      <c r="Z13" s="151">
        <f>BalSheet!AP8-'Accounts Receivable - ADA'!AA12-Z12</f>
        <v>0</v>
      </c>
      <c r="AA13" s="151">
        <f>BalSheet!AQ8-'Accounts Receivable - ADA'!AB12-AA12</f>
        <v>0</v>
      </c>
      <c r="AB13" s="151">
        <f>BalSheet!AR8-'Accounts Receivable - ADA'!AC12-AB12</f>
        <v>0</v>
      </c>
      <c r="AC13" s="151">
        <f>BalSheet!AS8-'Accounts Receivable - ADA'!AD12-AC12</f>
        <v>0</v>
      </c>
      <c r="AD13" s="151">
        <f>BalSheet!AT8-'Accounts Receivable - ADA'!AE12-AD12</f>
        <v>0</v>
      </c>
      <c r="AE13" s="151">
        <f>BalSheet!AU8-'Accounts Receivable - ADA'!AF12-AE12</f>
        <v>0</v>
      </c>
      <c r="AF13" s="151">
        <f>BalSheet!AV8-'Accounts Receivable - ADA'!AG12-AF12</f>
        <v>0</v>
      </c>
      <c r="AG13" s="151">
        <f>BalSheet!AW8-'Accounts Receivable - ADA'!AH12-AG12</f>
        <v>0</v>
      </c>
      <c r="AH13" s="151"/>
      <c r="AI13" s="151">
        <v>0</v>
      </c>
      <c r="AJ13" s="151">
        <f>BalSheet!AZ8-'Accounts Receivable - ADA'!AK12-AJ12</f>
        <v>0</v>
      </c>
      <c r="AK13" s="151">
        <f>BalSheet!BA8-'Accounts Receivable - ADA'!AL12-AK12</f>
        <v>0</v>
      </c>
      <c r="AL13" s="151">
        <f>BalSheet!BB8-'Accounts Receivable - ADA'!AM12-AL12</f>
        <v>0</v>
      </c>
      <c r="AM13" s="151">
        <f>BalSheet!BC8-'Accounts Receivable - ADA'!AN12-AM12</f>
        <v>0</v>
      </c>
      <c r="AN13" s="151">
        <f>BalSheet!BD8-'Accounts Receivable - ADA'!AO12-AN12</f>
        <v>0</v>
      </c>
      <c r="AO13" s="151">
        <f>BalSheet!BE8-'Accounts Receivable - ADA'!AP12-AO12</f>
        <v>0</v>
      </c>
      <c r="AP13" s="151">
        <f>BalSheet!BF8-'Accounts Receivable - ADA'!AQ12-AP12</f>
        <v>0</v>
      </c>
      <c r="AQ13" s="151">
        <f>BalSheet!BG8-'Accounts Receivable - ADA'!AR12-AQ12</f>
        <v>0</v>
      </c>
      <c r="AR13" s="151">
        <f>BalSheet!BH8-'Accounts Receivable - ADA'!AS12-AR12</f>
        <v>0</v>
      </c>
      <c r="AS13" s="151">
        <f>BalSheet!BI8-'Accounts Receivable - ADA'!AT12-AS12</f>
        <v>0</v>
      </c>
      <c r="AT13" s="151">
        <f>BalSheet!BJ8-'Accounts Receivable - ADA'!AU12-AT12</f>
        <v>0</v>
      </c>
    </row>
    <row r="14" spans="2:46" ht="15" customHeight="1" x14ac:dyDescent="0.2">
      <c r="B14" s="152" t="s">
        <v>397</v>
      </c>
      <c r="C14" s="115" t="str">
        <f>C5</f>
        <v>1Q14</v>
      </c>
      <c r="D14" s="115" t="str">
        <f t="shared" ref="D14:Q14" si="8">D5</f>
        <v>2Q14</v>
      </c>
      <c r="E14" s="115" t="str">
        <f t="shared" si="8"/>
        <v>3Q14</v>
      </c>
      <c r="F14" s="115" t="str">
        <f t="shared" si="8"/>
        <v>4Q14</v>
      </c>
      <c r="G14" s="115" t="str">
        <f t="shared" si="8"/>
        <v>1Q15</v>
      </c>
      <c r="H14" s="115" t="str">
        <f t="shared" si="8"/>
        <v>2Q15</v>
      </c>
      <c r="I14" s="115" t="str">
        <f t="shared" si="8"/>
        <v>3Q15</v>
      </c>
      <c r="J14" s="115" t="str">
        <f t="shared" si="8"/>
        <v>4Q15</v>
      </c>
      <c r="K14" s="115" t="str">
        <f t="shared" si="8"/>
        <v>1Q16</v>
      </c>
      <c r="L14" s="115" t="str">
        <f t="shared" si="8"/>
        <v>2Q16</v>
      </c>
      <c r="M14" s="115" t="str">
        <f t="shared" si="8"/>
        <v>3Q16</v>
      </c>
      <c r="N14" s="115" t="str">
        <f t="shared" si="8"/>
        <v>4Q16</v>
      </c>
      <c r="O14" s="115" t="str">
        <f t="shared" si="8"/>
        <v>1Q17</v>
      </c>
      <c r="P14" s="115" t="str">
        <f t="shared" si="8"/>
        <v>2Q17</v>
      </c>
      <c r="Q14" s="115" t="str">
        <f t="shared" si="8"/>
        <v>3Q17</v>
      </c>
      <c r="R14" s="115" t="str">
        <f t="shared" ref="R14:W14" si="9">R5</f>
        <v>4Q17</v>
      </c>
      <c r="S14" s="115" t="str">
        <f t="shared" si="9"/>
        <v>1Q18</v>
      </c>
      <c r="T14" s="115" t="str">
        <f t="shared" si="9"/>
        <v>2Q18</v>
      </c>
      <c r="U14" s="115" t="str">
        <f t="shared" si="9"/>
        <v>3Q18</v>
      </c>
      <c r="V14" s="115" t="str">
        <f t="shared" si="9"/>
        <v>4Q18</v>
      </c>
      <c r="W14" s="115" t="str">
        <f t="shared" si="9"/>
        <v>1Q19</v>
      </c>
      <c r="X14" s="115" t="str">
        <f t="shared" ref="X14:AC14" si="10">X5</f>
        <v>2Q19</v>
      </c>
      <c r="Y14" s="115" t="str">
        <f t="shared" si="10"/>
        <v>3Q19</v>
      </c>
      <c r="Z14" s="115" t="str">
        <f t="shared" si="10"/>
        <v>4Q19</v>
      </c>
      <c r="AA14" s="115" t="str">
        <f t="shared" si="10"/>
        <v>1Q20</v>
      </c>
      <c r="AB14" s="115" t="str">
        <f t="shared" si="10"/>
        <v>2Q20</v>
      </c>
      <c r="AC14" s="115" t="str">
        <f t="shared" si="10"/>
        <v>3Q20</v>
      </c>
      <c r="AD14" s="115" t="str">
        <f t="shared" ref="AD14:AJ14" si="11">AD5</f>
        <v>4Q20</v>
      </c>
      <c r="AE14" s="115" t="str">
        <f t="shared" si="11"/>
        <v>1Q21</v>
      </c>
      <c r="AF14" s="115" t="str">
        <f t="shared" si="11"/>
        <v>2Q21</v>
      </c>
      <c r="AG14" s="115" t="str">
        <f t="shared" si="11"/>
        <v>3Q21</v>
      </c>
      <c r="AH14" s="115" t="str">
        <f t="shared" si="11"/>
        <v>4Q21</v>
      </c>
      <c r="AI14" s="115" t="str">
        <f t="shared" si="11"/>
        <v>1Q22</v>
      </c>
      <c r="AJ14" s="115" t="str">
        <f t="shared" si="11"/>
        <v>2Q22</v>
      </c>
      <c r="AK14" s="115" t="str">
        <f t="shared" ref="AK14:AT14" si="12">AK5</f>
        <v>3Q22</v>
      </c>
      <c r="AL14" s="115" t="str">
        <f t="shared" si="12"/>
        <v>4Q22</v>
      </c>
      <c r="AM14" s="115" t="str">
        <f t="shared" si="12"/>
        <v>1Q23</v>
      </c>
      <c r="AN14" s="115" t="str">
        <f t="shared" si="12"/>
        <v>2Q23</v>
      </c>
      <c r="AO14" s="115" t="str">
        <f t="shared" si="12"/>
        <v>3Q23</v>
      </c>
      <c r="AP14" s="115" t="str">
        <f t="shared" si="12"/>
        <v>4Q23</v>
      </c>
      <c r="AQ14" s="115" t="str">
        <f t="shared" si="12"/>
        <v>1Q24</v>
      </c>
      <c r="AR14" s="115" t="str">
        <f t="shared" si="12"/>
        <v>2Q24</v>
      </c>
      <c r="AS14" s="115" t="str">
        <f t="shared" si="12"/>
        <v>3Q24</v>
      </c>
      <c r="AT14" s="115" t="str">
        <f t="shared" si="12"/>
        <v>4Q24</v>
      </c>
    </row>
    <row r="15" spans="2:46" ht="15" customHeight="1" x14ac:dyDescent="0.2">
      <c r="B15" s="130" t="s">
        <v>413</v>
      </c>
      <c r="C15" s="118">
        <v>118676</v>
      </c>
      <c r="D15" s="161">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row>
    <row r="16" spans="2:46" ht="15" customHeight="1" x14ac:dyDescent="0.2">
      <c r="B16" s="130" t="s">
        <v>414</v>
      </c>
      <c r="C16" s="118">
        <v>24884</v>
      </c>
      <c r="D16" s="161">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row>
    <row r="17" spans="1:46" ht="15" customHeight="1" x14ac:dyDescent="0.2">
      <c r="B17" s="130" t="s">
        <v>415</v>
      </c>
      <c r="C17" s="118">
        <v>8614</v>
      </c>
      <c r="D17" s="161">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row>
    <row r="18" spans="1:46" ht="15" customHeight="1" x14ac:dyDescent="0.2">
      <c r="B18" s="130" t="s">
        <v>416</v>
      </c>
      <c r="C18" s="118">
        <v>8502</v>
      </c>
      <c r="D18" s="161">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row>
    <row r="19" spans="1:46" ht="15" customHeight="1" x14ac:dyDescent="0.2">
      <c r="B19" s="130" t="s">
        <v>417</v>
      </c>
      <c r="C19" s="118">
        <v>11114</v>
      </c>
      <c r="D19" s="161">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row>
    <row r="20" spans="1:46" s="254" customFormat="1" ht="15" customHeight="1" x14ac:dyDescent="0.2">
      <c r="A20" s="254" t="s">
        <v>126</v>
      </c>
      <c r="B20" s="255" t="s">
        <v>1222</v>
      </c>
      <c r="C20" s="256">
        <f t="shared" ref="C20:AJ20" si="13">C19/C21</f>
        <v>6.469526747773445E-2</v>
      </c>
      <c r="D20" s="257">
        <f t="shared" si="13"/>
        <v>6.1178235846532397E-2</v>
      </c>
      <c r="E20" s="256">
        <f t="shared" si="13"/>
        <v>9.0784830141592332E-2</v>
      </c>
      <c r="F20" s="256">
        <f t="shared" si="13"/>
        <v>6.1171974522292991E-2</v>
      </c>
      <c r="G20" s="256">
        <f t="shared" si="13"/>
        <v>0.10137739162162779</v>
      </c>
      <c r="H20" s="256">
        <f t="shared" si="13"/>
        <v>8.2225139759444343E-2</v>
      </c>
      <c r="I20" s="256">
        <f t="shared" si="13"/>
        <v>0.10186177791649138</v>
      </c>
      <c r="J20" s="256">
        <f t="shared" si="13"/>
        <v>9.1992749213750877E-2</v>
      </c>
      <c r="K20" s="256">
        <f t="shared" si="13"/>
        <v>0.12189278227014076</v>
      </c>
      <c r="L20" s="256">
        <f t="shared" si="13"/>
        <v>0.10983599919011945</v>
      </c>
      <c r="M20" s="256">
        <f t="shared" si="13"/>
        <v>0.12609339606203171</v>
      </c>
      <c r="N20" s="256">
        <f t="shared" si="13"/>
        <v>0.10727586133514928</v>
      </c>
      <c r="O20" s="256">
        <f t="shared" si="13"/>
        <v>0.12168209517607108</v>
      </c>
      <c r="P20" s="256">
        <f t="shared" si="13"/>
        <v>0.11570363998630726</v>
      </c>
      <c r="Q20" s="256">
        <f t="shared" si="13"/>
        <v>0.10610511304186075</v>
      </c>
      <c r="R20" s="256">
        <f t="shared" si="13"/>
        <v>5.2612494270095718E-3</v>
      </c>
      <c r="S20" s="256">
        <f t="shared" si="13"/>
        <v>6.0485294463751968E-3</v>
      </c>
      <c r="T20" s="256">
        <f t="shared" si="13"/>
        <v>3.5918506208863824E-3</v>
      </c>
      <c r="U20" s="256">
        <f t="shared" si="13"/>
        <v>1.7757095184153322E-3</v>
      </c>
      <c r="V20" s="256">
        <f t="shared" si="13"/>
        <v>2.1827810777928862E-3</v>
      </c>
      <c r="W20" s="256">
        <f t="shared" si="13"/>
        <v>2.622464415669371E-3</v>
      </c>
      <c r="X20" s="256">
        <f t="shared" si="13"/>
        <v>2.2202584778526456E-3</v>
      </c>
      <c r="Y20" s="256">
        <f t="shared" si="13"/>
        <v>3.0847938130332537E-3</v>
      </c>
      <c r="Z20" s="256">
        <f t="shared" si="13"/>
        <v>3.2405875661147849E-3</v>
      </c>
      <c r="AA20" s="256">
        <f t="shared" si="13"/>
        <v>3.6659513590844065E-3</v>
      </c>
      <c r="AB20" s="256">
        <f t="shared" si="13"/>
        <v>1.3550031867431485E-2</v>
      </c>
      <c r="AC20" s="256">
        <f t="shared" si="13"/>
        <v>5.5758268945068469E-3</v>
      </c>
      <c r="AD20" s="256">
        <f t="shared" si="13"/>
        <v>4.9901331458252996E-3</v>
      </c>
      <c r="AE20" s="256">
        <f t="shared" si="13"/>
        <v>7.127593769330259E-3</v>
      </c>
      <c r="AF20" s="256">
        <f t="shared" si="13"/>
        <v>7.8355087299266102E-3</v>
      </c>
      <c r="AG20" s="256">
        <f t="shared" si="13"/>
        <v>1.2156567557395559E-2</v>
      </c>
      <c r="AH20" s="256">
        <f t="shared" si="13"/>
        <v>1.169335385604999E-2</v>
      </c>
      <c r="AI20" s="256">
        <f t="shared" si="13"/>
        <v>1.859444708274529E-2</v>
      </c>
      <c r="AJ20" s="256">
        <f t="shared" si="13"/>
        <v>1.6214074697239449E-2</v>
      </c>
      <c r="AK20" s="256">
        <v>1.4074514548176096E-2</v>
      </c>
      <c r="AL20" s="256">
        <f t="shared" ref="AL20:AQ20" si="14">AL19/AL21</f>
        <v>1.7018415255276229E-2</v>
      </c>
      <c r="AM20" s="256">
        <f t="shared" si="14"/>
        <v>2.0167596686683015E-2</v>
      </c>
      <c r="AN20" s="256">
        <f t="shared" si="14"/>
        <v>2.2296403895934597E-2</v>
      </c>
      <c r="AO20" s="256">
        <f t="shared" si="14"/>
        <v>1.9130654316258662E-2</v>
      </c>
      <c r="AP20" s="256">
        <f t="shared" si="14"/>
        <v>1.801985445502171E-2</v>
      </c>
      <c r="AQ20" s="256">
        <f t="shared" si="14"/>
        <v>1.7901136025335135E-2</v>
      </c>
      <c r="AR20" s="256">
        <f t="shared" ref="AR20" si="15">AR19/AR21</f>
        <v>1.476129473054915E-2</v>
      </c>
      <c r="AS20" s="256">
        <f>AS19/AS21</f>
        <v>1.7553297642495812E-2</v>
      </c>
      <c r="AT20" s="256">
        <f>AT19/AT21</f>
        <v>1.0232349637599038E-2</v>
      </c>
    </row>
    <row r="21" spans="1:46" ht="15" customHeight="1" x14ac:dyDescent="0.2">
      <c r="B21" s="127" t="s">
        <v>418</v>
      </c>
      <c r="C21" s="120">
        <f t="shared" ref="C21:K21" si="16">SUM(C15:C19)</f>
        <v>171790</v>
      </c>
      <c r="D21" s="163">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row>
    <row r="22" spans="1:46" ht="15" customHeight="1" x14ac:dyDescent="0.2">
      <c r="C22" s="51"/>
      <c r="D22" s="51"/>
      <c r="E22" s="52"/>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row>
    <row r="23" spans="1:46" ht="15" customHeight="1" x14ac:dyDescent="0.2">
      <c r="B23" s="152" t="s">
        <v>401</v>
      </c>
      <c r="C23" s="115" t="str">
        <f>C5</f>
        <v>1Q14</v>
      </c>
      <c r="D23" s="115" t="str">
        <f t="shared" ref="D23:Q23" si="22">D5</f>
        <v>2Q14</v>
      </c>
      <c r="E23" s="115" t="str">
        <f t="shared" si="22"/>
        <v>3Q14</v>
      </c>
      <c r="F23" s="115" t="str">
        <f t="shared" si="22"/>
        <v>4Q14</v>
      </c>
      <c r="G23" s="115" t="str">
        <f t="shared" si="22"/>
        <v>1Q15</v>
      </c>
      <c r="H23" s="115" t="str">
        <f t="shared" si="22"/>
        <v>2Q15</v>
      </c>
      <c r="I23" s="115" t="str">
        <f t="shared" si="22"/>
        <v>3Q15</v>
      </c>
      <c r="J23" s="115" t="str">
        <f t="shared" si="22"/>
        <v>4Q15</v>
      </c>
      <c r="K23" s="115" t="str">
        <f t="shared" si="22"/>
        <v>1Q16</v>
      </c>
      <c r="L23" s="115" t="str">
        <f t="shared" si="22"/>
        <v>2Q16</v>
      </c>
      <c r="M23" s="115" t="str">
        <f t="shared" si="22"/>
        <v>3Q16</v>
      </c>
      <c r="N23" s="115" t="str">
        <f t="shared" si="22"/>
        <v>4Q16</v>
      </c>
      <c r="O23" s="115" t="str">
        <f t="shared" si="22"/>
        <v>1Q17</v>
      </c>
      <c r="P23" s="115" t="str">
        <f t="shared" si="22"/>
        <v>2Q17</v>
      </c>
      <c r="Q23" s="115" t="str">
        <f t="shared" si="22"/>
        <v>3Q17</v>
      </c>
      <c r="R23" s="115" t="str">
        <f t="shared" ref="R23:W23" si="23">R5</f>
        <v>4Q17</v>
      </c>
      <c r="S23" s="115" t="str">
        <f t="shared" si="23"/>
        <v>1Q18</v>
      </c>
      <c r="T23" s="115" t="str">
        <f t="shared" si="23"/>
        <v>2Q18</v>
      </c>
      <c r="U23" s="115" t="str">
        <f t="shared" si="23"/>
        <v>3Q18</v>
      </c>
      <c r="V23" s="115" t="str">
        <f t="shared" si="23"/>
        <v>4Q18</v>
      </c>
      <c r="W23" s="115" t="str">
        <f t="shared" si="23"/>
        <v>1Q19</v>
      </c>
      <c r="X23" s="115" t="str">
        <f t="shared" ref="X23:AC23" si="24">X5</f>
        <v>2Q19</v>
      </c>
      <c r="Y23" s="115" t="str">
        <f t="shared" si="24"/>
        <v>3Q19</v>
      </c>
      <c r="Z23" s="115" t="str">
        <f t="shared" si="24"/>
        <v>4Q19</v>
      </c>
      <c r="AA23" s="115" t="str">
        <f t="shared" si="24"/>
        <v>1Q20</v>
      </c>
      <c r="AB23" s="115" t="str">
        <f t="shared" si="24"/>
        <v>2Q20</v>
      </c>
      <c r="AC23" s="115" t="str">
        <f t="shared" si="24"/>
        <v>3Q20</v>
      </c>
      <c r="AD23" s="115" t="str">
        <f t="shared" ref="AD23:AJ23" si="25">AD5</f>
        <v>4Q20</v>
      </c>
      <c r="AE23" s="115" t="str">
        <f t="shared" si="25"/>
        <v>1Q21</v>
      </c>
      <c r="AF23" s="115" t="str">
        <f t="shared" si="25"/>
        <v>2Q21</v>
      </c>
      <c r="AG23" s="115" t="str">
        <f t="shared" si="25"/>
        <v>3Q21</v>
      </c>
      <c r="AH23" s="115" t="str">
        <f t="shared" si="25"/>
        <v>4Q21</v>
      </c>
      <c r="AI23" s="115" t="str">
        <f t="shared" si="25"/>
        <v>1Q22</v>
      </c>
      <c r="AJ23" s="115" t="str">
        <f t="shared" si="25"/>
        <v>2Q22</v>
      </c>
      <c r="AK23" s="115" t="str">
        <f t="shared" ref="AK23:AT23" si="26">AK5</f>
        <v>3Q22</v>
      </c>
      <c r="AL23" s="115" t="str">
        <f t="shared" si="26"/>
        <v>4Q22</v>
      </c>
      <c r="AM23" s="115" t="str">
        <f t="shared" si="26"/>
        <v>1Q23</v>
      </c>
      <c r="AN23" s="115" t="str">
        <f t="shared" si="26"/>
        <v>2Q23</v>
      </c>
      <c r="AO23" s="115" t="str">
        <f t="shared" si="26"/>
        <v>3Q23</v>
      </c>
      <c r="AP23" s="115" t="str">
        <f t="shared" si="26"/>
        <v>4Q23</v>
      </c>
      <c r="AQ23" s="115" t="str">
        <f t="shared" si="26"/>
        <v>1Q24</v>
      </c>
      <c r="AR23" s="115" t="str">
        <f t="shared" si="26"/>
        <v>2Q24</v>
      </c>
      <c r="AS23" s="115" t="str">
        <f t="shared" si="26"/>
        <v>3Q24</v>
      </c>
      <c r="AT23" s="115" t="str">
        <f t="shared" si="26"/>
        <v>4Q24</v>
      </c>
    </row>
    <row r="24" spans="1:46" ht="15" customHeight="1" x14ac:dyDescent="0.2">
      <c r="B24" s="130" t="s">
        <v>413</v>
      </c>
      <c r="C24" s="118">
        <f t="shared" ref="C24:N24" si="27">+C6-C15</f>
        <v>55054</v>
      </c>
      <c r="D24" s="161">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T28" si="35">+AS6-AS15</f>
        <v>47216</v>
      </c>
      <c r="AT24" s="118">
        <f t="shared" si="35"/>
        <v>40683</v>
      </c>
    </row>
    <row r="25" spans="1:46" ht="15" customHeight="1" x14ac:dyDescent="0.2">
      <c r="B25" s="130" t="s">
        <v>414</v>
      </c>
      <c r="C25" s="118">
        <f t="shared" ref="C25:N25" si="36">+C7-C16</f>
        <v>22724</v>
      </c>
      <c r="D25" s="161">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f t="shared" si="35"/>
        <v>1363</v>
      </c>
    </row>
    <row r="26" spans="1:46" ht="15" customHeight="1" x14ac:dyDescent="0.2">
      <c r="B26" s="130" t="s">
        <v>415</v>
      </c>
      <c r="C26" s="118">
        <f t="shared" ref="C26:N26" si="38">+C8-C17</f>
        <v>16703</v>
      </c>
      <c r="D26" s="161">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f t="shared" si="35"/>
        <v>1189</v>
      </c>
    </row>
    <row r="27" spans="1:46" ht="15" customHeight="1" x14ac:dyDescent="0.2">
      <c r="B27" s="130" t="s">
        <v>416</v>
      </c>
      <c r="C27" s="118">
        <f t="shared" ref="C27:N27" si="40">+C9-C18</f>
        <v>12749</v>
      </c>
      <c r="D27" s="161">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f t="shared" si="35"/>
        <v>479</v>
      </c>
    </row>
    <row r="28" spans="1:46" ht="15" customHeight="1" x14ac:dyDescent="0.2">
      <c r="B28" s="130" t="s">
        <v>417</v>
      </c>
      <c r="C28" s="118">
        <f t="shared" ref="C28:N28" si="42">+C10-C19</f>
        <v>29721</v>
      </c>
      <c r="D28" s="161">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f t="shared" si="35"/>
        <v>533</v>
      </c>
    </row>
    <row r="29" spans="1:46" s="254" customFormat="1" ht="15" customHeight="1" x14ac:dyDescent="0.2">
      <c r="B29" s="255" t="s">
        <v>1222</v>
      </c>
      <c r="C29" s="256">
        <f t="shared" ref="C29:AK29" si="44">C28/C30</f>
        <v>0.2170192258545027</v>
      </c>
      <c r="D29" s="257">
        <f t="shared" si="44"/>
        <v>0.29035509798123704</v>
      </c>
      <c r="E29" s="256">
        <f t="shared" si="44"/>
        <v>0.3451417601890136</v>
      </c>
      <c r="F29" s="256">
        <f t="shared" si="44"/>
        <v>0.18411562930604825</v>
      </c>
      <c r="G29" s="256">
        <f t="shared" si="44"/>
        <v>0.16354879594423322</v>
      </c>
      <c r="H29" s="256">
        <f t="shared" si="44"/>
        <v>0.11651431295732023</v>
      </c>
      <c r="I29" s="256">
        <f t="shared" si="44"/>
        <v>0.11369700274602217</v>
      </c>
      <c r="J29" s="256">
        <f t="shared" si="44"/>
        <v>0.12034754744885383</v>
      </c>
      <c r="K29" s="256">
        <f t="shared" si="44"/>
        <v>0.21115854263873721</v>
      </c>
      <c r="L29" s="256">
        <f t="shared" si="44"/>
        <v>0.17163726738194823</v>
      </c>
      <c r="M29" s="256">
        <f t="shared" si="44"/>
        <v>0.19724580658521432</v>
      </c>
      <c r="N29" s="256">
        <f t="shared" si="44"/>
        <v>0.18179498628564139</v>
      </c>
      <c r="O29" s="256">
        <f t="shared" si="44"/>
        <v>0.21810607751246003</v>
      </c>
      <c r="P29" s="256">
        <f t="shared" si="44"/>
        <v>0.21219715956558061</v>
      </c>
      <c r="Q29" s="256">
        <f t="shared" si="44"/>
        <v>0.21947269303201505</v>
      </c>
      <c r="R29" s="256">
        <f t="shared" si="44"/>
        <v>6.8816008893829911E-2</v>
      </c>
      <c r="S29" s="256">
        <f t="shared" si="44"/>
        <v>6.8139963167587483E-2</v>
      </c>
      <c r="T29" s="256">
        <f t="shared" si="44"/>
        <v>3.5335393868515579E-2</v>
      </c>
      <c r="U29" s="256">
        <f t="shared" si="44"/>
        <v>3.9571136347605278E-2</v>
      </c>
      <c r="V29" s="256">
        <f t="shared" si="44"/>
        <v>6.9612139641653997E-2</v>
      </c>
      <c r="W29" s="256">
        <f t="shared" si="44"/>
        <v>8.300877753880137E-2</v>
      </c>
      <c r="X29" s="256">
        <f t="shared" si="44"/>
        <v>2.3423725967592981E-2</v>
      </c>
      <c r="Y29" s="256">
        <f t="shared" si="44"/>
        <v>2.2246856970093976E-2</v>
      </c>
      <c r="Z29" s="256">
        <f t="shared" si="44"/>
        <v>1.1532044361566396E-3</v>
      </c>
      <c r="AA29" s="256">
        <f t="shared" si="44"/>
        <v>1.151001616300142E-3</v>
      </c>
      <c r="AB29" s="256">
        <f t="shared" si="44"/>
        <v>1.1380957219794736E-3</v>
      </c>
      <c r="AC29" s="256">
        <f t="shared" si="44"/>
        <v>2.0425879589439822E-3</v>
      </c>
      <c r="AD29" s="256">
        <f t="shared" si="44"/>
        <v>8.6202117634015182E-3</v>
      </c>
      <c r="AE29" s="256">
        <f t="shared" si="44"/>
        <v>4.1039170422483605E-3</v>
      </c>
      <c r="AF29" s="256">
        <f t="shared" si="44"/>
        <v>2.592108908148324E-3</v>
      </c>
      <c r="AG29" s="256">
        <f t="shared" si="44"/>
        <v>5.4231283214718588E-3</v>
      </c>
      <c r="AH29" s="256">
        <f t="shared" si="44"/>
        <v>0.20339712640335059</v>
      </c>
      <c r="AI29" s="256">
        <f t="shared" si="44"/>
        <v>2.4595830674324611E-3</v>
      </c>
      <c r="AJ29" s="256">
        <f t="shared" si="44"/>
        <v>3.2814432009130971E-3</v>
      </c>
      <c r="AK29" s="256">
        <f t="shared" si="44"/>
        <v>6.7011089254447589E-3</v>
      </c>
      <c r="AL29" s="256">
        <f t="shared" ref="AL29:AQ29" si="45">AL28/AL30</f>
        <v>1.2569163072365268E-2</v>
      </c>
      <c r="AM29" s="256">
        <f t="shared" si="45"/>
        <v>1.3255684969495286E-2</v>
      </c>
      <c r="AN29" s="256">
        <f t="shared" si="45"/>
        <v>1.6591311185374484E-2</v>
      </c>
      <c r="AO29" s="256">
        <f t="shared" si="45"/>
        <v>2.0992402569106308E-2</v>
      </c>
      <c r="AP29" s="256">
        <f t="shared" si="45"/>
        <v>2.6925473461603823E-2</v>
      </c>
      <c r="AQ29" s="256">
        <f t="shared" si="45"/>
        <v>2.0503160320079709E-2</v>
      </c>
      <c r="AR29" s="256">
        <f t="shared" ref="AR29:AT29" si="46">AR28/AR30</f>
        <v>1.8976786980774023E-2</v>
      </c>
      <c r="AS29" s="256">
        <f t="shared" si="46"/>
        <v>1.2713814527882181E-2</v>
      </c>
      <c r="AT29" s="256">
        <f t="shared" si="46"/>
        <v>1.204601441905666E-2</v>
      </c>
    </row>
    <row r="30" spans="1:46" ht="15" customHeight="1" x14ac:dyDescent="0.2">
      <c r="B30" s="127" t="s">
        <v>418</v>
      </c>
      <c r="C30" s="120">
        <f t="shared" ref="C30:J30" si="47">SUM(C24:C28)</f>
        <v>136951</v>
      </c>
      <c r="D30" s="163">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T30" si="52">SUM(AR24:AR28)</f>
        <v>52169</v>
      </c>
      <c r="AS30" s="120">
        <f t="shared" si="52"/>
        <v>52148</v>
      </c>
      <c r="AT30" s="120">
        <f t="shared" si="52"/>
        <v>44247</v>
      </c>
    </row>
    <row r="31" spans="1:46" x14ac:dyDescent="0.2">
      <c r="B31" s="28"/>
      <c r="C31" s="28"/>
      <c r="D31" s="28"/>
      <c r="E31" s="28"/>
      <c r="F31" s="28"/>
      <c r="G31" s="28"/>
      <c r="H31" s="28"/>
    </row>
    <row r="32" spans="1:46" x14ac:dyDescent="0.2">
      <c r="B32"/>
      <c r="C32"/>
      <c r="D32"/>
      <c r="E32"/>
      <c r="F32"/>
      <c r="G32"/>
      <c r="H32"/>
    </row>
    <row r="33" spans="1:21" x14ac:dyDescent="0.2">
      <c r="B33"/>
      <c r="C33"/>
      <c r="D33"/>
      <c r="E33"/>
      <c r="F33"/>
      <c r="G33"/>
      <c r="H33"/>
    </row>
    <row r="34" spans="1:21" x14ac:dyDescent="0.2">
      <c r="B34"/>
      <c r="C34"/>
      <c r="D34"/>
      <c r="E34"/>
      <c r="F34"/>
      <c r="G34"/>
      <c r="H34"/>
    </row>
    <row r="35" spans="1:21" ht="14.25" customHeight="1" x14ac:dyDescent="0.2">
      <c r="A35"/>
      <c r="B35"/>
      <c r="C35"/>
      <c r="D35"/>
      <c r="E35"/>
      <c r="F35"/>
      <c r="G35"/>
      <c r="H35"/>
      <c r="I35"/>
      <c r="J35"/>
      <c r="K35"/>
      <c r="L35"/>
      <c r="M35"/>
      <c r="N35"/>
      <c r="O35"/>
      <c r="P35"/>
      <c r="Q35"/>
      <c r="R35"/>
      <c r="S35"/>
      <c r="T35"/>
      <c r="U35"/>
    </row>
    <row r="36" spans="1:21" ht="14.25" customHeight="1" x14ac:dyDescent="0.2">
      <c r="A36"/>
      <c r="B36"/>
      <c r="C36"/>
      <c r="D36"/>
      <c r="E36"/>
      <c r="F36"/>
      <c r="G36"/>
      <c r="H36"/>
      <c r="I36"/>
      <c r="J36"/>
      <c r="K36"/>
      <c r="L36"/>
      <c r="M36"/>
      <c r="N36"/>
      <c r="O36"/>
      <c r="P36"/>
      <c r="Q36"/>
      <c r="R36"/>
      <c r="S36"/>
      <c r="T36"/>
      <c r="U36"/>
    </row>
    <row r="37" spans="1:21" ht="14.25" customHeight="1" x14ac:dyDescent="0.2">
      <c r="A37"/>
      <c r="B37"/>
      <c r="C37"/>
      <c r="D37"/>
      <c r="E37"/>
      <c r="F37"/>
      <c r="G37"/>
      <c r="H37"/>
      <c r="I37"/>
      <c r="J37"/>
      <c r="K37"/>
      <c r="L37"/>
      <c r="M37"/>
      <c r="N37"/>
      <c r="O37"/>
      <c r="P37"/>
      <c r="Q37"/>
      <c r="R37"/>
      <c r="S37"/>
      <c r="T37"/>
      <c r="U37"/>
    </row>
    <row r="38" spans="1:21" ht="14.25" customHeight="1" x14ac:dyDescent="0.2">
      <c r="A38"/>
      <c r="B38"/>
      <c r="C38"/>
      <c r="D38"/>
      <c r="E38"/>
      <c r="F38"/>
      <c r="G38"/>
      <c r="H38"/>
      <c r="I38"/>
      <c r="J38"/>
      <c r="K38"/>
      <c r="L38"/>
      <c r="M38"/>
      <c r="N38"/>
      <c r="O38"/>
      <c r="P38"/>
      <c r="Q38"/>
      <c r="R38"/>
      <c r="S38"/>
      <c r="T38"/>
      <c r="U38"/>
    </row>
    <row r="39" spans="1:21" ht="14.25" customHeight="1" x14ac:dyDescent="0.2">
      <c r="A39"/>
      <c r="B39"/>
      <c r="C39"/>
      <c r="D39"/>
      <c r="E39"/>
      <c r="F39"/>
      <c r="G39"/>
      <c r="H39"/>
      <c r="I39"/>
      <c r="J39"/>
      <c r="K39"/>
      <c r="L39"/>
      <c r="M39"/>
      <c r="N39"/>
      <c r="O39"/>
      <c r="P39"/>
      <c r="Q39"/>
      <c r="R39"/>
      <c r="S39"/>
      <c r="T39"/>
      <c r="U39"/>
    </row>
    <row r="40" spans="1:21" ht="14.25" customHeight="1" x14ac:dyDescent="0.2">
      <c r="A40"/>
      <c r="B40"/>
      <c r="C40"/>
      <c r="D40"/>
      <c r="E40"/>
      <c r="F40"/>
      <c r="G40"/>
      <c r="H40"/>
      <c r="I40"/>
      <c r="J40"/>
      <c r="K40"/>
      <c r="L40"/>
      <c r="M40"/>
      <c r="N40"/>
      <c r="O40"/>
      <c r="P40"/>
      <c r="Q40"/>
      <c r="R40"/>
      <c r="S40"/>
      <c r="T40"/>
      <c r="U40"/>
    </row>
    <row r="41" spans="1:21" ht="14.25" customHeight="1" x14ac:dyDescent="0.2">
      <c r="A41"/>
      <c r="B41"/>
      <c r="C41"/>
      <c r="D41"/>
      <c r="E41"/>
      <c r="F41"/>
      <c r="G41"/>
      <c r="H41"/>
      <c r="I41"/>
      <c r="J41"/>
      <c r="K41"/>
      <c r="L41"/>
      <c r="M41"/>
      <c r="N41"/>
      <c r="O41"/>
      <c r="P41"/>
      <c r="Q41"/>
      <c r="R41"/>
      <c r="S41"/>
      <c r="T41"/>
      <c r="U41"/>
    </row>
    <row r="42" spans="1:21" ht="24" customHeight="1" x14ac:dyDescent="0.2">
      <c r="A42"/>
      <c r="B42"/>
      <c r="C42"/>
      <c r="D42"/>
      <c r="E42"/>
      <c r="F42"/>
      <c r="G42"/>
      <c r="H42"/>
      <c r="I42"/>
      <c r="J42"/>
      <c r="K42"/>
      <c r="L42"/>
      <c r="M42"/>
      <c r="N42"/>
      <c r="O42"/>
      <c r="P42"/>
      <c r="Q42"/>
      <c r="R42"/>
      <c r="S42"/>
      <c r="T42"/>
      <c r="U42"/>
    </row>
    <row r="43" spans="1:21" ht="15" customHeight="1" x14ac:dyDescent="0.2">
      <c r="A43"/>
      <c r="B43"/>
      <c r="C43"/>
      <c r="D43"/>
      <c r="E43"/>
      <c r="F43"/>
      <c r="G43"/>
      <c r="H43"/>
      <c r="I43"/>
      <c r="J43"/>
      <c r="K43"/>
      <c r="L43"/>
      <c r="M43"/>
      <c r="N43"/>
      <c r="O43"/>
      <c r="P43"/>
      <c r="Q43"/>
      <c r="R43"/>
      <c r="S43"/>
      <c r="T43"/>
      <c r="U43"/>
    </row>
    <row r="44" spans="1:21" ht="24.75" customHeight="1" x14ac:dyDescent="0.2">
      <c r="A44"/>
      <c r="B44"/>
      <c r="C44"/>
      <c r="D44"/>
      <c r="E44"/>
      <c r="F44"/>
      <c r="G44"/>
      <c r="H44"/>
      <c r="I44"/>
      <c r="J44"/>
      <c r="K44"/>
      <c r="L44"/>
      <c r="M44"/>
      <c r="N44"/>
      <c r="O44"/>
      <c r="P44"/>
      <c r="Q44"/>
      <c r="R44"/>
      <c r="S44"/>
      <c r="T44"/>
      <c r="U44"/>
    </row>
    <row r="45" spans="1:21" ht="14.25" customHeight="1" x14ac:dyDescent="0.2">
      <c r="A45"/>
      <c r="B45"/>
      <c r="C45"/>
      <c r="D45"/>
      <c r="E45"/>
      <c r="F45"/>
      <c r="G45"/>
      <c r="H45"/>
      <c r="I45"/>
      <c r="J45"/>
      <c r="K45"/>
      <c r="L45"/>
      <c r="M45"/>
      <c r="N45"/>
      <c r="O45"/>
      <c r="P45"/>
      <c r="Q45"/>
      <c r="R45"/>
      <c r="S45"/>
      <c r="T45"/>
      <c r="U45"/>
    </row>
    <row r="46" spans="1:21" ht="14.25" customHeight="1" x14ac:dyDescent="0.2">
      <c r="A46"/>
      <c r="B46"/>
      <c r="C46"/>
      <c r="D46"/>
      <c r="E46"/>
      <c r="F46"/>
      <c r="G46"/>
      <c r="H46"/>
      <c r="I46"/>
      <c r="J46"/>
      <c r="K46"/>
      <c r="L46"/>
      <c r="M46"/>
      <c r="N46"/>
      <c r="O46"/>
      <c r="P46"/>
      <c r="Q46"/>
      <c r="R46"/>
      <c r="S46"/>
      <c r="T46"/>
      <c r="U46"/>
    </row>
    <row r="47" spans="1:21" ht="14.25" customHeight="1" x14ac:dyDescent="0.2">
      <c r="A47"/>
      <c r="I47"/>
      <c r="J47"/>
      <c r="K47"/>
      <c r="L47"/>
      <c r="M47"/>
      <c r="N47"/>
      <c r="O47"/>
      <c r="P47"/>
      <c r="Q47"/>
      <c r="R47"/>
      <c r="S47"/>
      <c r="T47"/>
      <c r="U47"/>
    </row>
    <row r="48" spans="1:21" ht="14.25" customHeight="1" x14ac:dyDescent="0.2">
      <c r="A48"/>
      <c r="I48"/>
      <c r="J48"/>
      <c r="K48"/>
      <c r="L48"/>
      <c r="M48"/>
      <c r="N48"/>
      <c r="O48"/>
      <c r="P48"/>
      <c r="Q48"/>
      <c r="R48"/>
      <c r="S48"/>
      <c r="T48"/>
      <c r="U48"/>
    </row>
    <row r="49" spans="1:21" ht="14.25" customHeight="1" x14ac:dyDescent="0.2">
      <c r="A49"/>
      <c r="I49"/>
      <c r="J49"/>
      <c r="K49"/>
      <c r="L49"/>
      <c r="M49"/>
      <c r="N49"/>
      <c r="O49"/>
      <c r="P49"/>
      <c r="Q49"/>
      <c r="R49"/>
      <c r="S49"/>
      <c r="T49"/>
      <c r="U49"/>
    </row>
    <row r="50" spans="1:21" ht="14.25" customHeight="1" x14ac:dyDescent="0.2"/>
    <row r="77" ht="15" customHeight="1" x14ac:dyDescent="0.2"/>
    <row r="81" ht="14.25" customHeight="1" x14ac:dyDescent="0.2"/>
    <row r="104" ht="15" customHeight="1" x14ac:dyDescent="0.2"/>
    <row r="108" ht="20.25" customHeight="1" x14ac:dyDescent="0.2"/>
    <row r="134" ht="15" customHeight="1" x14ac:dyDescent="0.2"/>
    <row r="147" spans="2:8" x14ac:dyDescent="0.2">
      <c r="B147" s="36"/>
      <c r="C147" s="36"/>
      <c r="D147" s="36"/>
      <c r="E147" s="36"/>
      <c r="F147" s="36"/>
      <c r="G147" s="36"/>
      <c r="H147" s="36"/>
    </row>
    <row r="156" spans="2:8" s="36" customFormat="1" ht="26.25" customHeight="1" x14ac:dyDescent="0.2">
      <c r="B156" s="25"/>
      <c r="C156" s="25"/>
      <c r="D156" s="25"/>
      <c r="E156" s="25"/>
      <c r="F156" s="25"/>
      <c r="G156" s="25"/>
      <c r="H156" s="25"/>
    </row>
    <row r="157" spans="2:8" ht="14.25" customHeight="1" x14ac:dyDescent="0.2"/>
    <row r="164" ht="14.25" customHeight="1" x14ac:dyDescent="0.2"/>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7">
    <pageSetUpPr autoPageBreaks="0"/>
  </sheetPr>
  <dimension ref="B1:AU30"/>
  <sheetViews>
    <sheetView showGridLines="0" workbookViewId="0">
      <pane xSplit="2" ySplit="4" topLeftCell="AG5" activePane="bottomRight" state="frozen"/>
      <selection activeCell="G3" sqref="G3"/>
      <selection pane="topRight" activeCell="G3" sqref="G3"/>
      <selection pane="bottomLeft" activeCell="G3" sqref="G3"/>
      <selection pane="bottomRight" activeCell="AU5" sqref="AU5"/>
    </sheetView>
  </sheetViews>
  <sheetFormatPr defaultRowHeight="12.75" outlineLevelRow="1" x14ac:dyDescent="0.2"/>
  <cols>
    <col min="1" max="1" width="1.42578125" customWidth="1"/>
    <col min="2" max="2" width="42.42578125" customWidth="1"/>
    <col min="3" max="22" width="10.7109375" customWidth="1"/>
  </cols>
  <sheetData>
    <row r="1" spans="2:47" s="551" customFormat="1" ht="7.5" customHeight="1" x14ac:dyDescent="0.2"/>
    <row r="2" spans="2:47" s="551" customFormat="1" x14ac:dyDescent="0.2">
      <c r="B2" s="586"/>
    </row>
    <row r="3" spans="2:47" x14ac:dyDescent="0.2">
      <c r="B3" s="53"/>
      <c r="E3" s="55"/>
      <c r="G3" s="54"/>
      <c r="H3" s="55"/>
      <c r="I3" s="55"/>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329"/>
      <c r="AU3" s="329"/>
    </row>
    <row r="4" spans="2:47" x14ac:dyDescent="0.2">
      <c r="B4" s="53"/>
      <c r="C4" s="1250" t="s">
        <v>1435</v>
      </c>
      <c r="D4" s="1251"/>
      <c r="E4" s="225" t="s">
        <v>1439</v>
      </c>
      <c r="G4" s="54"/>
      <c r="H4" s="55"/>
      <c r="I4" s="55"/>
      <c r="W4" s="551"/>
      <c r="X4" s="551"/>
      <c r="Y4" s="551"/>
      <c r="Z4" s="551"/>
      <c r="AA4" s="551"/>
      <c r="AB4" s="551"/>
      <c r="AC4" s="551"/>
      <c r="AD4" s="551"/>
      <c r="AE4" s="551"/>
      <c r="AF4" s="551"/>
      <c r="AG4" s="551"/>
      <c r="AH4" s="1064"/>
      <c r="AI4" s="1064"/>
      <c r="AJ4" s="1064"/>
      <c r="AK4" s="1064"/>
      <c r="AL4" s="1064"/>
      <c r="AM4" s="1064"/>
      <c r="AN4" s="1064"/>
      <c r="AO4" s="1064"/>
      <c r="AP4" s="1064"/>
      <c r="AQ4" s="1064"/>
      <c r="AR4" s="1064"/>
      <c r="AS4" s="1064"/>
      <c r="AT4" s="1064"/>
      <c r="AU4" s="1064"/>
    </row>
    <row r="5" spans="2:47" x14ac:dyDescent="0.2">
      <c r="B5" s="152" t="s">
        <v>391</v>
      </c>
      <c r="C5" s="247" t="s">
        <v>470</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158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1190</v>
      </c>
      <c r="AM5" s="247" t="s">
        <v>1193</v>
      </c>
      <c r="AN5" s="247" t="s">
        <v>1232</v>
      </c>
      <c r="AO5" s="247" t="s">
        <v>1245</v>
      </c>
      <c r="AP5" s="247" t="s">
        <v>1247</v>
      </c>
      <c r="AQ5" s="247" t="s">
        <v>1249</v>
      </c>
      <c r="AR5" s="247" t="s">
        <v>1306</v>
      </c>
      <c r="AS5" s="247" t="s">
        <v>1316</v>
      </c>
      <c r="AT5" s="247" t="s">
        <v>1317</v>
      </c>
      <c r="AU5" s="247" t="s">
        <v>1318</v>
      </c>
    </row>
    <row r="6" spans="2:47" x14ac:dyDescent="0.2">
      <c r="B6" s="127" t="s">
        <v>419</v>
      </c>
      <c r="C6" s="120">
        <v>-8621</v>
      </c>
      <c r="D6" s="120">
        <f>+C12</f>
        <v>-6725</v>
      </c>
      <c r="E6" s="163">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 si="4">AS12</f>
        <v>-1952</v>
      </c>
      <c r="AU6" s="120">
        <f t="shared" ref="AU6" si="5">AT12</f>
        <v>-2556</v>
      </c>
    </row>
    <row r="7" spans="2:47" x14ac:dyDescent="0.2">
      <c r="B7" s="130" t="s">
        <v>420</v>
      </c>
      <c r="C7" s="118">
        <v>-4671</v>
      </c>
      <c r="D7" s="118">
        <v>-477</v>
      </c>
      <c r="E7" s="161">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row>
    <row r="8" spans="2:47" x14ac:dyDescent="0.2">
      <c r="B8" s="130" t="s">
        <v>421</v>
      </c>
      <c r="C8" s="118">
        <v>6567</v>
      </c>
      <c r="D8" s="118">
        <v>0</v>
      </c>
      <c r="E8" s="161">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row>
    <row r="9" spans="2:47" x14ac:dyDescent="0.2">
      <c r="B9" s="130" t="s">
        <v>422</v>
      </c>
      <c r="C9" s="118">
        <v>0</v>
      </c>
      <c r="D9" s="118">
        <v>0</v>
      </c>
      <c r="E9" s="161">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x14ac:dyDescent="0.2">
      <c r="B10" s="130" t="s">
        <v>224</v>
      </c>
      <c r="C10" s="118">
        <v>0</v>
      </c>
      <c r="D10" s="118">
        <v>0</v>
      </c>
      <c r="E10" s="161">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row>
    <row r="11" spans="2:47" s="233" customFormat="1" hidden="1" outlineLevel="1" x14ac:dyDescent="0.2">
      <c r="B11" s="250" t="s">
        <v>653</v>
      </c>
      <c r="C11" s="219">
        <v>0</v>
      </c>
      <c r="D11" s="219">
        <v>0</v>
      </c>
      <c r="E11" s="220">
        <v>0</v>
      </c>
      <c r="F11" s="219">
        <v>0</v>
      </c>
      <c r="G11" s="219">
        <v>0</v>
      </c>
      <c r="H11" s="219">
        <v>0</v>
      </c>
      <c r="I11" s="219">
        <v>0</v>
      </c>
      <c r="J11" s="219">
        <v>0</v>
      </c>
      <c r="K11" s="219">
        <v>0</v>
      </c>
      <c r="L11" s="219">
        <v>0</v>
      </c>
      <c r="M11" s="219">
        <v>0</v>
      </c>
      <c r="N11" s="219">
        <v>0</v>
      </c>
      <c r="O11" s="219">
        <v>0</v>
      </c>
      <c r="P11" s="219">
        <v>0</v>
      </c>
      <c r="Q11" s="219">
        <v>0</v>
      </c>
      <c r="R11" s="219">
        <v>0</v>
      </c>
      <c r="S11" s="219">
        <v>16197</v>
      </c>
      <c r="T11" s="219">
        <v>0</v>
      </c>
      <c r="U11" s="219">
        <v>0</v>
      </c>
      <c r="V11" s="219">
        <v>0</v>
      </c>
      <c r="W11" s="219">
        <v>0</v>
      </c>
      <c r="X11" s="219">
        <v>0</v>
      </c>
      <c r="Y11" s="118">
        <v>0</v>
      </c>
      <c r="Z11" s="219">
        <v>0</v>
      </c>
      <c r="AA11" s="219">
        <v>0</v>
      </c>
      <c r="AB11" s="219">
        <v>0</v>
      </c>
      <c r="AC11" s="219">
        <v>0</v>
      </c>
      <c r="AD11" s="219">
        <v>0</v>
      </c>
      <c r="AE11" s="219">
        <v>0</v>
      </c>
      <c r="AF11" s="219">
        <v>0</v>
      </c>
      <c r="AG11" s="219">
        <v>0</v>
      </c>
      <c r="AH11" s="219">
        <v>0</v>
      </c>
      <c r="AI11" s="219">
        <v>0</v>
      </c>
      <c r="AJ11" s="219">
        <v>0</v>
      </c>
      <c r="AK11" s="219">
        <v>0</v>
      </c>
      <c r="AL11" s="219">
        <v>0</v>
      </c>
      <c r="AM11" s="118">
        <v>0</v>
      </c>
      <c r="AN11" s="118">
        <v>0</v>
      </c>
      <c r="AO11" s="118">
        <v>0</v>
      </c>
      <c r="AP11" s="118">
        <v>0</v>
      </c>
      <c r="AQ11" s="118">
        <v>0</v>
      </c>
      <c r="AR11" s="118">
        <v>0</v>
      </c>
      <c r="AS11" s="118">
        <v>0</v>
      </c>
      <c r="AT11" s="118">
        <v>0</v>
      </c>
      <c r="AU11" s="118">
        <v>0</v>
      </c>
    </row>
    <row r="12" spans="2:47" collapsed="1" x14ac:dyDescent="0.2">
      <c r="B12" s="127" t="s">
        <v>423</v>
      </c>
      <c r="C12" s="120">
        <f t="shared" ref="C12:J12" si="6">SUM(C6:C9)</f>
        <v>-6725</v>
      </c>
      <c r="D12" s="120">
        <f t="shared" si="6"/>
        <v>-7202</v>
      </c>
      <c r="E12" s="163">
        <f t="shared" si="6"/>
        <v>-4719</v>
      </c>
      <c r="F12" s="120">
        <f t="shared" si="6"/>
        <v>-15659</v>
      </c>
      <c r="G12" s="120">
        <f t="shared" si="6"/>
        <v>-16005</v>
      </c>
      <c r="H12" s="120">
        <f t="shared" si="6"/>
        <v>-15545</v>
      </c>
      <c r="I12" s="120">
        <f t="shared" si="6"/>
        <v>-15271</v>
      </c>
      <c r="J12" s="120">
        <f t="shared" si="6"/>
        <v>-16393</v>
      </c>
      <c r="K12" s="120">
        <v>-17205</v>
      </c>
      <c r="L12" s="120">
        <f t="shared" ref="L12:X12" si="7">SUM(L6:L9)</f>
        <v>-17833</v>
      </c>
      <c r="M12" s="120">
        <f t="shared" si="7"/>
        <v>-17741</v>
      </c>
      <c r="N12" s="120">
        <f t="shared" si="7"/>
        <v>-17317</v>
      </c>
      <c r="O12" s="120">
        <f t="shared" si="7"/>
        <v>-18072</v>
      </c>
      <c r="P12" s="120">
        <f t="shared" si="7"/>
        <v>-18241</v>
      </c>
      <c r="Q12" s="120">
        <f t="shared" si="7"/>
        <v>-18221</v>
      </c>
      <c r="R12" s="120">
        <f t="shared" si="7"/>
        <v>-18140</v>
      </c>
      <c r="S12" s="120">
        <f>SUM(S6:S11)</f>
        <v>-1968</v>
      </c>
      <c r="T12" s="120">
        <f t="shared" si="7"/>
        <v>-1905</v>
      </c>
      <c r="U12" s="120">
        <f t="shared" si="7"/>
        <v>-904</v>
      </c>
      <c r="V12" s="120">
        <f t="shared" si="7"/>
        <v>-1187</v>
      </c>
      <c r="W12" s="120">
        <f t="shared" si="7"/>
        <v>-2938</v>
      </c>
      <c r="X12" s="120">
        <f t="shared" si="7"/>
        <v>-3014</v>
      </c>
      <c r="Y12" s="120">
        <f t="shared" ref="Y12:AD12" si="8">SUM(Y6:Y11)</f>
        <v>-915</v>
      </c>
      <c r="Z12" s="120">
        <f t="shared" si="8"/>
        <v>-1047</v>
      </c>
      <c r="AA12" s="120">
        <f t="shared" si="8"/>
        <v>-222</v>
      </c>
      <c r="AB12" s="120">
        <f t="shared" si="8"/>
        <v>-142</v>
      </c>
      <c r="AC12" s="120">
        <f t="shared" si="8"/>
        <v>-211</v>
      </c>
      <c r="AD12" s="120">
        <f t="shared" si="8"/>
        <v>-322</v>
      </c>
      <c r="AE12" s="120">
        <f t="shared" ref="AE12:AK12" si="9">SUM(AE6:AE11)</f>
        <v>-288</v>
      </c>
      <c r="AF12" s="120">
        <f t="shared" si="9"/>
        <v>-435</v>
      </c>
      <c r="AG12" s="120">
        <f t="shared" si="9"/>
        <v>-473</v>
      </c>
      <c r="AH12" s="120">
        <f t="shared" si="9"/>
        <v>-768</v>
      </c>
      <c r="AI12" s="120">
        <f t="shared" si="9"/>
        <v>-931</v>
      </c>
      <c r="AJ12" s="120">
        <f>SUM(AJ6:AJ11)</f>
        <v>-1027</v>
      </c>
      <c r="AK12" s="120">
        <f t="shared" si="9"/>
        <v>-1074</v>
      </c>
      <c r="AL12" s="120">
        <v>-1019</v>
      </c>
      <c r="AM12" s="120">
        <f t="shared" ref="AM12:AU12" si="10">SUM(AM6:AM11)</f>
        <v>-1032</v>
      </c>
      <c r="AN12" s="120">
        <f t="shared" si="10"/>
        <v>-1321</v>
      </c>
      <c r="AO12" s="120">
        <f t="shared" si="10"/>
        <v>-1613</v>
      </c>
      <c r="AP12" s="120">
        <f t="shared" si="10"/>
        <v>-1762</v>
      </c>
      <c r="AQ12" s="120">
        <f t="shared" si="10"/>
        <v>-1798</v>
      </c>
      <c r="AR12" s="120">
        <f t="shared" si="10"/>
        <v>-1817</v>
      </c>
      <c r="AS12" s="120">
        <f t="shared" si="10"/>
        <v>-1952</v>
      </c>
      <c r="AT12" s="120">
        <f t="shared" si="10"/>
        <v>-2556</v>
      </c>
      <c r="AU12" s="120">
        <f t="shared" si="10"/>
        <v>-3387</v>
      </c>
    </row>
    <row r="13" spans="2:47" x14ac:dyDescent="0.2">
      <c r="B13" s="154"/>
      <c r="C13" s="155">
        <f>+C12-'Account Receivable'!C9</f>
        <v>0</v>
      </c>
      <c r="D13" s="155">
        <f>+D12-'Account Receivable'!D9</f>
        <v>0</v>
      </c>
      <c r="E13" s="155">
        <f>+E12-'Account Receivable'!E9</f>
        <v>0</v>
      </c>
      <c r="F13" s="155">
        <f>+F12-'Account Receivable'!F9</f>
        <v>0</v>
      </c>
      <c r="G13" s="155">
        <f>+G12-'Account Receivable'!G9</f>
        <v>0</v>
      </c>
      <c r="H13" s="155">
        <f>+H12-'Account Receivable'!H9</f>
        <v>0</v>
      </c>
      <c r="I13" s="155">
        <f>+I12-'Account Receivable'!I9</f>
        <v>0</v>
      </c>
      <c r="J13" s="155">
        <f>+J12-'Account Receivable'!J9</f>
        <v>0</v>
      </c>
      <c r="K13" s="155">
        <f>+K12-'Account Receivable'!K9</f>
        <v>0</v>
      </c>
      <c r="L13" s="155">
        <f>+L12-'Account Receivable'!L9</f>
        <v>0</v>
      </c>
      <c r="M13" s="155">
        <f>+M12-'Account Receivable'!M9</f>
        <v>0</v>
      </c>
      <c r="N13" s="155">
        <f>+N12-'Account Receivable'!N9</f>
        <v>0</v>
      </c>
      <c r="O13" s="155">
        <v>0</v>
      </c>
      <c r="P13" s="155">
        <v>0</v>
      </c>
      <c r="Q13" s="155">
        <v>0</v>
      </c>
      <c r="R13" s="155">
        <f>+'Account Receivable'!R9-R12</f>
        <v>0</v>
      </c>
      <c r="S13" s="155">
        <f>+'Account Receivable'!S9-S12</f>
        <v>0</v>
      </c>
      <c r="T13" s="155">
        <v>0</v>
      </c>
      <c r="U13" s="155">
        <f>+'Account Receivable'!U9-U12</f>
        <v>0</v>
      </c>
      <c r="V13" s="155">
        <f>+'Account Receivable'!V9-V12</f>
        <v>0</v>
      </c>
      <c r="W13" s="155">
        <f>+'Account Receivable'!W9-W12</f>
        <v>0</v>
      </c>
      <c r="X13" s="155">
        <f>+'Account Receivable'!X9-X12</f>
        <v>0</v>
      </c>
      <c r="Y13" s="155">
        <f>+'Account Receivable'!Y9-Y12</f>
        <v>0</v>
      </c>
      <c r="Z13" s="155">
        <f>+'Account Receivable'!Z9-Z12</f>
        <v>0</v>
      </c>
      <c r="AA13" s="155">
        <v>0</v>
      </c>
      <c r="AB13" s="155">
        <f>+'Account Receivable'!AB9-AB12</f>
        <v>0</v>
      </c>
      <c r="AC13" s="155">
        <f>+'Account Receivable'!AC9-AC12</f>
        <v>0</v>
      </c>
      <c r="AD13" s="155">
        <f>+'Account Receivable'!AD9-AD12</f>
        <v>0</v>
      </c>
      <c r="AE13" s="155">
        <f>+'Account Receivable'!AE9-AE12</f>
        <v>0</v>
      </c>
      <c r="AF13" s="155">
        <f>+'Account Receivable'!AF9-AF12</f>
        <v>0</v>
      </c>
      <c r="AG13" s="155">
        <f>+'Account Receivable'!AG9-AG12</f>
        <v>0</v>
      </c>
      <c r="AH13" s="155">
        <f>+'Account Receivable'!AH9-AH12</f>
        <v>0</v>
      </c>
      <c r="AI13" s="155">
        <f>+'Account Receivable'!AI9-AI12</f>
        <v>0</v>
      </c>
      <c r="AJ13" s="155">
        <v>0</v>
      </c>
      <c r="AK13" s="155">
        <f>+'Account Receivable'!AK9-AK12</f>
        <v>0</v>
      </c>
      <c r="AL13" s="155">
        <v>0</v>
      </c>
      <c r="AM13" s="155">
        <f>+'Account Receivable'!AM9-AM12</f>
        <v>0</v>
      </c>
      <c r="AN13" s="155">
        <f>+'Account Receivable'!AN9-AN12</f>
        <v>0</v>
      </c>
      <c r="AO13" s="155">
        <f>+'Account Receivable'!AO9-AO12</f>
        <v>0</v>
      </c>
      <c r="AP13" s="155">
        <f>+'Account Receivable'!AP9-AP12</f>
        <v>0</v>
      </c>
      <c r="AQ13" s="155">
        <f>+'Account Receivable'!AQ9-AQ12</f>
        <v>0</v>
      </c>
      <c r="AR13" s="155">
        <f>+'Account Receivable'!AR9-AR12</f>
        <v>0</v>
      </c>
      <c r="AS13" s="155">
        <f>+'Account Receivable'!AS9-AS12</f>
        <v>0</v>
      </c>
      <c r="AT13" s="155">
        <f>+'Account Receivable'!AT9-AT12</f>
        <v>0</v>
      </c>
      <c r="AU13" s="155">
        <f>+'Account Receivable'!AU9-AU12</f>
        <v>0</v>
      </c>
    </row>
    <row r="14" spans="2:47" x14ac:dyDescent="0.2">
      <c r="B14" s="152" t="s">
        <v>397</v>
      </c>
      <c r="C14" s="115" t="str">
        <f t="shared" ref="C14:S14" si="11">C5</f>
        <v>4Q13</v>
      </c>
      <c r="D14" s="115" t="str">
        <f t="shared" si="11"/>
        <v>1Q14</v>
      </c>
      <c r="E14" s="115" t="str">
        <f t="shared" si="11"/>
        <v>2Q14</v>
      </c>
      <c r="F14" s="115" t="str">
        <f t="shared" si="11"/>
        <v>3Q14</v>
      </c>
      <c r="G14" s="115" t="str">
        <f t="shared" si="11"/>
        <v>4Q14</v>
      </c>
      <c r="H14" s="115" t="str">
        <f t="shared" si="11"/>
        <v>1Q15</v>
      </c>
      <c r="I14" s="115" t="str">
        <f t="shared" si="11"/>
        <v>2Q15</v>
      </c>
      <c r="J14" s="115" t="str">
        <f t="shared" si="11"/>
        <v>3Q15</v>
      </c>
      <c r="K14" s="115" t="str">
        <f t="shared" si="11"/>
        <v>4Q15</v>
      </c>
      <c r="L14" s="115" t="str">
        <f t="shared" si="11"/>
        <v>1Q16</v>
      </c>
      <c r="M14" s="115" t="str">
        <f t="shared" si="11"/>
        <v>2Q16</v>
      </c>
      <c r="N14" s="115" t="str">
        <f t="shared" si="11"/>
        <v>3Q16</v>
      </c>
      <c r="O14" s="115" t="str">
        <f t="shared" si="11"/>
        <v>4Q16</v>
      </c>
      <c r="P14" s="115" t="str">
        <f t="shared" si="11"/>
        <v>1Q17</v>
      </c>
      <c r="Q14" s="115" t="str">
        <f t="shared" si="11"/>
        <v>2Q17</v>
      </c>
      <c r="R14" s="115" t="str">
        <f t="shared" si="11"/>
        <v>3Q17</v>
      </c>
      <c r="S14" s="115" t="str">
        <f t="shared" si="11"/>
        <v>4Q17</v>
      </c>
      <c r="T14" s="115" t="s">
        <v>158</v>
      </c>
      <c r="U14" s="115" t="str">
        <f t="shared" ref="U14:AB14" si="12">U5</f>
        <v>2Q18</v>
      </c>
      <c r="V14" s="115" t="str">
        <f t="shared" si="12"/>
        <v>3Q18</v>
      </c>
      <c r="W14" s="115" t="str">
        <f t="shared" si="12"/>
        <v>4Q18</v>
      </c>
      <c r="X14" s="115" t="str">
        <f t="shared" si="12"/>
        <v>1Q19</v>
      </c>
      <c r="Y14" s="115" t="str">
        <f t="shared" si="12"/>
        <v>2Q19</v>
      </c>
      <c r="Z14" s="115" t="str">
        <f t="shared" si="12"/>
        <v>3Q19</v>
      </c>
      <c r="AA14" s="115" t="str">
        <f t="shared" si="12"/>
        <v>4Q19</v>
      </c>
      <c r="AB14" s="115" t="str">
        <f t="shared" si="12"/>
        <v>1Q20</v>
      </c>
      <c r="AC14" s="115" t="str">
        <f t="shared" ref="AC14:AK14" si="13">AC5</f>
        <v>2Q20</v>
      </c>
      <c r="AD14" s="115" t="str">
        <f t="shared" si="13"/>
        <v>3Q20</v>
      </c>
      <c r="AE14" s="115" t="str">
        <f t="shared" si="13"/>
        <v>4Q20</v>
      </c>
      <c r="AF14" s="115" t="str">
        <f t="shared" si="13"/>
        <v>1Q21</v>
      </c>
      <c r="AG14" s="115" t="str">
        <f t="shared" si="13"/>
        <v>2Q21</v>
      </c>
      <c r="AH14" s="115" t="str">
        <f t="shared" si="13"/>
        <v>3Q21</v>
      </c>
      <c r="AI14" s="115" t="str">
        <f t="shared" si="13"/>
        <v>4Q21</v>
      </c>
      <c r="AJ14" s="115" t="str">
        <f t="shared" si="13"/>
        <v>1Q22</v>
      </c>
      <c r="AK14" s="115" t="str">
        <f t="shared" si="13"/>
        <v>2Q22</v>
      </c>
      <c r="AL14" s="115" t="s">
        <v>1190</v>
      </c>
      <c r="AM14" s="115" t="str">
        <f t="shared" ref="AM14:AR14" si="14">AM5</f>
        <v>4Q22</v>
      </c>
      <c r="AN14" s="115" t="str">
        <f t="shared" si="14"/>
        <v>1Q23</v>
      </c>
      <c r="AO14" s="115" t="str">
        <f t="shared" si="14"/>
        <v>2Q23</v>
      </c>
      <c r="AP14" s="115" t="str">
        <f t="shared" si="14"/>
        <v>3Q23</v>
      </c>
      <c r="AQ14" s="115" t="str">
        <f t="shared" si="14"/>
        <v>4Q23</v>
      </c>
      <c r="AR14" s="115" t="str">
        <f t="shared" si="14"/>
        <v>1Q24</v>
      </c>
      <c r="AS14" s="115" t="str">
        <f t="shared" ref="AS14" si="15">AS5</f>
        <v>2Q24</v>
      </c>
      <c r="AT14" s="115" t="str">
        <f>AT5</f>
        <v>3Q24</v>
      </c>
      <c r="AU14" s="115" t="str">
        <f>AU5</f>
        <v>4Q24</v>
      </c>
    </row>
    <row r="15" spans="2:47" x14ac:dyDescent="0.2">
      <c r="B15" s="127" t="s">
        <v>419</v>
      </c>
      <c r="C15" s="120">
        <v>-849</v>
      </c>
      <c r="D15" s="120">
        <f>C21</f>
        <v>-2247</v>
      </c>
      <c r="E15" s="163">
        <f t="shared" ref="E15:J15" si="16">D21</f>
        <v>-2569</v>
      </c>
      <c r="F15" s="120">
        <f t="shared" si="16"/>
        <v>-3238</v>
      </c>
      <c r="G15" s="120">
        <f t="shared" si="16"/>
        <v>-14101</v>
      </c>
      <c r="H15" s="120">
        <f t="shared" si="16"/>
        <v>-13089</v>
      </c>
      <c r="I15" s="120">
        <f t="shared" si="16"/>
        <v>-12875</v>
      </c>
      <c r="J15" s="120">
        <f t="shared" si="16"/>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7">AA21</f>
        <v>-175</v>
      </c>
      <c r="AC15" s="120">
        <f t="shared" si="17"/>
        <v>-96</v>
      </c>
      <c r="AD15" s="120">
        <f t="shared" si="17"/>
        <v>-158</v>
      </c>
      <c r="AE15" s="120">
        <f t="shared" si="17"/>
        <v>-275</v>
      </c>
      <c r="AF15" s="120">
        <f t="shared" si="17"/>
        <v>-242</v>
      </c>
      <c r="AG15" s="120">
        <f t="shared" si="17"/>
        <v>-333</v>
      </c>
      <c r="AH15" s="120">
        <f>AG21</f>
        <v>-370</v>
      </c>
      <c r="AI15" s="120">
        <f>AH21</f>
        <v>-490</v>
      </c>
      <c r="AJ15" s="120">
        <f t="shared" ref="AJ15:AR15" si="18">AI21</f>
        <v>-835</v>
      </c>
      <c r="AK15" s="120">
        <f t="shared" si="18"/>
        <v>-911</v>
      </c>
      <c r="AL15" s="120">
        <v>-929</v>
      </c>
      <c r="AM15" s="120">
        <f t="shared" si="18"/>
        <v>-858</v>
      </c>
      <c r="AN15" s="120">
        <f t="shared" si="18"/>
        <v>-797</v>
      </c>
      <c r="AO15" s="120">
        <f t="shared" si="18"/>
        <v>-769</v>
      </c>
      <c r="AP15" s="120">
        <f t="shared" si="18"/>
        <v>-2117</v>
      </c>
      <c r="AQ15" s="120">
        <f t="shared" si="18"/>
        <v>-1059</v>
      </c>
      <c r="AR15" s="120">
        <f t="shared" si="18"/>
        <v>-1048</v>
      </c>
      <c r="AS15" s="120">
        <f t="shared" ref="AS15" si="19">AR21</f>
        <v>-1125</v>
      </c>
      <c r="AT15" s="120">
        <f t="shared" ref="AT15" si="20">AR21</f>
        <v>-1125</v>
      </c>
      <c r="AU15" s="120">
        <f>AT21</f>
        <v>-1742</v>
      </c>
    </row>
    <row r="16" spans="2:47" x14ac:dyDescent="0.2">
      <c r="B16" s="130" t="s">
        <v>420</v>
      </c>
      <c r="C16" s="118">
        <v>-2250</v>
      </c>
      <c r="D16" s="118">
        <v>-322</v>
      </c>
      <c r="E16" s="161">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row>
    <row r="17" spans="2:47" x14ac:dyDescent="0.2">
      <c r="B17" s="130" t="s">
        <v>421</v>
      </c>
      <c r="C17" s="118">
        <v>852</v>
      </c>
      <c r="D17" s="118">
        <v>0</v>
      </c>
      <c r="E17" s="161">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row>
    <row r="18" spans="2:47" x14ac:dyDescent="0.2">
      <c r="B18" s="130" t="s">
        <v>422</v>
      </c>
      <c r="C18" s="118">
        <v>0</v>
      </c>
      <c r="D18" s="118">
        <v>0</v>
      </c>
      <c r="E18" s="161">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row>
    <row r="19" spans="2:47" x14ac:dyDescent="0.2">
      <c r="B19" s="130" t="s">
        <v>224</v>
      </c>
      <c r="C19" s="118">
        <v>0</v>
      </c>
      <c r="D19" s="118">
        <v>0</v>
      </c>
      <c r="E19" s="161">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row>
    <row r="20" spans="2:47" s="233" customFormat="1" hidden="1" outlineLevel="1" x14ac:dyDescent="0.2">
      <c r="B20" s="250" t="s">
        <v>653</v>
      </c>
      <c r="C20" s="219">
        <v>0</v>
      </c>
      <c r="D20" s="219">
        <v>0</v>
      </c>
      <c r="E20" s="220">
        <v>0</v>
      </c>
      <c r="F20" s="219">
        <v>0</v>
      </c>
      <c r="G20" s="219">
        <v>0</v>
      </c>
      <c r="H20" s="219">
        <v>0</v>
      </c>
      <c r="I20" s="219">
        <v>0</v>
      </c>
      <c r="J20" s="219">
        <v>0</v>
      </c>
      <c r="K20" s="219">
        <v>0</v>
      </c>
      <c r="L20" s="219">
        <v>0</v>
      </c>
      <c r="M20" s="219">
        <v>0</v>
      </c>
      <c r="N20" s="219">
        <v>0</v>
      </c>
      <c r="O20" s="219">
        <v>0</v>
      </c>
      <c r="P20" s="219">
        <v>0</v>
      </c>
      <c r="Q20" s="219">
        <v>0</v>
      </c>
      <c r="R20" s="219">
        <v>0</v>
      </c>
      <c r="S20" s="219">
        <v>12238</v>
      </c>
      <c r="T20" s="219">
        <v>0</v>
      </c>
      <c r="U20" s="219">
        <v>0</v>
      </c>
      <c r="V20" s="219">
        <v>0</v>
      </c>
      <c r="W20" s="219">
        <v>0</v>
      </c>
      <c r="X20" s="219">
        <v>0</v>
      </c>
      <c r="Y20" s="219">
        <v>0</v>
      </c>
      <c r="Z20" s="219">
        <v>0</v>
      </c>
      <c r="AA20" s="219">
        <v>0</v>
      </c>
      <c r="AB20" s="219">
        <v>0</v>
      </c>
      <c r="AC20" s="219">
        <v>0</v>
      </c>
      <c r="AD20" s="219">
        <v>0</v>
      </c>
      <c r="AE20" s="219">
        <v>0</v>
      </c>
      <c r="AF20" s="219">
        <v>0</v>
      </c>
      <c r="AG20" s="219">
        <v>0</v>
      </c>
      <c r="AH20" s="219">
        <v>0</v>
      </c>
      <c r="AI20" s="219">
        <v>0</v>
      </c>
      <c r="AJ20" s="219">
        <v>0</v>
      </c>
      <c r="AK20" s="219">
        <v>0</v>
      </c>
      <c r="AL20" s="219">
        <v>0</v>
      </c>
      <c r="AM20" s="219">
        <v>0</v>
      </c>
      <c r="AN20" s="219">
        <v>0</v>
      </c>
      <c r="AO20" s="219">
        <v>0</v>
      </c>
      <c r="AP20" s="219">
        <v>0</v>
      </c>
      <c r="AQ20" s="219">
        <v>0</v>
      </c>
      <c r="AR20" s="219">
        <v>0</v>
      </c>
      <c r="AS20" s="219">
        <v>0</v>
      </c>
      <c r="AT20" s="219">
        <v>0</v>
      </c>
      <c r="AU20" s="219">
        <v>0</v>
      </c>
    </row>
    <row r="21" spans="2:47" collapsed="1" x14ac:dyDescent="0.2">
      <c r="B21" s="127" t="s">
        <v>423</v>
      </c>
      <c r="C21" s="120">
        <f t="shared" ref="C21:X21" si="21">SUM(C15:C17)</f>
        <v>-2247</v>
      </c>
      <c r="D21" s="120">
        <f t="shared" si="21"/>
        <v>-2569</v>
      </c>
      <c r="E21" s="163">
        <f t="shared" si="21"/>
        <v>-3238</v>
      </c>
      <c r="F21" s="120">
        <f t="shared" si="21"/>
        <v>-14101</v>
      </c>
      <c r="G21" s="120">
        <f t="shared" si="21"/>
        <v>-13089</v>
      </c>
      <c r="H21" s="120">
        <f t="shared" si="21"/>
        <v>-12875</v>
      </c>
      <c r="I21" s="120">
        <f t="shared" si="21"/>
        <v>-11410</v>
      </c>
      <c r="J21" s="120">
        <f t="shared" si="21"/>
        <v>-11715</v>
      </c>
      <c r="K21" s="120">
        <f t="shared" si="21"/>
        <v>-12450</v>
      </c>
      <c r="L21" s="120">
        <f t="shared" si="21"/>
        <v>-12515</v>
      </c>
      <c r="M21" s="120">
        <f t="shared" si="21"/>
        <v>-12406</v>
      </c>
      <c r="N21" s="120">
        <f t="shared" si="21"/>
        <v>-12405</v>
      </c>
      <c r="O21" s="120">
        <f t="shared" si="21"/>
        <v>-12372</v>
      </c>
      <c r="P21" s="120">
        <f t="shared" si="21"/>
        <v>-12376</v>
      </c>
      <c r="Q21" s="120">
        <f t="shared" si="21"/>
        <v>-12380</v>
      </c>
      <c r="R21" s="120">
        <f t="shared" si="21"/>
        <v>-12313</v>
      </c>
      <c r="S21" s="120">
        <f>SUM(S15:S20)</f>
        <v>-111</v>
      </c>
      <c r="T21" s="120">
        <f t="shared" si="21"/>
        <v>-168</v>
      </c>
      <c r="U21" s="120">
        <f t="shared" si="21"/>
        <v>-59</v>
      </c>
      <c r="V21" s="120">
        <f t="shared" si="21"/>
        <v>-64</v>
      </c>
      <c r="W21" s="120">
        <f t="shared" si="21"/>
        <v>-79</v>
      </c>
      <c r="X21" s="120">
        <f t="shared" si="21"/>
        <v>-158</v>
      </c>
      <c r="Y21" s="120">
        <f t="shared" ref="Y21:AD21" si="22">SUM(Y15:Y17)</f>
        <v>-78</v>
      </c>
      <c r="Z21" s="120">
        <f t="shared" si="22"/>
        <v>-165</v>
      </c>
      <c r="AA21" s="120">
        <f t="shared" si="22"/>
        <v>-175</v>
      </c>
      <c r="AB21" s="120">
        <f t="shared" si="22"/>
        <v>-96</v>
      </c>
      <c r="AC21" s="120">
        <f t="shared" si="22"/>
        <v>-158</v>
      </c>
      <c r="AD21" s="120">
        <f t="shared" si="22"/>
        <v>-275</v>
      </c>
      <c r="AE21" s="120">
        <f t="shared" ref="AE21:AK21" si="23">SUM(AE15:AE17)</f>
        <v>-242</v>
      </c>
      <c r="AF21" s="120">
        <f t="shared" si="23"/>
        <v>-333</v>
      </c>
      <c r="AG21" s="120">
        <f t="shared" si="23"/>
        <v>-370</v>
      </c>
      <c r="AH21" s="120">
        <f t="shared" si="23"/>
        <v>-490</v>
      </c>
      <c r="AI21" s="120">
        <f t="shared" si="23"/>
        <v>-835</v>
      </c>
      <c r="AJ21" s="120">
        <f t="shared" si="23"/>
        <v>-911</v>
      </c>
      <c r="AK21" s="120">
        <f t="shared" si="23"/>
        <v>-929</v>
      </c>
      <c r="AL21" s="120">
        <v>-858</v>
      </c>
      <c r="AM21" s="120">
        <f t="shared" ref="AM21:AU21" si="24">SUM(AM15:AM17)</f>
        <v>-797</v>
      </c>
      <c r="AN21" s="120">
        <f t="shared" si="24"/>
        <v>-769</v>
      </c>
      <c r="AO21" s="120">
        <f t="shared" si="24"/>
        <v>-2117</v>
      </c>
      <c r="AP21" s="120">
        <f t="shared" si="24"/>
        <v>-1059</v>
      </c>
      <c r="AQ21" s="120">
        <f t="shared" si="24"/>
        <v>-1048</v>
      </c>
      <c r="AR21" s="120">
        <f t="shared" si="24"/>
        <v>-1125</v>
      </c>
      <c r="AS21" s="120">
        <f t="shared" si="24"/>
        <v>-1270</v>
      </c>
      <c r="AT21" s="120">
        <f t="shared" si="24"/>
        <v>-1742</v>
      </c>
      <c r="AU21" s="120">
        <f t="shared" si="24"/>
        <v>-2838</v>
      </c>
    </row>
    <row r="22" spans="2:47" x14ac:dyDescent="0.2">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row>
    <row r="23" spans="2:47" x14ac:dyDescent="0.2">
      <c r="B23" s="152" t="s">
        <v>401</v>
      </c>
      <c r="C23" s="115" t="str">
        <f t="shared" ref="C23:S23" si="25">C5</f>
        <v>4Q13</v>
      </c>
      <c r="D23" s="115" t="str">
        <f t="shared" si="25"/>
        <v>1Q14</v>
      </c>
      <c r="E23" s="115" t="str">
        <f t="shared" si="25"/>
        <v>2Q14</v>
      </c>
      <c r="F23" s="115" t="str">
        <f t="shared" si="25"/>
        <v>3Q14</v>
      </c>
      <c r="G23" s="115" t="str">
        <f t="shared" si="25"/>
        <v>4Q14</v>
      </c>
      <c r="H23" s="115" t="str">
        <f t="shared" si="25"/>
        <v>1Q15</v>
      </c>
      <c r="I23" s="115" t="str">
        <f t="shared" si="25"/>
        <v>2Q15</v>
      </c>
      <c r="J23" s="115" t="str">
        <f t="shared" si="25"/>
        <v>3Q15</v>
      </c>
      <c r="K23" s="115" t="str">
        <f t="shared" si="25"/>
        <v>4Q15</v>
      </c>
      <c r="L23" s="115" t="str">
        <f t="shared" si="25"/>
        <v>1Q16</v>
      </c>
      <c r="M23" s="115" t="str">
        <f t="shared" si="25"/>
        <v>2Q16</v>
      </c>
      <c r="N23" s="115" t="str">
        <f t="shared" si="25"/>
        <v>3Q16</v>
      </c>
      <c r="O23" s="115" t="str">
        <f t="shared" si="25"/>
        <v>4Q16</v>
      </c>
      <c r="P23" s="115" t="str">
        <f t="shared" si="25"/>
        <v>1Q17</v>
      </c>
      <c r="Q23" s="115" t="str">
        <f t="shared" si="25"/>
        <v>2Q17</v>
      </c>
      <c r="R23" s="115" t="str">
        <f t="shared" si="25"/>
        <v>3Q17</v>
      </c>
      <c r="S23" s="115" t="str">
        <f t="shared" si="25"/>
        <v>4Q17</v>
      </c>
      <c r="T23" s="115" t="s">
        <v>158</v>
      </c>
      <c r="U23" s="115" t="str">
        <f t="shared" ref="U23:AB23" si="26">U5</f>
        <v>2Q18</v>
      </c>
      <c r="V23" s="115" t="str">
        <f t="shared" si="26"/>
        <v>3Q18</v>
      </c>
      <c r="W23" s="115" t="str">
        <f t="shared" si="26"/>
        <v>4Q18</v>
      </c>
      <c r="X23" s="115" t="str">
        <f t="shared" si="26"/>
        <v>1Q19</v>
      </c>
      <c r="Y23" s="115" t="str">
        <f t="shared" si="26"/>
        <v>2Q19</v>
      </c>
      <c r="Z23" s="115" t="str">
        <f t="shared" si="26"/>
        <v>3Q19</v>
      </c>
      <c r="AA23" s="115" t="str">
        <f t="shared" si="26"/>
        <v>4Q19</v>
      </c>
      <c r="AB23" s="115" t="str">
        <f t="shared" si="26"/>
        <v>1Q20</v>
      </c>
      <c r="AC23" s="115" t="str">
        <f t="shared" ref="AC23:AJ23" si="27">AC5</f>
        <v>2Q20</v>
      </c>
      <c r="AD23" s="115" t="str">
        <f t="shared" si="27"/>
        <v>3Q20</v>
      </c>
      <c r="AE23" s="115" t="str">
        <f t="shared" si="27"/>
        <v>4Q20</v>
      </c>
      <c r="AF23" s="115" t="str">
        <f t="shared" si="27"/>
        <v>1Q21</v>
      </c>
      <c r="AG23" s="115" t="str">
        <f t="shared" si="27"/>
        <v>2Q21</v>
      </c>
      <c r="AH23" s="115" t="str">
        <f t="shared" si="27"/>
        <v>3Q21</v>
      </c>
      <c r="AI23" s="115" t="str">
        <f t="shared" si="27"/>
        <v>4Q21</v>
      </c>
      <c r="AJ23" s="115" t="str">
        <f t="shared" si="27"/>
        <v>1Q22</v>
      </c>
      <c r="AK23" s="115" t="str">
        <f>AK5</f>
        <v>2Q22</v>
      </c>
      <c r="AL23" s="115" t="s">
        <v>1190</v>
      </c>
      <c r="AM23" s="115" t="str">
        <f t="shared" ref="AM23:AR23" si="28">AM5</f>
        <v>4Q22</v>
      </c>
      <c r="AN23" s="115" t="str">
        <f t="shared" si="28"/>
        <v>1Q23</v>
      </c>
      <c r="AO23" s="115" t="str">
        <f t="shared" si="28"/>
        <v>2Q23</v>
      </c>
      <c r="AP23" s="115" t="str">
        <f t="shared" si="28"/>
        <v>3Q23</v>
      </c>
      <c r="AQ23" s="115" t="str">
        <f t="shared" si="28"/>
        <v>4Q23</v>
      </c>
      <c r="AR23" s="115" t="str">
        <f t="shared" si="28"/>
        <v>1Q24</v>
      </c>
      <c r="AS23" s="115" t="str">
        <f t="shared" ref="AS23" si="29">AS5</f>
        <v>2Q24</v>
      </c>
      <c r="AT23" s="115" t="str">
        <f>AT5</f>
        <v>3Q24</v>
      </c>
      <c r="AU23" s="115" t="str">
        <f>AU5</f>
        <v>4Q24</v>
      </c>
    </row>
    <row r="24" spans="2:47" x14ac:dyDescent="0.2">
      <c r="B24" s="127" t="s">
        <v>419</v>
      </c>
      <c r="C24" s="120">
        <f t="shared" ref="C24:N24" si="30">+C6-C15</f>
        <v>-7772</v>
      </c>
      <c r="D24" s="120">
        <f t="shared" si="30"/>
        <v>-4478</v>
      </c>
      <c r="E24" s="163">
        <f t="shared" si="30"/>
        <v>-4633</v>
      </c>
      <c r="F24" s="120">
        <f t="shared" si="30"/>
        <v>-1481</v>
      </c>
      <c r="G24" s="120">
        <f t="shared" si="30"/>
        <v>-1558</v>
      </c>
      <c r="H24" s="120">
        <f t="shared" si="30"/>
        <v>-2916</v>
      </c>
      <c r="I24" s="120">
        <f t="shared" si="30"/>
        <v>-2670</v>
      </c>
      <c r="J24" s="120">
        <f t="shared" si="30"/>
        <v>-3861</v>
      </c>
      <c r="K24" s="120">
        <f t="shared" si="30"/>
        <v>-4678</v>
      </c>
      <c r="L24" s="120">
        <f t="shared" si="30"/>
        <v>-4755</v>
      </c>
      <c r="M24" s="120">
        <f t="shared" si="30"/>
        <v>-5318</v>
      </c>
      <c r="N24" s="120">
        <f t="shared" si="30"/>
        <v>-5335</v>
      </c>
      <c r="O24" s="120">
        <v>-4912</v>
      </c>
      <c r="P24" s="120">
        <v>-5700</v>
      </c>
      <c r="Q24" s="120">
        <v>-5865</v>
      </c>
      <c r="R24" s="120">
        <f>+R6-R15</f>
        <v>-5841</v>
      </c>
      <c r="S24" s="120">
        <f>+S6-S15</f>
        <v>-5827</v>
      </c>
      <c r="T24" s="120">
        <v>-1857</v>
      </c>
      <c r="U24" s="120">
        <v>-1737</v>
      </c>
      <c r="V24" s="120">
        <v>-845</v>
      </c>
      <c r="W24" s="120">
        <f t="shared" ref="W24:AB24" si="31">+W6-W15</f>
        <v>-1123</v>
      </c>
      <c r="X24" s="120">
        <f t="shared" si="31"/>
        <v>-2859</v>
      </c>
      <c r="Y24" s="120">
        <f t="shared" si="31"/>
        <v>-2856</v>
      </c>
      <c r="Z24" s="120">
        <f t="shared" si="31"/>
        <v>-836</v>
      </c>
      <c r="AA24" s="120">
        <f t="shared" si="31"/>
        <v>-882</v>
      </c>
      <c r="AB24" s="120">
        <f t="shared" si="31"/>
        <v>-47</v>
      </c>
      <c r="AC24" s="120">
        <f t="shared" ref="AC24:AD29" si="32">+AC6-AC15</f>
        <v>-46</v>
      </c>
      <c r="AD24" s="120">
        <f t="shared" si="32"/>
        <v>-53</v>
      </c>
      <c r="AE24" s="120">
        <f t="shared" ref="AE24:AF29" si="33">+AE6-AE15</f>
        <v>-47</v>
      </c>
      <c r="AF24" s="120">
        <f t="shared" si="33"/>
        <v>-46</v>
      </c>
      <c r="AG24" s="120">
        <f t="shared" ref="AG24:AI29" si="34">+AG6-AG15</f>
        <v>-102</v>
      </c>
      <c r="AH24" s="120">
        <f t="shared" si="34"/>
        <v>-103</v>
      </c>
      <c r="AI24" s="120">
        <f t="shared" si="34"/>
        <v>-278</v>
      </c>
      <c r="AJ24" s="120">
        <v>-519</v>
      </c>
      <c r="AK24" s="120">
        <f t="shared" ref="AK24:AK29" si="35">+AK6-AK15</f>
        <v>-116</v>
      </c>
      <c r="AL24" s="120">
        <v>-145</v>
      </c>
      <c r="AM24" s="120">
        <f t="shared" ref="AM24:AR29" si="36">+AM6-AM15</f>
        <v>-161</v>
      </c>
      <c r="AN24" s="120">
        <f t="shared" si="36"/>
        <v>-235</v>
      </c>
      <c r="AO24" s="120">
        <f t="shared" si="36"/>
        <v>-552</v>
      </c>
      <c r="AP24" s="120">
        <f t="shared" si="36"/>
        <v>504</v>
      </c>
      <c r="AQ24" s="120">
        <f t="shared" si="36"/>
        <v>-703</v>
      </c>
      <c r="AR24" s="120">
        <f t="shared" si="36"/>
        <v>-750</v>
      </c>
      <c r="AS24" s="120">
        <f t="shared" ref="AS24" si="37">+AS6-AS15</f>
        <v>-692</v>
      </c>
      <c r="AT24" s="120">
        <f t="shared" ref="AT24:AU24" si="38">+AT6-AT15</f>
        <v>-827</v>
      </c>
      <c r="AU24" s="120">
        <f t="shared" si="38"/>
        <v>-814</v>
      </c>
    </row>
    <row r="25" spans="2:47" x14ac:dyDescent="0.2">
      <c r="B25" s="130" t="s">
        <v>420</v>
      </c>
      <c r="C25" s="118">
        <f t="shared" ref="C25:W29" si="39">+C7-C16</f>
        <v>-2421</v>
      </c>
      <c r="D25" s="118">
        <f t="shared" si="39"/>
        <v>-155</v>
      </c>
      <c r="E25" s="161">
        <f>+E7-E16</f>
        <v>-922</v>
      </c>
      <c r="F25" s="118">
        <f t="shared" si="39"/>
        <v>-77</v>
      </c>
      <c r="G25" s="118">
        <f t="shared" si="39"/>
        <v>-2425</v>
      </c>
      <c r="H25" s="118">
        <f t="shared" si="39"/>
        <v>-9</v>
      </c>
      <c r="I25" s="118">
        <f t="shared" si="39"/>
        <v>-1533</v>
      </c>
      <c r="J25" s="118">
        <f t="shared" si="39"/>
        <v>-900</v>
      </c>
      <c r="K25" s="118">
        <f t="shared" si="39"/>
        <v>-76</v>
      </c>
      <c r="L25" s="118">
        <f t="shared" si="39"/>
        <v>-581</v>
      </c>
      <c r="M25" s="118">
        <f t="shared" si="39"/>
        <v>-180</v>
      </c>
      <c r="N25" s="118">
        <f t="shared" si="39"/>
        <v>-68</v>
      </c>
      <c r="O25" s="118">
        <f t="shared" si="39"/>
        <v>-790</v>
      </c>
      <c r="P25" s="118">
        <f t="shared" si="39"/>
        <v>-200</v>
      </c>
      <c r="Q25" s="118">
        <f t="shared" si="39"/>
        <v>-7</v>
      </c>
      <c r="R25" s="118">
        <f t="shared" si="39"/>
        <v>-5</v>
      </c>
      <c r="S25" s="118">
        <f t="shared" si="39"/>
        <v>-10</v>
      </c>
      <c r="T25" s="118">
        <f t="shared" si="39"/>
        <v>-12</v>
      </c>
      <c r="U25" s="118">
        <f t="shared" si="39"/>
        <v>-9</v>
      </c>
      <c r="V25" s="118">
        <f t="shared" si="39"/>
        <v>-303</v>
      </c>
      <c r="W25" s="118">
        <f t="shared" si="39"/>
        <v>-1752</v>
      </c>
      <c r="X25" s="118">
        <f t="shared" ref="X25:Y29" si="40">+X7-X16</f>
        <v>-10</v>
      </c>
      <c r="Y25" s="118">
        <f t="shared" si="40"/>
        <v>-5</v>
      </c>
      <c r="Z25" s="118">
        <f t="shared" ref="Z25:AB29" si="41">+Z7-Z16</f>
        <v>-47</v>
      </c>
      <c r="AA25" s="118">
        <f t="shared" si="41"/>
        <v>-1</v>
      </c>
      <c r="AB25" s="118">
        <f t="shared" si="41"/>
        <v>0</v>
      </c>
      <c r="AC25" s="118">
        <f t="shared" si="32"/>
        <v>-7</v>
      </c>
      <c r="AD25" s="118">
        <f t="shared" si="32"/>
        <v>-1</v>
      </c>
      <c r="AE25" s="118">
        <f t="shared" si="33"/>
        <v>1</v>
      </c>
      <c r="AF25" s="118">
        <f t="shared" si="33"/>
        <v>-57</v>
      </c>
      <c r="AG25" s="118">
        <f t="shared" si="34"/>
        <v>-110</v>
      </c>
      <c r="AH25" s="118">
        <f t="shared" si="34"/>
        <v>-226</v>
      </c>
      <c r="AI25" s="118">
        <f>+AI7-AI16</f>
        <v>-41</v>
      </c>
      <c r="AJ25" s="118">
        <v>-42</v>
      </c>
      <c r="AK25" s="118">
        <f t="shared" si="35"/>
        <v>-54</v>
      </c>
      <c r="AL25" s="118">
        <v>-65</v>
      </c>
      <c r="AM25" s="118">
        <f t="shared" si="36"/>
        <v>-99</v>
      </c>
      <c r="AN25" s="118">
        <f t="shared" si="36"/>
        <v>-347</v>
      </c>
      <c r="AO25" s="118">
        <f t="shared" si="36"/>
        <v>-153</v>
      </c>
      <c r="AP25" s="118">
        <f t="shared" si="36"/>
        <v>-289</v>
      </c>
      <c r="AQ25" s="118">
        <f t="shared" si="36"/>
        <v>-342</v>
      </c>
      <c r="AR25" s="118">
        <f t="shared" si="36"/>
        <v>-300</v>
      </c>
      <c r="AS25" s="118">
        <f t="shared" ref="AS25:AU25" si="42">+AS7-AS16</f>
        <v>-382</v>
      </c>
      <c r="AT25" s="118">
        <f t="shared" si="42"/>
        <v>-448</v>
      </c>
      <c r="AU25" s="118">
        <f t="shared" si="42"/>
        <v>-135</v>
      </c>
    </row>
    <row r="26" spans="2:47" x14ac:dyDescent="0.2">
      <c r="B26" s="130" t="s">
        <v>421</v>
      </c>
      <c r="C26" s="118">
        <f t="shared" si="39"/>
        <v>5715</v>
      </c>
      <c r="D26" s="118">
        <f t="shared" si="39"/>
        <v>0</v>
      </c>
      <c r="E26" s="161">
        <f t="shared" si="39"/>
        <v>0</v>
      </c>
      <c r="F26" s="118">
        <f t="shared" si="39"/>
        <v>0</v>
      </c>
      <c r="G26" s="118">
        <f t="shared" si="39"/>
        <v>1067</v>
      </c>
      <c r="H26" s="118">
        <f t="shared" si="39"/>
        <v>255</v>
      </c>
      <c r="I26" s="118">
        <f t="shared" si="39"/>
        <v>342</v>
      </c>
      <c r="J26" s="118">
        <f t="shared" si="39"/>
        <v>83</v>
      </c>
      <c r="K26" s="118">
        <f t="shared" si="39"/>
        <v>-1</v>
      </c>
      <c r="L26" s="118">
        <f t="shared" si="39"/>
        <v>18</v>
      </c>
      <c r="M26" s="118">
        <f t="shared" si="39"/>
        <v>163</v>
      </c>
      <c r="N26" s="118">
        <f t="shared" si="39"/>
        <v>491</v>
      </c>
      <c r="O26" s="118">
        <f t="shared" si="39"/>
        <v>2</v>
      </c>
      <c r="P26" s="118">
        <f t="shared" si="39"/>
        <v>35</v>
      </c>
      <c r="Q26" s="118">
        <f t="shared" si="39"/>
        <v>31</v>
      </c>
      <c r="R26" s="118">
        <f t="shared" si="39"/>
        <v>19</v>
      </c>
      <c r="S26" s="118">
        <f t="shared" si="39"/>
        <v>21</v>
      </c>
      <c r="T26" s="118">
        <f t="shared" si="39"/>
        <v>6</v>
      </c>
      <c r="U26" s="118">
        <f t="shared" si="39"/>
        <v>901</v>
      </c>
      <c r="V26" s="118">
        <f t="shared" si="39"/>
        <v>25</v>
      </c>
      <c r="W26" s="118">
        <f>+W8-W17</f>
        <v>16</v>
      </c>
      <c r="X26" s="118">
        <f t="shared" si="40"/>
        <v>13</v>
      </c>
      <c r="Y26" s="118">
        <f t="shared" si="40"/>
        <v>1417</v>
      </c>
      <c r="Z26" s="118">
        <f t="shared" si="41"/>
        <v>1</v>
      </c>
      <c r="AA26" s="118">
        <f t="shared" si="41"/>
        <v>836</v>
      </c>
      <c r="AB26" s="118">
        <f t="shared" si="41"/>
        <v>1</v>
      </c>
      <c r="AC26" s="118">
        <f t="shared" si="32"/>
        <v>0</v>
      </c>
      <c r="AD26" s="118">
        <f t="shared" si="32"/>
        <v>7</v>
      </c>
      <c r="AE26" s="118">
        <f t="shared" si="33"/>
        <v>0</v>
      </c>
      <c r="AF26" s="118">
        <f t="shared" si="33"/>
        <v>1</v>
      </c>
      <c r="AG26" s="118">
        <f t="shared" si="34"/>
        <v>109</v>
      </c>
      <c r="AH26" s="118">
        <f t="shared" si="34"/>
        <v>51</v>
      </c>
      <c r="AI26" s="118">
        <f>+AI8-AI17</f>
        <v>223</v>
      </c>
      <c r="AJ26" s="118">
        <v>22</v>
      </c>
      <c r="AK26" s="118">
        <f t="shared" si="35"/>
        <v>25</v>
      </c>
      <c r="AL26" s="118">
        <v>49</v>
      </c>
      <c r="AM26" s="118">
        <f t="shared" si="36"/>
        <v>25</v>
      </c>
      <c r="AN26" s="118">
        <f t="shared" si="36"/>
        <v>30</v>
      </c>
      <c r="AO26" s="118">
        <f t="shared" si="36"/>
        <v>1209</v>
      </c>
      <c r="AP26" s="118">
        <f t="shared" si="36"/>
        <v>-918</v>
      </c>
      <c r="AQ26" s="118">
        <f t="shared" si="36"/>
        <v>295</v>
      </c>
      <c r="AR26" s="118">
        <f t="shared" si="36"/>
        <v>358</v>
      </c>
      <c r="AS26" s="118">
        <f t="shared" ref="AS26:AU26" si="43">+AS8-AS17</f>
        <v>392</v>
      </c>
      <c r="AT26" s="118">
        <f t="shared" si="43"/>
        <v>461</v>
      </c>
      <c r="AU26" s="118">
        <f t="shared" si="43"/>
        <v>338</v>
      </c>
    </row>
    <row r="27" spans="2:47" x14ac:dyDescent="0.2">
      <c r="B27" s="130" t="s">
        <v>422</v>
      </c>
      <c r="C27" s="118">
        <f t="shared" si="39"/>
        <v>0</v>
      </c>
      <c r="D27" s="118">
        <f t="shared" si="39"/>
        <v>0</v>
      </c>
      <c r="E27" s="161">
        <f t="shared" si="39"/>
        <v>4074</v>
      </c>
      <c r="F27" s="118">
        <f t="shared" si="39"/>
        <v>0</v>
      </c>
      <c r="G27" s="118">
        <f t="shared" si="39"/>
        <v>0</v>
      </c>
      <c r="H27" s="118">
        <f t="shared" si="39"/>
        <v>0</v>
      </c>
      <c r="I27" s="118">
        <f t="shared" si="39"/>
        <v>0</v>
      </c>
      <c r="J27" s="118">
        <f t="shared" si="39"/>
        <v>0</v>
      </c>
      <c r="K27" s="118">
        <f t="shared" si="39"/>
        <v>0</v>
      </c>
      <c r="L27" s="118">
        <f t="shared" si="39"/>
        <v>0</v>
      </c>
      <c r="M27" s="118">
        <f t="shared" si="39"/>
        <v>0</v>
      </c>
      <c r="N27" s="118">
        <f t="shared" si="39"/>
        <v>0</v>
      </c>
      <c r="O27" s="118">
        <f t="shared" si="39"/>
        <v>0</v>
      </c>
      <c r="P27" s="118">
        <f t="shared" si="39"/>
        <v>0</v>
      </c>
      <c r="Q27" s="118">
        <f t="shared" si="39"/>
        <v>0</v>
      </c>
      <c r="R27" s="118">
        <f t="shared" si="39"/>
        <v>0</v>
      </c>
      <c r="S27" s="118">
        <f t="shared" si="39"/>
        <v>0</v>
      </c>
      <c r="T27" s="118">
        <f t="shared" si="39"/>
        <v>126</v>
      </c>
      <c r="U27" s="118">
        <f t="shared" si="39"/>
        <v>0</v>
      </c>
      <c r="V27" s="118">
        <f t="shared" si="39"/>
        <v>0</v>
      </c>
      <c r="W27" s="118">
        <f>+W9-W18</f>
        <v>0</v>
      </c>
      <c r="X27" s="118">
        <f t="shared" si="40"/>
        <v>0</v>
      </c>
      <c r="Y27" s="118">
        <f t="shared" si="40"/>
        <v>0</v>
      </c>
      <c r="Z27" s="118">
        <f t="shared" si="41"/>
        <v>0</v>
      </c>
      <c r="AA27" s="118">
        <f t="shared" si="41"/>
        <v>0</v>
      </c>
      <c r="AB27" s="118">
        <f t="shared" si="41"/>
        <v>0</v>
      </c>
      <c r="AC27" s="118">
        <f t="shared" si="32"/>
        <v>0</v>
      </c>
      <c r="AD27" s="118">
        <f t="shared" si="32"/>
        <v>0</v>
      </c>
      <c r="AE27" s="118">
        <f t="shared" si="33"/>
        <v>0</v>
      </c>
      <c r="AF27" s="118">
        <f t="shared" si="33"/>
        <v>0</v>
      </c>
      <c r="AG27" s="118">
        <f t="shared" si="34"/>
        <v>0</v>
      </c>
      <c r="AH27" s="118">
        <f t="shared" si="34"/>
        <v>0</v>
      </c>
      <c r="AI27" s="118">
        <f>+AI9-AI18</f>
        <v>0</v>
      </c>
      <c r="AJ27" s="118">
        <v>0</v>
      </c>
      <c r="AK27" s="118">
        <f t="shared" si="35"/>
        <v>0</v>
      </c>
      <c r="AL27" s="118">
        <v>0</v>
      </c>
      <c r="AM27" s="118">
        <f t="shared" si="36"/>
        <v>0</v>
      </c>
      <c r="AN27" s="118">
        <f t="shared" si="36"/>
        <v>0</v>
      </c>
      <c r="AO27" s="118">
        <f t="shared" si="36"/>
        <v>0</v>
      </c>
      <c r="AP27" s="118">
        <f t="shared" si="36"/>
        <v>0</v>
      </c>
      <c r="AQ27" s="118">
        <f t="shared" si="36"/>
        <v>0</v>
      </c>
      <c r="AR27" s="118">
        <f t="shared" si="36"/>
        <v>0</v>
      </c>
      <c r="AS27" s="118">
        <f t="shared" ref="AS27:AU27" si="44">+AS9-AS18</f>
        <v>0</v>
      </c>
      <c r="AT27" s="118">
        <f t="shared" si="44"/>
        <v>0</v>
      </c>
      <c r="AU27" s="118">
        <f t="shared" si="44"/>
        <v>0</v>
      </c>
    </row>
    <row r="28" spans="2:47" x14ac:dyDescent="0.2">
      <c r="B28" s="130" t="s">
        <v>224</v>
      </c>
      <c r="C28" s="118">
        <f t="shared" si="39"/>
        <v>0</v>
      </c>
      <c r="D28" s="118">
        <f t="shared" si="39"/>
        <v>0</v>
      </c>
      <c r="E28" s="161">
        <f t="shared" si="39"/>
        <v>0</v>
      </c>
      <c r="F28" s="118">
        <f t="shared" si="39"/>
        <v>0</v>
      </c>
      <c r="G28" s="118">
        <f t="shared" si="39"/>
        <v>0</v>
      </c>
      <c r="H28" s="118">
        <f t="shared" si="39"/>
        <v>0</v>
      </c>
      <c r="I28" s="118">
        <f t="shared" si="39"/>
        <v>0</v>
      </c>
      <c r="J28" s="118">
        <f t="shared" si="39"/>
        <v>0</v>
      </c>
      <c r="K28" s="118">
        <f t="shared" si="39"/>
        <v>0</v>
      </c>
      <c r="L28" s="118">
        <f t="shared" si="39"/>
        <v>0</v>
      </c>
      <c r="M28" s="118">
        <f t="shared" si="39"/>
        <v>0</v>
      </c>
      <c r="N28" s="118">
        <f t="shared" si="39"/>
        <v>0</v>
      </c>
      <c r="O28" s="118">
        <f t="shared" si="39"/>
        <v>0</v>
      </c>
      <c r="P28" s="118">
        <f t="shared" si="39"/>
        <v>0</v>
      </c>
      <c r="Q28" s="118">
        <f t="shared" si="39"/>
        <v>0</v>
      </c>
      <c r="R28" s="118">
        <f t="shared" si="39"/>
        <v>0</v>
      </c>
      <c r="S28" s="118">
        <f t="shared" si="39"/>
        <v>0</v>
      </c>
      <c r="T28" s="118">
        <f t="shared" si="39"/>
        <v>0</v>
      </c>
      <c r="U28" s="118">
        <f t="shared" si="39"/>
        <v>0</v>
      </c>
      <c r="V28" s="118">
        <f t="shared" si="39"/>
        <v>0</v>
      </c>
      <c r="W28" s="118">
        <f>+W10-W19</f>
        <v>0</v>
      </c>
      <c r="X28" s="118">
        <f t="shared" si="40"/>
        <v>0</v>
      </c>
      <c r="Y28" s="118">
        <f t="shared" si="40"/>
        <v>607</v>
      </c>
      <c r="Z28" s="118">
        <f t="shared" si="41"/>
        <v>0</v>
      </c>
      <c r="AA28" s="118">
        <f t="shared" si="41"/>
        <v>0</v>
      </c>
      <c r="AB28" s="118">
        <f t="shared" si="41"/>
        <v>0</v>
      </c>
      <c r="AC28" s="118">
        <f t="shared" si="32"/>
        <v>0</v>
      </c>
      <c r="AD28" s="118">
        <f t="shared" si="32"/>
        <v>0</v>
      </c>
      <c r="AE28" s="118">
        <f t="shared" si="33"/>
        <v>0</v>
      </c>
      <c r="AF28" s="118">
        <f t="shared" si="33"/>
        <v>0</v>
      </c>
      <c r="AG28" s="118">
        <f t="shared" si="34"/>
        <v>0</v>
      </c>
      <c r="AH28" s="118">
        <f t="shared" si="34"/>
        <v>0</v>
      </c>
      <c r="AI28" s="118">
        <f>+AI10-AI19</f>
        <v>0</v>
      </c>
      <c r="AJ28" s="118">
        <v>0</v>
      </c>
      <c r="AK28" s="118">
        <f t="shared" si="35"/>
        <v>0</v>
      </c>
      <c r="AL28" s="118">
        <v>0</v>
      </c>
      <c r="AM28" s="118">
        <f t="shared" si="36"/>
        <v>0</v>
      </c>
      <c r="AN28" s="118">
        <f t="shared" si="36"/>
        <v>0</v>
      </c>
      <c r="AO28" s="118">
        <f t="shared" si="36"/>
        <v>0</v>
      </c>
      <c r="AP28" s="118">
        <f t="shared" si="36"/>
        <v>0</v>
      </c>
      <c r="AQ28" s="118">
        <f t="shared" si="36"/>
        <v>0</v>
      </c>
      <c r="AR28" s="118">
        <f t="shared" si="36"/>
        <v>0</v>
      </c>
      <c r="AS28" s="118">
        <f t="shared" ref="AS28:AU28" si="45">+AS10-AS19</f>
        <v>0</v>
      </c>
      <c r="AT28" s="118">
        <f t="shared" si="45"/>
        <v>0</v>
      </c>
      <c r="AU28" s="118">
        <f t="shared" si="45"/>
        <v>62</v>
      </c>
    </row>
    <row r="29" spans="2:47" s="233" customFormat="1" hidden="1" outlineLevel="1" x14ac:dyDescent="0.2">
      <c r="B29" s="250" t="s">
        <v>653</v>
      </c>
      <c r="C29" s="219">
        <f t="shared" si="39"/>
        <v>0</v>
      </c>
      <c r="D29" s="219">
        <f t="shared" si="39"/>
        <v>0</v>
      </c>
      <c r="E29" s="220">
        <f t="shared" si="39"/>
        <v>0</v>
      </c>
      <c r="F29" s="219">
        <f t="shared" si="39"/>
        <v>0</v>
      </c>
      <c r="G29" s="219">
        <f t="shared" si="39"/>
        <v>0</v>
      </c>
      <c r="H29" s="219">
        <f t="shared" si="39"/>
        <v>0</v>
      </c>
      <c r="I29" s="219">
        <f t="shared" si="39"/>
        <v>0</v>
      </c>
      <c r="J29" s="219">
        <f t="shared" si="39"/>
        <v>0</v>
      </c>
      <c r="K29" s="219">
        <f t="shared" si="39"/>
        <v>0</v>
      </c>
      <c r="L29" s="219">
        <f t="shared" si="39"/>
        <v>0</v>
      </c>
      <c r="M29" s="219">
        <f t="shared" si="39"/>
        <v>0</v>
      </c>
      <c r="N29" s="219">
        <f t="shared" si="39"/>
        <v>0</v>
      </c>
      <c r="O29" s="219">
        <f t="shared" si="39"/>
        <v>0</v>
      </c>
      <c r="P29" s="219">
        <f t="shared" si="39"/>
        <v>0</v>
      </c>
      <c r="Q29" s="219">
        <f t="shared" si="39"/>
        <v>0</v>
      </c>
      <c r="R29" s="219">
        <f t="shared" si="39"/>
        <v>0</v>
      </c>
      <c r="S29" s="219">
        <f t="shared" si="39"/>
        <v>3959</v>
      </c>
      <c r="T29" s="219">
        <f t="shared" si="39"/>
        <v>0</v>
      </c>
      <c r="U29" s="219">
        <f t="shared" si="39"/>
        <v>0</v>
      </c>
      <c r="V29" s="219">
        <f t="shared" si="39"/>
        <v>0</v>
      </c>
      <c r="W29" s="219">
        <f t="shared" si="39"/>
        <v>0</v>
      </c>
      <c r="X29" s="219">
        <f t="shared" si="40"/>
        <v>0</v>
      </c>
      <c r="Y29" s="219">
        <f t="shared" si="40"/>
        <v>0</v>
      </c>
      <c r="Z29" s="219">
        <f t="shared" si="41"/>
        <v>0</v>
      </c>
      <c r="AA29" s="219">
        <f t="shared" si="41"/>
        <v>0</v>
      </c>
      <c r="AB29" s="219">
        <f t="shared" si="41"/>
        <v>0</v>
      </c>
      <c r="AC29" s="219">
        <f t="shared" si="32"/>
        <v>0</v>
      </c>
      <c r="AD29" s="219">
        <f t="shared" si="32"/>
        <v>0</v>
      </c>
      <c r="AE29" s="219">
        <f t="shared" si="33"/>
        <v>0</v>
      </c>
      <c r="AF29" s="219">
        <f t="shared" si="33"/>
        <v>0</v>
      </c>
      <c r="AG29" s="219">
        <f t="shared" si="34"/>
        <v>0</v>
      </c>
      <c r="AH29" s="219">
        <f t="shared" si="34"/>
        <v>0</v>
      </c>
      <c r="AI29" s="219">
        <f>+AI11-AI20</f>
        <v>0</v>
      </c>
      <c r="AJ29" s="219">
        <v>0</v>
      </c>
      <c r="AK29" s="219">
        <f t="shared" si="35"/>
        <v>0</v>
      </c>
      <c r="AL29" s="219">
        <v>0</v>
      </c>
      <c r="AM29" s="219">
        <f t="shared" si="36"/>
        <v>0</v>
      </c>
      <c r="AN29" s="219">
        <f t="shared" si="36"/>
        <v>0</v>
      </c>
      <c r="AO29" s="219">
        <f t="shared" si="36"/>
        <v>0</v>
      </c>
      <c r="AP29" s="219">
        <f t="shared" si="36"/>
        <v>0</v>
      </c>
      <c r="AQ29" s="219">
        <f t="shared" si="36"/>
        <v>0</v>
      </c>
      <c r="AR29" s="219">
        <f t="shared" si="36"/>
        <v>0</v>
      </c>
      <c r="AS29" s="219">
        <f t="shared" ref="AS29:AU29" si="46">+AS11-AS20</f>
        <v>0</v>
      </c>
      <c r="AT29" s="219">
        <f t="shared" si="46"/>
        <v>0</v>
      </c>
      <c r="AU29" s="219">
        <f t="shared" si="46"/>
        <v>0</v>
      </c>
    </row>
    <row r="30" spans="2:47" collapsed="1" x14ac:dyDescent="0.2">
      <c r="B30" s="127" t="s">
        <v>423</v>
      </c>
      <c r="C30" s="120">
        <f t="shared" ref="C30:K30" si="47">SUM(C24:C26)</f>
        <v>-4478</v>
      </c>
      <c r="D30" s="120">
        <f t="shared" si="47"/>
        <v>-4633</v>
      </c>
      <c r="E30" s="163">
        <f t="shared" si="47"/>
        <v>-5555</v>
      </c>
      <c r="F30" s="120">
        <f t="shared" si="47"/>
        <v>-1558</v>
      </c>
      <c r="G30" s="120">
        <f t="shared" si="47"/>
        <v>-2916</v>
      </c>
      <c r="H30" s="120">
        <f t="shared" si="47"/>
        <v>-2670</v>
      </c>
      <c r="I30" s="120">
        <f t="shared" si="47"/>
        <v>-3861</v>
      </c>
      <c r="J30" s="120">
        <f t="shared" si="47"/>
        <v>-4678</v>
      </c>
      <c r="K30" s="120">
        <f t="shared" si="47"/>
        <v>-4755</v>
      </c>
      <c r="L30" s="120">
        <f t="shared" ref="L30:X30" si="48">SUM(L24:L26)</f>
        <v>-5318</v>
      </c>
      <c r="M30" s="120">
        <f t="shared" si="48"/>
        <v>-5335</v>
      </c>
      <c r="N30" s="120">
        <f t="shared" si="48"/>
        <v>-4912</v>
      </c>
      <c r="O30" s="120">
        <f t="shared" si="48"/>
        <v>-5700</v>
      </c>
      <c r="P30" s="120">
        <f t="shared" si="48"/>
        <v>-5865</v>
      </c>
      <c r="Q30" s="120">
        <f t="shared" si="48"/>
        <v>-5841</v>
      </c>
      <c r="R30" s="120">
        <f t="shared" si="48"/>
        <v>-5827</v>
      </c>
      <c r="S30" s="120">
        <f>SUM(S24:S29)</f>
        <v>-1857</v>
      </c>
      <c r="T30" s="120">
        <f t="shared" si="48"/>
        <v>-1863</v>
      </c>
      <c r="U30" s="120">
        <f t="shared" si="48"/>
        <v>-845</v>
      </c>
      <c r="V30" s="120">
        <f t="shared" si="48"/>
        <v>-1123</v>
      </c>
      <c r="W30" s="120">
        <f t="shared" si="48"/>
        <v>-2859</v>
      </c>
      <c r="X30" s="120">
        <f t="shared" si="48"/>
        <v>-2856</v>
      </c>
      <c r="Y30" s="120">
        <f>SUM(Y24:Y28)</f>
        <v>-837</v>
      </c>
      <c r="Z30" s="120">
        <f>SUM(Z24:Z28)</f>
        <v>-882</v>
      </c>
      <c r="AA30" s="120">
        <f>SUM(AA24:AA28)</f>
        <v>-47</v>
      </c>
      <c r="AB30" s="120">
        <f t="shared" ref="AB30:AJ30" si="49">SUM(AB24:AB26)</f>
        <v>-46</v>
      </c>
      <c r="AC30" s="120">
        <f t="shared" si="49"/>
        <v>-53</v>
      </c>
      <c r="AD30" s="120">
        <f t="shared" si="49"/>
        <v>-47</v>
      </c>
      <c r="AE30" s="120">
        <f t="shared" si="49"/>
        <v>-46</v>
      </c>
      <c r="AF30" s="120">
        <f t="shared" si="49"/>
        <v>-102</v>
      </c>
      <c r="AG30" s="120">
        <f t="shared" si="49"/>
        <v>-103</v>
      </c>
      <c r="AH30" s="120">
        <f>SUM(AH24:AH26)</f>
        <v>-278</v>
      </c>
      <c r="AI30" s="120">
        <f t="shared" si="49"/>
        <v>-96</v>
      </c>
      <c r="AJ30" s="120">
        <f t="shared" si="49"/>
        <v>-539</v>
      </c>
      <c r="AK30" s="120">
        <f>SUM(AK24:AK26)</f>
        <v>-145</v>
      </c>
      <c r="AL30" s="120">
        <v>-161</v>
      </c>
      <c r="AM30" s="120">
        <f t="shared" ref="AM30:AS30" si="50">SUM(AM24:AM26)</f>
        <v>-235</v>
      </c>
      <c r="AN30" s="120">
        <f t="shared" si="50"/>
        <v>-552</v>
      </c>
      <c r="AO30" s="120">
        <f t="shared" si="50"/>
        <v>504</v>
      </c>
      <c r="AP30" s="120">
        <f t="shared" si="50"/>
        <v>-703</v>
      </c>
      <c r="AQ30" s="120">
        <f t="shared" si="50"/>
        <v>-750</v>
      </c>
      <c r="AR30" s="120">
        <f t="shared" si="50"/>
        <v>-692</v>
      </c>
      <c r="AS30" s="120">
        <f t="shared" si="50"/>
        <v>-682</v>
      </c>
      <c r="AT30" s="120">
        <f>SUM(AT24:AT26)</f>
        <v>-814</v>
      </c>
      <c r="AU30" s="120">
        <f>SUM(AU24:AU26)</f>
        <v>-611</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8">
    <pageSetUpPr autoPageBreaks="0"/>
  </sheetPr>
  <dimension ref="B1:AU51"/>
  <sheetViews>
    <sheetView showGridLines="0" workbookViewId="0">
      <pane xSplit="2" ySplit="4" topLeftCell="AF5" activePane="bottomRight" state="frozen"/>
      <selection activeCell="X1" sqref="X1"/>
      <selection pane="topRight" activeCell="X1" sqref="X1"/>
      <selection pane="bottomLeft" activeCell="X1" sqref="X1"/>
      <selection pane="bottomRight" activeCell="AU5" sqref="AU5"/>
    </sheetView>
  </sheetViews>
  <sheetFormatPr defaultRowHeight="12.75" outlineLevelRow="1" x14ac:dyDescent="0.2"/>
  <cols>
    <col min="1" max="1" width="1.42578125" customWidth="1"/>
    <col min="2" max="2" width="33.42578125" bestFit="1" customWidth="1"/>
    <col min="3" max="22" width="10.7109375" customWidth="1"/>
  </cols>
  <sheetData>
    <row r="1" spans="2:47" s="551" customFormat="1" ht="7.5" customHeight="1" x14ac:dyDescent="0.2">
      <c r="C1" s="557"/>
      <c r="D1" s="557"/>
      <c r="E1" s="557"/>
      <c r="F1" s="557"/>
    </row>
    <row r="2" spans="2:47" s="551" customFormat="1" ht="12.75" customHeight="1" x14ac:dyDescent="0.2"/>
    <row r="3" spans="2:47" ht="12.75" customHeight="1" x14ac:dyDescent="0.2">
      <c r="C3" s="28"/>
      <c r="D3" s="28"/>
      <c r="E3" s="28"/>
      <c r="F3" s="28"/>
      <c r="X3" s="329"/>
      <c r="Y3" s="329"/>
      <c r="Z3" s="329"/>
      <c r="AA3" s="329"/>
      <c r="AB3" s="329"/>
      <c r="AC3" s="329"/>
      <c r="AD3" s="329"/>
      <c r="AE3" s="329"/>
      <c r="AF3" s="329"/>
      <c r="AG3" s="329"/>
      <c r="AH3" s="1065"/>
      <c r="AI3" s="1065"/>
      <c r="AJ3" s="1065"/>
      <c r="AK3" s="1065"/>
      <c r="AL3" s="1065"/>
      <c r="AM3" s="1065"/>
      <c r="AN3" s="1065"/>
      <c r="AO3" s="1065"/>
      <c r="AP3" s="329"/>
      <c r="AQ3" s="329"/>
      <c r="AR3" s="329"/>
      <c r="AS3" s="329"/>
      <c r="AT3" s="329"/>
      <c r="AU3" s="329"/>
    </row>
    <row r="4" spans="2:47" ht="12.75" customHeight="1" x14ac:dyDescent="0.2">
      <c r="C4" s="1250" t="s">
        <v>1435</v>
      </c>
      <c r="D4" s="1251"/>
      <c r="E4" s="225" t="s">
        <v>1439</v>
      </c>
      <c r="F4" s="28"/>
    </row>
    <row r="5" spans="2:47" x14ac:dyDescent="0.2">
      <c r="B5" s="152" t="s">
        <v>391</v>
      </c>
      <c r="C5" s="247" t="s">
        <v>622</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x14ac:dyDescent="0.2">
      <c r="B6" s="130" t="s">
        <v>878</v>
      </c>
      <c r="C6" s="118">
        <v>0</v>
      </c>
      <c r="D6" s="118">
        <v>0</v>
      </c>
      <c r="E6" s="161">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2">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row>
    <row r="7" spans="2:47" x14ac:dyDescent="0.2">
      <c r="B7" s="130" t="s">
        <v>426</v>
      </c>
      <c r="C7" s="118">
        <v>4880</v>
      </c>
      <c r="D7" s="118">
        <v>3302</v>
      </c>
      <c r="E7" s="161">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row>
    <row r="8" spans="2:47" x14ac:dyDescent="0.2">
      <c r="B8" s="130" t="s">
        <v>425</v>
      </c>
      <c r="C8" s="118">
        <v>3336</v>
      </c>
      <c r="D8" s="118">
        <v>296</v>
      </c>
      <c r="E8" s="161">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row>
    <row r="9" spans="2:47" x14ac:dyDescent="0.2">
      <c r="B9" s="130" t="s">
        <v>429</v>
      </c>
      <c r="C9" s="118">
        <v>0</v>
      </c>
      <c r="D9" s="118">
        <v>0</v>
      </c>
      <c r="E9" s="161">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2">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x14ac:dyDescent="0.2">
      <c r="B10" s="130" t="s">
        <v>428</v>
      </c>
      <c r="C10" s="118">
        <v>6324</v>
      </c>
      <c r="D10" s="118">
        <v>0</v>
      </c>
      <c r="E10" s="161">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row>
    <row r="11" spans="2:47" x14ac:dyDescent="0.2">
      <c r="B11" s="130" t="s">
        <v>424</v>
      </c>
      <c r="C11" s="118">
        <v>1295</v>
      </c>
      <c r="D11" s="118">
        <v>1647</v>
      </c>
      <c r="E11" s="161">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row>
    <row r="12" spans="2:47" x14ac:dyDescent="0.2">
      <c r="B12" s="130" t="s">
        <v>171</v>
      </c>
      <c r="C12" s="118">
        <v>3876</v>
      </c>
      <c r="D12" s="118">
        <v>6246</v>
      </c>
      <c r="E12" s="161">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row>
    <row r="13" spans="2:47" s="233" customFormat="1" hidden="1" outlineLevel="1" x14ac:dyDescent="0.2">
      <c r="B13" s="250" t="s">
        <v>427</v>
      </c>
      <c r="C13" s="219">
        <v>4899</v>
      </c>
      <c r="D13" s="219">
        <v>5646</v>
      </c>
      <c r="E13" s="220">
        <v>6116</v>
      </c>
      <c r="F13" s="219">
        <v>3768</v>
      </c>
      <c r="G13" s="219">
        <v>4334</v>
      </c>
      <c r="H13" s="219">
        <v>4574</v>
      </c>
      <c r="I13" s="219">
        <v>4803</v>
      </c>
      <c r="J13" s="219">
        <v>4965</v>
      </c>
      <c r="K13" s="219">
        <v>5094</v>
      </c>
      <c r="L13" s="219">
        <v>5179</v>
      </c>
      <c r="M13" s="219">
        <v>5365</v>
      </c>
      <c r="N13" s="219">
        <v>5413</v>
      </c>
      <c r="O13" s="219">
        <v>5416</v>
      </c>
      <c r="P13" s="219">
        <v>5471</v>
      </c>
      <c r="Q13" s="219">
        <v>3704</v>
      </c>
      <c r="R13" s="219">
        <v>0</v>
      </c>
      <c r="S13" s="219">
        <v>0</v>
      </c>
      <c r="T13" s="219">
        <v>0</v>
      </c>
      <c r="U13" s="219">
        <v>0</v>
      </c>
      <c r="V13" s="219">
        <v>0</v>
      </c>
      <c r="W13" s="219">
        <v>0</v>
      </c>
      <c r="X13" s="219">
        <v>0</v>
      </c>
      <c r="Y13" s="219"/>
      <c r="Z13" s="219">
        <v>0</v>
      </c>
      <c r="AA13" s="219">
        <v>0</v>
      </c>
      <c r="AB13" s="219">
        <v>0</v>
      </c>
      <c r="AC13" s="219">
        <v>0</v>
      </c>
      <c r="AD13" s="219">
        <v>0</v>
      </c>
      <c r="AE13" s="219">
        <v>0</v>
      </c>
      <c r="AF13" s="219">
        <v>0</v>
      </c>
      <c r="AG13" s="219">
        <v>0</v>
      </c>
      <c r="AH13" s="219">
        <v>0</v>
      </c>
      <c r="AI13" s="219"/>
      <c r="AJ13" s="219">
        <v>0</v>
      </c>
      <c r="AK13" s="219">
        <v>0</v>
      </c>
      <c r="AL13" s="219">
        <v>0</v>
      </c>
      <c r="AM13" s="219">
        <v>0</v>
      </c>
      <c r="AN13" s="219">
        <v>0</v>
      </c>
      <c r="AO13" s="219">
        <v>0</v>
      </c>
      <c r="AP13" s="219">
        <v>0</v>
      </c>
      <c r="AQ13" s="219">
        <v>0</v>
      </c>
      <c r="AR13" s="219">
        <v>0</v>
      </c>
      <c r="AS13" s="219"/>
      <c r="AT13" s="219">
        <v>0</v>
      </c>
      <c r="AU13" s="219">
        <v>0</v>
      </c>
    </row>
    <row r="14" spans="2:47" s="233" customFormat="1" hidden="1" outlineLevel="1" x14ac:dyDescent="0.2">
      <c r="B14" s="250" t="s">
        <v>430</v>
      </c>
      <c r="C14" s="219">
        <v>4600</v>
      </c>
      <c r="D14" s="219">
        <v>5293</v>
      </c>
      <c r="E14" s="220">
        <v>4302</v>
      </c>
      <c r="F14" s="219">
        <v>2359</v>
      </c>
      <c r="G14" s="219">
        <v>1501</v>
      </c>
      <c r="H14" s="219">
        <v>277</v>
      </c>
      <c r="I14" s="219">
        <v>201</v>
      </c>
      <c r="J14" s="219">
        <v>112</v>
      </c>
      <c r="K14" s="219">
        <v>76</v>
      </c>
      <c r="L14" s="219">
        <v>76</v>
      </c>
      <c r="M14" s="219">
        <v>0</v>
      </c>
      <c r="N14" s="219">
        <v>0</v>
      </c>
      <c r="O14" s="219">
        <v>0</v>
      </c>
      <c r="P14" s="219">
        <v>0</v>
      </c>
      <c r="Q14" s="219">
        <v>0</v>
      </c>
      <c r="R14" s="219">
        <v>0</v>
      </c>
      <c r="S14" s="219">
        <v>0</v>
      </c>
      <c r="T14" s="219">
        <v>0</v>
      </c>
      <c r="U14" s="219">
        <v>0</v>
      </c>
      <c r="V14" s="219">
        <v>0</v>
      </c>
      <c r="W14" s="219">
        <v>0</v>
      </c>
      <c r="X14" s="219">
        <v>0</v>
      </c>
      <c r="Y14" s="219"/>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v>0</v>
      </c>
    </row>
    <row r="15" spans="2:47" s="233" customFormat="1" hidden="1" outlineLevel="1" x14ac:dyDescent="0.2">
      <c r="B15" s="250" t="s">
        <v>431</v>
      </c>
      <c r="C15" s="219">
        <v>0</v>
      </c>
      <c r="D15" s="219">
        <v>0</v>
      </c>
      <c r="E15" s="220">
        <v>0</v>
      </c>
      <c r="F15" s="219">
        <v>115282</v>
      </c>
      <c r="G15" s="219">
        <v>78979</v>
      </c>
      <c r="H15" s="219">
        <v>40605</v>
      </c>
      <c r="I15" s="219">
        <v>41811</v>
      </c>
      <c r="J15" s="219">
        <v>0</v>
      </c>
      <c r="K15" s="219">
        <v>0</v>
      </c>
      <c r="L15" s="219">
        <v>0</v>
      </c>
      <c r="M15" s="219">
        <v>0</v>
      </c>
      <c r="N15" s="219">
        <v>0</v>
      </c>
      <c r="O15" s="219">
        <v>0</v>
      </c>
      <c r="P15" s="219">
        <v>0</v>
      </c>
      <c r="Q15" s="219">
        <v>0</v>
      </c>
      <c r="R15" s="219">
        <v>0</v>
      </c>
      <c r="S15" s="219">
        <v>0</v>
      </c>
      <c r="T15" s="219">
        <v>0</v>
      </c>
      <c r="U15" s="219">
        <v>0</v>
      </c>
      <c r="V15" s="219">
        <v>0</v>
      </c>
      <c r="W15" s="219">
        <v>0</v>
      </c>
      <c r="X15" s="219">
        <v>0</v>
      </c>
      <c r="Y15" s="219"/>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v>0</v>
      </c>
    </row>
    <row r="16" spans="2:47" collapsed="1" x14ac:dyDescent="0.2">
      <c r="B16" s="127"/>
      <c r="C16" s="120">
        <f t="shared" ref="C16:AA16" si="0">SUM(C6:C15)</f>
        <v>29210</v>
      </c>
      <c r="D16" s="120">
        <f t="shared" si="0"/>
        <v>22430</v>
      </c>
      <c r="E16" s="163">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row>
    <row r="17" spans="2:47" x14ac:dyDescent="0.2">
      <c r="B17" s="130" t="s">
        <v>432</v>
      </c>
      <c r="C17" s="118">
        <f>+C16</f>
        <v>29210</v>
      </c>
      <c r="D17" s="118">
        <v>22430</v>
      </c>
      <c r="E17" s="161">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row>
    <row r="18" spans="2:47" x14ac:dyDescent="0.2">
      <c r="B18" s="130" t="s">
        <v>433</v>
      </c>
      <c r="C18" s="118">
        <v>0</v>
      </c>
      <c r="D18" s="118">
        <v>0</v>
      </c>
      <c r="E18" s="161">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row>
    <row r="19" spans="2:47" x14ac:dyDescent="0.2">
      <c r="B19" s="127"/>
      <c r="C19" s="120">
        <f t="shared" ref="C19:L19" si="3">SUM(C17:C18)</f>
        <v>29210</v>
      </c>
      <c r="D19" s="120">
        <f t="shared" si="3"/>
        <v>22430</v>
      </c>
      <c r="E19" s="163">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row>
    <row r="20" spans="2:47" x14ac:dyDescent="0.2">
      <c r="B20" s="598"/>
      <c r="C20" s="599">
        <f>+C19-BalSheet!R13-BalSheet!R26</f>
        <v>0</v>
      </c>
      <c r="D20" s="599">
        <f>+D19-BalSheet!S13-BalSheet!S26</f>
        <v>0</v>
      </c>
      <c r="E20" s="599">
        <f>+E19-BalSheet!T13-BalSheet!T26</f>
        <v>0</v>
      </c>
      <c r="F20" s="600">
        <f>+F19-BalSheet!U13-BalSheet!U26</f>
        <v>0</v>
      </c>
      <c r="G20" s="600">
        <f>+G19-BalSheet!V13-BalSheet!V26</f>
        <v>0</v>
      </c>
      <c r="H20" s="600">
        <f>+H19-BalSheet!W13-BalSheet!W26</f>
        <v>0</v>
      </c>
      <c r="I20" s="600">
        <f>+I19-BalSheet!X13-BalSheet!X26</f>
        <v>0</v>
      </c>
      <c r="J20" s="600">
        <f>+J19-BalSheet!Y13-BalSheet!Y26</f>
        <v>0</v>
      </c>
      <c r="K20" s="600">
        <f>+K19-BalSheet!Z13-BalSheet!Z26</f>
        <v>0</v>
      </c>
      <c r="L20" s="600">
        <f>+L19-BalSheet!AA13-BalSheet!AA26</f>
        <v>0</v>
      </c>
      <c r="M20" s="600">
        <f>+M19-BalSheet!AB13-BalSheet!AB26</f>
        <v>0</v>
      </c>
      <c r="N20" s="600">
        <f>+N19-BalSheet!AC13-BalSheet!AC26</f>
        <v>0</v>
      </c>
      <c r="O20" s="600">
        <f>+O19-BalSheet!AD13-BalSheet!AD26</f>
        <v>0</v>
      </c>
      <c r="P20" s="600">
        <f>+P19-BalSheet!AE13-BalSheet!AE26</f>
        <v>0</v>
      </c>
      <c r="Q20" s="600">
        <f>+Q19-BalSheet!AF13-BalSheet!AF26</f>
        <v>0</v>
      </c>
      <c r="R20" s="997">
        <f>BalSheet!AG13+BalSheet!AG26-R19</f>
        <v>0</v>
      </c>
      <c r="S20" s="997">
        <f>BalSheet!AH13+BalSheet!AH26-S19</f>
        <v>0</v>
      </c>
      <c r="T20" s="997">
        <f>BalSheet!AI13+BalSheet!AI26-T19</f>
        <v>0</v>
      </c>
      <c r="U20" s="997">
        <f>BalSheet!AJ13+BalSheet!AJ26-U19</f>
        <v>0</v>
      </c>
      <c r="V20" s="997">
        <f>BalSheet!AK13+BalSheet!AK26-V19</f>
        <v>0</v>
      </c>
      <c r="W20" s="997">
        <f>BalSheet!AL13+BalSheet!AL26-W19</f>
        <v>0</v>
      </c>
      <c r="X20" s="997">
        <f>BalSheet!AM13+BalSheet!AM26-X19</f>
        <v>0</v>
      </c>
      <c r="Y20" s="997">
        <f>BalSheet!AN13+BalSheet!AN26-Y19</f>
        <v>0</v>
      </c>
      <c r="Z20" s="997">
        <f>BalSheet!AO13+BalSheet!AO26-Z19</f>
        <v>0</v>
      </c>
      <c r="AA20" s="997">
        <f>BalSheet!AP13+BalSheet!AP26-AA19</f>
        <v>0</v>
      </c>
      <c r="AB20" s="997">
        <f>BalSheet!AQ13+BalSheet!AQ26-AB19</f>
        <v>0</v>
      </c>
      <c r="AC20" s="997">
        <f>BalSheet!AR13+BalSheet!AR26-AC19</f>
        <v>0</v>
      </c>
      <c r="AD20" s="997">
        <f>BalSheet!AS13+BalSheet!AS26-AD19</f>
        <v>0</v>
      </c>
      <c r="AE20" s="997">
        <f>BalSheet!AT13+BalSheet!AT26-AE19</f>
        <v>0</v>
      </c>
      <c r="AF20" s="997">
        <f>BalSheet!AU13+BalSheet!AU26-AF19</f>
        <v>0</v>
      </c>
      <c r="AG20" s="997">
        <f>BalSheet!AV13+BalSheet!AV26-AG19</f>
        <v>0</v>
      </c>
      <c r="AH20" s="997">
        <f>BalSheet!AW13+BalSheet!AW26-AH19</f>
        <v>0</v>
      </c>
      <c r="AI20" s="997">
        <f>BalSheet!AX13+BalSheet!AX26-AI19</f>
        <v>0</v>
      </c>
      <c r="AJ20" s="997">
        <f>BalSheet!AY13+BalSheet!AY26-AJ19</f>
        <v>0</v>
      </c>
      <c r="AK20" s="997">
        <f>BalSheet!AZ13+BalSheet!AZ26-AK19</f>
        <v>0</v>
      </c>
      <c r="AL20" s="997">
        <f>BalSheet!BA13+BalSheet!BA26-AL19</f>
        <v>0</v>
      </c>
      <c r="AM20" s="997">
        <f>BalSheet!BB13+BalSheet!BB26-AM19</f>
        <v>0</v>
      </c>
      <c r="AN20" s="997">
        <f>BalSheet!BC13+BalSheet!BC26-AN19</f>
        <v>0</v>
      </c>
      <c r="AO20" s="997">
        <f>BalSheet!BD13+BalSheet!BD26-AO19</f>
        <v>0</v>
      </c>
      <c r="AP20" s="997">
        <f>BalSheet!BE13+BalSheet!BE26-AP19</f>
        <v>0</v>
      </c>
      <c r="AQ20" s="997">
        <f>BalSheet!BF13+BalSheet!BF26-AQ19</f>
        <v>0</v>
      </c>
      <c r="AR20" s="997">
        <f>BalSheet!BG13+BalSheet!BG26-AR19</f>
        <v>0</v>
      </c>
      <c r="AS20" s="997"/>
      <c r="AT20" s="997"/>
      <c r="AU20" s="997">
        <f>BalSheet!BJ13+BalSheet!BJ26-AU19</f>
        <v>0</v>
      </c>
    </row>
    <row r="21" spans="2:47" x14ac:dyDescent="0.2">
      <c r="B21" s="152" t="s">
        <v>397</v>
      </c>
      <c r="C21" s="115" t="str">
        <f t="shared" ref="C21:AA21" si="8">C5</f>
        <v>2013</v>
      </c>
      <c r="D21" s="115" t="str">
        <f t="shared" si="8"/>
        <v>1Q14</v>
      </c>
      <c r="E21" s="115" t="str">
        <f t="shared" si="8"/>
        <v>2Q14</v>
      </c>
      <c r="F21" s="115" t="str">
        <f t="shared" si="8"/>
        <v>3Q14</v>
      </c>
      <c r="G21" s="115" t="str">
        <f t="shared" si="8"/>
        <v>4Q14</v>
      </c>
      <c r="H21" s="115" t="str">
        <f t="shared" si="8"/>
        <v>1Q15</v>
      </c>
      <c r="I21" s="115" t="str">
        <f t="shared" si="8"/>
        <v>2Q15</v>
      </c>
      <c r="J21" s="115" t="str">
        <f t="shared" si="8"/>
        <v>3Q15</v>
      </c>
      <c r="K21" s="115" t="str">
        <f t="shared" si="8"/>
        <v>4Q15</v>
      </c>
      <c r="L21" s="115" t="str">
        <f t="shared" si="8"/>
        <v>1Q16</v>
      </c>
      <c r="M21" s="115" t="str">
        <f t="shared" si="8"/>
        <v>2Q16</v>
      </c>
      <c r="N21" s="115" t="str">
        <f t="shared" si="8"/>
        <v>3Q16</v>
      </c>
      <c r="O21" s="115" t="str">
        <f t="shared" si="8"/>
        <v>4Q16</v>
      </c>
      <c r="P21" s="115" t="str">
        <f t="shared" si="8"/>
        <v>1Q17</v>
      </c>
      <c r="Q21" s="115" t="str">
        <f t="shared" si="8"/>
        <v>2Q17</v>
      </c>
      <c r="R21" s="115" t="str">
        <f t="shared" si="8"/>
        <v>3Q17</v>
      </c>
      <c r="S21" s="115" t="str">
        <f t="shared" si="8"/>
        <v>4Q17</v>
      </c>
      <c r="T21" s="115" t="str">
        <f t="shared" si="8"/>
        <v>1Q18</v>
      </c>
      <c r="U21" s="115" t="str">
        <f t="shared" si="8"/>
        <v>2Q18</v>
      </c>
      <c r="V21" s="115" t="str">
        <f t="shared" si="8"/>
        <v>3Q18</v>
      </c>
      <c r="W21" s="115" t="str">
        <f t="shared" si="8"/>
        <v>4Q18</v>
      </c>
      <c r="X21" s="115" t="str">
        <f t="shared" si="8"/>
        <v>1Q19</v>
      </c>
      <c r="Y21" s="115" t="str">
        <f t="shared" si="8"/>
        <v>2Q19</v>
      </c>
      <c r="Z21" s="115" t="str">
        <f t="shared" si="8"/>
        <v>3Q19</v>
      </c>
      <c r="AA21" s="115" t="str">
        <f t="shared" si="8"/>
        <v>4Q19</v>
      </c>
      <c r="AB21" s="115" t="str">
        <f t="shared" ref="AB21:AK21" si="9">AB5</f>
        <v>1Q20</v>
      </c>
      <c r="AC21" s="115" t="str">
        <f t="shared" si="9"/>
        <v>2Q20</v>
      </c>
      <c r="AD21" s="115" t="str">
        <f t="shared" si="9"/>
        <v>3Q20</v>
      </c>
      <c r="AE21" s="115" t="str">
        <f t="shared" si="9"/>
        <v>4Q20</v>
      </c>
      <c r="AF21" s="115" t="str">
        <f t="shared" si="9"/>
        <v>1Q21</v>
      </c>
      <c r="AG21" s="115" t="str">
        <f t="shared" si="9"/>
        <v>2Q21</v>
      </c>
      <c r="AH21" s="115" t="str">
        <f t="shared" si="9"/>
        <v>3Q21</v>
      </c>
      <c r="AI21" s="115" t="str">
        <f t="shared" si="9"/>
        <v>4Q21</v>
      </c>
      <c r="AJ21" s="115" t="str">
        <f>AJ5</f>
        <v>1Q22</v>
      </c>
      <c r="AK21" s="115" t="str">
        <f t="shared" si="9"/>
        <v>2Q22</v>
      </c>
      <c r="AL21" s="115" t="str">
        <f t="shared" ref="AL21:AS21" si="10">AL5</f>
        <v>3Q22</v>
      </c>
      <c r="AM21" s="115" t="str">
        <f t="shared" si="10"/>
        <v>4Q22</v>
      </c>
      <c r="AN21" s="115" t="str">
        <f t="shared" si="10"/>
        <v>1Q23</v>
      </c>
      <c r="AO21" s="115" t="str">
        <f t="shared" si="10"/>
        <v>2Q23</v>
      </c>
      <c r="AP21" s="115" t="str">
        <f t="shared" si="10"/>
        <v>3Q23</v>
      </c>
      <c r="AQ21" s="115" t="str">
        <f t="shared" si="10"/>
        <v>4Q23</v>
      </c>
      <c r="AR21" s="115" t="str">
        <f t="shared" si="10"/>
        <v>1Q24</v>
      </c>
      <c r="AS21" s="115" t="str">
        <f t="shared" si="10"/>
        <v>2Q24</v>
      </c>
      <c r="AT21" s="115" t="str">
        <f>AT5</f>
        <v>3Q24</v>
      </c>
      <c r="AU21" s="115" t="str">
        <f>AU5</f>
        <v>4Q24</v>
      </c>
    </row>
    <row r="22" spans="2:47" x14ac:dyDescent="0.2">
      <c r="B22" s="130" t="s">
        <v>878</v>
      </c>
      <c r="C22" s="118">
        <v>0</v>
      </c>
      <c r="D22" s="118">
        <v>0</v>
      </c>
      <c r="E22" s="161">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row>
    <row r="23" spans="2:47" x14ac:dyDescent="0.2">
      <c r="B23" s="130" t="s">
        <v>426</v>
      </c>
      <c r="C23" s="118">
        <v>2928</v>
      </c>
      <c r="D23" s="118">
        <v>2505</v>
      </c>
      <c r="E23" s="161">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row>
    <row r="24" spans="2:47" x14ac:dyDescent="0.2">
      <c r="B24" s="130" t="s">
        <v>425</v>
      </c>
      <c r="C24" s="118">
        <v>2513</v>
      </c>
      <c r="D24" s="118">
        <v>53</v>
      </c>
      <c r="E24" s="161">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row>
    <row r="25" spans="2:47" x14ac:dyDescent="0.2">
      <c r="B25" s="130" t="s">
        <v>428</v>
      </c>
      <c r="C25" s="118">
        <v>0</v>
      </c>
      <c r="D25" s="118">
        <v>0</v>
      </c>
      <c r="E25" s="161">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row>
    <row r="26" spans="2:47" x14ac:dyDescent="0.2">
      <c r="B26" s="130" t="s">
        <v>424</v>
      </c>
      <c r="C26" s="118">
        <v>148</v>
      </c>
      <c r="D26" s="118">
        <v>184</v>
      </c>
      <c r="E26" s="161">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row>
    <row r="27" spans="2:47" x14ac:dyDescent="0.2">
      <c r="B27" s="130" t="s">
        <v>171</v>
      </c>
      <c r="C27" s="118">
        <v>2858</v>
      </c>
      <c r="D27" s="118">
        <v>2024</v>
      </c>
      <c r="E27" s="161">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row>
    <row r="28" spans="2:47" s="233" customFormat="1" hidden="1" outlineLevel="1" x14ac:dyDescent="0.2">
      <c r="B28" s="250" t="s">
        <v>427</v>
      </c>
      <c r="C28" s="219">
        <v>0</v>
      </c>
      <c r="D28" s="219">
        <v>0</v>
      </c>
      <c r="E28" s="220">
        <v>0</v>
      </c>
      <c r="F28" s="219">
        <v>0</v>
      </c>
      <c r="G28" s="219">
        <v>0</v>
      </c>
      <c r="H28" s="219">
        <v>0</v>
      </c>
      <c r="I28" s="219">
        <v>0</v>
      </c>
      <c r="J28" s="219">
        <v>0</v>
      </c>
      <c r="K28" s="219">
        <v>0</v>
      </c>
      <c r="L28" s="219">
        <v>0</v>
      </c>
      <c r="M28" s="219">
        <v>0</v>
      </c>
      <c r="N28" s="219">
        <v>0</v>
      </c>
      <c r="O28" s="219">
        <v>0</v>
      </c>
      <c r="P28" s="219">
        <v>0</v>
      </c>
      <c r="Q28" s="219">
        <v>0</v>
      </c>
      <c r="R28" s="219">
        <v>0</v>
      </c>
      <c r="S28" s="219">
        <v>0</v>
      </c>
      <c r="T28" s="219">
        <v>0</v>
      </c>
      <c r="U28" s="219">
        <v>0</v>
      </c>
      <c r="V28" s="219">
        <v>0</v>
      </c>
      <c r="W28" s="219">
        <v>0</v>
      </c>
      <c r="X28" s="219">
        <v>0</v>
      </c>
      <c r="Y28" s="219"/>
      <c r="Z28" s="219">
        <v>0</v>
      </c>
      <c r="AA28" s="219">
        <v>0</v>
      </c>
      <c r="AB28" s="219">
        <v>0</v>
      </c>
      <c r="AC28" s="219">
        <v>0</v>
      </c>
      <c r="AD28" s="219">
        <v>0</v>
      </c>
      <c r="AE28" s="219">
        <v>0</v>
      </c>
      <c r="AF28" s="219">
        <v>0</v>
      </c>
      <c r="AG28" s="219">
        <v>0</v>
      </c>
      <c r="AH28" s="219">
        <v>0</v>
      </c>
      <c r="AI28" s="219">
        <v>0</v>
      </c>
      <c r="AJ28" s="219">
        <v>0</v>
      </c>
      <c r="AK28" s="219">
        <v>0</v>
      </c>
      <c r="AL28" s="219">
        <v>0</v>
      </c>
      <c r="AM28" s="219">
        <v>0</v>
      </c>
      <c r="AN28" s="219">
        <v>0</v>
      </c>
      <c r="AO28" s="219">
        <v>0</v>
      </c>
      <c r="AP28" s="219">
        <v>0</v>
      </c>
      <c r="AQ28" s="219">
        <v>0</v>
      </c>
      <c r="AR28" s="219">
        <v>0</v>
      </c>
      <c r="AS28" s="219"/>
      <c r="AT28" s="219">
        <v>0</v>
      </c>
      <c r="AU28" s="219">
        <v>0</v>
      </c>
    </row>
    <row r="29" spans="2:47" s="233" customFormat="1" hidden="1" outlineLevel="1" x14ac:dyDescent="0.2">
      <c r="B29" s="250" t="s">
        <v>430</v>
      </c>
      <c r="C29" s="219">
        <v>0</v>
      </c>
      <c r="D29" s="219">
        <v>0</v>
      </c>
      <c r="E29" s="220">
        <v>0</v>
      </c>
      <c r="F29" s="219">
        <v>0</v>
      </c>
      <c r="G29" s="219">
        <v>0</v>
      </c>
      <c r="H29" s="219">
        <v>0</v>
      </c>
      <c r="I29" s="219">
        <v>0</v>
      </c>
      <c r="J29" s="219">
        <v>0</v>
      </c>
      <c r="K29" s="219">
        <v>0</v>
      </c>
      <c r="L29" s="219">
        <v>0</v>
      </c>
      <c r="M29" s="219">
        <v>0</v>
      </c>
      <c r="N29" s="219">
        <v>0</v>
      </c>
      <c r="O29" s="219">
        <v>0</v>
      </c>
      <c r="P29" s="219">
        <v>0</v>
      </c>
      <c r="Q29" s="219">
        <v>0</v>
      </c>
      <c r="R29" s="219">
        <v>0</v>
      </c>
      <c r="S29" s="219">
        <v>0</v>
      </c>
      <c r="T29" s="219">
        <v>0</v>
      </c>
      <c r="U29" s="219">
        <v>0</v>
      </c>
      <c r="V29" s="219">
        <v>0</v>
      </c>
      <c r="W29" s="219">
        <v>0</v>
      </c>
      <c r="X29" s="219">
        <v>0</v>
      </c>
      <c r="Y29" s="219"/>
      <c r="Z29" s="219">
        <v>0</v>
      </c>
      <c r="AA29" s="219">
        <v>0</v>
      </c>
      <c r="AB29" s="219">
        <v>0</v>
      </c>
      <c r="AC29" s="219">
        <v>0</v>
      </c>
      <c r="AD29" s="219">
        <v>0</v>
      </c>
      <c r="AE29" s="219">
        <v>0</v>
      </c>
      <c r="AF29" s="219">
        <v>0</v>
      </c>
      <c r="AG29" s="219">
        <v>0</v>
      </c>
      <c r="AH29" s="219">
        <v>0</v>
      </c>
      <c r="AI29" s="219">
        <v>0</v>
      </c>
      <c r="AJ29" s="219">
        <v>0</v>
      </c>
      <c r="AK29" s="219">
        <v>0</v>
      </c>
      <c r="AL29" s="219">
        <v>0</v>
      </c>
      <c r="AM29" s="219">
        <v>0</v>
      </c>
      <c r="AN29" s="219">
        <v>0</v>
      </c>
      <c r="AO29" s="219">
        <v>0</v>
      </c>
      <c r="AP29" s="219">
        <v>0</v>
      </c>
      <c r="AQ29" s="219">
        <v>0</v>
      </c>
      <c r="AR29" s="219">
        <v>0</v>
      </c>
      <c r="AS29" s="219"/>
      <c r="AT29" s="219">
        <v>0</v>
      </c>
      <c r="AU29" s="219">
        <v>0</v>
      </c>
    </row>
    <row r="30" spans="2:47" s="233" customFormat="1" hidden="1" outlineLevel="1" x14ac:dyDescent="0.2">
      <c r="B30" s="250" t="s">
        <v>429</v>
      </c>
      <c r="C30" s="219">
        <v>0</v>
      </c>
      <c r="D30" s="219">
        <v>0</v>
      </c>
      <c r="E30" s="220">
        <v>0</v>
      </c>
      <c r="F30" s="219">
        <v>0</v>
      </c>
      <c r="G30" s="219">
        <v>0</v>
      </c>
      <c r="H30" s="219">
        <v>0</v>
      </c>
      <c r="I30" s="219">
        <v>0</v>
      </c>
      <c r="J30" s="219">
        <v>0</v>
      </c>
      <c r="K30" s="219">
        <v>0</v>
      </c>
      <c r="L30" s="219">
        <v>0</v>
      </c>
      <c r="M30" s="219">
        <v>0</v>
      </c>
      <c r="N30" s="219">
        <v>0</v>
      </c>
      <c r="O30" s="219">
        <v>0</v>
      </c>
      <c r="P30" s="219">
        <v>0</v>
      </c>
      <c r="Q30" s="219">
        <v>0</v>
      </c>
      <c r="R30" s="219">
        <v>0</v>
      </c>
      <c r="S30" s="219">
        <v>0</v>
      </c>
      <c r="T30" s="219">
        <v>0</v>
      </c>
      <c r="U30" s="219">
        <v>0</v>
      </c>
      <c r="V30" s="219">
        <v>0</v>
      </c>
      <c r="W30" s="219">
        <v>0</v>
      </c>
      <c r="X30" s="219">
        <v>0</v>
      </c>
      <c r="Y30" s="219"/>
      <c r="Z30" s="219">
        <v>0</v>
      </c>
      <c r="AA30" s="219">
        <v>0</v>
      </c>
      <c r="AB30" s="219">
        <v>0</v>
      </c>
      <c r="AC30" s="219">
        <v>0</v>
      </c>
      <c r="AD30" s="219">
        <v>0</v>
      </c>
      <c r="AE30" s="219">
        <v>0</v>
      </c>
      <c r="AF30" s="219">
        <v>0</v>
      </c>
      <c r="AG30" s="219">
        <v>0</v>
      </c>
      <c r="AH30" s="219">
        <v>0</v>
      </c>
      <c r="AI30" s="219">
        <v>0</v>
      </c>
      <c r="AJ30" s="219">
        <v>0</v>
      </c>
      <c r="AK30" s="219">
        <v>0</v>
      </c>
      <c r="AL30" s="219">
        <v>0</v>
      </c>
      <c r="AM30" s="219">
        <v>0</v>
      </c>
      <c r="AN30" s="219">
        <v>0</v>
      </c>
      <c r="AO30" s="219">
        <v>0</v>
      </c>
      <c r="AP30" s="219">
        <v>0</v>
      </c>
      <c r="AQ30" s="219">
        <v>0</v>
      </c>
      <c r="AR30" s="219">
        <v>0</v>
      </c>
      <c r="AS30" s="219"/>
      <c r="AT30" s="219">
        <v>0</v>
      </c>
      <c r="AU30" s="219">
        <v>0</v>
      </c>
    </row>
    <row r="31" spans="2:47" s="233" customFormat="1" hidden="1" outlineLevel="1" x14ac:dyDescent="0.2">
      <c r="B31" s="250" t="s">
        <v>431</v>
      </c>
      <c r="C31" s="219">
        <v>0</v>
      </c>
      <c r="D31" s="219">
        <v>0</v>
      </c>
      <c r="E31" s="220">
        <v>0</v>
      </c>
      <c r="F31" s="219">
        <v>115282</v>
      </c>
      <c r="G31" s="219">
        <v>78979</v>
      </c>
      <c r="H31" s="219">
        <v>40605</v>
      </c>
      <c r="I31" s="219">
        <v>41811</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219"/>
      <c r="Z31" s="219">
        <v>0</v>
      </c>
      <c r="AA31" s="219">
        <v>0</v>
      </c>
      <c r="AB31" s="219">
        <v>0</v>
      </c>
      <c r="AC31" s="219">
        <v>0</v>
      </c>
      <c r="AD31" s="219">
        <v>0</v>
      </c>
      <c r="AE31" s="219">
        <v>0</v>
      </c>
      <c r="AF31" s="219">
        <v>0</v>
      </c>
      <c r="AG31" s="219">
        <v>0</v>
      </c>
      <c r="AH31" s="219">
        <v>0</v>
      </c>
      <c r="AI31" s="219">
        <v>0</v>
      </c>
      <c r="AJ31" s="219">
        <v>0</v>
      </c>
      <c r="AK31" s="219">
        <v>0</v>
      </c>
      <c r="AL31" s="219">
        <v>0</v>
      </c>
      <c r="AM31" s="219">
        <v>0</v>
      </c>
      <c r="AN31" s="219">
        <v>0</v>
      </c>
      <c r="AO31" s="219">
        <v>0</v>
      </c>
      <c r="AP31" s="219">
        <v>0</v>
      </c>
      <c r="AQ31" s="219">
        <v>0</v>
      </c>
      <c r="AR31" s="219">
        <v>0</v>
      </c>
      <c r="AS31" s="219"/>
      <c r="AT31" s="219">
        <v>0</v>
      </c>
      <c r="AU31" s="219">
        <v>0</v>
      </c>
    </row>
    <row r="32" spans="2:47" collapsed="1" x14ac:dyDescent="0.2">
      <c r="B32" s="127"/>
      <c r="C32" s="120">
        <f t="shared" ref="C32:AA32" si="11">SUM(C22:C31)</f>
        <v>8447</v>
      </c>
      <c r="D32" s="120">
        <f t="shared" si="11"/>
        <v>4766</v>
      </c>
      <c r="E32" s="163">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row>
    <row r="33" spans="2:47" x14ac:dyDescent="0.2">
      <c r="B33" s="130" t="s">
        <v>432</v>
      </c>
      <c r="C33" s="118">
        <v>0</v>
      </c>
      <c r="D33" s="118">
        <v>4766</v>
      </c>
      <c r="E33" s="161">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row>
    <row r="34" spans="2:47" x14ac:dyDescent="0.2">
      <c r="B34" s="130" t="s">
        <v>433</v>
      </c>
      <c r="C34" s="118">
        <v>0</v>
      </c>
      <c r="D34" s="118">
        <v>0</v>
      </c>
      <c r="E34" s="161">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row>
    <row r="35" spans="2:47" x14ac:dyDescent="0.2">
      <c r="B35" s="127"/>
      <c r="C35" s="120">
        <f t="shared" ref="C35:L35" si="14">SUM(C33:C34)</f>
        <v>0</v>
      </c>
      <c r="D35" s="120">
        <f t="shared" si="14"/>
        <v>4766</v>
      </c>
      <c r="E35" s="163">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row>
    <row r="37" spans="2:47" x14ac:dyDescent="0.2">
      <c r="B37" s="152" t="s">
        <v>401</v>
      </c>
      <c r="C37" s="115" t="str">
        <f t="shared" ref="C37:AA37" si="18">C21</f>
        <v>2013</v>
      </c>
      <c r="D37" s="115" t="str">
        <f t="shared" si="18"/>
        <v>1Q14</v>
      </c>
      <c r="E37" s="115" t="str">
        <f t="shared" si="18"/>
        <v>2Q14</v>
      </c>
      <c r="F37" s="115" t="str">
        <f t="shared" si="18"/>
        <v>3Q14</v>
      </c>
      <c r="G37" s="115" t="str">
        <f t="shared" si="18"/>
        <v>4Q14</v>
      </c>
      <c r="H37" s="115" t="str">
        <f t="shared" si="18"/>
        <v>1Q15</v>
      </c>
      <c r="I37" s="115" t="str">
        <f t="shared" si="18"/>
        <v>2Q15</v>
      </c>
      <c r="J37" s="115" t="str">
        <f t="shared" si="18"/>
        <v>3Q15</v>
      </c>
      <c r="K37" s="115" t="str">
        <f t="shared" si="18"/>
        <v>4Q15</v>
      </c>
      <c r="L37" s="115" t="str">
        <f t="shared" si="18"/>
        <v>1Q16</v>
      </c>
      <c r="M37" s="115" t="str">
        <f t="shared" si="18"/>
        <v>2Q16</v>
      </c>
      <c r="N37" s="115" t="str">
        <f t="shared" si="18"/>
        <v>3Q16</v>
      </c>
      <c r="O37" s="115" t="str">
        <f t="shared" si="18"/>
        <v>4Q16</v>
      </c>
      <c r="P37" s="115" t="str">
        <f t="shared" si="18"/>
        <v>1Q17</v>
      </c>
      <c r="Q37" s="115" t="str">
        <f t="shared" si="18"/>
        <v>2Q17</v>
      </c>
      <c r="R37" s="115" t="str">
        <f t="shared" si="18"/>
        <v>3Q17</v>
      </c>
      <c r="S37" s="115" t="str">
        <f t="shared" si="18"/>
        <v>4Q17</v>
      </c>
      <c r="T37" s="115" t="str">
        <f t="shared" si="18"/>
        <v>1Q18</v>
      </c>
      <c r="U37" s="115" t="str">
        <f t="shared" si="18"/>
        <v>2Q18</v>
      </c>
      <c r="V37" s="115" t="str">
        <f t="shared" si="18"/>
        <v>3Q18</v>
      </c>
      <c r="W37" s="115" t="str">
        <f t="shared" si="18"/>
        <v>4Q18</v>
      </c>
      <c r="X37" s="115" t="str">
        <f t="shared" si="18"/>
        <v>1Q19</v>
      </c>
      <c r="Y37" s="115" t="str">
        <f t="shared" si="18"/>
        <v>2Q19</v>
      </c>
      <c r="Z37" s="115" t="str">
        <f t="shared" si="18"/>
        <v>3Q19</v>
      </c>
      <c r="AA37" s="115" t="str">
        <f t="shared" si="18"/>
        <v>4Q19</v>
      </c>
      <c r="AB37" s="115" t="str">
        <f t="shared" ref="AB37:AK37" si="19">AB21</f>
        <v>1Q20</v>
      </c>
      <c r="AC37" s="115" t="str">
        <f t="shared" si="19"/>
        <v>2Q20</v>
      </c>
      <c r="AD37" s="115" t="str">
        <f t="shared" si="19"/>
        <v>3Q20</v>
      </c>
      <c r="AE37" s="115" t="str">
        <f t="shared" si="19"/>
        <v>4Q20</v>
      </c>
      <c r="AF37" s="115" t="str">
        <f t="shared" si="19"/>
        <v>1Q21</v>
      </c>
      <c r="AG37" s="115" t="str">
        <f t="shared" si="19"/>
        <v>2Q21</v>
      </c>
      <c r="AH37" s="115" t="str">
        <f t="shared" si="19"/>
        <v>3Q21</v>
      </c>
      <c r="AI37" s="115" t="str">
        <f t="shared" si="19"/>
        <v>4Q21</v>
      </c>
      <c r="AJ37" s="115" t="str">
        <f>AJ21</f>
        <v>1Q22</v>
      </c>
      <c r="AK37" s="115" t="str">
        <f t="shared" si="19"/>
        <v>2Q22</v>
      </c>
      <c r="AL37" s="115" t="str">
        <f t="shared" ref="AL37:AS37" si="20">AL21</f>
        <v>3Q22</v>
      </c>
      <c r="AM37" s="115" t="str">
        <f t="shared" si="20"/>
        <v>4Q22</v>
      </c>
      <c r="AN37" s="115" t="str">
        <f t="shared" si="20"/>
        <v>1Q23</v>
      </c>
      <c r="AO37" s="115" t="str">
        <f t="shared" si="20"/>
        <v>2Q23</v>
      </c>
      <c r="AP37" s="115" t="str">
        <f t="shared" si="20"/>
        <v>3Q23</v>
      </c>
      <c r="AQ37" s="115" t="str">
        <f t="shared" si="20"/>
        <v>4Q23</v>
      </c>
      <c r="AR37" s="115" t="str">
        <f t="shared" si="20"/>
        <v>1Q24</v>
      </c>
      <c r="AS37" s="115" t="str">
        <f t="shared" si="20"/>
        <v>2Q24</v>
      </c>
      <c r="AT37" s="115" t="str">
        <f>AT21</f>
        <v>3Q24</v>
      </c>
      <c r="AU37" s="115" t="str">
        <f>AU21</f>
        <v>4Q24</v>
      </c>
    </row>
    <row r="38" spans="2:47" ht="25.5" x14ac:dyDescent="0.2">
      <c r="B38" s="130" t="s">
        <v>888</v>
      </c>
      <c r="C38" s="118">
        <v>0</v>
      </c>
      <c r="D38" s="118">
        <v>0</v>
      </c>
      <c r="E38" s="161">
        <v>0</v>
      </c>
      <c r="F38" s="118">
        <v>0</v>
      </c>
      <c r="G38" s="118">
        <v>0</v>
      </c>
      <c r="H38" s="118">
        <v>0</v>
      </c>
      <c r="I38" s="118">
        <v>0</v>
      </c>
      <c r="J38" s="118">
        <v>0</v>
      </c>
      <c r="K38" s="118">
        <v>0</v>
      </c>
      <c r="L38" s="118">
        <v>0</v>
      </c>
      <c r="M38" s="118">
        <v>0</v>
      </c>
      <c r="N38" s="118">
        <v>0</v>
      </c>
      <c r="O38" s="118">
        <v>0</v>
      </c>
      <c r="P38" s="118">
        <f t="shared" ref="P38:V40" si="21">+P6-P22</f>
        <v>0</v>
      </c>
      <c r="Q38" s="262">
        <f t="shared" si="21"/>
        <v>0</v>
      </c>
      <c r="R38" s="118">
        <f t="shared" si="21"/>
        <v>0</v>
      </c>
      <c r="S38" s="118">
        <f t="shared" si="21"/>
        <v>0</v>
      </c>
      <c r="T38" s="118">
        <f t="shared" si="21"/>
        <v>4333</v>
      </c>
      <c r="U38" s="118">
        <f t="shared" si="21"/>
        <v>3873</v>
      </c>
      <c r="V38" s="118">
        <f t="shared" si="21"/>
        <v>4500</v>
      </c>
      <c r="W38" s="118">
        <v>5505</v>
      </c>
      <c r="X38" s="118">
        <v>5512</v>
      </c>
      <c r="Y38" s="118">
        <v>5963</v>
      </c>
      <c r="Z38" s="262">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U40" si="25">AT6-AT22</f>
        <v>597</v>
      </c>
      <c r="AU38" s="118">
        <f t="shared" si="25"/>
        <v>667</v>
      </c>
    </row>
    <row r="39" spans="2:47" x14ac:dyDescent="0.2">
      <c r="B39" s="130" t="s">
        <v>426</v>
      </c>
      <c r="C39" s="118">
        <f t="shared" ref="C39:O39" si="26">+C7-C23</f>
        <v>1952</v>
      </c>
      <c r="D39" s="118">
        <f t="shared" si="26"/>
        <v>797</v>
      </c>
      <c r="E39" s="161">
        <f t="shared" si="26"/>
        <v>276</v>
      </c>
      <c r="F39" s="118">
        <f t="shared" si="26"/>
        <v>215</v>
      </c>
      <c r="G39" s="118">
        <f t="shared" si="26"/>
        <v>423</v>
      </c>
      <c r="H39" s="118">
        <f t="shared" si="26"/>
        <v>416</v>
      </c>
      <c r="I39" s="118">
        <f t="shared" si="26"/>
        <v>624</v>
      </c>
      <c r="J39" s="118">
        <f t="shared" si="26"/>
        <v>461</v>
      </c>
      <c r="K39" s="118">
        <f t="shared" si="26"/>
        <v>1591</v>
      </c>
      <c r="L39" s="118">
        <f t="shared" si="26"/>
        <v>1717</v>
      </c>
      <c r="M39" s="118">
        <f t="shared" si="26"/>
        <v>2110</v>
      </c>
      <c r="N39" s="118">
        <f t="shared" si="26"/>
        <v>1983</v>
      </c>
      <c r="O39" s="118">
        <f t="shared" si="26"/>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f t="shared" si="25"/>
        <v>2550</v>
      </c>
    </row>
    <row r="40" spans="2:47" x14ac:dyDescent="0.2">
      <c r="B40" s="130" t="s">
        <v>425</v>
      </c>
      <c r="C40" s="118">
        <f t="shared" ref="C40:O40" si="27">+C8-C24</f>
        <v>823</v>
      </c>
      <c r="D40" s="118">
        <f t="shared" si="27"/>
        <v>243</v>
      </c>
      <c r="E40" s="161">
        <f t="shared" si="27"/>
        <v>149</v>
      </c>
      <c r="F40" s="118">
        <f t="shared" si="27"/>
        <v>412</v>
      </c>
      <c r="G40" s="118">
        <f t="shared" si="27"/>
        <v>522</v>
      </c>
      <c r="H40" s="118">
        <f t="shared" si="27"/>
        <v>125</v>
      </c>
      <c r="I40" s="118">
        <f t="shared" si="27"/>
        <v>113</v>
      </c>
      <c r="J40" s="118">
        <f t="shared" si="27"/>
        <v>393</v>
      </c>
      <c r="K40" s="118">
        <f t="shared" si="27"/>
        <v>423</v>
      </c>
      <c r="L40" s="118">
        <f t="shared" si="27"/>
        <v>91</v>
      </c>
      <c r="M40" s="118">
        <f t="shared" si="27"/>
        <v>183</v>
      </c>
      <c r="N40" s="118">
        <f t="shared" si="27"/>
        <v>165</v>
      </c>
      <c r="O40" s="118">
        <f t="shared" si="27"/>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f t="shared" si="25"/>
        <v>117</v>
      </c>
    </row>
    <row r="41" spans="2:47" x14ac:dyDescent="0.2">
      <c r="B41" s="130" t="s">
        <v>429</v>
      </c>
      <c r="C41" s="118">
        <f t="shared" ref="C41:V41" si="28">+C9-C30</f>
        <v>0</v>
      </c>
      <c r="D41" s="118">
        <f t="shared" si="28"/>
        <v>0</v>
      </c>
      <c r="E41" s="161">
        <f t="shared" si="28"/>
        <v>0</v>
      </c>
      <c r="F41" s="118">
        <f t="shared" si="28"/>
        <v>0</v>
      </c>
      <c r="G41" s="118">
        <f t="shared" si="28"/>
        <v>13371</v>
      </c>
      <c r="H41" s="118">
        <f t="shared" si="28"/>
        <v>13371</v>
      </c>
      <c r="I41" s="118">
        <f t="shared" si="28"/>
        <v>13371</v>
      </c>
      <c r="J41" s="118">
        <f t="shared" si="28"/>
        <v>13371</v>
      </c>
      <c r="K41" s="118">
        <f t="shared" si="28"/>
        <v>13371</v>
      </c>
      <c r="L41" s="118">
        <f t="shared" si="28"/>
        <v>13371</v>
      </c>
      <c r="M41" s="118">
        <f t="shared" si="28"/>
        <v>13371</v>
      </c>
      <c r="N41" s="118">
        <f t="shared" si="28"/>
        <v>13371</v>
      </c>
      <c r="O41" s="118">
        <f t="shared" si="28"/>
        <v>13371</v>
      </c>
      <c r="P41" s="118">
        <f t="shared" si="28"/>
        <v>13371</v>
      </c>
      <c r="Q41" s="118">
        <f t="shared" si="28"/>
        <v>13371</v>
      </c>
      <c r="R41" s="118">
        <f t="shared" si="28"/>
        <v>7638</v>
      </c>
      <c r="S41" s="118">
        <f t="shared" si="28"/>
        <v>1907</v>
      </c>
      <c r="T41" s="118">
        <f t="shared" si="28"/>
        <v>1907</v>
      </c>
      <c r="U41" s="118">
        <f t="shared" si="28"/>
        <v>1907</v>
      </c>
      <c r="V41" s="118">
        <f t="shared" si="28"/>
        <v>1907</v>
      </c>
      <c r="W41" s="118">
        <v>0</v>
      </c>
      <c r="X41" s="118">
        <v>0</v>
      </c>
      <c r="Y41" s="118">
        <v>0</v>
      </c>
      <c r="Z41" s="118">
        <v>0</v>
      </c>
      <c r="AA41" s="118">
        <v>0</v>
      </c>
      <c r="AB41" s="118">
        <v>0</v>
      </c>
      <c r="AC41" s="118">
        <f t="shared" ref="AC41:AI41" si="29">AC9-AC30</f>
        <v>0</v>
      </c>
      <c r="AD41" s="118">
        <f t="shared" si="29"/>
        <v>0</v>
      </c>
      <c r="AE41" s="118">
        <f t="shared" si="29"/>
        <v>0</v>
      </c>
      <c r="AF41" s="118">
        <f t="shared" si="29"/>
        <v>0</v>
      </c>
      <c r="AG41" s="118">
        <f t="shared" si="29"/>
        <v>0</v>
      </c>
      <c r="AH41" s="118">
        <f t="shared" si="29"/>
        <v>0</v>
      </c>
      <c r="AI41" s="118">
        <f t="shared" si="29"/>
        <v>0</v>
      </c>
      <c r="AJ41" s="118">
        <f>AJ9-AJ30</f>
        <v>0</v>
      </c>
      <c r="AK41" s="118">
        <v>0</v>
      </c>
      <c r="AL41" s="118">
        <f t="shared" ref="AL41:AR41" si="30">AL9-AL30</f>
        <v>0</v>
      </c>
      <c r="AM41" s="118">
        <f t="shared" si="30"/>
        <v>0</v>
      </c>
      <c r="AN41" s="118">
        <f t="shared" si="30"/>
        <v>0</v>
      </c>
      <c r="AO41" s="118">
        <f t="shared" si="30"/>
        <v>0</v>
      </c>
      <c r="AP41" s="118">
        <f t="shared" si="30"/>
        <v>0</v>
      </c>
      <c r="AQ41" s="118">
        <f t="shared" si="30"/>
        <v>0</v>
      </c>
      <c r="AR41" s="118">
        <f t="shared" si="30"/>
        <v>0</v>
      </c>
      <c r="AS41" s="118">
        <v>0</v>
      </c>
      <c r="AT41" s="118">
        <f>AT9-AT30</f>
        <v>0</v>
      </c>
      <c r="AU41" s="118">
        <f>AU9-AU30</f>
        <v>0</v>
      </c>
    </row>
    <row r="42" spans="2:47" x14ac:dyDescent="0.2">
      <c r="B42" s="130" t="s">
        <v>428</v>
      </c>
      <c r="C42" s="118">
        <f t="shared" ref="C42:V42" si="31">+C10-C25</f>
        <v>6324</v>
      </c>
      <c r="D42" s="118">
        <f t="shared" si="31"/>
        <v>0</v>
      </c>
      <c r="E42" s="161">
        <f t="shared" si="31"/>
        <v>0</v>
      </c>
      <c r="F42" s="118">
        <f t="shared" si="31"/>
        <v>0</v>
      </c>
      <c r="G42" s="118">
        <f t="shared" si="31"/>
        <v>0</v>
      </c>
      <c r="H42" s="118">
        <f t="shared" si="31"/>
        <v>0</v>
      </c>
      <c r="I42" s="118">
        <f t="shared" si="31"/>
        <v>147</v>
      </c>
      <c r="J42" s="118">
        <f t="shared" si="31"/>
        <v>0</v>
      </c>
      <c r="K42" s="118">
        <f t="shared" si="31"/>
        <v>170</v>
      </c>
      <c r="L42" s="118">
        <f t="shared" si="31"/>
        <v>48</v>
      </c>
      <c r="M42" s="118">
        <f t="shared" si="31"/>
        <v>46</v>
      </c>
      <c r="N42" s="118">
        <f t="shared" si="31"/>
        <v>28</v>
      </c>
      <c r="O42" s="118">
        <f t="shared" si="31"/>
        <v>0</v>
      </c>
      <c r="P42" s="118">
        <f t="shared" si="31"/>
        <v>0</v>
      </c>
      <c r="Q42" s="118">
        <f t="shared" si="31"/>
        <v>0</v>
      </c>
      <c r="R42" s="118">
        <f t="shared" si="31"/>
        <v>0</v>
      </c>
      <c r="S42" s="118">
        <f t="shared" si="31"/>
        <v>298</v>
      </c>
      <c r="T42" s="118">
        <f t="shared" si="31"/>
        <v>0</v>
      </c>
      <c r="U42" s="118">
        <f t="shared" si="31"/>
        <v>96</v>
      </c>
      <c r="V42" s="118">
        <f t="shared" si="31"/>
        <v>96</v>
      </c>
      <c r="W42" s="118">
        <v>0</v>
      </c>
      <c r="X42" s="118">
        <v>0</v>
      </c>
      <c r="Y42" s="118">
        <v>0</v>
      </c>
      <c r="Z42" s="118">
        <v>0</v>
      </c>
      <c r="AA42" s="118">
        <v>0</v>
      </c>
      <c r="AB42" s="118">
        <v>0</v>
      </c>
      <c r="AC42" s="118">
        <f t="shared" ref="AC42:AD46" si="32">AC10-AC25</f>
        <v>0</v>
      </c>
      <c r="AD42" s="118">
        <f t="shared" si="32"/>
        <v>0</v>
      </c>
      <c r="AE42" s="118">
        <f t="shared" ref="AE42:AK46" si="33">AE10-AE25</f>
        <v>0</v>
      </c>
      <c r="AF42" s="118">
        <f t="shared" si="33"/>
        <v>0</v>
      </c>
      <c r="AG42" s="118">
        <f t="shared" si="33"/>
        <v>0</v>
      </c>
      <c r="AH42" s="118">
        <f t="shared" si="33"/>
        <v>0</v>
      </c>
      <c r="AI42" s="118">
        <f t="shared" si="33"/>
        <v>0</v>
      </c>
      <c r="AJ42" s="118">
        <f>AJ10-AJ25</f>
        <v>0</v>
      </c>
      <c r="AK42" s="118">
        <v>0</v>
      </c>
      <c r="AL42" s="118">
        <f t="shared" ref="AL42:AR46" si="34">AL10-AL25</f>
        <v>0</v>
      </c>
      <c r="AM42" s="118">
        <f t="shared" si="34"/>
        <v>0</v>
      </c>
      <c r="AN42" s="118">
        <f t="shared" si="34"/>
        <v>0</v>
      </c>
      <c r="AO42" s="118">
        <f t="shared" si="34"/>
        <v>0</v>
      </c>
      <c r="AP42" s="118">
        <f t="shared" si="34"/>
        <v>0</v>
      </c>
      <c r="AQ42" s="118">
        <f t="shared" si="34"/>
        <v>0</v>
      </c>
      <c r="AR42" s="118">
        <f t="shared" si="34"/>
        <v>0</v>
      </c>
      <c r="AS42" s="118">
        <v>0</v>
      </c>
      <c r="AT42" s="118">
        <f t="shared" ref="AT42:AU46" si="35">AT10-AT25</f>
        <v>0</v>
      </c>
      <c r="AU42" s="118">
        <f t="shared" si="35"/>
        <v>0</v>
      </c>
    </row>
    <row r="43" spans="2:47" x14ac:dyDescent="0.2">
      <c r="B43" s="130" t="s">
        <v>424</v>
      </c>
      <c r="C43" s="118">
        <f t="shared" ref="C43:V43" si="36">+C11-C26</f>
        <v>1147</v>
      </c>
      <c r="D43" s="118">
        <f t="shared" si="36"/>
        <v>1463</v>
      </c>
      <c r="E43" s="161">
        <f t="shared" si="36"/>
        <v>3266</v>
      </c>
      <c r="F43" s="118">
        <f t="shared" si="36"/>
        <v>3893</v>
      </c>
      <c r="G43" s="118">
        <f t="shared" si="36"/>
        <v>3841</v>
      </c>
      <c r="H43" s="118">
        <f t="shared" si="36"/>
        <v>4220</v>
      </c>
      <c r="I43" s="118">
        <f t="shared" si="36"/>
        <v>4220</v>
      </c>
      <c r="J43" s="118">
        <f t="shared" si="36"/>
        <v>4434</v>
      </c>
      <c r="K43" s="118">
        <f t="shared" si="36"/>
        <v>4434</v>
      </c>
      <c r="L43" s="118">
        <f t="shared" si="36"/>
        <v>4070</v>
      </c>
      <c r="M43" s="118">
        <f t="shared" si="36"/>
        <v>1973</v>
      </c>
      <c r="N43" s="118">
        <f t="shared" si="36"/>
        <v>1848</v>
      </c>
      <c r="O43" s="118">
        <f t="shared" si="36"/>
        <v>1821</v>
      </c>
      <c r="P43" s="118">
        <f t="shared" si="36"/>
        <v>1821</v>
      </c>
      <c r="Q43" s="118">
        <f t="shared" si="36"/>
        <v>1810</v>
      </c>
      <c r="R43" s="118">
        <f t="shared" si="36"/>
        <v>1796</v>
      </c>
      <c r="S43" s="118">
        <f t="shared" si="36"/>
        <v>6</v>
      </c>
      <c r="T43" s="118">
        <f t="shared" si="36"/>
        <v>-411</v>
      </c>
      <c r="U43" s="118">
        <f t="shared" si="36"/>
        <v>6</v>
      </c>
      <c r="V43" s="118">
        <f t="shared" si="36"/>
        <v>0</v>
      </c>
      <c r="W43" s="118">
        <v>0</v>
      </c>
      <c r="X43" s="118">
        <v>0</v>
      </c>
      <c r="Y43" s="118">
        <v>46</v>
      </c>
      <c r="Z43" s="118">
        <v>0</v>
      </c>
      <c r="AA43" s="118">
        <v>101</v>
      </c>
      <c r="AB43" s="118">
        <v>0</v>
      </c>
      <c r="AC43" s="118">
        <f t="shared" si="32"/>
        <v>0</v>
      </c>
      <c r="AD43" s="118">
        <f t="shared" si="32"/>
        <v>38</v>
      </c>
      <c r="AE43" s="118">
        <f t="shared" si="33"/>
        <v>6</v>
      </c>
      <c r="AF43" s="118">
        <f t="shared" si="33"/>
        <v>48</v>
      </c>
      <c r="AG43" s="118">
        <f t="shared" si="33"/>
        <v>23</v>
      </c>
      <c r="AH43" s="118">
        <f t="shared" si="33"/>
        <v>35</v>
      </c>
      <c r="AI43" s="118">
        <f t="shared" si="33"/>
        <v>38</v>
      </c>
      <c r="AJ43" s="118">
        <f>AJ11-AJ26</f>
        <v>18</v>
      </c>
      <c r="AK43" s="118">
        <v>38</v>
      </c>
      <c r="AL43" s="118">
        <f t="shared" si="34"/>
        <v>64</v>
      </c>
      <c r="AM43" s="118">
        <f t="shared" si="34"/>
        <v>333</v>
      </c>
      <c r="AN43" s="118">
        <f t="shared" si="34"/>
        <v>326</v>
      </c>
      <c r="AO43" s="118">
        <f t="shared" si="34"/>
        <v>305</v>
      </c>
      <c r="AP43" s="118">
        <f t="shared" si="34"/>
        <v>0</v>
      </c>
      <c r="AQ43" s="118">
        <f t="shared" si="34"/>
        <v>0</v>
      </c>
      <c r="AR43" s="118">
        <f t="shared" si="34"/>
        <v>0</v>
      </c>
      <c r="AS43" s="118">
        <v>0</v>
      </c>
      <c r="AT43" s="118">
        <f t="shared" si="35"/>
        <v>0</v>
      </c>
      <c r="AU43" s="118">
        <f t="shared" si="35"/>
        <v>0</v>
      </c>
    </row>
    <row r="44" spans="2:47" x14ac:dyDescent="0.2">
      <c r="B44" s="130" t="s">
        <v>171</v>
      </c>
      <c r="C44" s="118">
        <f t="shared" ref="C44:V44" si="37">+C12-C27</f>
        <v>1018</v>
      </c>
      <c r="D44" s="118">
        <f t="shared" si="37"/>
        <v>4222</v>
      </c>
      <c r="E44" s="161">
        <f t="shared" si="37"/>
        <v>1218</v>
      </c>
      <c r="F44" s="118">
        <f t="shared" si="37"/>
        <v>1596</v>
      </c>
      <c r="G44" s="118">
        <f t="shared" si="37"/>
        <v>1140</v>
      </c>
      <c r="H44" s="118">
        <f t="shared" si="37"/>
        <v>1044</v>
      </c>
      <c r="I44" s="118">
        <f t="shared" si="37"/>
        <v>1204</v>
      </c>
      <c r="J44" s="118">
        <f t="shared" si="37"/>
        <v>1129</v>
      </c>
      <c r="K44" s="118">
        <f t="shared" si="37"/>
        <v>16</v>
      </c>
      <c r="L44" s="118">
        <f t="shared" si="37"/>
        <v>0</v>
      </c>
      <c r="M44" s="118">
        <f t="shared" si="37"/>
        <v>-2</v>
      </c>
      <c r="N44" s="118">
        <f t="shared" si="37"/>
        <v>0</v>
      </c>
      <c r="O44" s="118">
        <f t="shared" si="37"/>
        <v>0</v>
      </c>
      <c r="P44" s="118">
        <f t="shared" si="37"/>
        <v>0</v>
      </c>
      <c r="Q44" s="118">
        <f t="shared" si="37"/>
        <v>0</v>
      </c>
      <c r="R44" s="118">
        <f t="shared" si="37"/>
        <v>2</v>
      </c>
      <c r="S44" s="118">
        <f t="shared" si="37"/>
        <v>2</v>
      </c>
      <c r="T44" s="118">
        <f t="shared" si="37"/>
        <v>0</v>
      </c>
      <c r="U44" s="118">
        <f t="shared" si="37"/>
        <v>0</v>
      </c>
      <c r="V44" s="118">
        <f t="shared" si="37"/>
        <v>-4</v>
      </c>
      <c r="W44" s="118">
        <v>700</v>
      </c>
      <c r="X44" s="118">
        <v>700</v>
      </c>
      <c r="Y44" s="118">
        <v>700</v>
      </c>
      <c r="Z44" s="118">
        <v>0</v>
      </c>
      <c r="AA44" s="118">
        <v>153</v>
      </c>
      <c r="AB44" s="118">
        <v>29</v>
      </c>
      <c r="AC44" s="118">
        <f t="shared" si="32"/>
        <v>1</v>
      </c>
      <c r="AD44" s="118">
        <f t="shared" si="32"/>
        <v>1</v>
      </c>
      <c r="AE44" s="118">
        <f t="shared" si="33"/>
        <v>1</v>
      </c>
      <c r="AF44" s="118">
        <f t="shared" si="33"/>
        <v>2</v>
      </c>
      <c r="AG44" s="118">
        <f t="shared" si="33"/>
        <v>1</v>
      </c>
      <c r="AH44" s="118">
        <f t="shared" si="33"/>
        <v>0</v>
      </c>
      <c r="AI44" s="118">
        <f t="shared" si="33"/>
        <v>0</v>
      </c>
      <c r="AJ44" s="118">
        <f>AJ12-AJ27</f>
        <v>1</v>
      </c>
      <c r="AK44" s="118">
        <v>233</v>
      </c>
      <c r="AL44" s="118">
        <f t="shared" si="34"/>
        <v>262</v>
      </c>
      <c r="AM44" s="118">
        <f t="shared" si="34"/>
        <v>-49</v>
      </c>
      <c r="AN44" s="118">
        <f t="shared" si="34"/>
        <v>2</v>
      </c>
      <c r="AO44" s="118">
        <f t="shared" si="34"/>
        <v>-64</v>
      </c>
      <c r="AP44" s="118">
        <f t="shared" si="34"/>
        <v>98</v>
      </c>
      <c r="AQ44" s="118">
        <f t="shared" si="34"/>
        <v>11</v>
      </c>
      <c r="AR44" s="118">
        <f t="shared" si="34"/>
        <v>72</v>
      </c>
      <c r="AS44" s="118">
        <v>26</v>
      </c>
      <c r="AT44" s="118">
        <f t="shared" si="35"/>
        <v>189</v>
      </c>
      <c r="AU44" s="118">
        <f t="shared" si="35"/>
        <v>349</v>
      </c>
    </row>
    <row r="45" spans="2:47" s="233" customFormat="1" hidden="1" outlineLevel="1" x14ac:dyDescent="0.2">
      <c r="B45" s="250" t="s">
        <v>427</v>
      </c>
      <c r="C45" s="219">
        <f t="shared" ref="C45:V45" si="38">+C13-C28</f>
        <v>4899</v>
      </c>
      <c r="D45" s="219">
        <f t="shared" si="38"/>
        <v>5646</v>
      </c>
      <c r="E45" s="220">
        <f t="shared" si="38"/>
        <v>6116</v>
      </c>
      <c r="F45" s="219">
        <f t="shared" si="38"/>
        <v>3768</v>
      </c>
      <c r="G45" s="219">
        <f t="shared" si="38"/>
        <v>4334</v>
      </c>
      <c r="H45" s="219">
        <f t="shared" si="38"/>
        <v>4574</v>
      </c>
      <c r="I45" s="219">
        <f t="shared" si="38"/>
        <v>4803</v>
      </c>
      <c r="J45" s="219">
        <f t="shared" si="38"/>
        <v>4965</v>
      </c>
      <c r="K45" s="219">
        <f t="shared" si="38"/>
        <v>5094</v>
      </c>
      <c r="L45" s="219">
        <f t="shared" si="38"/>
        <v>5179</v>
      </c>
      <c r="M45" s="219">
        <f t="shared" si="38"/>
        <v>5365</v>
      </c>
      <c r="N45" s="219">
        <f t="shared" si="38"/>
        <v>5413</v>
      </c>
      <c r="O45" s="219">
        <f t="shared" si="38"/>
        <v>5416</v>
      </c>
      <c r="P45" s="219">
        <f t="shared" si="38"/>
        <v>5471</v>
      </c>
      <c r="Q45" s="219">
        <f t="shared" si="38"/>
        <v>3704</v>
      </c>
      <c r="R45" s="219">
        <f t="shared" si="38"/>
        <v>0</v>
      </c>
      <c r="S45" s="219">
        <f t="shared" si="38"/>
        <v>0</v>
      </c>
      <c r="T45" s="219">
        <f t="shared" si="38"/>
        <v>0</v>
      </c>
      <c r="U45" s="219">
        <f t="shared" si="38"/>
        <v>0</v>
      </c>
      <c r="V45" s="219">
        <f t="shared" si="38"/>
        <v>0</v>
      </c>
      <c r="W45" s="219">
        <v>0</v>
      </c>
      <c r="X45" s="219">
        <v>0</v>
      </c>
      <c r="Y45" s="219"/>
      <c r="Z45" s="219">
        <v>0</v>
      </c>
      <c r="AA45" s="219">
        <v>0</v>
      </c>
      <c r="AB45" s="219">
        <f>AB13-AB28</f>
        <v>0</v>
      </c>
      <c r="AC45" s="219">
        <f t="shared" si="32"/>
        <v>0</v>
      </c>
      <c r="AD45" s="219">
        <f t="shared" si="32"/>
        <v>0</v>
      </c>
      <c r="AE45" s="219">
        <f t="shared" si="33"/>
        <v>0</v>
      </c>
      <c r="AF45" s="219">
        <f t="shared" si="33"/>
        <v>0</v>
      </c>
      <c r="AG45" s="219">
        <f t="shared" si="33"/>
        <v>0</v>
      </c>
      <c r="AH45" s="219">
        <f t="shared" si="33"/>
        <v>0</v>
      </c>
      <c r="AI45" s="219">
        <f t="shared" si="33"/>
        <v>0</v>
      </c>
      <c r="AJ45" s="219">
        <f>AJ13-AJ28</f>
        <v>0</v>
      </c>
      <c r="AK45" s="219">
        <f t="shared" si="33"/>
        <v>0</v>
      </c>
      <c r="AL45" s="219">
        <f t="shared" si="34"/>
        <v>0</v>
      </c>
      <c r="AM45" s="219">
        <f t="shared" si="34"/>
        <v>0</v>
      </c>
      <c r="AN45" s="219">
        <f t="shared" si="34"/>
        <v>0</v>
      </c>
      <c r="AO45" s="219">
        <f t="shared" si="34"/>
        <v>0</v>
      </c>
      <c r="AP45" s="219">
        <f t="shared" si="34"/>
        <v>0</v>
      </c>
      <c r="AQ45" s="219">
        <f t="shared" si="34"/>
        <v>0</v>
      </c>
      <c r="AR45" s="219">
        <f t="shared" si="34"/>
        <v>0</v>
      </c>
      <c r="AS45" s="219"/>
      <c r="AT45" s="219">
        <f t="shared" si="35"/>
        <v>0</v>
      </c>
      <c r="AU45" s="219">
        <f t="shared" si="35"/>
        <v>0</v>
      </c>
    </row>
    <row r="46" spans="2:47" s="233" customFormat="1" hidden="1" outlineLevel="1" x14ac:dyDescent="0.2">
      <c r="B46" s="250" t="s">
        <v>430</v>
      </c>
      <c r="C46" s="219">
        <f t="shared" ref="C46:V46" si="39">+C14-C29</f>
        <v>4600</v>
      </c>
      <c r="D46" s="219">
        <f t="shared" si="39"/>
        <v>5293</v>
      </c>
      <c r="E46" s="220">
        <f t="shared" si="39"/>
        <v>4302</v>
      </c>
      <c r="F46" s="219">
        <f t="shared" si="39"/>
        <v>2359</v>
      </c>
      <c r="G46" s="219">
        <f t="shared" si="39"/>
        <v>1501</v>
      </c>
      <c r="H46" s="219">
        <f t="shared" si="39"/>
        <v>277</v>
      </c>
      <c r="I46" s="219">
        <f t="shared" si="39"/>
        <v>201</v>
      </c>
      <c r="J46" s="219">
        <f t="shared" si="39"/>
        <v>112</v>
      </c>
      <c r="K46" s="219">
        <f t="shared" si="39"/>
        <v>76</v>
      </c>
      <c r="L46" s="219">
        <f t="shared" si="39"/>
        <v>76</v>
      </c>
      <c r="M46" s="219">
        <f t="shared" si="39"/>
        <v>0</v>
      </c>
      <c r="N46" s="219">
        <f t="shared" si="39"/>
        <v>0</v>
      </c>
      <c r="O46" s="219">
        <f t="shared" si="39"/>
        <v>0</v>
      </c>
      <c r="P46" s="219">
        <f t="shared" si="39"/>
        <v>0</v>
      </c>
      <c r="Q46" s="219">
        <f t="shared" si="39"/>
        <v>0</v>
      </c>
      <c r="R46" s="219">
        <f t="shared" si="39"/>
        <v>0</v>
      </c>
      <c r="S46" s="219">
        <f t="shared" si="39"/>
        <v>0</v>
      </c>
      <c r="T46" s="219">
        <f t="shared" si="39"/>
        <v>0</v>
      </c>
      <c r="U46" s="219">
        <f t="shared" si="39"/>
        <v>0</v>
      </c>
      <c r="V46" s="219">
        <f t="shared" si="39"/>
        <v>0</v>
      </c>
      <c r="W46" s="219">
        <v>0</v>
      </c>
      <c r="X46" s="219">
        <v>0</v>
      </c>
      <c r="Y46" s="219"/>
      <c r="Z46" s="219">
        <v>0</v>
      </c>
      <c r="AA46" s="219">
        <v>0</v>
      </c>
      <c r="AB46" s="219">
        <f>AB14-AB29</f>
        <v>0</v>
      </c>
      <c r="AC46" s="219">
        <f t="shared" si="32"/>
        <v>0</v>
      </c>
      <c r="AD46" s="219">
        <f t="shared" si="32"/>
        <v>0</v>
      </c>
      <c r="AE46" s="219">
        <f t="shared" si="33"/>
        <v>0</v>
      </c>
      <c r="AF46" s="219">
        <f t="shared" si="33"/>
        <v>0</v>
      </c>
      <c r="AG46" s="219">
        <f t="shared" si="33"/>
        <v>0</v>
      </c>
      <c r="AH46" s="219">
        <f t="shared" si="33"/>
        <v>0</v>
      </c>
      <c r="AI46" s="219">
        <f t="shared" si="33"/>
        <v>0</v>
      </c>
      <c r="AJ46" s="219">
        <f>AJ14-AJ29</f>
        <v>0</v>
      </c>
      <c r="AK46" s="219">
        <f t="shared" si="33"/>
        <v>0</v>
      </c>
      <c r="AL46" s="219">
        <f t="shared" si="34"/>
        <v>0</v>
      </c>
      <c r="AM46" s="219">
        <f t="shared" si="34"/>
        <v>0</v>
      </c>
      <c r="AN46" s="219">
        <f t="shared" si="34"/>
        <v>0</v>
      </c>
      <c r="AO46" s="219">
        <f t="shared" si="34"/>
        <v>0</v>
      </c>
      <c r="AP46" s="219">
        <f t="shared" si="34"/>
        <v>0</v>
      </c>
      <c r="AQ46" s="219">
        <f t="shared" si="34"/>
        <v>0</v>
      </c>
      <c r="AR46" s="219">
        <f t="shared" si="34"/>
        <v>0</v>
      </c>
      <c r="AS46" s="219"/>
      <c r="AT46" s="219">
        <f t="shared" si="35"/>
        <v>0</v>
      </c>
      <c r="AU46" s="219">
        <f t="shared" si="35"/>
        <v>0</v>
      </c>
    </row>
    <row r="47" spans="2:47" s="233" customFormat="1" hidden="1" outlineLevel="1" x14ac:dyDescent="0.2">
      <c r="B47" s="250" t="s">
        <v>431</v>
      </c>
      <c r="C47" s="219">
        <f t="shared" ref="C47:T47" si="40">+C15-C31</f>
        <v>0</v>
      </c>
      <c r="D47" s="219">
        <f t="shared" si="40"/>
        <v>0</v>
      </c>
      <c r="E47" s="220">
        <f t="shared" si="40"/>
        <v>0</v>
      </c>
      <c r="F47" s="219">
        <f t="shared" si="40"/>
        <v>0</v>
      </c>
      <c r="G47" s="219">
        <f t="shared" si="40"/>
        <v>0</v>
      </c>
      <c r="H47" s="219">
        <f t="shared" si="40"/>
        <v>0</v>
      </c>
      <c r="I47" s="219">
        <f t="shared" si="40"/>
        <v>0</v>
      </c>
      <c r="J47" s="219">
        <f t="shared" si="40"/>
        <v>0</v>
      </c>
      <c r="K47" s="219">
        <f t="shared" si="40"/>
        <v>0</v>
      </c>
      <c r="L47" s="219">
        <f t="shared" si="40"/>
        <v>0</v>
      </c>
      <c r="M47" s="219">
        <f t="shared" si="40"/>
        <v>0</v>
      </c>
      <c r="N47" s="219">
        <f t="shared" si="40"/>
        <v>0</v>
      </c>
      <c r="O47" s="219">
        <f t="shared" si="40"/>
        <v>0</v>
      </c>
      <c r="P47" s="219">
        <f t="shared" si="40"/>
        <v>0</v>
      </c>
      <c r="Q47" s="219">
        <f t="shared" si="40"/>
        <v>0</v>
      </c>
      <c r="R47" s="219">
        <f t="shared" si="40"/>
        <v>0</v>
      </c>
      <c r="S47" s="219">
        <f t="shared" si="40"/>
        <v>0</v>
      </c>
      <c r="T47" s="219">
        <f t="shared" si="40"/>
        <v>0</v>
      </c>
      <c r="U47" s="219">
        <v>0</v>
      </c>
      <c r="V47" s="219">
        <v>0</v>
      </c>
      <c r="W47" s="219">
        <v>0</v>
      </c>
      <c r="X47" s="219">
        <v>0</v>
      </c>
      <c r="Y47" s="219"/>
      <c r="Z47" s="219">
        <v>0</v>
      </c>
      <c r="AA47" s="219">
        <v>0</v>
      </c>
      <c r="AB47" s="219">
        <f t="shared" ref="AB47:AK47" si="41">AB15-AB31</f>
        <v>0</v>
      </c>
      <c r="AC47" s="219">
        <f t="shared" si="41"/>
        <v>0</v>
      </c>
      <c r="AD47" s="219">
        <f t="shared" si="41"/>
        <v>0</v>
      </c>
      <c r="AE47" s="219">
        <f t="shared" si="41"/>
        <v>0</v>
      </c>
      <c r="AF47" s="219">
        <f t="shared" si="41"/>
        <v>0</v>
      </c>
      <c r="AG47" s="219">
        <f t="shared" si="41"/>
        <v>0</v>
      </c>
      <c r="AH47" s="219">
        <f t="shared" si="41"/>
        <v>0</v>
      </c>
      <c r="AI47" s="219">
        <f t="shared" si="41"/>
        <v>0</v>
      </c>
      <c r="AJ47" s="219">
        <f>AJ15-AJ31</f>
        <v>0</v>
      </c>
      <c r="AK47" s="219">
        <f t="shared" si="41"/>
        <v>0</v>
      </c>
      <c r="AL47" s="219">
        <f t="shared" ref="AL47:AR47" si="42">AL15-AL31</f>
        <v>0</v>
      </c>
      <c r="AM47" s="219">
        <f t="shared" si="42"/>
        <v>0</v>
      </c>
      <c r="AN47" s="219">
        <f t="shared" si="42"/>
        <v>0</v>
      </c>
      <c r="AO47" s="219">
        <f t="shared" si="42"/>
        <v>0</v>
      </c>
      <c r="AP47" s="219">
        <f t="shared" si="42"/>
        <v>0</v>
      </c>
      <c r="AQ47" s="219">
        <f t="shared" si="42"/>
        <v>0</v>
      </c>
      <c r="AR47" s="219">
        <f t="shared" si="42"/>
        <v>0</v>
      </c>
      <c r="AS47" s="219"/>
      <c r="AT47" s="219">
        <f>AT15-AT31</f>
        <v>0</v>
      </c>
      <c r="AU47" s="219">
        <f>AU15-AU31</f>
        <v>0</v>
      </c>
    </row>
    <row r="48" spans="2:47" collapsed="1" x14ac:dyDescent="0.2">
      <c r="B48" s="127"/>
      <c r="C48" s="120">
        <f t="shared" ref="C48:V48" si="43">SUM(C38:C47)</f>
        <v>20763</v>
      </c>
      <c r="D48" s="120">
        <f t="shared" si="43"/>
        <v>17664</v>
      </c>
      <c r="E48" s="163">
        <f t="shared" si="43"/>
        <v>15327</v>
      </c>
      <c r="F48" s="120">
        <f t="shared" si="43"/>
        <v>12243</v>
      </c>
      <c r="G48" s="120">
        <f t="shared" si="43"/>
        <v>25132</v>
      </c>
      <c r="H48" s="120">
        <f t="shared" si="43"/>
        <v>24027</v>
      </c>
      <c r="I48" s="120">
        <f t="shared" si="43"/>
        <v>24683</v>
      </c>
      <c r="J48" s="120">
        <f t="shared" si="43"/>
        <v>24865</v>
      </c>
      <c r="K48" s="120">
        <f t="shared" si="43"/>
        <v>25175</v>
      </c>
      <c r="L48" s="120">
        <f t="shared" si="43"/>
        <v>24552</v>
      </c>
      <c r="M48" s="120">
        <f t="shared" si="43"/>
        <v>23046</v>
      </c>
      <c r="N48" s="120">
        <f t="shared" si="43"/>
        <v>22808</v>
      </c>
      <c r="O48" s="120">
        <f t="shared" si="43"/>
        <v>21233</v>
      </c>
      <c r="P48" s="120">
        <f t="shared" si="43"/>
        <v>22123</v>
      </c>
      <c r="Q48" s="120">
        <f t="shared" si="43"/>
        <v>19644</v>
      </c>
      <c r="R48" s="120">
        <f t="shared" si="43"/>
        <v>10179</v>
      </c>
      <c r="S48" s="120">
        <f t="shared" si="43"/>
        <v>2827</v>
      </c>
      <c r="T48" s="120">
        <f t="shared" si="43"/>
        <v>6843</v>
      </c>
      <c r="U48" s="120">
        <f t="shared" si="43"/>
        <v>7174</v>
      </c>
      <c r="V48" s="120">
        <f t="shared" si="43"/>
        <v>8039</v>
      </c>
      <c r="W48" s="120">
        <f t="shared" ref="W48:AB48" si="44">SUM(W38:W47)</f>
        <v>7651</v>
      </c>
      <c r="X48" s="120">
        <f t="shared" si="44"/>
        <v>8315</v>
      </c>
      <c r="Y48" s="120">
        <f t="shared" si="44"/>
        <v>8148</v>
      </c>
      <c r="Z48" s="120">
        <f t="shared" si="44"/>
        <v>3482</v>
      </c>
      <c r="AA48" s="120">
        <f t="shared" si="44"/>
        <v>3379</v>
      </c>
      <c r="AB48" s="120">
        <f t="shared" si="44"/>
        <v>2652</v>
      </c>
      <c r="AC48" s="120">
        <f t="shared" ref="AC48:AK48" si="45">SUM(AC38:AC47)</f>
        <v>4078</v>
      </c>
      <c r="AD48" s="120">
        <f t="shared" si="45"/>
        <v>4816</v>
      </c>
      <c r="AE48" s="120">
        <f t="shared" si="45"/>
        <v>4469</v>
      </c>
      <c r="AF48" s="120">
        <f t="shared" si="45"/>
        <v>4695</v>
      </c>
      <c r="AG48" s="120">
        <f t="shared" si="45"/>
        <v>2467</v>
      </c>
      <c r="AH48" s="120">
        <f t="shared" si="45"/>
        <v>3185</v>
      </c>
      <c r="AI48" s="120">
        <f t="shared" si="45"/>
        <v>2892</v>
      </c>
      <c r="AJ48" s="120">
        <f>SUM(AJ38:AJ47)</f>
        <v>3578</v>
      </c>
      <c r="AK48" s="120">
        <f t="shared" si="45"/>
        <v>4504</v>
      </c>
      <c r="AL48" s="120">
        <f t="shared" ref="AL48:AS48" si="46">SUM(AL38:AL47)</f>
        <v>9197</v>
      </c>
      <c r="AM48" s="120">
        <f t="shared" si="46"/>
        <v>7676</v>
      </c>
      <c r="AN48" s="120">
        <f t="shared" si="46"/>
        <v>5747</v>
      </c>
      <c r="AO48" s="120">
        <f t="shared" si="46"/>
        <v>4928</v>
      </c>
      <c r="AP48" s="120">
        <f t="shared" si="46"/>
        <v>4980</v>
      </c>
      <c r="AQ48" s="120">
        <f t="shared" si="46"/>
        <v>3976</v>
      </c>
      <c r="AR48" s="120">
        <f t="shared" si="46"/>
        <v>3898</v>
      </c>
      <c r="AS48" s="120">
        <f t="shared" si="46"/>
        <v>3819</v>
      </c>
      <c r="AT48" s="120">
        <f>SUM(AT38:AT47)</f>
        <v>3154</v>
      </c>
      <c r="AU48" s="120">
        <f>SUM(AU38:AU47)</f>
        <v>3683</v>
      </c>
    </row>
    <row r="49" spans="2:47" x14ac:dyDescent="0.2">
      <c r="B49" s="130" t="s">
        <v>432</v>
      </c>
      <c r="C49" s="118">
        <f t="shared" ref="C49:N49" si="47">+C17-C33</f>
        <v>29210</v>
      </c>
      <c r="D49" s="118">
        <f t="shared" si="47"/>
        <v>17664</v>
      </c>
      <c r="E49" s="161">
        <f t="shared" si="47"/>
        <v>15327</v>
      </c>
      <c r="F49" s="118">
        <f t="shared" si="47"/>
        <v>134784</v>
      </c>
      <c r="G49" s="118">
        <f t="shared" si="47"/>
        <v>11761</v>
      </c>
      <c r="H49" s="118">
        <f t="shared" si="47"/>
        <v>10656</v>
      </c>
      <c r="I49" s="118">
        <f t="shared" si="47"/>
        <v>11312</v>
      </c>
      <c r="J49" s="118">
        <f t="shared" si="47"/>
        <v>11494</v>
      </c>
      <c r="K49" s="118">
        <f t="shared" si="47"/>
        <v>11804</v>
      </c>
      <c r="L49" s="118">
        <f t="shared" si="47"/>
        <v>11181</v>
      </c>
      <c r="M49" s="118">
        <f t="shared" si="47"/>
        <v>9675</v>
      </c>
      <c r="N49" s="118">
        <f t="shared" si="47"/>
        <v>9437</v>
      </c>
      <c r="O49" s="118">
        <v>7749</v>
      </c>
      <c r="P49" s="118">
        <v>7153</v>
      </c>
      <c r="Q49" s="118">
        <v>4641</v>
      </c>
      <c r="R49" s="118">
        <v>907</v>
      </c>
      <c r="S49" s="118">
        <f t="shared" ref="S49:V50" si="48">+S17-S33</f>
        <v>920</v>
      </c>
      <c r="T49" s="118">
        <f t="shared" si="48"/>
        <v>1020</v>
      </c>
      <c r="U49" s="118">
        <f t="shared" si="48"/>
        <v>1394</v>
      </c>
      <c r="V49" s="118">
        <f t="shared" si="48"/>
        <v>1636</v>
      </c>
      <c r="W49" s="118">
        <v>1446</v>
      </c>
      <c r="X49" s="118">
        <v>2102</v>
      </c>
      <c r="Y49" s="118">
        <v>1484</v>
      </c>
      <c r="Z49" s="118">
        <v>2178</v>
      </c>
      <c r="AA49" s="118">
        <v>2074</v>
      </c>
      <c r="AB49" s="118">
        <v>1348</v>
      </c>
      <c r="AC49" s="118">
        <f t="shared" ref="AC49:AE50" si="49">AC17-AC33</f>
        <v>2774</v>
      </c>
      <c r="AD49" s="118">
        <f t="shared" si="49"/>
        <v>3511</v>
      </c>
      <c r="AE49" s="118">
        <f t="shared" si="49"/>
        <v>3165</v>
      </c>
      <c r="AF49" s="118">
        <f t="shared" ref="AF49:AK50" si="50">AF17-AF33</f>
        <v>3390</v>
      </c>
      <c r="AG49" s="118">
        <f t="shared" si="50"/>
        <v>1162</v>
      </c>
      <c r="AH49" s="118">
        <f t="shared" si="50"/>
        <v>1881</v>
      </c>
      <c r="AI49" s="118">
        <f t="shared" si="50"/>
        <v>1431</v>
      </c>
      <c r="AJ49" s="118">
        <f>AJ17-AJ33</f>
        <v>2117</v>
      </c>
      <c r="AK49" s="118">
        <f t="shared" si="50"/>
        <v>3042</v>
      </c>
      <c r="AL49" s="118">
        <f t="shared" ref="AL49:AR50" si="51">AL17-AL33</f>
        <v>7736</v>
      </c>
      <c r="AM49" s="118">
        <f t="shared" si="51"/>
        <v>6216</v>
      </c>
      <c r="AN49" s="118">
        <f t="shared" si="51"/>
        <v>4286</v>
      </c>
      <c r="AO49" s="118">
        <f t="shared" si="51"/>
        <v>3916</v>
      </c>
      <c r="AP49" s="118">
        <f t="shared" si="51"/>
        <v>3967</v>
      </c>
      <c r="AQ49" s="118">
        <f t="shared" si="51"/>
        <v>2964</v>
      </c>
      <c r="AR49" s="118">
        <f t="shared" si="51"/>
        <v>2886</v>
      </c>
      <c r="AS49" s="118">
        <v>3222</v>
      </c>
      <c r="AT49" s="118">
        <f>AT17-AT33</f>
        <v>2557</v>
      </c>
      <c r="AU49" s="118">
        <f>AU17-AU33</f>
        <v>3016</v>
      </c>
    </row>
    <row r="50" spans="2:47" x14ac:dyDescent="0.2">
      <c r="B50" s="130" t="s">
        <v>433</v>
      </c>
      <c r="C50" s="118">
        <f t="shared" ref="C50:N50" si="52">+C18-C34</f>
        <v>0</v>
      </c>
      <c r="D50" s="118">
        <f t="shared" si="52"/>
        <v>0</v>
      </c>
      <c r="E50" s="161">
        <f t="shared" si="52"/>
        <v>0</v>
      </c>
      <c r="F50" s="118">
        <f t="shared" si="52"/>
        <v>13371</v>
      </c>
      <c r="G50" s="118">
        <f t="shared" si="52"/>
        <v>13371</v>
      </c>
      <c r="H50" s="118">
        <f t="shared" si="52"/>
        <v>13371</v>
      </c>
      <c r="I50" s="118">
        <f t="shared" si="52"/>
        <v>13371</v>
      </c>
      <c r="J50" s="118">
        <f t="shared" si="52"/>
        <v>13371</v>
      </c>
      <c r="K50" s="118">
        <f t="shared" si="52"/>
        <v>13371</v>
      </c>
      <c r="L50" s="118">
        <f t="shared" si="52"/>
        <v>13371</v>
      </c>
      <c r="M50" s="118">
        <f t="shared" si="52"/>
        <v>13371</v>
      </c>
      <c r="N50" s="118">
        <f t="shared" si="52"/>
        <v>13371</v>
      </c>
      <c r="O50" s="118">
        <v>13371</v>
      </c>
      <c r="P50" s="118">
        <v>13371</v>
      </c>
      <c r="Q50" s="118">
        <v>15004</v>
      </c>
      <c r="R50" s="118">
        <v>9272</v>
      </c>
      <c r="S50" s="118">
        <f t="shared" si="48"/>
        <v>1907</v>
      </c>
      <c r="T50" s="118">
        <f t="shared" si="48"/>
        <v>5823</v>
      </c>
      <c r="U50" s="118">
        <f t="shared" si="48"/>
        <v>5780</v>
      </c>
      <c r="V50" s="118">
        <f t="shared" si="48"/>
        <v>6406</v>
      </c>
      <c r="W50" s="118">
        <v>6205</v>
      </c>
      <c r="X50" s="118">
        <v>6213</v>
      </c>
      <c r="Y50" s="118">
        <v>6664</v>
      </c>
      <c r="Z50" s="118">
        <v>1304</v>
      </c>
      <c r="AA50" s="118">
        <v>1305</v>
      </c>
      <c r="AB50" s="118">
        <v>1304</v>
      </c>
      <c r="AC50" s="118">
        <f t="shared" si="49"/>
        <v>1304</v>
      </c>
      <c r="AD50" s="118">
        <f t="shared" si="49"/>
        <v>1305</v>
      </c>
      <c r="AE50" s="118">
        <f t="shared" si="49"/>
        <v>1304</v>
      </c>
      <c r="AF50" s="118">
        <f t="shared" si="50"/>
        <v>1305</v>
      </c>
      <c r="AG50" s="118">
        <f t="shared" si="50"/>
        <v>1305</v>
      </c>
      <c r="AH50" s="118">
        <f t="shared" si="50"/>
        <v>1304</v>
      </c>
      <c r="AI50" s="118">
        <f t="shared" si="50"/>
        <v>1461</v>
      </c>
      <c r="AJ50" s="118">
        <f>AJ18-AJ34</f>
        <v>430</v>
      </c>
      <c r="AK50" s="118">
        <f t="shared" si="50"/>
        <v>1462</v>
      </c>
      <c r="AL50" s="118">
        <f t="shared" si="51"/>
        <v>1461</v>
      </c>
      <c r="AM50" s="118">
        <f t="shared" si="51"/>
        <v>1460</v>
      </c>
      <c r="AN50" s="118">
        <f t="shared" si="51"/>
        <v>1461</v>
      </c>
      <c r="AO50" s="118">
        <f t="shared" si="51"/>
        <v>1012</v>
      </c>
      <c r="AP50" s="118">
        <f t="shared" si="51"/>
        <v>1013</v>
      </c>
      <c r="AQ50" s="118">
        <f t="shared" si="51"/>
        <v>1012</v>
      </c>
      <c r="AR50" s="118">
        <f t="shared" si="51"/>
        <v>1012</v>
      </c>
      <c r="AS50" s="118">
        <v>597</v>
      </c>
      <c r="AT50" s="118">
        <f>AT18-AT34</f>
        <v>597</v>
      </c>
      <c r="AU50" s="118">
        <f>AU18-AU34</f>
        <v>667</v>
      </c>
    </row>
    <row r="51" spans="2:47" x14ac:dyDescent="0.2">
      <c r="B51" s="127"/>
      <c r="C51" s="120">
        <f t="shared" ref="C51:K51" si="53">SUM(C49:C50)</f>
        <v>29210</v>
      </c>
      <c r="D51" s="120">
        <f t="shared" si="53"/>
        <v>17664</v>
      </c>
      <c r="E51" s="163">
        <f t="shared" si="53"/>
        <v>15327</v>
      </c>
      <c r="F51" s="120">
        <f t="shared" si="53"/>
        <v>148155</v>
      </c>
      <c r="G51" s="120">
        <f t="shared" si="53"/>
        <v>25132</v>
      </c>
      <c r="H51" s="120">
        <f t="shared" si="53"/>
        <v>24027</v>
      </c>
      <c r="I51" s="120">
        <f t="shared" si="53"/>
        <v>24683</v>
      </c>
      <c r="J51" s="120">
        <f t="shared" si="53"/>
        <v>24865</v>
      </c>
      <c r="K51" s="120">
        <f t="shared" si="53"/>
        <v>25175</v>
      </c>
      <c r="L51" s="120">
        <f t="shared" ref="L51:AA51" si="54">SUM(L49:L50)</f>
        <v>24552</v>
      </c>
      <c r="M51" s="120">
        <f t="shared" si="54"/>
        <v>23046</v>
      </c>
      <c r="N51" s="120">
        <f t="shared" si="54"/>
        <v>22808</v>
      </c>
      <c r="O51" s="120">
        <f t="shared" si="54"/>
        <v>21120</v>
      </c>
      <c r="P51" s="120">
        <f t="shared" si="54"/>
        <v>20524</v>
      </c>
      <c r="Q51" s="120">
        <f t="shared" si="54"/>
        <v>19645</v>
      </c>
      <c r="R51" s="120">
        <f t="shared" si="54"/>
        <v>10179</v>
      </c>
      <c r="S51" s="120">
        <f t="shared" si="54"/>
        <v>2827</v>
      </c>
      <c r="T51" s="120">
        <f t="shared" si="54"/>
        <v>6843</v>
      </c>
      <c r="U51" s="120">
        <f t="shared" si="54"/>
        <v>7174</v>
      </c>
      <c r="V51" s="120">
        <f t="shared" si="54"/>
        <v>8042</v>
      </c>
      <c r="W51" s="120">
        <f t="shared" si="54"/>
        <v>7651</v>
      </c>
      <c r="X51" s="120">
        <f t="shared" si="54"/>
        <v>8315</v>
      </c>
      <c r="Y51" s="120">
        <f t="shared" si="54"/>
        <v>8148</v>
      </c>
      <c r="Z51" s="120">
        <f t="shared" si="54"/>
        <v>3482</v>
      </c>
      <c r="AA51" s="120">
        <f t="shared" si="54"/>
        <v>3379</v>
      </c>
      <c r="AB51" s="120">
        <f t="shared" ref="AB51:AK51" si="55">SUM(AB49:AB50)</f>
        <v>2652</v>
      </c>
      <c r="AC51" s="120">
        <f t="shared" si="55"/>
        <v>4078</v>
      </c>
      <c r="AD51" s="120">
        <f t="shared" si="55"/>
        <v>4816</v>
      </c>
      <c r="AE51" s="120">
        <f t="shared" si="55"/>
        <v>4469</v>
      </c>
      <c r="AF51" s="120">
        <f t="shared" si="55"/>
        <v>4695</v>
      </c>
      <c r="AG51" s="120">
        <f t="shared" si="55"/>
        <v>2467</v>
      </c>
      <c r="AH51" s="120">
        <f t="shared" si="55"/>
        <v>3185</v>
      </c>
      <c r="AI51" s="120">
        <f t="shared" si="55"/>
        <v>2892</v>
      </c>
      <c r="AJ51" s="120">
        <f>SUM(AJ49:AJ50)</f>
        <v>2547</v>
      </c>
      <c r="AK51" s="120">
        <f t="shared" si="55"/>
        <v>4504</v>
      </c>
      <c r="AL51" s="120">
        <f t="shared" ref="AL51:AS51" si="56">SUM(AL49:AL50)</f>
        <v>9197</v>
      </c>
      <c r="AM51" s="120">
        <f t="shared" si="56"/>
        <v>7676</v>
      </c>
      <c r="AN51" s="120">
        <f t="shared" si="56"/>
        <v>5747</v>
      </c>
      <c r="AO51" s="120">
        <f t="shared" si="56"/>
        <v>4928</v>
      </c>
      <c r="AP51" s="120">
        <f t="shared" si="56"/>
        <v>4980</v>
      </c>
      <c r="AQ51" s="120">
        <f t="shared" si="56"/>
        <v>3976</v>
      </c>
      <c r="AR51" s="120">
        <f t="shared" si="56"/>
        <v>3898</v>
      </c>
      <c r="AS51" s="120">
        <f t="shared" si="56"/>
        <v>3819</v>
      </c>
      <c r="AT51" s="120">
        <f>SUM(AT49:AT50)</f>
        <v>3154</v>
      </c>
      <c r="AU51" s="120">
        <f>SUM(AU49:AU50)</f>
        <v>3683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9">
    <pageSetUpPr autoPageBreaks="0"/>
  </sheetPr>
  <dimension ref="A1:AU202"/>
  <sheetViews>
    <sheetView showGridLines="0" workbookViewId="0">
      <pane xSplit="2" ySplit="5" topLeftCell="AG6" activePane="bottomRight" state="frozen"/>
      <selection activeCell="X1" sqref="X1"/>
      <selection pane="topRight" activeCell="X1" sqref="X1"/>
      <selection pane="bottomLeft" activeCell="X1" sqref="X1"/>
      <selection pane="bottomRight" activeCell="AU5" sqref="AU5"/>
    </sheetView>
  </sheetViews>
  <sheetFormatPr defaultColWidth="9.28515625" defaultRowHeight="14.25" outlineLevelRow="1" x14ac:dyDescent="0.2"/>
  <cols>
    <col min="1" max="1" width="1.42578125" style="25" customWidth="1"/>
    <col min="2" max="2" width="37.7109375" style="25" customWidth="1"/>
    <col min="3" max="22" width="10.7109375" style="25" customWidth="1"/>
    <col min="23" max="16384" width="9.28515625" style="25"/>
  </cols>
  <sheetData>
    <row r="1" spans="2:47" s="556" customFormat="1" x14ac:dyDescent="0.2">
      <c r="C1" s="557"/>
      <c r="D1" s="557"/>
      <c r="E1" s="557"/>
      <c r="F1" s="557"/>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row>
    <row r="2" spans="2:47" s="556" customFormat="1" ht="12.75" customHeight="1" x14ac:dyDescent="0.2">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row>
    <row r="3" spans="2:47" ht="12.75" customHeight="1" x14ac:dyDescent="0.2">
      <c r="W3" s="354"/>
      <c r="X3" s="354"/>
      <c r="Y3" s="354"/>
      <c r="Z3" s="354"/>
      <c r="AA3" s="354"/>
      <c r="AB3" s="354"/>
      <c r="AC3" s="354"/>
      <c r="AD3" s="354"/>
      <c r="AE3" s="354"/>
      <c r="AF3" s="354"/>
      <c r="AG3" s="354"/>
      <c r="AH3" s="556"/>
      <c r="AI3" s="556"/>
      <c r="AJ3" s="556"/>
      <c r="AK3" s="556"/>
      <c r="AL3" s="556"/>
      <c r="AM3" s="556"/>
      <c r="AN3" s="556"/>
      <c r="AO3" s="556"/>
      <c r="AP3" s="556"/>
      <c r="AQ3" s="556"/>
      <c r="AR3" s="556"/>
      <c r="AS3" s="556"/>
      <c r="AT3" s="556"/>
    </row>
    <row r="4" spans="2:47" ht="12.75" customHeight="1" x14ac:dyDescent="0.2">
      <c r="C4" s="1250" t="s">
        <v>1435</v>
      </c>
      <c r="D4" s="1251"/>
      <c r="E4" s="225" t="s">
        <v>1439</v>
      </c>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row>
    <row r="5" spans="2:47" ht="15.75" customHeight="1" x14ac:dyDescent="0.2">
      <c r="B5" s="152" t="s">
        <v>391</v>
      </c>
      <c r="C5" s="247" t="s">
        <v>622</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ht="14.25" customHeight="1" x14ac:dyDescent="0.2">
      <c r="B6" s="130" t="s">
        <v>434</v>
      </c>
      <c r="C6" s="118">
        <v>6610</v>
      </c>
      <c r="D6" s="118">
        <v>3600</v>
      </c>
      <c r="E6" s="161">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row>
    <row r="7" spans="2:47" ht="13.5" customHeight="1" x14ac:dyDescent="0.2">
      <c r="B7" s="130" t="s">
        <v>435</v>
      </c>
      <c r="C7" s="118">
        <v>3679</v>
      </c>
      <c r="D7" s="118">
        <v>2218</v>
      </c>
      <c r="E7" s="161">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row>
    <row r="8" spans="2:47" x14ac:dyDescent="0.2">
      <c r="B8" s="130" t="s">
        <v>437</v>
      </c>
      <c r="C8" s="118">
        <v>1819</v>
      </c>
      <c r="D8" s="118">
        <v>2029</v>
      </c>
      <c r="E8" s="161">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row>
    <row r="9" spans="2:47" x14ac:dyDescent="0.2">
      <c r="B9" s="130" t="s">
        <v>438</v>
      </c>
      <c r="C9" s="118">
        <v>4393</v>
      </c>
      <c r="D9" s="118">
        <v>4782</v>
      </c>
      <c r="E9" s="161">
        <v>3196</v>
      </c>
      <c r="F9" s="118">
        <v>3324</v>
      </c>
      <c r="G9" s="118">
        <v>3452</v>
      </c>
      <c r="H9" s="118">
        <v>3516</v>
      </c>
      <c r="I9" s="118">
        <v>3148</v>
      </c>
      <c r="J9" s="118">
        <v>3246</v>
      </c>
      <c r="K9" s="118">
        <v>6034</v>
      </c>
      <c r="L9" s="118">
        <v>4995</v>
      </c>
      <c r="M9" s="118">
        <v>3719</v>
      </c>
      <c r="N9" s="118">
        <v>2620</v>
      </c>
      <c r="O9" s="118">
        <v>553</v>
      </c>
      <c r="P9" s="118">
        <v>423</v>
      </c>
      <c r="Q9" s="118">
        <v>514</v>
      </c>
      <c r="R9" s="118">
        <v>361</v>
      </c>
      <c r="S9" s="262">
        <v>39037</v>
      </c>
      <c r="T9" s="118">
        <v>11815</v>
      </c>
      <c r="U9" s="118">
        <v>1583</v>
      </c>
      <c r="V9" s="118">
        <v>766</v>
      </c>
      <c r="W9" s="118">
        <v>11333</v>
      </c>
      <c r="X9" s="118">
        <v>11511</v>
      </c>
      <c r="Y9" s="118">
        <v>11783</v>
      </c>
      <c r="Z9" s="262">
        <v>103534</v>
      </c>
      <c r="AA9" s="118">
        <v>105685</v>
      </c>
      <c r="AB9" s="118">
        <v>56225</v>
      </c>
      <c r="AC9" s="118">
        <v>56229</v>
      </c>
      <c r="AD9" s="118">
        <v>46603</v>
      </c>
      <c r="AE9" s="118">
        <v>33323</v>
      </c>
      <c r="AF9" s="118">
        <v>28935</v>
      </c>
      <c r="AG9" s="262">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row>
    <row r="10" spans="2:47" x14ac:dyDescent="0.2">
      <c r="B10" s="130" t="s">
        <v>224</v>
      </c>
      <c r="C10" s="118">
        <v>1683</v>
      </c>
      <c r="D10" s="118">
        <v>1719</v>
      </c>
      <c r="E10" s="161">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row>
    <row r="11" spans="2:47" s="249" customFormat="1" hidden="1" outlineLevel="1" x14ac:dyDescent="0.2">
      <c r="B11" s="250" t="s">
        <v>439</v>
      </c>
      <c r="C11" s="219">
        <v>4133</v>
      </c>
      <c r="D11" s="219">
        <v>0</v>
      </c>
      <c r="E11" s="220">
        <v>0</v>
      </c>
      <c r="F11" s="219">
        <v>0</v>
      </c>
      <c r="G11" s="219">
        <v>5283</v>
      </c>
      <c r="H11" s="219">
        <v>8488</v>
      </c>
      <c r="I11" s="219">
        <v>4465</v>
      </c>
      <c r="J11" s="219">
        <v>1767</v>
      </c>
      <c r="K11" s="219">
        <v>5494</v>
      </c>
      <c r="L11" s="219">
        <v>1764</v>
      </c>
      <c r="M11" s="219">
        <v>1793</v>
      </c>
      <c r="N11" s="219">
        <v>1599</v>
      </c>
      <c r="O11" s="219">
        <v>2837</v>
      </c>
      <c r="P11" s="219">
        <v>2134</v>
      </c>
      <c r="Q11" s="219">
        <v>15509</v>
      </c>
      <c r="R11" s="219">
        <v>2313</v>
      </c>
      <c r="S11" s="219">
        <v>0</v>
      </c>
      <c r="T11" s="219">
        <v>0</v>
      </c>
      <c r="U11" s="219">
        <v>0</v>
      </c>
      <c r="V11" s="219">
        <v>0</v>
      </c>
      <c r="W11" s="219">
        <v>0</v>
      </c>
      <c r="X11" s="219">
        <v>0</v>
      </c>
      <c r="Y11" s="219">
        <v>0</v>
      </c>
      <c r="Z11" s="219">
        <v>0</v>
      </c>
      <c r="AA11" s="219">
        <v>0</v>
      </c>
      <c r="AB11" s="219">
        <v>0</v>
      </c>
      <c r="AC11" s="219">
        <v>0</v>
      </c>
      <c r="AD11" s="219">
        <v>0</v>
      </c>
      <c r="AE11" s="219">
        <v>0</v>
      </c>
      <c r="AF11" s="219">
        <v>0</v>
      </c>
      <c r="AG11" s="219">
        <v>0</v>
      </c>
      <c r="AH11" s="219">
        <v>0</v>
      </c>
      <c r="AI11" s="219"/>
      <c r="AJ11" s="219">
        <v>0</v>
      </c>
      <c r="AK11" s="219">
        <v>0</v>
      </c>
      <c r="AL11" s="219">
        <v>0</v>
      </c>
      <c r="AM11" s="219">
        <v>0</v>
      </c>
      <c r="AN11" s="219">
        <v>0</v>
      </c>
      <c r="AO11" s="219">
        <v>0</v>
      </c>
      <c r="AP11" s="219">
        <v>0</v>
      </c>
      <c r="AQ11" s="219">
        <v>0</v>
      </c>
      <c r="AR11" s="219">
        <v>0</v>
      </c>
      <c r="AS11" s="219"/>
      <c r="AT11" s="219">
        <v>0</v>
      </c>
      <c r="AU11" s="219">
        <v>0</v>
      </c>
    </row>
    <row r="12" spans="2:47" s="249" customFormat="1" hidden="1" outlineLevel="1" x14ac:dyDescent="0.2">
      <c r="B12" s="250" t="s">
        <v>744</v>
      </c>
      <c r="C12" s="219">
        <v>0</v>
      </c>
      <c r="D12" s="219">
        <v>0</v>
      </c>
      <c r="E12" s="220">
        <v>0</v>
      </c>
      <c r="F12" s="219">
        <v>0</v>
      </c>
      <c r="G12" s="219">
        <v>0</v>
      </c>
      <c r="H12" s="219">
        <v>0</v>
      </c>
      <c r="I12" s="219">
        <v>0</v>
      </c>
      <c r="J12" s="219">
        <v>0</v>
      </c>
      <c r="K12" s="219">
        <v>0</v>
      </c>
      <c r="L12" s="219">
        <v>0</v>
      </c>
      <c r="M12" s="219">
        <v>0</v>
      </c>
      <c r="N12" s="219">
        <v>0</v>
      </c>
      <c r="O12" s="219">
        <v>0</v>
      </c>
      <c r="P12" s="219">
        <v>0</v>
      </c>
      <c r="Q12" s="219">
        <v>11764</v>
      </c>
      <c r="R12" s="219">
        <v>12228</v>
      </c>
      <c r="S12" s="219">
        <v>12162</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c r="AJ12" s="219">
        <v>0</v>
      </c>
      <c r="AK12" s="219">
        <v>0</v>
      </c>
      <c r="AL12" s="219">
        <v>0</v>
      </c>
      <c r="AM12" s="219">
        <v>0</v>
      </c>
      <c r="AN12" s="219">
        <v>0</v>
      </c>
      <c r="AO12" s="219">
        <v>0</v>
      </c>
      <c r="AP12" s="219">
        <v>0</v>
      </c>
      <c r="AQ12" s="219">
        <v>0</v>
      </c>
      <c r="AR12" s="219">
        <v>0</v>
      </c>
      <c r="AS12" s="219"/>
      <c r="AT12" s="219">
        <v>0</v>
      </c>
      <c r="AU12" s="219">
        <v>0</v>
      </c>
    </row>
    <row r="13" spans="2:47" s="249" customFormat="1" hidden="1" outlineLevel="1" x14ac:dyDescent="0.2">
      <c r="B13" s="250" t="s">
        <v>436</v>
      </c>
      <c r="C13" s="219">
        <v>1572</v>
      </c>
      <c r="D13" s="219">
        <v>1639</v>
      </c>
      <c r="E13" s="220">
        <v>1713</v>
      </c>
      <c r="F13" s="219">
        <v>1679</v>
      </c>
      <c r="G13" s="219">
        <v>1657</v>
      </c>
      <c r="H13" s="219">
        <v>1647</v>
      </c>
      <c r="I13" s="219">
        <v>1719</v>
      </c>
      <c r="J13" s="219">
        <v>1774</v>
      </c>
      <c r="K13" s="219">
        <v>1371</v>
      </c>
      <c r="L13" s="219">
        <v>1366</v>
      </c>
      <c r="M13" s="219">
        <v>1551</v>
      </c>
      <c r="N13" s="219">
        <v>1025</v>
      </c>
      <c r="O13" s="219">
        <v>912</v>
      </c>
      <c r="P13" s="219">
        <v>897</v>
      </c>
      <c r="Q13" s="219">
        <v>872</v>
      </c>
      <c r="R13" s="219">
        <v>871</v>
      </c>
      <c r="S13" s="219">
        <v>0</v>
      </c>
      <c r="T13" s="219">
        <v>0</v>
      </c>
      <c r="U13" s="219">
        <v>0</v>
      </c>
      <c r="V13" s="219">
        <v>0</v>
      </c>
      <c r="W13" s="219">
        <v>0</v>
      </c>
      <c r="X13" s="219">
        <v>0</v>
      </c>
      <c r="Y13" s="219">
        <v>0</v>
      </c>
      <c r="Z13" s="219">
        <v>0</v>
      </c>
      <c r="AA13" s="219">
        <v>0</v>
      </c>
      <c r="AB13" s="219">
        <v>0</v>
      </c>
      <c r="AC13" s="219">
        <v>0</v>
      </c>
      <c r="AD13" s="219">
        <v>0</v>
      </c>
      <c r="AE13" s="219">
        <v>0</v>
      </c>
      <c r="AF13" s="219">
        <v>0</v>
      </c>
      <c r="AG13" s="219">
        <v>0</v>
      </c>
      <c r="AH13" s="219">
        <v>0</v>
      </c>
      <c r="AI13" s="219"/>
      <c r="AJ13" s="219">
        <v>0</v>
      </c>
      <c r="AK13" s="219">
        <v>0</v>
      </c>
      <c r="AL13" s="219">
        <v>0</v>
      </c>
      <c r="AM13" s="219">
        <v>0</v>
      </c>
      <c r="AN13" s="219">
        <v>0</v>
      </c>
      <c r="AO13" s="219">
        <v>0</v>
      </c>
      <c r="AP13" s="219">
        <v>0</v>
      </c>
      <c r="AQ13" s="219">
        <v>0</v>
      </c>
      <c r="AR13" s="219">
        <v>0</v>
      </c>
      <c r="AS13" s="219"/>
      <c r="AT13" s="219">
        <v>0</v>
      </c>
      <c r="AU13" s="219">
        <v>0</v>
      </c>
    </row>
    <row r="14" spans="2:47" ht="14.25" customHeight="1" collapsed="1" x14ac:dyDescent="0.2">
      <c r="B14" s="127" t="s">
        <v>22</v>
      </c>
      <c r="C14" s="120">
        <f t="shared" ref="C14:AA14" si="0">SUM(C6:C13)</f>
        <v>23889</v>
      </c>
      <c r="D14" s="120">
        <f t="shared" si="0"/>
        <v>15987</v>
      </c>
      <c r="E14" s="163">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row>
    <row r="15" spans="2:47" ht="14.25" customHeight="1" x14ac:dyDescent="0.2">
      <c r="B15" s="130" t="s">
        <v>432</v>
      </c>
      <c r="C15" s="118"/>
      <c r="D15" s="118"/>
      <c r="E15" s="161"/>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row>
    <row r="16" spans="2:47" ht="14.25" customHeight="1" x14ac:dyDescent="0.2">
      <c r="B16" s="130" t="s">
        <v>433</v>
      </c>
      <c r="C16" s="118"/>
      <c r="D16" s="118"/>
      <c r="E16" s="161"/>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row>
    <row r="17" spans="1:47" ht="14.25" customHeight="1" x14ac:dyDescent="0.2">
      <c r="B17" s="127" t="s">
        <v>22</v>
      </c>
      <c r="C17" s="120"/>
      <c r="D17" s="120"/>
      <c r="E17" s="163"/>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row>
    <row r="18" spans="1:47" x14ac:dyDescent="0.2">
      <c r="B18" s="556"/>
      <c r="C18" s="601">
        <f>+C14-BalSheet!R12</f>
        <v>0</v>
      </c>
      <c r="D18" s="601">
        <f>+D14-BalSheet!S12</f>
        <v>0</v>
      </c>
      <c r="E18" s="601">
        <f>+E14-BalSheet!T12</f>
        <v>0</v>
      </c>
      <c r="F18" s="601">
        <f>+F14-BalSheet!U12</f>
        <v>0</v>
      </c>
      <c r="G18" s="601">
        <f>+G14-BalSheet!V12</f>
        <v>0</v>
      </c>
      <c r="H18" s="601">
        <f>+H14-BalSheet!W12</f>
        <v>0</v>
      </c>
      <c r="I18" s="601">
        <f>+I14-BalSheet!X12</f>
        <v>0</v>
      </c>
      <c r="J18" s="601">
        <f>+J14-BalSheet!Y12</f>
        <v>0</v>
      </c>
      <c r="K18" s="601">
        <f>+K14-BalSheet!Z12</f>
        <v>0</v>
      </c>
      <c r="L18" s="601">
        <f>+L14-BalSheet!AA12</f>
        <v>0</v>
      </c>
      <c r="M18" s="601">
        <f>+M14-BalSheet!AB12</f>
        <v>0</v>
      </c>
      <c r="N18" s="601">
        <f>+N14-BalSheet!AC12</f>
        <v>0</v>
      </c>
      <c r="O18" s="601">
        <f>+O14-BalSheet!AD12</f>
        <v>2837</v>
      </c>
      <c r="P18" s="601">
        <f>+BalSheet!AE12+BalSheet!AE24-P14</f>
        <v>-2837</v>
      </c>
      <c r="Q18" s="601">
        <f>+BalSheet!AF12+BalSheet!AF24-Q14</f>
        <v>-2837</v>
      </c>
      <c r="R18" s="601">
        <f>+BalSheet!AG12+BalSheet!AG24-R14</f>
        <v>-2837</v>
      </c>
      <c r="S18" s="155">
        <f>+BalSheet!AH12+BalSheet!AH24-S14</f>
        <v>0</v>
      </c>
      <c r="T18" s="155">
        <f>+BalSheet!AI12+BalSheet!AI24-T14</f>
        <v>0</v>
      </c>
      <c r="U18" s="155">
        <f>+BalSheet!AJ12+BalSheet!AJ24-U14</f>
        <v>0</v>
      </c>
      <c r="V18" s="155">
        <f>+BalSheet!AK12+BalSheet!AK24-V14</f>
        <v>0</v>
      </c>
      <c r="W18" s="155">
        <f>+BalSheet!AL12+BalSheet!AL24-W14</f>
        <v>0</v>
      </c>
      <c r="X18" s="155">
        <v>0</v>
      </c>
      <c r="Y18" s="155">
        <v>1</v>
      </c>
      <c r="Z18" s="155">
        <v>0</v>
      </c>
      <c r="AA18" s="155">
        <v>0</v>
      </c>
      <c r="AB18" s="155">
        <f>+BalSheet!AQ12+BalSheet!AQ24-AB14</f>
        <v>-1</v>
      </c>
      <c r="AC18" s="155">
        <f>+BalSheet!AR12+BalSheet!AR24-AC14</f>
        <v>0</v>
      </c>
      <c r="AD18" s="155">
        <f>+BalSheet!AS12+BalSheet!AS24-AD14</f>
        <v>0</v>
      </c>
      <c r="AE18" s="155">
        <f>+BalSheet!AT12+BalSheet!AT24-AE14</f>
        <v>0</v>
      </c>
      <c r="AF18" s="155">
        <f>+BalSheet!AU12+BalSheet!AU24-AF14</f>
        <v>0</v>
      </c>
      <c r="AG18" s="155">
        <f>+BalSheet!AV12+BalSheet!AV24-AG14</f>
        <v>0</v>
      </c>
      <c r="AH18" s="155">
        <f>+BalSheet!AW12+BalSheet!AW24-AH14</f>
        <v>0</v>
      </c>
      <c r="AI18" s="155">
        <f>+BalSheet!AX12+BalSheet!AX24-AI14</f>
        <v>0</v>
      </c>
      <c r="AJ18" s="155">
        <v>0</v>
      </c>
      <c r="AK18" s="155">
        <f>+BalSheet!AZ12+BalSheet!AZ24-AK14</f>
        <v>0</v>
      </c>
      <c r="AL18" s="155">
        <f>+BalSheet!BA12+BalSheet!BA24-AL14</f>
        <v>0</v>
      </c>
      <c r="AM18" s="155">
        <f>+BalSheet!BB12+BalSheet!BB24-AM14</f>
        <v>0</v>
      </c>
      <c r="AN18" s="155">
        <f>+BalSheet!BC12+BalSheet!BC24-AN14</f>
        <v>0</v>
      </c>
      <c r="AO18" s="155">
        <f>+BalSheet!BD12+BalSheet!BD24-AO14</f>
        <v>0</v>
      </c>
      <c r="AP18" s="155">
        <f>+BalSheet!BE12+BalSheet!BE24-AP14</f>
        <v>0</v>
      </c>
      <c r="AQ18" s="155">
        <f>+BalSheet!BF12+BalSheet!BF24-AQ14</f>
        <v>0</v>
      </c>
      <c r="AR18" s="155">
        <f>+BalSheet!BG12+BalSheet!BG24-AR14</f>
        <v>0</v>
      </c>
      <c r="AS18" s="155">
        <f>+BalSheet!BH12+BalSheet!BH24-AS14</f>
        <v>0</v>
      </c>
      <c r="AT18" s="155">
        <f>+BalSheet!BI12+BalSheet!BI24-AT14</f>
        <v>0</v>
      </c>
      <c r="AU18" s="155">
        <f>+BalSheet!BJ12+BalSheet!BJ24-AU14</f>
        <v>0</v>
      </c>
    </row>
    <row r="19" spans="1:47" x14ac:dyDescent="0.2">
      <c r="B19" s="152" t="s">
        <v>397</v>
      </c>
      <c r="C19" s="115" t="str">
        <f t="shared" ref="C19:X19" si="6">C5</f>
        <v>2013</v>
      </c>
      <c r="D19" s="115" t="str">
        <f t="shared" si="6"/>
        <v>1Q14</v>
      </c>
      <c r="E19" s="115" t="str">
        <f t="shared" si="6"/>
        <v>2Q14</v>
      </c>
      <c r="F19" s="115" t="str">
        <f t="shared" si="6"/>
        <v>3Q14</v>
      </c>
      <c r="G19" s="115" t="str">
        <f t="shared" si="6"/>
        <v>4Q14</v>
      </c>
      <c r="H19" s="115" t="str">
        <f t="shared" si="6"/>
        <v>1Q15</v>
      </c>
      <c r="I19" s="115" t="str">
        <f t="shared" si="6"/>
        <v>2Q15</v>
      </c>
      <c r="J19" s="115" t="str">
        <f t="shared" si="6"/>
        <v>3Q15</v>
      </c>
      <c r="K19" s="115" t="str">
        <f t="shared" si="6"/>
        <v>4Q15</v>
      </c>
      <c r="L19" s="115" t="str">
        <f t="shared" si="6"/>
        <v>1Q16</v>
      </c>
      <c r="M19" s="115" t="str">
        <f t="shared" si="6"/>
        <v>2Q16</v>
      </c>
      <c r="N19" s="115" t="str">
        <f t="shared" si="6"/>
        <v>3Q16</v>
      </c>
      <c r="O19" s="115" t="str">
        <f t="shared" si="6"/>
        <v>4Q16</v>
      </c>
      <c r="P19" s="115" t="str">
        <f t="shared" si="6"/>
        <v>1Q17</v>
      </c>
      <c r="Q19" s="115" t="str">
        <f t="shared" si="6"/>
        <v>2Q17</v>
      </c>
      <c r="R19" s="115" t="str">
        <f t="shared" si="6"/>
        <v>3Q17</v>
      </c>
      <c r="S19" s="115" t="str">
        <f t="shared" si="6"/>
        <v>4Q17</v>
      </c>
      <c r="T19" s="115" t="str">
        <f t="shared" si="6"/>
        <v>1Q18</v>
      </c>
      <c r="U19" s="115" t="str">
        <f t="shared" si="6"/>
        <v>2Q18</v>
      </c>
      <c r="V19" s="115" t="str">
        <f t="shared" si="6"/>
        <v>3Q18</v>
      </c>
      <c r="W19" s="115" t="str">
        <f t="shared" si="6"/>
        <v>4Q18</v>
      </c>
      <c r="X19" s="115" t="str">
        <f t="shared" si="6"/>
        <v>1Q19</v>
      </c>
      <c r="Y19" s="115" t="str">
        <f t="shared" ref="Y19:AD19" si="7">Y5</f>
        <v>2Q19</v>
      </c>
      <c r="Z19" s="115" t="str">
        <f t="shared" si="7"/>
        <v>3Q19</v>
      </c>
      <c r="AA19" s="115" t="str">
        <f t="shared" si="7"/>
        <v>4Q19</v>
      </c>
      <c r="AB19" s="115" t="str">
        <f t="shared" si="7"/>
        <v>1Q20</v>
      </c>
      <c r="AC19" s="115" t="str">
        <f t="shared" si="7"/>
        <v>2Q20</v>
      </c>
      <c r="AD19" s="115" t="str">
        <f t="shared" si="7"/>
        <v>3Q20</v>
      </c>
      <c r="AE19" s="115" t="str">
        <f t="shared" ref="AE19:AK19" si="8">AE5</f>
        <v>4Q20</v>
      </c>
      <c r="AF19" s="115" t="str">
        <f t="shared" si="8"/>
        <v>1Q21</v>
      </c>
      <c r="AG19" s="115" t="str">
        <f t="shared" si="8"/>
        <v>2Q21</v>
      </c>
      <c r="AH19" s="115" t="str">
        <f t="shared" si="8"/>
        <v>3Q21</v>
      </c>
      <c r="AI19" s="115" t="str">
        <f t="shared" si="8"/>
        <v>4Q21</v>
      </c>
      <c r="AJ19" s="115" t="str">
        <f t="shared" si="8"/>
        <v>1Q22</v>
      </c>
      <c r="AK19" s="115" t="str">
        <f t="shared" si="8"/>
        <v>2Q22</v>
      </c>
      <c r="AL19" s="115" t="str">
        <f t="shared" ref="AL19:AS19" si="9">AL5</f>
        <v>3Q22</v>
      </c>
      <c r="AM19" s="115" t="str">
        <f t="shared" si="9"/>
        <v>4Q22</v>
      </c>
      <c r="AN19" s="115" t="str">
        <f t="shared" si="9"/>
        <v>1Q23</v>
      </c>
      <c r="AO19" s="115" t="str">
        <f t="shared" si="9"/>
        <v>2Q23</v>
      </c>
      <c r="AP19" s="115" t="str">
        <f t="shared" si="9"/>
        <v>3Q23</v>
      </c>
      <c r="AQ19" s="115" t="str">
        <f t="shared" si="9"/>
        <v>4Q23</v>
      </c>
      <c r="AR19" s="115" t="str">
        <f t="shared" si="9"/>
        <v>1Q24</v>
      </c>
      <c r="AS19" s="115" t="str">
        <f t="shared" si="9"/>
        <v>2Q24</v>
      </c>
      <c r="AT19" s="115" t="str">
        <f>AT5</f>
        <v>3Q24</v>
      </c>
      <c r="AU19" s="115" t="str">
        <f>AU5</f>
        <v>4Q24</v>
      </c>
    </row>
    <row r="20" spans="1:47" x14ac:dyDescent="0.2">
      <c r="B20" s="130" t="s">
        <v>434</v>
      </c>
      <c r="C20" s="118">
        <v>5282</v>
      </c>
      <c r="D20" s="118">
        <v>2461</v>
      </c>
      <c r="E20" s="161">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row>
    <row r="21" spans="1:47" x14ac:dyDescent="0.2">
      <c r="B21" s="130" t="s">
        <v>435</v>
      </c>
      <c r="C21" s="118">
        <v>3027</v>
      </c>
      <c r="D21" s="118">
        <v>1354</v>
      </c>
      <c r="E21" s="161">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row>
    <row r="22" spans="1:47" x14ac:dyDescent="0.2">
      <c r="B22" s="130" t="s">
        <v>438</v>
      </c>
      <c r="C22" s="118">
        <v>644</v>
      </c>
      <c r="D22" s="118">
        <v>1282</v>
      </c>
      <c r="E22" s="161">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2">
        <v>33264</v>
      </c>
      <c r="T22" s="118">
        <v>9483</v>
      </c>
      <c r="U22" s="118">
        <v>1121</v>
      </c>
      <c r="V22" s="118">
        <v>258</v>
      </c>
      <c r="W22" s="118">
        <v>9993</v>
      </c>
      <c r="X22" s="118">
        <v>10094</v>
      </c>
      <c r="Y22" s="118">
        <v>10298</v>
      </c>
      <c r="Z22" s="262">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row>
    <row r="23" spans="1:47" x14ac:dyDescent="0.2">
      <c r="A23" s="25">
        <v>0</v>
      </c>
      <c r="B23" s="130" t="s">
        <v>744</v>
      </c>
      <c r="C23" s="118">
        <v>0</v>
      </c>
      <c r="D23" s="118">
        <v>0</v>
      </c>
      <c r="E23" s="161">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row>
    <row r="24" spans="1:47" s="249" customFormat="1" x14ac:dyDescent="0.2">
      <c r="B24" s="130" t="s">
        <v>437</v>
      </c>
      <c r="C24" s="118">
        <v>385</v>
      </c>
      <c r="D24" s="118">
        <v>576</v>
      </c>
      <c r="E24" s="161">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row>
    <row r="25" spans="1:47" x14ac:dyDescent="0.2">
      <c r="B25" s="130" t="s">
        <v>224</v>
      </c>
      <c r="C25" s="118">
        <v>467</v>
      </c>
      <c r="D25" s="118">
        <v>252</v>
      </c>
      <c r="E25" s="161">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row>
    <row r="26" spans="1:47" s="249" customFormat="1" hidden="1" outlineLevel="1" x14ac:dyDescent="0.2">
      <c r="B26" s="250" t="s">
        <v>436</v>
      </c>
      <c r="C26" s="219">
        <v>278</v>
      </c>
      <c r="D26" s="219">
        <v>278</v>
      </c>
      <c r="E26" s="220">
        <v>278</v>
      </c>
      <c r="F26" s="219">
        <v>278</v>
      </c>
      <c r="G26" s="219">
        <v>278</v>
      </c>
      <c r="H26" s="219">
        <v>491</v>
      </c>
      <c r="I26" s="219">
        <v>491</v>
      </c>
      <c r="J26" s="219">
        <v>491</v>
      </c>
      <c r="K26" s="219">
        <v>486</v>
      </c>
      <c r="L26" s="219">
        <v>486</v>
      </c>
      <c r="M26" s="219">
        <v>486</v>
      </c>
      <c r="N26" s="219">
        <v>0</v>
      </c>
      <c r="O26" s="219">
        <v>0</v>
      </c>
      <c r="P26" s="219">
        <v>1</v>
      </c>
      <c r="Q26" s="219">
        <v>0</v>
      </c>
      <c r="R26" s="219">
        <v>0</v>
      </c>
      <c r="S26" s="219">
        <v>0</v>
      </c>
      <c r="T26" s="219">
        <v>0</v>
      </c>
      <c r="U26" s="219">
        <v>0</v>
      </c>
      <c r="V26" s="219">
        <v>0</v>
      </c>
      <c r="W26" s="219">
        <v>0</v>
      </c>
      <c r="X26" s="219">
        <v>0</v>
      </c>
      <c r="Y26" s="219"/>
      <c r="Z26" s="219">
        <v>0</v>
      </c>
      <c r="AA26" s="219">
        <v>0</v>
      </c>
      <c r="AB26" s="219">
        <v>0</v>
      </c>
      <c r="AC26" s="219">
        <v>0</v>
      </c>
      <c r="AD26" s="219">
        <v>0</v>
      </c>
      <c r="AE26" s="219">
        <v>0</v>
      </c>
      <c r="AF26" s="219">
        <v>0</v>
      </c>
      <c r="AG26" s="219">
        <v>0</v>
      </c>
      <c r="AH26" s="219">
        <v>0</v>
      </c>
      <c r="AI26" s="219"/>
      <c r="AJ26" s="219">
        <v>0</v>
      </c>
      <c r="AK26" s="219">
        <v>0</v>
      </c>
      <c r="AL26" s="219">
        <v>0</v>
      </c>
      <c r="AM26" s="219">
        <v>0</v>
      </c>
      <c r="AN26" s="219">
        <v>0</v>
      </c>
      <c r="AO26" s="219">
        <v>0</v>
      </c>
      <c r="AP26" s="219">
        <v>0</v>
      </c>
      <c r="AQ26" s="219">
        <v>0</v>
      </c>
      <c r="AR26" s="219">
        <v>0</v>
      </c>
      <c r="AS26" s="219"/>
      <c r="AT26" s="219">
        <v>0</v>
      </c>
      <c r="AU26" s="219">
        <v>0</v>
      </c>
    </row>
    <row r="27" spans="1:47" s="249" customFormat="1" hidden="1" outlineLevel="1" x14ac:dyDescent="0.2">
      <c r="B27" s="250" t="s">
        <v>439</v>
      </c>
      <c r="C27" s="219">
        <v>0</v>
      </c>
      <c r="D27" s="219">
        <v>0</v>
      </c>
      <c r="E27" s="220">
        <v>0</v>
      </c>
      <c r="F27" s="219">
        <v>0</v>
      </c>
      <c r="G27" s="219">
        <v>1320</v>
      </c>
      <c r="H27" s="219">
        <v>4045</v>
      </c>
      <c r="I27" s="219">
        <v>0</v>
      </c>
      <c r="J27" s="219">
        <v>0</v>
      </c>
      <c r="K27" s="219">
        <v>2795</v>
      </c>
      <c r="L27" s="219">
        <v>52</v>
      </c>
      <c r="M27" s="219">
        <v>52</v>
      </c>
      <c r="N27" s="219">
        <v>0</v>
      </c>
      <c r="O27" s="219">
        <v>61</v>
      </c>
      <c r="P27" s="219">
        <v>61</v>
      </c>
      <c r="Q27" s="219">
        <v>12872</v>
      </c>
      <c r="R27" s="219">
        <v>61</v>
      </c>
      <c r="S27" s="219">
        <v>0</v>
      </c>
      <c r="T27" s="219">
        <v>0</v>
      </c>
      <c r="U27" s="219">
        <v>0</v>
      </c>
      <c r="V27" s="219">
        <v>0</v>
      </c>
      <c r="W27" s="219">
        <v>0</v>
      </c>
      <c r="X27" s="219">
        <v>0</v>
      </c>
      <c r="Y27" s="219"/>
      <c r="Z27" s="219">
        <v>0</v>
      </c>
      <c r="AA27" s="219">
        <v>0</v>
      </c>
      <c r="AB27" s="219">
        <v>0</v>
      </c>
      <c r="AC27" s="219">
        <v>0</v>
      </c>
      <c r="AD27" s="219">
        <v>0</v>
      </c>
      <c r="AE27" s="219">
        <v>0</v>
      </c>
      <c r="AF27" s="219">
        <v>0</v>
      </c>
      <c r="AG27" s="219">
        <v>0</v>
      </c>
      <c r="AH27" s="219">
        <v>0</v>
      </c>
      <c r="AI27" s="219"/>
      <c r="AJ27" s="219">
        <v>0</v>
      </c>
      <c r="AK27" s="219">
        <v>0</v>
      </c>
      <c r="AL27" s="219">
        <v>0</v>
      </c>
      <c r="AM27" s="219">
        <v>0</v>
      </c>
      <c r="AN27" s="219">
        <v>0</v>
      </c>
      <c r="AO27" s="219">
        <v>0</v>
      </c>
      <c r="AP27" s="219">
        <v>0</v>
      </c>
      <c r="AQ27" s="219">
        <v>0</v>
      </c>
      <c r="AR27" s="219">
        <v>0</v>
      </c>
      <c r="AS27" s="219"/>
      <c r="AT27" s="219">
        <v>0</v>
      </c>
      <c r="AU27" s="219">
        <v>0</v>
      </c>
    </row>
    <row r="28" spans="1:47" collapsed="1" x14ac:dyDescent="0.2">
      <c r="B28" s="127" t="s">
        <v>22</v>
      </c>
      <c r="C28" s="120">
        <f t="shared" ref="C28:AQ28" si="10">SUM(C20:C25)</f>
        <v>9805</v>
      </c>
      <c r="D28" s="120">
        <f t="shared" si="10"/>
        <v>5925</v>
      </c>
      <c r="E28" s="163">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SUM(AR20:AR25)</f>
        <v>4552</v>
      </c>
      <c r="AS28" s="120">
        <f>SUM(AS20:AS25)</f>
        <v>20950</v>
      </c>
      <c r="AT28" s="120">
        <f>SUM(AT20:AT25)</f>
        <v>6107</v>
      </c>
      <c r="AU28" s="120">
        <f>SUM(AU20:AU25)</f>
        <v>6115</v>
      </c>
    </row>
    <row r="29" spans="1:47" x14ac:dyDescent="0.2">
      <c r="B29" s="130" t="s">
        <v>432</v>
      </c>
      <c r="C29" s="118"/>
      <c r="D29" s="118"/>
      <c r="E29" s="161"/>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3014</v>
      </c>
      <c r="AT29" s="118">
        <v>3045</v>
      </c>
      <c r="AU29" s="118">
        <v>3014</v>
      </c>
    </row>
    <row r="30" spans="1:47" x14ac:dyDescent="0.2">
      <c r="B30" s="130" t="s">
        <v>433</v>
      </c>
      <c r="C30" s="118"/>
      <c r="D30" s="118"/>
      <c r="E30" s="161"/>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3101</v>
      </c>
      <c r="AT30" s="118">
        <v>3062</v>
      </c>
      <c r="AU30" s="118">
        <v>3101</v>
      </c>
    </row>
    <row r="31" spans="1:47" x14ac:dyDescent="0.2">
      <c r="B31" s="127" t="s">
        <v>22</v>
      </c>
      <c r="C31" s="120"/>
      <c r="D31" s="120"/>
      <c r="E31" s="163"/>
      <c r="F31" s="120"/>
      <c r="G31" s="120"/>
      <c r="H31" s="120"/>
      <c r="I31" s="120"/>
      <c r="J31" s="120"/>
      <c r="K31" s="120"/>
      <c r="L31" s="120"/>
      <c r="M31" s="120"/>
      <c r="N31" s="120"/>
      <c r="O31" s="120"/>
      <c r="P31" s="120"/>
      <c r="Q31" s="120"/>
      <c r="R31" s="120"/>
      <c r="S31" s="120"/>
      <c r="T31" s="120"/>
      <c r="U31" s="120"/>
      <c r="V31" s="120"/>
      <c r="W31" s="120">
        <f t="shared" ref="W31:AB31" si="11">SUM(W29:W30)</f>
        <v>16630</v>
      </c>
      <c r="X31" s="120">
        <f t="shared" si="11"/>
        <v>16864</v>
      </c>
      <c r="Y31" s="120">
        <f t="shared" si="11"/>
        <v>17177</v>
      </c>
      <c r="Z31" s="120">
        <f t="shared" si="11"/>
        <v>108928</v>
      </c>
      <c r="AA31" s="120">
        <f t="shared" si="11"/>
        <v>110709</v>
      </c>
      <c r="AB31" s="120">
        <f t="shared" si="11"/>
        <v>61587</v>
      </c>
      <c r="AC31" s="120">
        <f t="shared" ref="AC31:AJ31" si="12">SUM(AC29:AC30)</f>
        <v>61616</v>
      </c>
      <c r="AD31" s="120">
        <f t="shared" si="12"/>
        <v>54893</v>
      </c>
      <c r="AE31" s="120">
        <f t="shared" si="12"/>
        <v>38190</v>
      </c>
      <c r="AF31" s="120">
        <f t="shared" si="12"/>
        <v>33985</v>
      </c>
      <c r="AG31" s="120">
        <f t="shared" si="12"/>
        <v>37406</v>
      </c>
      <c r="AH31" s="120">
        <f t="shared" si="12"/>
        <v>36676</v>
      </c>
      <c r="AI31" s="120">
        <f t="shared" si="12"/>
        <v>36972</v>
      </c>
      <c r="AJ31" s="120">
        <f t="shared" si="12"/>
        <v>36972</v>
      </c>
      <c r="AK31" s="120">
        <f t="shared" ref="AK31:AP31" si="13">SUM(AK29:AK30)</f>
        <v>33570</v>
      </c>
      <c r="AL31" s="120">
        <f t="shared" si="13"/>
        <v>21846</v>
      </c>
      <c r="AM31" s="120">
        <f t="shared" si="13"/>
        <v>3699</v>
      </c>
      <c r="AN31" s="120">
        <f t="shared" si="13"/>
        <v>4237</v>
      </c>
      <c r="AO31" s="120">
        <f t="shared" si="13"/>
        <v>4613</v>
      </c>
      <c r="AP31" s="120">
        <f t="shared" si="13"/>
        <v>4363</v>
      </c>
      <c r="AQ31" s="120">
        <f>SUM(AQ29:AQ30)</f>
        <v>4248</v>
      </c>
      <c r="AR31" s="120">
        <f>SUM(AR29:AR30)</f>
        <v>4552</v>
      </c>
      <c r="AS31" s="120">
        <f>SUM(AS29:AS30)</f>
        <v>6115</v>
      </c>
      <c r="AT31" s="120">
        <f>SUM(AT29:AT30)</f>
        <v>6107</v>
      </c>
      <c r="AU31" s="120">
        <f>SUM(AU29:AU30)</f>
        <v>6115</v>
      </c>
    </row>
    <row r="33" spans="2:47" x14ac:dyDescent="0.2">
      <c r="B33" s="152" t="s">
        <v>401</v>
      </c>
      <c r="C33" s="115" t="str">
        <f t="shared" ref="C33:AI33" si="14">C19</f>
        <v>2013</v>
      </c>
      <c r="D33" s="115" t="str">
        <f t="shared" si="14"/>
        <v>1Q14</v>
      </c>
      <c r="E33" s="115" t="str">
        <f t="shared" si="14"/>
        <v>2Q14</v>
      </c>
      <c r="F33" s="115" t="str">
        <f t="shared" si="14"/>
        <v>3Q14</v>
      </c>
      <c r="G33" s="115" t="str">
        <f t="shared" si="14"/>
        <v>4Q14</v>
      </c>
      <c r="H33" s="115" t="str">
        <f t="shared" si="14"/>
        <v>1Q15</v>
      </c>
      <c r="I33" s="115" t="str">
        <f t="shared" si="14"/>
        <v>2Q15</v>
      </c>
      <c r="J33" s="115" t="str">
        <f t="shared" si="14"/>
        <v>3Q15</v>
      </c>
      <c r="K33" s="115" t="str">
        <f t="shared" si="14"/>
        <v>4Q15</v>
      </c>
      <c r="L33" s="115" t="str">
        <f t="shared" si="14"/>
        <v>1Q16</v>
      </c>
      <c r="M33" s="115" t="str">
        <f t="shared" si="14"/>
        <v>2Q16</v>
      </c>
      <c r="N33" s="115" t="str">
        <f t="shared" si="14"/>
        <v>3Q16</v>
      </c>
      <c r="O33" s="115" t="str">
        <f t="shared" si="14"/>
        <v>4Q16</v>
      </c>
      <c r="P33" s="115" t="str">
        <f t="shared" si="14"/>
        <v>1Q17</v>
      </c>
      <c r="Q33" s="115" t="str">
        <f t="shared" si="14"/>
        <v>2Q17</v>
      </c>
      <c r="R33" s="115" t="str">
        <f t="shared" si="14"/>
        <v>3Q17</v>
      </c>
      <c r="S33" s="115" t="str">
        <f t="shared" si="14"/>
        <v>4Q17</v>
      </c>
      <c r="T33" s="115" t="str">
        <f t="shared" si="14"/>
        <v>1Q18</v>
      </c>
      <c r="U33" s="115" t="str">
        <f t="shared" si="14"/>
        <v>2Q18</v>
      </c>
      <c r="V33" s="115" t="str">
        <f t="shared" si="14"/>
        <v>3Q18</v>
      </c>
      <c r="W33" s="115" t="str">
        <f t="shared" si="14"/>
        <v>4Q18</v>
      </c>
      <c r="X33" s="115" t="str">
        <f t="shared" si="14"/>
        <v>1Q19</v>
      </c>
      <c r="Y33" s="115" t="str">
        <f t="shared" si="14"/>
        <v>2Q19</v>
      </c>
      <c r="Z33" s="115" t="str">
        <f t="shared" si="14"/>
        <v>3Q19</v>
      </c>
      <c r="AA33" s="115" t="str">
        <f t="shared" si="14"/>
        <v>4Q19</v>
      </c>
      <c r="AB33" s="115" t="str">
        <f t="shared" si="14"/>
        <v>1Q20</v>
      </c>
      <c r="AC33" s="115" t="str">
        <f t="shared" si="14"/>
        <v>2Q20</v>
      </c>
      <c r="AD33" s="115" t="str">
        <f t="shared" si="14"/>
        <v>3Q20</v>
      </c>
      <c r="AE33" s="115" t="str">
        <f t="shared" si="14"/>
        <v>4Q20</v>
      </c>
      <c r="AF33" s="115" t="str">
        <f t="shared" si="14"/>
        <v>1Q21</v>
      </c>
      <c r="AG33" s="115" t="str">
        <f t="shared" si="14"/>
        <v>2Q21</v>
      </c>
      <c r="AH33" s="115" t="str">
        <f t="shared" si="14"/>
        <v>3Q21</v>
      </c>
      <c r="AI33" s="115" t="str">
        <f t="shared" si="14"/>
        <v>4Q21</v>
      </c>
      <c r="AJ33" s="115" t="s">
        <v>1188</v>
      </c>
      <c r="AK33" s="115" t="str">
        <f t="shared" ref="AK33:AQ33" si="15">AK19</f>
        <v>2Q22</v>
      </c>
      <c r="AL33" s="115" t="str">
        <f t="shared" si="15"/>
        <v>3Q22</v>
      </c>
      <c r="AM33" s="115" t="str">
        <f t="shared" si="15"/>
        <v>4Q22</v>
      </c>
      <c r="AN33" s="115" t="str">
        <f t="shared" si="15"/>
        <v>1Q23</v>
      </c>
      <c r="AO33" s="115" t="str">
        <f t="shared" si="15"/>
        <v>2Q23</v>
      </c>
      <c r="AP33" s="115" t="str">
        <f t="shared" si="15"/>
        <v>3Q23</v>
      </c>
      <c r="AQ33" s="115" t="str">
        <f t="shared" si="15"/>
        <v>4Q23</v>
      </c>
      <c r="AR33" s="115" t="str">
        <f>AR19</f>
        <v>1Q24</v>
      </c>
      <c r="AS33" s="115" t="str">
        <f>AS19</f>
        <v>2Q24</v>
      </c>
      <c r="AT33" s="115" t="str">
        <f>AT19</f>
        <v>3Q24</v>
      </c>
      <c r="AU33" s="115" t="str">
        <f>AU19</f>
        <v>4Q24</v>
      </c>
    </row>
    <row r="34" spans="2:47" x14ac:dyDescent="0.2">
      <c r="B34" s="130" t="s">
        <v>434</v>
      </c>
      <c r="C34" s="118">
        <f t="shared" ref="C34:V34" si="16">+C6-C20</f>
        <v>1328</v>
      </c>
      <c r="D34" s="118">
        <f t="shared" si="16"/>
        <v>1139</v>
      </c>
      <c r="E34" s="161">
        <f t="shared" si="16"/>
        <v>1619</v>
      </c>
      <c r="F34" s="118">
        <f t="shared" si="16"/>
        <v>1595</v>
      </c>
      <c r="G34" s="118">
        <f t="shared" si="16"/>
        <v>1594</v>
      </c>
      <c r="H34" s="118">
        <f t="shared" si="16"/>
        <v>1595</v>
      </c>
      <c r="I34" s="118">
        <f t="shared" si="16"/>
        <v>2415</v>
      </c>
      <c r="J34" s="118">
        <f t="shared" si="16"/>
        <v>2461</v>
      </c>
      <c r="K34" s="118">
        <f t="shared" si="16"/>
        <v>2951</v>
      </c>
      <c r="L34" s="118">
        <f t="shared" si="16"/>
        <v>3010</v>
      </c>
      <c r="M34" s="118">
        <f t="shared" si="16"/>
        <v>3050</v>
      </c>
      <c r="N34" s="118">
        <f t="shared" si="16"/>
        <v>3062</v>
      </c>
      <c r="O34" s="118">
        <f t="shared" si="16"/>
        <v>4687</v>
      </c>
      <c r="P34" s="118">
        <f t="shared" si="16"/>
        <v>4700</v>
      </c>
      <c r="Q34" s="118">
        <f t="shared" si="16"/>
        <v>4771</v>
      </c>
      <c r="R34" s="118">
        <f t="shared" si="16"/>
        <v>4714</v>
      </c>
      <c r="S34" s="118">
        <f t="shared" si="16"/>
        <v>4846</v>
      </c>
      <c r="T34" s="118">
        <f t="shared" si="16"/>
        <v>3297</v>
      </c>
      <c r="U34" s="118">
        <f t="shared" si="16"/>
        <v>3373</v>
      </c>
      <c r="V34" s="118">
        <f t="shared" si="16"/>
        <v>3313</v>
      </c>
      <c r="W34" s="118">
        <v>3413</v>
      </c>
      <c r="X34" s="118">
        <v>3421</v>
      </c>
      <c r="Y34" s="118">
        <v>3373</v>
      </c>
      <c r="Z34" s="118">
        <v>3386</v>
      </c>
      <c r="AA34" s="118">
        <v>3465</v>
      </c>
      <c r="AB34" s="118">
        <v>3424</v>
      </c>
      <c r="AC34" s="118">
        <f t="shared" ref="AC34:AQ34" si="17">+AC6-AC20</f>
        <v>3548</v>
      </c>
      <c r="AD34" s="118">
        <f t="shared" si="17"/>
        <v>3700</v>
      </c>
      <c r="AE34" s="118">
        <f t="shared" si="17"/>
        <v>3390</v>
      </c>
      <c r="AF34" s="118">
        <f t="shared" si="17"/>
        <v>3385</v>
      </c>
      <c r="AG34" s="118">
        <f t="shared" si="17"/>
        <v>3415</v>
      </c>
      <c r="AH34" s="118">
        <f t="shared" si="17"/>
        <v>3420</v>
      </c>
      <c r="AI34" s="118">
        <f t="shared" si="17"/>
        <v>3429</v>
      </c>
      <c r="AJ34" s="118">
        <f t="shared" si="17"/>
        <v>3258</v>
      </c>
      <c r="AK34" s="118">
        <f t="shared" si="17"/>
        <v>3188</v>
      </c>
      <c r="AL34" s="118">
        <f t="shared" si="17"/>
        <v>3166</v>
      </c>
      <c r="AM34" s="118">
        <f t="shared" si="17"/>
        <v>3029</v>
      </c>
      <c r="AN34" s="118">
        <f t="shared" si="17"/>
        <v>3041</v>
      </c>
      <c r="AO34" s="118">
        <f t="shared" si="17"/>
        <v>3056</v>
      </c>
      <c r="AP34" s="118">
        <f t="shared" si="17"/>
        <v>3068</v>
      </c>
      <c r="AQ34" s="118">
        <f t="shared" si="17"/>
        <v>3089</v>
      </c>
      <c r="AR34" s="118">
        <f>+AR6-AR20</f>
        <v>3024</v>
      </c>
      <c r="AS34" s="118">
        <f t="shared" ref="AS34" si="18">+AS6-AS20</f>
        <v>3004</v>
      </c>
      <c r="AT34" s="118">
        <v>2933</v>
      </c>
      <c r="AU34" s="118">
        <f t="shared" ref="AU34" si="19">+AU6-AU20</f>
        <v>3076</v>
      </c>
    </row>
    <row r="35" spans="2:47" x14ac:dyDescent="0.2">
      <c r="B35" s="130" t="s">
        <v>435</v>
      </c>
      <c r="C35" s="118">
        <f t="shared" ref="C35:V35" si="20">+C7-C21</f>
        <v>652</v>
      </c>
      <c r="D35" s="118">
        <f t="shared" si="20"/>
        <v>864</v>
      </c>
      <c r="E35" s="161">
        <f t="shared" si="20"/>
        <v>733</v>
      </c>
      <c r="F35" s="118">
        <f t="shared" si="20"/>
        <v>625</v>
      </c>
      <c r="G35" s="118">
        <f t="shared" si="20"/>
        <v>423</v>
      </c>
      <c r="H35" s="118">
        <f t="shared" si="20"/>
        <v>471</v>
      </c>
      <c r="I35" s="118">
        <f t="shared" si="20"/>
        <v>1189</v>
      </c>
      <c r="J35" s="118">
        <f t="shared" si="20"/>
        <v>1212</v>
      </c>
      <c r="K35" s="118">
        <f t="shared" si="20"/>
        <v>0</v>
      </c>
      <c r="L35" s="118">
        <f t="shared" si="20"/>
        <v>298</v>
      </c>
      <c r="M35" s="118">
        <f t="shared" si="20"/>
        <v>1357</v>
      </c>
      <c r="N35" s="118">
        <f t="shared" si="20"/>
        <v>1270</v>
      </c>
      <c r="O35" s="118">
        <f t="shared" si="20"/>
        <v>0</v>
      </c>
      <c r="P35" s="118">
        <f t="shared" si="20"/>
        <v>366</v>
      </c>
      <c r="Q35" s="118">
        <f t="shared" si="20"/>
        <v>887</v>
      </c>
      <c r="R35" s="118">
        <f t="shared" si="20"/>
        <v>903</v>
      </c>
      <c r="S35" s="118">
        <f t="shared" si="20"/>
        <v>0</v>
      </c>
      <c r="T35" s="118">
        <f t="shared" si="20"/>
        <v>206</v>
      </c>
      <c r="U35" s="118">
        <f t="shared" si="20"/>
        <v>1491</v>
      </c>
      <c r="V35" s="118">
        <f t="shared" si="20"/>
        <v>1528</v>
      </c>
      <c r="W35" s="118">
        <v>40</v>
      </c>
      <c r="X35" s="118">
        <v>51</v>
      </c>
      <c r="Y35" s="118">
        <v>67</v>
      </c>
      <c r="Z35" s="118">
        <v>101</v>
      </c>
      <c r="AA35" s="118">
        <v>80</v>
      </c>
      <c r="AB35" s="118">
        <v>107</v>
      </c>
      <c r="AC35" s="118">
        <f t="shared" ref="AC35:AQ35" si="21">+AC7-AC21</f>
        <v>100</v>
      </c>
      <c r="AD35" s="118">
        <f t="shared" si="21"/>
        <v>127</v>
      </c>
      <c r="AE35" s="118">
        <f t="shared" si="21"/>
        <v>68</v>
      </c>
      <c r="AF35" s="118">
        <f t="shared" si="21"/>
        <v>83</v>
      </c>
      <c r="AG35" s="118">
        <f t="shared" si="21"/>
        <v>91</v>
      </c>
      <c r="AH35" s="118">
        <f t="shared" si="21"/>
        <v>158</v>
      </c>
      <c r="AI35" s="118">
        <f t="shared" si="21"/>
        <v>232</v>
      </c>
      <c r="AJ35" s="118">
        <f t="shared" si="21"/>
        <v>461</v>
      </c>
      <c r="AK35" s="118">
        <f t="shared" si="21"/>
        <v>356</v>
      </c>
      <c r="AL35" s="118">
        <f t="shared" si="21"/>
        <v>342</v>
      </c>
      <c r="AM35" s="118">
        <f t="shared" si="21"/>
        <v>375</v>
      </c>
      <c r="AN35" s="118">
        <f t="shared" si="21"/>
        <v>545</v>
      </c>
      <c r="AO35" s="118">
        <f t="shared" si="21"/>
        <v>787</v>
      </c>
      <c r="AP35" s="118">
        <f t="shared" si="21"/>
        <v>505</v>
      </c>
      <c r="AQ35" s="118">
        <f t="shared" si="21"/>
        <v>556</v>
      </c>
      <c r="AR35" s="118">
        <f>+AR7-AR21</f>
        <v>681</v>
      </c>
      <c r="AS35" s="118">
        <f t="shared" ref="AS35" si="22">+AS7-AS21</f>
        <v>422</v>
      </c>
      <c r="AT35" s="118">
        <v>583</v>
      </c>
      <c r="AU35" s="118">
        <f t="shared" ref="AU35" si="23">+AU7-AU21</f>
        <v>513</v>
      </c>
    </row>
    <row r="36" spans="2:47" x14ac:dyDescent="0.2">
      <c r="B36" s="130" t="s">
        <v>437</v>
      </c>
      <c r="C36" s="118">
        <f t="shared" ref="C36:AP36" si="24">C8-C24</f>
        <v>1434</v>
      </c>
      <c r="D36" s="118">
        <f t="shared" si="24"/>
        <v>1453</v>
      </c>
      <c r="E36" s="118">
        <f t="shared" si="24"/>
        <v>683</v>
      </c>
      <c r="F36" s="118">
        <f t="shared" si="24"/>
        <v>635</v>
      </c>
      <c r="G36" s="118">
        <f t="shared" si="24"/>
        <v>658</v>
      </c>
      <c r="H36" s="118">
        <f t="shared" si="24"/>
        <v>601</v>
      </c>
      <c r="I36" s="118">
        <f t="shared" si="24"/>
        <v>48</v>
      </c>
      <c r="J36" s="118">
        <f t="shared" si="24"/>
        <v>75</v>
      </c>
      <c r="K36" s="118">
        <f t="shared" si="24"/>
        <v>0</v>
      </c>
      <c r="L36" s="118">
        <f t="shared" si="24"/>
        <v>0</v>
      </c>
      <c r="M36" s="118">
        <f t="shared" si="24"/>
        <v>0</v>
      </c>
      <c r="N36" s="118">
        <f t="shared" si="24"/>
        <v>0</v>
      </c>
      <c r="O36" s="118">
        <f t="shared" si="24"/>
        <v>0</v>
      </c>
      <c r="P36" s="118">
        <f t="shared" si="24"/>
        <v>28</v>
      </c>
      <c r="Q36" s="118">
        <f t="shared" si="24"/>
        <v>53</v>
      </c>
      <c r="R36" s="118">
        <f t="shared" si="24"/>
        <v>71</v>
      </c>
      <c r="S36" s="118">
        <f t="shared" si="24"/>
        <v>4</v>
      </c>
      <c r="T36" s="118">
        <f t="shared" si="24"/>
        <v>27</v>
      </c>
      <c r="U36" s="118">
        <f t="shared" si="24"/>
        <v>63</v>
      </c>
      <c r="V36" s="118">
        <f t="shared" si="24"/>
        <v>82</v>
      </c>
      <c r="W36" s="118">
        <f t="shared" si="24"/>
        <v>0</v>
      </c>
      <c r="X36" s="118">
        <f t="shared" si="24"/>
        <v>0</v>
      </c>
      <c r="Y36" s="118">
        <f t="shared" si="24"/>
        <v>55</v>
      </c>
      <c r="Z36" s="118">
        <f t="shared" si="24"/>
        <v>102</v>
      </c>
      <c r="AA36" s="118">
        <f t="shared" si="24"/>
        <v>0</v>
      </c>
      <c r="AB36" s="118">
        <f t="shared" si="24"/>
        <v>0</v>
      </c>
      <c r="AC36" s="118">
        <f t="shared" si="24"/>
        <v>0</v>
      </c>
      <c r="AD36" s="118">
        <f t="shared" si="24"/>
        <v>0</v>
      </c>
      <c r="AE36" s="118">
        <f t="shared" si="24"/>
        <v>41</v>
      </c>
      <c r="AF36" s="118">
        <f t="shared" si="24"/>
        <v>38</v>
      </c>
      <c r="AG36" s="118">
        <f t="shared" si="24"/>
        <v>115</v>
      </c>
      <c r="AH36" s="118">
        <f t="shared" si="24"/>
        <v>78</v>
      </c>
      <c r="AI36" s="118">
        <f t="shared" si="24"/>
        <v>104</v>
      </c>
      <c r="AJ36" s="118">
        <f t="shared" si="24"/>
        <v>104</v>
      </c>
      <c r="AK36" s="118">
        <f t="shared" si="24"/>
        <v>78</v>
      </c>
      <c r="AL36" s="118">
        <f t="shared" si="24"/>
        <v>78</v>
      </c>
      <c r="AM36" s="118">
        <f t="shared" si="24"/>
        <v>78</v>
      </c>
      <c r="AN36" s="118">
        <f t="shared" si="24"/>
        <v>-17</v>
      </c>
      <c r="AO36" s="118">
        <f t="shared" si="24"/>
        <v>-17</v>
      </c>
      <c r="AP36" s="118">
        <f t="shared" si="24"/>
        <v>-17</v>
      </c>
      <c r="AQ36" s="118">
        <f>AQ8-AQ24</f>
        <v>10</v>
      </c>
      <c r="AR36" s="118">
        <f>AR8-AR24</f>
        <v>9</v>
      </c>
      <c r="AS36" s="118">
        <f t="shared" ref="AS36" si="25">AS8-AS24</f>
        <v>9</v>
      </c>
      <c r="AT36" s="118">
        <v>9</v>
      </c>
      <c r="AU36" s="118">
        <f t="shared" ref="AU36" si="26">AU8-AU24</f>
        <v>9</v>
      </c>
    </row>
    <row r="37" spans="2:47" x14ac:dyDescent="0.2">
      <c r="B37" s="130" t="s">
        <v>438</v>
      </c>
      <c r="C37" s="118">
        <f t="shared" ref="C37:V37" si="27">+C9-C22</f>
        <v>3749</v>
      </c>
      <c r="D37" s="118">
        <f t="shared" si="27"/>
        <v>3500</v>
      </c>
      <c r="E37" s="161">
        <f t="shared" si="27"/>
        <v>1858</v>
      </c>
      <c r="F37" s="118">
        <f t="shared" si="27"/>
        <v>1946</v>
      </c>
      <c r="G37" s="118">
        <f t="shared" si="27"/>
        <v>2035</v>
      </c>
      <c r="H37" s="118">
        <f t="shared" si="27"/>
        <v>2094</v>
      </c>
      <c r="I37" s="118">
        <f t="shared" si="27"/>
        <v>1708</v>
      </c>
      <c r="J37" s="118">
        <f t="shared" si="27"/>
        <v>1788</v>
      </c>
      <c r="K37" s="118">
        <f t="shared" si="27"/>
        <v>5280</v>
      </c>
      <c r="L37" s="118">
        <f t="shared" si="27"/>
        <v>4404</v>
      </c>
      <c r="M37" s="118">
        <f t="shared" si="27"/>
        <v>3339</v>
      </c>
      <c r="N37" s="118">
        <f t="shared" si="27"/>
        <v>2212</v>
      </c>
      <c r="O37" s="118">
        <f t="shared" si="27"/>
        <v>409</v>
      </c>
      <c r="P37" s="118">
        <f t="shared" si="27"/>
        <v>252</v>
      </c>
      <c r="Q37" s="118">
        <f t="shared" si="27"/>
        <v>307</v>
      </c>
      <c r="R37" s="118">
        <f t="shared" si="27"/>
        <v>244</v>
      </c>
      <c r="S37" s="262">
        <f t="shared" si="27"/>
        <v>5773</v>
      </c>
      <c r="T37" s="118">
        <f t="shared" si="27"/>
        <v>2332</v>
      </c>
      <c r="U37" s="118">
        <f t="shared" si="27"/>
        <v>462</v>
      </c>
      <c r="V37" s="118">
        <f t="shared" si="27"/>
        <v>508</v>
      </c>
      <c r="W37" s="118">
        <v>1340</v>
      </c>
      <c r="X37" s="118">
        <v>1417</v>
      </c>
      <c r="Y37" s="118">
        <v>1485</v>
      </c>
      <c r="Z37" s="118">
        <v>1612</v>
      </c>
      <c r="AA37" s="118">
        <v>1692</v>
      </c>
      <c r="AB37" s="118">
        <v>1684</v>
      </c>
      <c r="AC37" s="118">
        <f t="shared" ref="AC37:AQ37" si="28">+AC9-AC22</f>
        <v>1761</v>
      </c>
      <c r="AD37" s="118">
        <f t="shared" si="28"/>
        <v>1718</v>
      </c>
      <c r="AE37" s="118">
        <f t="shared" si="28"/>
        <v>1795</v>
      </c>
      <c r="AF37" s="118">
        <f t="shared" si="28"/>
        <v>1866</v>
      </c>
      <c r="AG37" s="262">
        <f t="shared" si="28"/>
        <v>11653</v>
      </c>
      <c r="AH37" s="118">
        <f t="shared" si="28"/>
        <v>11646</v>
      </c>
      <c r="AI37" s="118">
        <f t="shared" si="28"/>
        <v>11793</v>
      </c>
      <c r="AJ37" s="118">
        <f t="shared" si="28"/>
        <v>11933</v>
      </c>
      <c r="AK37" s="118">
        <f t="shared" si="28"/>
        <v>12113</v>
      </c>
      <c r="AL37" s="118">
        <f t="shared" si="28"/>
        <v>20772</v>
      </c>
      <c r="AM37" s="118">
        <f t="shared" si="28"/>
        <v>36747</v>
      </c>
      <c r="AN37" s="118">
        <f t="shared" si="28"/>
        <v>36133</v>
      </c>
      <c r="AO37" s="118">
        <f t="shared" si="28"/>
        <v>31430</v>
      </c>
      <c r="AP37" s="118">
        <f t="shared" si="28"/>
        <v>27633</v>
      </c>
      <c r="AQ37" s="118">
        <f t="shared" si="28"/>
        <v>23115</v>
      </c>
      <c r="AR37" s="118">
        <f>+AR9-AR22</f>
        <v>20224</v>
      </c>
      <c r="AS37" s="118">
        <f t="shared" ref="AS37" si="29">+AS9-AS22</f>
        <v>3711</v>
      </c>
      <c r="AT37" s="118">
        <v>1087</v>
      </c>
      <c r="AU37" s="118">
        <f t="shared" ref="AU37" si="30">+AU9-AU22</f>
        <v>611</v>
      </c>
    </row>
    <row r="38" spans="2:47" x14ac:dyDescent="0.2">
      <c r="B38" s="130" t="s">
        <v>744</v>
      </c>
      <c r="C38" s="118">
        <f t="shared" ref="C38:V38" si="31">+C12-C23</f>
        <v>0</v>
      </c>
      <c r="D38" s="118">
        <f t="shared" si="31"/>
        <v>0</v>
      </c>
      <c r="E38" s="118">
        <f t="shared" si="31"/>
        <v>0</v>
      </c>
      <c r="F38" s="118">
        <f t="shared" si="31"/>
        <v>0</v>
      </c>
      <c r="G38" s="118">
        <f t="shared" si="31"/>
        <v>0</v>
      </c>
      <c r="H38" s="118">
        <f t="shared" si="31"/>
        <v>0</v>
      </c>
      <c r="I38" s="118">
        <f t="shared" si="31"/>
        <v>0</v>
      </c>
      <c r="J38" s="118">
        <f t="shared" si="31"/>
        <v>0</v>
      </c>
      <c r="K38" s="118">
        <f t="shared" si="31"/>
        <v>0</v>
      </c>
      <c r="L38" s="118">
        <f t="shared" si="31"/>
        <v>0</v>
      </c>
      <c r="M38" s="118">
        <f t="shared" si="31"/>
        <v>0</v>
      </c>
      <c r="N38" s="118">
        <f t="shared" si="31"/>
        <v>0</v>
      </c>
      <c r="O38" s="118">
        <f t="shared" si="31"/>
        <v>0</v>
      </c>
      <c r="P38" s="118">
        <f t="shared" si="31"/>
        <v>0</v>
      </c>
      <c r="Q38" s="118">
        <f t="shared" si="31"/>
        <v>11764</v>
      </c>
      <c r="R38" s="118">
        <f t="shared" si="31"/>
        <v>12228</v>
      </c>
      <c r="S38" s="118">
        <f t="shared" si="31"/>
        <v>12162</v>
      </c>
      <c r="T38" s="118">
        <f t="shared" si="31"/>
        <v>-219</v>
      </c>
      <c r="U38" s="118">
        <f t="shared" si="31"/>
        <v>-181</v>
      </c>
      <c r="V38" s="118">
        <f t="shared" si="31"/>
        <v>-194</v>
      </c>
      <c r="W38" s="118">
        <v>0</v>
      </c>
      <c r="X38" s="118">
        <v>0</v>
      </c>
      <c r="Y38" s="118">
        <v>0</v>
      </c>
      <c r="Z38" s="118">
        <v>0</v>
      </c>
      <c r="AA38" s="118">
        <v>0</v>
      </c>
      <c r="AB38" s="118">
        <v>0</v>
      </c>
      <c r="AC38" s="118">
        <f t="shared" ref="AC38:AQ38" si="32">+AC12-AC23</f>
        <v>0</v>
      </c>
      <c r="AD38" s="118">
        <f t="shared" si="32"/>
        <v>0</v>
      </c>
      <c r="AE38" s="118">
        <f t="shared" si="32"/>
        <v>0</v>
      </c>
      <c r="AF38" s="118">
        <f t="shared" si="32"/>
        <v>0</v>
      </c>
      <c r="AG38" s="118">
        <f t="shared" si="32"/>
        <v>0</v>
      </c>
      <c r="AH38" s="118">
        <f t="shared" si="32"/>
        <v>0</v>
      </c>
      <c r="AI38" s="118">
        <f t="shared" si="32"/>
        <v>0</v>
      </c>
      <c r="AJ38" s="118">
        <f t="shared" si="32"/>
        <v>0</v>
      </c>
      <c r="AK38" s="118">
        <f t="shared" si="32"/>
        <v>0</v>
      </c>
      <c r="AL38" s="118">
        <f t="shared" si="32"/>
        <v>0</v>
      </c>
      <c r="AM38" s="118">
        <f t="shared" si="32"/>
        <v>0</v>
      </c>
      <c r="AN38" s="118">
        <f t="shared" si="32"/>
        <v>0</v>
      </c>
      <c r="AO38" s="118">
        <f t="shared" si="32"/>
        <v>0</v>
      </c>
      <c r="AP38" s="118">
        <f t="shared" si="32"/>
        <v>0</v>
      </c>
      <c r="AQ38" s="118">
        <f t="shared" si="32"/>
        <v>0</v>
      </c>
      <c r="AR38" s="118">
        <f>+AR12-AR23</f>
        <v>0</v>
      </c>
      <c r="AS38" s="118">
        <f t="shared" ref="AS38" si="33">+AS12-AS23</f>
        <v>0</v>
      </c>
      <c r="AT38" s="118">
        <v>0</v>
      </c>
      <c r="AU38" s="118">
        <f t="shared" ref="AU38" si="34">+AU12-AU23</f>
        <v>0</v>
      </c>
    </row>
    <row r="39" spans="2:47" x14ac:dyDescent="0.2">
      <c r="B39" s="130" t="s">
        <v>224</v>
      </c>
      <c r="C39" s="118">
        <f t="shared" ref="C39:V39" si="35">+C10-C25</f>
        <v>1216</v>
      </c>
      <c r="D39" s="118">
        <f t="shared" si="35"/>
        <v>1467</v>
      </c>
      <c r="E39" s="161">
        <f t="shared" si="35"/>
        <v>1392</v>
      </c>
      <c r="F39" s="118">
        <f t="shared" si="35"/>
        <v>1360</v>
      </c>
      <c r="G39" s="118">
        <f t="shared" si="35"/>
        <v>1377</v>
      </c>
      <c r="H39" s="118">
        <f t="shared" si="35"/>
        <v>1394</v>
      </c>
      <c r="I39" s="118">
        <f t="shared" si="35"/>
        <v>909</v>
      </c>
      <c r="J39" s="118">
        <f t="shared" si="35"/>
        <v>927</v>
      </c>
      <c r="K39" s="118">
        <f t="shared" si="35"/>
        <v>208</v>
      </c>
      <c r="L39" s="118">
        <f t="shared" si="35"/>
        <v>310</v>
      </c>
      <c r="M39" s="118">
        <f t="shared" si="35"/>
        <v>337</v>
      </c>
      <c r="N39" s="118">
        <f t="shared" si="35"/>
        <v>435</v>
      </c>
      <c r="O39" s="118">
        <f t="shared" si="35"/>
        <v>425</v>
      </c>
      <c r="P39" s="118">
        <f t="shared" si="35"/>
        <v>208</v>
      </c>
      <c r="Q39" s="118">
        <f t="shared" si="35"/>
        <v>290</v>
      </c>
      <c r="R39" s="118">
        <f t="shared" si="35"/>
        <v>69</v>
      </c>
      <c r="S39" s="118">
        <f t="shared" si="35"/>
        <v>1771</v>
      </c>
      <c r="T39" s="118">
        <f t="shared" si="35"/>
        <v>-14529</v>
      </c>
      <c r="U39" s="118">
        <f t="shared" si="35"/>
        <v>-7574</v>
      </c>
      <c r="V39" s="118">
        <f t="shared" si="35"/>
        <v>-6612</v>
      </c>
      <c r="W39" s="118">
        <v>1</v>
      </c>
      <c r="X39" s="118">
        <v>51</v>
      </c>
      <c r="Y39" s="118">
        <v>35</v>
      </c>
      <c r="Z39" s="118">
        <v>66</v>
      </c>
      <c r="AA39" s="118">
        <v>23</v>
      </c>
      <c r="AB39" s="118">
        <v>14</v>
      </c>
      <c r="AC39" s="118">
        <f t="shared" ref="AC39:AQ39" si="36">+AC10-AC25</f>
        <v>29</v>
      </c>
      <c r="AD39" s="118">
        <f t="shared" si="36"/>
        <v>21</v>
      </c>
      <c r="AE39" s="118">
        <f t="shared" si="36"/>
        <v>49</v>
      </c>
      <c r="AF39" s="118">
        <f t="shared" si="36"/>
        <v>429</v>
      </c>
      <c r="AG39" s="118">
        <f t="shared" si="36"/>
        <v>500</v>
      </c>
      <c r="AH39" s="118">
        <f t="shared" si="36"/>
        <v>520</v>
      </c>
      <c r="AI39" s="118">
        <f t="shared" si="36"/>
        <v>544</v>
      </c>
      <c r="AJ39" s="118">
        <f t="shared" si="36"/>
        <v>559</v>
      </c>
      <c r="AK39" s="118">
        <f t="shared" si="36"/>
        <v>580</v>
      </c>
      <c r="AL39" s="118">
        <f t="shared" si="36"/>
        <v>587</v>
      </c>
      <c r="AM39" s="118">
        <f t="shared" si="36"/>
        <v>584</v>
      </c>
      <c r="AN39" s="118">
        <f t="shared" si="36"/>
        <v>412</v>
      </c>
      <c r="AO39" s="118">
        <f t="shared" si="36"/>
        <v>423</v>
      </c>
      <c r="AP39" s="118">
        <f t="shared" si="36"/>
        <v>422</v>
      </c>
      <c r="AQ39" s="118">
        <f t="shared" si="36"/>
        <v>422</v>
      </c>
      <c r="AR39" s="118">
        <f>+AR10-AR25</f>
        <v>424</v>
      </c>
      <c r="AS39" s="118">
        <f t="shared" ref="AS39" si="37">+AS10-AS25</f>
        <v>5</v>
      </c>
      <c r="AT39" s="118">
        <v>4</v>
      </c>
      <c r="AU39" s="118">
        <f t="shared" ref="AU39" si="38">+AU10-AU25</f>
        <v>-1</v>
      </c>
    </row>
    <row r="40" spans="2:47" s="249" customFormat="1" hidden="1" outlineLevel="1" x14ac:dyDescent="0.2">
      <c r="B40" s="250" t="s">
        <v>439</v>
      </c>
      <c r="C40" s="219">
        <f t="shared" ref="C40:V40" si="39">+C11-C27</f>
        <v>4133</v>
      </c>
      <c r="D40" s="219">
        <f t="shared" si="39"/>
        <v>0</v>
      </c>
      <c r="E40" s="220">
        <f t="shared" si="39"/>
        <v>0</v>
      </c>
      <c r="F40" s="219">
        <f t="shared" si="39"/>
        <v>0</v>
      </c>
      <c r="G40" s="219">
        <f t="shared" si="39"/>
        <v>3963</v>
      </c>
      <c r="H40" s="219">
        <f t="shared" si="39"/>
        <v>4443</v>
      </c>
      <c r="I40" s="219">
        <f t="shared" si="39"/>
        <v>4465</v>
      </c>
      <c r="J40" s="219">
        <f t="shared" si="39"/>
        <v>1767</v>
      </c>
      <c r="K40" s="219">
        <f t="shared" si="39"/>
        <v>2699</v>
      </c>
      <c r="L40" s="219">
        <f t="shared" si="39"/>
        <v>1712</v>
      </c>
      <c r="M40" s="219">
        <f t="shared" si="39"/>
        <v>1741</v>
      </c>
      <c r="N40" s="219">
        <f t="shared" si="39"/>
        <v>1599</v>
      </c>
      <c r="O40" s="219">
        <f t="shared" si="39"/>
        <v>2776</v>
      </c>
      <c r="P40" s="219">
        <f t="shared" si="39"/>
        <v>2073</v>
      </c>
      <c r="Q40" s="219">
        <f t="shared" si="39"/>
        <v>2637</v>
      </c>
      <c r="R40" s="219">
        <f t="shared" si="39"/>
        <v>2252</v>
      </c>
      <c r="S40" s="219">
        <f t="shared" si="39"/>
        <v>0</v>
      </c>
      <c r="T40" s="219">
        <f t="shared" si="39"/>
        <v>0</v>
      </c>
      <c r="U40" s="219">
        <f t="shared" si="39"/>
        <v>0</v>
      </c>
      <c r="V40" s="219">
        <f t="shared" si="39"/>
        <v>0</v>
      </c>
      <c r="W40" s="219">
        <v>0</v>
      </c>
      <c r="X40" s="219">
        <v>0</v>
      </c>
      <c r="Y40" s="219"/>
      <c r="Z40" s="219">
        <v>0</v>
      </c>
      <c r="AA40" s="219">
        <v>0</v>
      </c>
      <c r="AB40" s="219">
        <f t="shared" ref="AB40:AQ40" si="40">+AB11-AB27</f>
        <v>0</v>
      </c>
      <c r="AC40" s="219">
        <f t="shared" si="40"/>
        <v>0</v>
      </c>
      <c r="AD40" s="219">
        <f t="shared" si="40"/>
        <v>0</v>
      </c>
      <c r="AE40" s="219">
        <f t="shared" si="40"/>
        <v>0</v>
      </c>
      <c r="AF40" s="219">
        <f t="shared" si="40"/>
        <v>0</v>
      </c>
      <c r="AG40" s="219">
        <f t="shared" si="40"/>
        <v>0</v>
      </c>
      <c r="AH40" s="118">
        <f t="shared" si="40"/>
        <v>0</v>
      </c>
      <c r="AI40" s="118">
        <f t="shared" si="40"/>
        <v>0</v>
      </c>
      <c r="AJ40" s="118">
        <f t="shared" si="40"/>
        <v>0</v>
      </c>
      <c r="AK40" s="118">
        <f t="shared" si="40"/>
        <v>0</v>
      </c>
      <c r="AL40" s="118">
        <f t="shared" si="40"/>
        <v>0</v>
      </c>
      <c r="AM40" s="118">
        <f t="shared" si="40"/>
        <v>0</v>
      </c>
      <c r="AN40" s="118">
        <f t="shared" si="40"/>
        <v>0</v>
      </c>
      <c r="AO40" s="118">
        <f t="shared" si="40"/>
        <v>0</v>
      </c>
      <c r="AP40" s="118">
        <f t="shared" si="40"/>
        <v>0</v>
      </c>
      <c r="AQ40" s="118">
        <f t="shared" si="40"/>
        <v>0</v>
      </c>
      <c r="AR40" s="118">
        <f>+AR11-AR27</f>
        <v>0</v>
      </c>
      <c r="AS40" s="118">
        <f t="shared" ref="AS40:AT40" si="41">+AS11-AS27</f>
        <v>0</v>
      </c>
      <c r="AT40" s="118">
        <f t="shared" si="41"/>
        <v>0</v>
      </c>
      <c r="AU40" s="118">
        <f t="shared" ref="AU40" si="42">+AU11-AU27</f>
        <v>0</v>
      </c>
    </row>
    <row r="41" spans="2:47" s="249" customFormat="1" hidden="1" outlineLevel="1" x14ac:dyDescent="0.2">
      <c r="B41" s="250" t="s">
        <v>436</v>
      </c>
      <c r="C41" s="219">
        <f t="shared" ref="C41:V41" si="43">+C13-C26</f>
        <v>1294</v>
      </c>
      <c r="D41" s="219">
        <f t="shared" si="43"/>
        <v>1361</v>
      </c>
      <c r="E41" s="220">
        <f t="shared" si="43"/>
        <v>1435</v>
      </c>
      <c r="F41" s="219">
        <f t="shared" si="43"/>
        <v>1401</v>
      </c>
      <c r="G41" s="219">
        <f t="shared" si="43"/>
        <v>1379</v>
      </c>
      <c r="H41" s="219">
        <f t="shared" si="43"/>
        <v>1156</v>
      </c>
      <c r="I41" s="219">
        <f t="shared" si="43"/>
        <v>1228</v>
      </c>
      <c r="J41" s="219">
        <f t="shared" si="43"/>
        <v>1283</v>
      </c>
      <c r="K41" s="219">
        <f t="shared" si="43"/>
        <v>885</v>
      </c>
      <c r="L41" s="219">
        <f t="shared" si="43"/>
        <v>880</v>
      </c>
      <c r="M41" s="219">
        <f t="shared" si="43"/>
        <v>1065</v>
      </c>
      <c r="N41" s="219">
        <f t="shared" si="43"/>
        <v>1025</v>
      </c>
      <c r="O41" s="219">
        <f t="shared" si="43"/>
        <v>912</v>
      </c>
      <c r="P41" s="219">
        <f t="shared" si="43"/>
        <v>896</v>
      </c>
      <c r="Q41" s="219">
        <f t="shared" si="43"/>
        <v>872</v>
      </c>
      <c r="R41" s="219">
        <f t="shared" si="43"/>
        <v>871</v>
      </c>
      <c r="S41" s="219">
        <f t="shared" si="43"/>
        <v>0</v>
      </c>
      <c r="T41" s="219">
        <f t="shared" si="43"/>
        <v>0</v>
      </c>
      <c r="U41" s="219">
        <f t="shared" si="43"/>
        <v>0</v>
      </c>
      <c r="V41" s="219">
        <f t="shared" si="43"/>
        <v>0</v>
      </c>
      <c r="W41" s="219">
        <v>0</v>
      </c>
      <c r="X41" s="219">
        <v>0</v>
      </c>
      <c r="Y41" s="219"/>
      <c r="Z41" s="219">
        <v>0</v>
      </c>
      <c r="AA41" s="219">
        <v>0</v>
      </c>
      <c r="AB41" s="219">
        <f t="shared" ref="AB41:AQ41" si="44">+AB13-AB26</f>
        <v>0</v>
      </c>
      <c r="AC41" s="219">
        <f t="shared" si="44"/>
        <v>0</v>
      </c>
      <c r="AD41" s="219">
        <f t="shared" si="44"/>
        <v>0</v>
      </c>
      <c r="AE41" s="219">
        <f t="shared" si="44"/>
        <v>0</v>
      </c>
      <c r="AF41" s="219">
        <f t="shared" si="44"/>
        <v>0</v>
      </c>
      <c r="AG41" s="219">
        <f t="shared" si="44"/>
        <v>0</v>
      </c>
      <c r="AH41" s="118">
        <f t="shared" si="44"/>
        <v>0</v>
      </c>
      <c r="AI41" s="118">
        <f t="shared" si="44"/>
        <v>0</v>
      </c>
      <c r="AJ41" s="118">
        <f t="shared" si="44"/>
        <v>0</v>
      </c>
      <c r="AK41" s="118">
        <f t="shared" si="44"/>
        <v>0</v>
      </c>
      <c r="AL41" s="118">
        <f t="shared" si="44"/>
        <v>0</v>
      </c>
      <c r="AM41" s="118">
        <f t="shared" si="44"/>
        <v>0</v>
      </c>
      <c r="AN41" s="118">
        <f t="shared" si="44"/>
        <v>0</v>
      </c>
      <c r="AO41" s="118">
        <f t="shared" si="44"/>
        <v>0</v>
      </c>
      <c r="AP41" s="118">
        <f t="shared" si="44"/>
        <v>0</v>
      </c>
      <c r="AQ41" s="118">
        <f t="shared" si="44"/>
        <v>0</v>
      </c>
      <c r="AR41" s="118">
        <f>+AR13-AR26</f>
        <v>0</v>
      </c>
      <c r="AS41" s="118">
        <f t="shared" ref="AS41:AT41" si="45">+AS13-AS26</f>
        <v>0</v>
      </c>
      <c r="AT41" s="118">
        <f t="shared" si="45"/>
        <v>0</v>
      </c>
      <c r="AU41" s="118">
        <f t="shared" ref="AU41" si="46">+AU13-AU26</f>
        <v>0</v>
      </c>
    </row>
    <row r="42" spans="2:47" collapsed="1" x14ac:dyDescent="0.2">
      <c r="B42" s="127" t="s">
        <v>22</v>
      </c>
      <c r="C42" s="120">
        <f t="shared" ref="C42:Q42" si="47">SUM(C34:C39)</f>
        <v>8379</v>
      </c>
      <c r="D42" s="120">
        <f t="shared" si="47"/>
        <v>8423</v>
      </c>
      <c r="E42" s="163">
        <f t="shared" si="47"/>
        <v>6285</v>
      </c>
      <c r="F42" s="120">
        <f t="shared" si="47"/>
        <v>6161</v>
      </c>
      <c r="G42" s="120">
        <f t="shared" si="47"/>
        <v>6087</v>
      </c>
      <c r="H42" s="120">
        <f t="shared" si="47"/>
        <v>6155</v>
      </c>
      <c r="I42" s="120">
        <f t="shared" si="47"/>
        <v>6269</v>
      </c>
      <c r="J42" s="120">
        <f t="shared" si="47"/>
        <v>6463</v>
      </c>
      <c r="K42" s="120">
        <f t="shared" si="47"/>
        <v>8439</v>
      </c>
      <c r="L42" s="120">
        <f t="shared" si="47"/>
        <v>8022</v>
      </c>
      <c r="M42" s="120">
        <f t="shared" si="47"/>
        <v>8083</v>
      </c>
      <c r="N42" s="120">
        <f t="shared" si="47"/>
        <v>6979</v>
      </c>
      <c r="O42" s="120">
        <f t="shared" si="47"/>
        <v>5521</v>
      </c>
      <c r="P42" s="120">
        <f t="shared" si="47"/>
        <v>5554</v>
      </c>
      <c r="Q42" s="120">
        <f t="shared" si="47"/>
        <v>18072</v>
      </c>
      <c r="R42" s="120">
        <f t="shared" ref="R42:AA42" si="48">SUM(R34:R39)</f>
        <v>18229</v>
      </c>
      <c r="S42" s="120">
        <f t="shared" si="48"/>
        <v>24556</v>
      </c>
      <c r="T42" s="120">
        <f t="shared" si="48"/>
        <v>-8886</v>
      </c>
      <c r="U42" s="120">
        <f t="shared" si="48"/>
        <v>-2366</v>
      </c>
      <c r="V42" s="120">
        <f t="shared" si="48"/>
        <v>-1375</v>
      </c>
      <c r="W42" s="120">
        <f t="shared" si="48"/>
        <v>4794</v>
      </c>
      <c r="X42" s="120">
        <f t="shared" si="48"/>
        <v>4940</v>
      </c>
      <c r="Y42" s="120">
        <f t="shared" si="48"/>
        <v>5015</v>
      </c>
      <c r="Z42" s="120">
        <f t="shared" si="48"/>
        <v>5267</v>
      </c>
      <c r="AA42" s="120">
        <f t="shared" si="48"/>
        <v>5260</v>
      </c>
      <c r="AB42" s="120">
        <f t="shared" ref="AB42:AG42" si="49">SUM(AB34:AB39)</f>
        <v>5229</v>
      </c>
      <c r="AC42" s="120">
        <f t="shared" si="49"/>
        <v>5438</v>
      </c>
      <c r="AD42" s="120">
        <f t="shared" si="49"/>
        <v>5566</v>
      </c>
      <c r="AE42" s="120">
        <f t="shared" si="49"/>
        <v>5343</v>
      </c>
      <c r="AF42" s="120">
        <f t="shared" si="49"/>
        <v>5801</v>
      </c>
      <c r="AG42" s="120">
        <f t="shared" si="49"/>
        <v>15774</v>
      </c>
      <c r="AH42" s="120">
        <f t="shared" ref="AH42:AM42" si="50">SUM(AH34:AH39)</f>
        <v>15822</v>
      </c>
      <c r="AI42" s="120">
        <f t="shared" si="50"/>
        <v>16102</v>
      </c>
      <c r="AJ42" s="120">
        <f t="shared" si="50"/>
        <v>16315</v>
      </c>
      <c r="AK42" s="120">
        <f t="shared" si="50"/>
        <v>16315</v>
      </c>
      <c r="AL42" s="120">
        <f t="shared" si="50"/>
        <v>24945</v>
      </c>
      <c r="AM42" s="120">
        <f t="shared" si="50"/>
        <v>40813</v>
      </c>
      <c r="AN42" s="120">
        <f t="shared" ref="AN42:AR42" si="51">SUM(AN34:AN39)</f>
        <v>40114</v>
      </c>
      <c r="AO42" s="120">
        <f t="shared" si="51"/>
        <v>35679</v>
      </c>
      <c r="AP42" s="120">
        <f t="shared" si="51"/>
        <v>31611</v>
      </c>
      <c r="AQ42" s="120">
        <f t="shared" si="51"/>
        <v>27192</v>
      </c>
      <c r="AR42" s="120">
        <f t="shared" si="51"/>
        <v>24362</v>
      </c>
      <c r="AS42" s="120">
        <f t="shared" ref="AS42:AT42" si="52">SUM(AS34:AS39)</f>
        <v>7151</v>
      </c>
      <c r="AT42" s="120">
        <f t="shared" si="52"/>
        <v>4616</v>
      </c>
      <c r="AU42" s="120">
        <f t="shared" ref="AU42" si="53">SUM(AU34:AU39)</f>
        <v>4208</v>
      </c>
    </row>
    <row r="43" spans="2:47" x14ac:dyDescent="0.2">
      <c r="B43" s="130" t="s">
        <v>432</v>
      </c>
      <c r="C43" s="118"/>
      <c r="D43" s="118"/>
      <c r="E43" s="161"/>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4">AC15-AC29</f>
        <v>2119</v>
      </c>
      <c r="AD43" s="118">
        <f t="shared" si="54"/>
        <v>2244</v>
      </c>
      <c r="AE43" s="118">
        <f t="shared" si="54"/>
        <v>2069</v>
      </c>
      <c r="AF43" s="118">
        <f t="shared" si="54"/>
        <v>2549</v>
      </c>
      <c r="AG43" s="118">
        <f t="shared" si="54"/>
        <v>12472</v>
      </c>
      <c r="AH43" s="118">
        <f t="shared" si="54"/>
        <v>12564</v>
      </c>
      <c r="AI43" s="118">
        <f t="shared" si="54"/>
        <v>12808</v>
      </c>
      <c r="AJ43" s="118">
        <f t="shared" si="54"/>
        <v>13502</v>
      </c>
      <c r="AK43" s="118">
        <f t="shared" si="54"/>
        <v>13274</v>
      </c>
      <c r="AL43" s="118">
        <f t="shared" si="54"/>
        <v>21888</v>
      </c>
      <c r="AM43" s="118">
        <f t="shared" si="54"/>
        <v>22544</v>
      </c>
      <c r="AN43" s="118">
        <f t="shared" si="54"/>
        <v>21646</v>
      </c>
      <c r="AO43" s="118">
        <f t="shared" si="54"/>
        <v>17259</v>
      </c>
      <c r="AP43" s="118">
        <f t="shared" si="54"/>
        <v>13006</v>
      </c>
      <c r="AQ43" s="118">
        <f t="shared" si="54"/>
        <v>8413</v>
      </c>
      <c r="AR43" s="118">
        <f>AR15-AR29</f>
        <v>6917</v>
      </c>
      <c r="AS43" s="118">
        <f t="shared" ref="AS43" si="55">AS15-AS29</f>
        <v>4899</v>
      </c>
      <c r="AT43" s="118">
        <v>1782</v>
      </c>
      <c r="AU43" s="118">
        <f t="shared" ref="AU43" si="56">AU15-AU29</f>
        <v>1366</v>
      </c>
    </row>
    <row r="44" spans="2:47" x14ac:dyDescent="0.2">
      <c r="B44" s="130" t="s">
        <v>433</v>
      </c>
      <c r="C44" s="118"/>
      <c r="D44" s="118"/>
      <c r="E44" s="161"/>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7">AC16-AC30</f>
        <v>3319</v>
      </c>
      <c r="AD44" s="118">
        <f t="shared" si="57"/>
        <v>3322</v>
      </c>
      <c r="AE44" s="118">
        <f t="shared" si="57"/>
        <v>3274</v>
      </c>
      <c r="AF44" s="118">
        <f t="shared" si="57"/>
        <v>3278</v>
      </c>
      <c r="AG44" s="118">
        <f t="shared" si="57"/>
        <v>3282</v>
      </c>
      <c r="AH44" s="118">
        <f t="shared" si="57"/>
        <v>3284</v>
      </c>
      <c r="AI44" s="118">
        <f t="shared" si="57"/>
        <v>3294</v>
      </c>
      <c r="AJ44" s="118">
        <f t="shared" si="57"/>
        <v>2668</v>
      </c>
      <c r="AK44" s="118">
        <f t="shared" si="57"/>
        <v>3067</v>
      </c>
      <c r="AL44" s="118">
        <f t="shared" si="57"/>
        <v>3083</v>
      </c>
      <c r="AM44" s="118">
        <f t="shared" si="57"/>
        <v>18295</v>
      </c>
      <c r="AN44" s="118">
        <f t="shared" si="57"/>
        <v>18494</v>
      </c>
      <c r="AO44" s="118">
        <f t="shared" si="57"/>
        <v>18446</v>
      </c>
      <c r="AP44" s="118">
        <f t="shared" si="57"/>
        <v>18631</v>
      </c>
      <c r="AQ44" s="118">
        <f t="shared" si="57"/>
        <v>18779</v>
      </c>
      <c r="AR44" s="118">
        <f>AR16-AR30</f>
        <v>17445</v>
      </c>
      <c r="AS44" s="118">
        <f t="shared" ref="AS44" si="58">AS16-AS30</f>
        <v>17087</v>
      </c>
      <c r="AT44" s="118">
        <v>2834</v>
      </c>
      <c r="AU44" s="118">
        <f t="shared" ref="AU44" si="59">AU16-AU30</f>
        <v>2842</v>
      </c>
    </row>
    <row r="45" spans="2:47" x14ac:dyDescent="0.2">
      <c r="B45" s="127" t="s">
        <v>22</v>
      </c>
      <c r="C45" s="120"/>
      <c r="D45" s="120"/>
      <c r="E45" s="163"/>
      <c r="F45" s="120"/>
      <c r="G45" s="120"/>
      <c r="H45" s="120"/>
      <c r="I45" s="120"/>
      <c r="J45" s="120"/>
      <c r="K45" s="120"/>
      <c r="L45" s="120"/>
      <c r="M45" s="120"/>
      <c r="N45" s="120"/>
      <c r="O45" s="120"/>
      <c r="P45" s="120"/>
      <c r="Q45" s="120"/>
      <c r="R45" s="120"/>
      <c r="S45" s="120"/>
      <c r="T45" s="120"/>
      <c r="U45" s="120"/>
      <c r="V45" s="120"/>
      <c r="W45" s="120">
        <f t="shared" ref="W45:AB45" si="60">SUM(W43:W44)</f>
        <v>4794</v>
      </c>
      <c r="X45" s="120">
        <f t="shared" si="60"/>
        <v>4940</v>
      </c>
      <c r="Y45" s="120">
        <f t="shared" si="60"/>
        <v>5015</v>
      </c>
      <c r="Z45" s="120">
        <f t="shared" si="60"/>
        <v>5267</v>
      </c>
      <c r="AA45" s="120">
        <f t="shared" si="60"/>
        <v>5260</v>
      </c>
      <c r="AB45" s="120">
        <f t="shared" si="60"/>
        <v>5229</v>
      </c>
      <c r="AC45" s="120">
        <f t="shared" ref="AC45:AH45" si="61">SUM(AC43:AC44)</f>
        <v>5438</v>
      </c>
      <c r="AD45" s="120">
        <f t="shared" si="61"/>
        <v>5566</v>
      </c>
      <c r="AE45" s="120">
        <f t="shared" si="61"/>
        <v>5343</v>
      </c>
      <c r="AF45" s="120">
        <f t="shared" si="61"/>
        <v>5827</v>
      </c>
      <c r="AG45" s="120">
        <f t="shared" si="61"/>
        <v>15754</v>
      </c>
      <c r="AH45" s="120">
        <f t="shared" si="61"/>
        <v>15848</v>
      </c>
      <c r="AI45" s="120">
        <f t="shared" ref="AI45:AN45" si="62">SUM(AI43:AI44)</f>
        <v>16102</v>
      </c>
      <c r="AJ45" s="120">
        <f t="shared" si="62"/>
        <v>16170</v>
      </c>
      <c r="AK45" s="120">
        <f t="shared" si="62"/>
        <v>16341</v>
      </c>
      <c r="AL45" s="120">
        <f t="shared" si="62"/>
        <v>24971</v>
      </c>
      <c r="AM45" s="120">
        <f t="shared" si="62"/>
        <v>40839</v>
      </c>
      <c r="AN45" s="120">
        <f t="shared" si="62"/>
        <v>40140</v>
      </c>
      <c r="AO45" s="120">
        <f>SUM(AO43:AO44)</f>
        <v>35705</v>
      </c>
      <c r="AP45" s="120">
        <f>SUM(AP43:AP44)</f>
        <v>31637</v>
      </c>
      <c r="AQ45" s="120">
        <f>SUM(AQ43:AQ44)</f>
        <v>27192</v>
      </c>
      <c r="AR45" s="120">
        <f>SUM(AR43:AR44)</f>
        <v>24362</v>
      </c>
      <c r="AS45" s="120">
        <f t="shared" ref="AS45:AT45" si="63">SUM(AS43:AS44)</f>
        <v>21986</v>
      </c>
      <c r="AT45" s="120">
        <f t="shared" si="63"/>
        <v>4616</v>
      </c>
      <c r="AU45" s="120">
        <f t="shared" ref="AU45" si="64">SUM(AU43:AU44)</f>
        <v>4208</v>
      </c>
    </row>
    <row r="201" spans="2:9" x14ac:dyDescent="0.2">
      <c r="B201" s="36"/>
      <c r="C201" s="36"/>
      <c r="D201" s="36"/>
      <c r="E201" s="36"/>
      <c r="F201" s="36"/>
      <c r="G201" s="36"/>
      <c r="H201" s="36"/>
      <c r="I201" s="36"/>
    </row>
    <row r="202" spans="2:9" s="36" customFormat="1" x14ac:dyDescent="0.2">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30">
    <pageSetUpPr autoPageBreaks="0"/>
  </sheetPr>
  <dimension ref="B1:EG46"/>
  <sheetViews>
    <sheetView showGridLines="0" workbookViewId="0">
      <pane xSplit="2" ySplit="6" topLeftCell="DT7" activePane="bottomRight" state="frozen"/>
      <selection activeCell="EF37" sqref="EF37"/>
      <selection pane="topRight" activeCell="EF37" sqref="EF37"/>
      <selection pane="bottomLeft" activeCell="EF37" sqref="EF37"/>
      <selection pane="bottomRight" activeCell="EG6" sqref="EG6"/>
    </sheetView>
  </sheetViews>
  <sheetFormatPr defaultRowHeight="12.75" outlineLevelRow="1" outlineLevelCol="1" x14ac:dyDescent="0.2"/>
  <cols>
    <col min="1" max="1" width="1.42578125" customWidth="1"/>
    <col min="2" max="2" width="47.42578125" customWidth="1"/>
    <col min="3" max="29" width="10.7109375" customWidth="1" outlineLevel="1"/>
    <col min="30" max="56" width="10.7109375" customWidth="1"/>
    <col min="58" max="58" width="11" customWidth="1"/>
    <col min="61" max="61" width="11" customWidth="1"/>
    <col min="63" max="63" width="10.7109375" customWidth="1"/>
    <col min="64" max="64" width="11.28515625" customWidth="1"/>
    <col min="66" max="66" width="10.7109375" customWidth="1"/>
    <col min="67" max="67" width="11" customWidth="1"/>
    <col min="69" max="69" width="10.7109375" customWidth="1"/>
    <col min="70" max="70" width="11.28515625" customWidth="1"/>
    <col min="72" max="74" width="11" customWidth="1"/>
    <col min="75" max="75" width="10.7109375" customWidth="1"/>
    <col min="76" max="76" width="11.28515625" customWidth="1"/>
    <col min="78" max="78" width="10.7109375" customWidth="1"/>
    <col min="79" max="79" width="11.28515625" customWidth="1"/>
    <col min="81" max="81" width="10.7109375" customWidth="1"/>
    <col min="82" max="82" width="11.28515625" customWidth="1"/>
    <col min="84" max="84" width="10.7109375" customWidth="1"/>
    <col min="85" max="85" width="11.28515625" customWidth="1"/>
    <col min="87" max="87" width="10.7109375" customWidth="1"/>
    <col min="88" max="88" width="11.28515625" customWidth="1"/>
    <col min="90" max="90" width="10.7109375" customWidth="1"/>
    <col min="91" max="91" width="11.28515625" customWidth="1"/>
    <col min="93" max="93" width="10.7109375" customWidth="1"/>
    <col min="94" max="94" width="11.28515625" customWidth="1"/>
    <col min="96" max="96" width="10.7109375" customWidth="1"/>
    <col min="97" max="97" width="11.28515625" customWidth="1"/>
    <col min="99" max="99" width="10.7109375" customWidth="1"/>
    <col min="100" max="100" width="11.28515625" customWidth="1"/>
    <col min="102" max="102" width="10.7109375" customWidth="1"/>
    <col min="103" max="103" width="11.28515625" customWidth="1"/>
    <col min="105" max="105" width="10.7109375" customWidth="1"/>
    <col min="106" max="106" width="11.28515625" customWidth="1"/>
    <col min="108" max="108" width="10.7109375" customWidth="1"/>
    <col min="109" max="109" width="11.28515625" customWidth="1"/>
    <col min="111" max="111" width="10.7109375" customWidth="1"/>
    <col min="112" max="112" width="11.28515625" customWidth="1"/>
    <col min="114" max="114" width="11" bestFit="1" customWidth="1"/>
    <col min="115" max="115" width="10.5703125" bestFit="1" customWidth="1"/>
    <col min="116" max="116" width="7.42578125" bestFit="1" customWidth="1"/>
    <col min="117" max="117" width="11" bestFit="1" customWidth="1"/>
    <col min="118" max="118" width="10.5703125" bestFit="1" customWidth="1"/>
    <col min="119" max="119" width="7.42578125" bestFit="1" customWidth="1"/>
    <col min="120" max="120" width="11" bestFit="1" customWidth="1"/>
    <col min="121" max="121" width="10.5703125" bestFit="1" customWidth="1"/>
    <col min="122" max="122" width="7.42578125" bestFit="1" customWidth="1"/>
    <col min="123" max="123" width="11" bestFit="1" customWidth="1"/>
    <col min="124" max="124" width="10.5703125" bestFit="1" customWidth="1"/>
    <col min="125" max="125" width="7.42578125" bestFit="1" customWidth="1"/>
    <col min="126" max="126" width="11" bestFit="1" customWidth="1"/>
    <col min="127" max="127" width="10.5703125" bestFit="1" customWidth="1"/>
    <col min="128" max="128" width="7.42578125" bestFit="1" customWidth="1"/>
    <col min="129" max="129" width="11" bestFit="1" customWidth="1"/>
    <col min="130" max="130" width="10.5703125" bestFit="1" customWidth="1"/>
    <col min="131" max="131" width="7.42578125" bestFit="1" customWidth="1"/>
    <col min="132" max="132" width="11" bestFit="1" customWidth="1"/>
    <col min="133" max="133" width="10.5703125" bestFit="1" customWidth="1"/>
    <col min="134" max="134" width="7.42578125" bestFit="1" customWidth="1"/>
    <col min="135" max="135" width="11" bestFit="1" customWidth="1"/>
    <col min="136" max="136" width="10.5703125" bestFit="1" customWidth="1"/>
    <col min="137" max="137" width="7.42578125" bestFit="1" customWidth="1"/>
  </cols>
  <sheetData>
    <row r="1" spans="2:137" ht="7.5" customHeight="1" x14ac:dyDescent="0.2">
      <c r="C1" s="551"/>
      <c r="D1" s="551"/>
      <c r="E1" s="551"/>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1"/>
      <c r="DK1" s="551"/>
      <c r="DL1" s="551"/>
      <c r="DM1" s="551"/>
      <c r="DN1" s="551"/>
      <c r="DO1" s="551"/>
      <c r="DP1" s="551"/>
      <c r="DQ1" s="551"/>
      <c r="DR1" s="551"/>
      <c r="DS1" s="551"/>
      <c r="DT1" s="551"/>
      <c r="DU1" s="551"/>
      <c r="DV1" s="551"/>
      <c r="DW1" s="551"/>
      <c r="DX1" s="551"/>
      <c r="DY1" s="551"/>
      <c r="DZ1" s="551"/>
      <c r="EA1" s="551"/>
    </row>
    <row r="2" spans="2:137" ht="12.75" customHeight="1" x14ac:dyDescent="0.2">
      <c r="C2" s="551"/>
      <c r="D2" s="551"/>
      <c r="E2" s="551"/>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1"/>
      <c r="DK2" s="551"/>
      <c r="DL2" s="551"/>
      <c r="DM2" s="551"/>
      <c r="DN2" s="551"/>
      <c r="DO2" s="551"/>
      <c r="DP2" s="551"/>
      <c r="DQ2" s="551"/>
      <c r="DR2" s="551"/>
      <c r="DS2" s="551"/>
      <c r="DT2" s="551"/>
      <c r="DU2" s="551"/>
      <c r="DV2" s="551"/>
      <c r="DW2" s="551"/>
      <c r="DX2" s="551"/>
      <c r="DY2" s="551"/>
      <c r="DZ2" s="551"/>
      <c r="EA2" s="551"/>
    </row>
    <row r="3" spans="2:137" ht="12.75" customHeight="1" x14ac:dyDescent="0.2">
      <c r="C3" s="551"/>
      <c r="D3" s="551"/>
      <c r="E3" s="551"/>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1"/>
      <c r="DK3" s="551"/>
      <c r="DL3" s="551"/>
      <c r="DM3" s="551"/>
      <c r="DN3" s="551"/>
      <c r="DO3" s="551"/>
      <c r="DP3" s="551"/>
      <c r="DQ3" s="551"/>
      <c r="DR3" s="551"/>
      <c r="DS3" s="551"/>
      <c r="DT3" s="551"/>
      <c r="DU3" s="551"/>
      <c r="DV3" s="551"/>
      <c r="DW3" s="551"/>
      <c r="DX3" s="551"/>
      <c r="DY3" s="551"/>
      <c r="DZ3" s="551"/>
      <c r="EA3" s="551"/>
    </row>
    <row r="4" spans="2:137" ht="15" customHeight="1" x14ac:dyDescent="0.2">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37" ht="15" customHeight="1" x14ac:dyDescent="0.2">
      <c r="B5" s="156"/>
      <c r="C5" s="157" t="str">
        <f>C30</f>
        <v>2013</v>
      </c>
      <c r="D5" s="158"/>
      <c r="E5" s="159"/>
      <c r="F5" s="157" t="str">
        <f>D30</f>
        <v>1Q14</v>
      </c>
      <c r="G5" s="158"/>
      <c r="H5" s="159"/>
      <c r="I5" s="157" t="str">
        <f>E30</f>
        <v>2Q14</v>
      </c>
      <c r="J5" s="158"/>
      <c r="K5" s="159"/>
      <c r="L5" s="157" t="str">
        <f>F30</f>
        <v>3Q14</v>
      </c>
      <c r="M5" s="540"/>
      <c r="N5" s="541"/>
      <c r="O5" s="157" t="str">
        <f>G30</f>
        <v>4Q14</v>
      </c>
      <c r="P5" s="540"/>
      <c r="Q5" s="541"/>
      <c r="R5" s="157" t="str">
        <f>H30</f>
        <v>1Q15</v>
      </c>
      <c r="S5" s="540"/>
      <c r="T5" s="541"/>
      <c r="U5" s="157" t="str">
        <f>I30</f>
        <v>2Q15</v>
      </c>
      <c r="V5" s="540"/>
      <c r="W5" s="541"/>
      <c r="X5" s="157" t="str">
        <f>J30</f>
        <v>3Q15</v>
      </c>
      <c r="Y5" s="540"/>
      <c r="Z5" s="541"/>
      <c r="AA5" s="157" t="str">
        <f>K30</f>
        <v>4Q15</v>
      </c>
      <c r="AB5" s="540"/>
      <c r="AC5" s="541"/>
      <c r="AD5" s="157" t="str">
        <f>L30</f>
        <v>1Q16</v>
      </c>
      <c r="AE5" s="540"/>
      <c r="AF5" s="541"/>
      <c r="AG5" s="157" t="str">
        <f>M30</f>
        <v>2Q16</v>
      </c>
      <c r="AH5" s="540"/>
      <c r="AI5" s="541"/>
      <c r="AJ5" s="157" t="str">
        <f>N30</f>
        <v>3Q16</v>
      </c>
      <c r="AK5" s="540"/>
      <c r="AL5" s="541"/>
      <c r="AM5" s="158" t="str">
        <f>O30</f>
        <v>4Q16</v>
      </c>
      <c r="AN5" s="540"/>
      <c r="AO5" s="540"/>
      <c r="AP5" s="542" t="str">
        <f>P30</f>
        <v>1Q17</v>
      </c>
      <c r="AQ5" s="540"/>
      <c r="AR5" s="541"/>
      <c r="AS5" s="543" t="str">
        <f>Q30</f>
        <v>2Q17</v>
      </c>
      <c r="AT5" s="540"/>
      <c r="AU5" s="540"/>
      <c r="AV5" s="542" t="str">
        <f>R30</f>
        <v>3Q17</v>
      </c>
      <c r="AW5" s="158"/>
      <c r="AX5" s="159"/>
      <c r="AY5" s="542" t="str">
        <f>S30</f>
        <v>4Q17</v>
      </c>
      <c r="AZ5" s="158"/>
      <c r="BA5" s="159"/>
      <c r="BB5" s="542" t="str">
        <f>T30</f>
        <v>1Q18</v>
      </c>
      <c r="BC5" s="158"/>
      <c r="BD5" s="159"/>
      <c r="BE5" s="542" t="str">
        <f>U30</f>
        <v>2Q18</v>
      </c>
      <c r="BF5" s="158"/>
      <c r="BG5" s="159"/>
      <c r="BH5" s="542" t="str">
        <f>V30</f>
        <v>3Q18</v>
      </c>
      <c r="BI5" s="158"/>
      <c r="BJ5" s="159"/>
      <c r="BK5" s="542" t="str">
        <f>W30</f>
        <v>4Q18</v>
      </c>
      <c r="BL5" s="158"/>
      <c r="BM5" s="159"/>
      <c r="BN5" s="542" t="str">
        <f>X30</f>
        <v>1Q19</v>
      </c>
      <c r="BO5" s="158"/>
      <c r="BP5" s="159"/>
      <c r="BQ5" s="542" t="str">
        <f>Y30</f>
        <v>2Q19</v>
      </c>
      <c r="BR5" s="158"/>
      <c r="BS5" s="159"/>
      <c r="BT5" s="542" t="str">
        <f>Z30</f>
        <v>3Q19</v>
      </c>
      <c r="BU5" s="158"/>
      <c r="BV5" s="159"/>
      <c r="BW5" s="542" t="str">
        <f>AA30</f>
        <v>4Q19</v>
      </c>
      <c r="BX5" s="158"/>
      <c r="BY5" s="159"/>
      <c r="BZ5" s="542" t="str">
        <f>AB30</f>
        <v>1Q20</v>
      </c>
      <c r="CA5" s="158"/>
      <c r="CB5" s="159"/>
      <c r="CC5" s="542" t="str">
        <f>AC30</f>
        <v>2Q20</v>
      </c>
      <c r="CD5" s="158"/>
      <c r="CE5" s="159"/>
      <c r="CF5" s="542" t="str">
        <f>AD30</f>
        <v>3Q20</v>
      </c>
      <c r="CG5" s="158"/>
      <c r="CH5" s="159"/>
      <c r="CI5" s="542" t="str">
        <f>AE30</f>
        <v>4Q20</v>
      </c>
      <c r="CJ5" s="158"/>
      <c r="CK5" s="159"/>
      <c r="CL5" s="542" t="str">
        <f>AF30</f>
        <v>1Q21</v>
      </c>
      <c r="CM5" s="158"/>
      <c r="CN5" s="159"/>
      <c r="CO5" s="542" t="str">
        <f>AG30</f>
        <v>2Q21</v>
      </c>
      <c r="CP5" s="158"/>
      <c r="CQ5" s="159"/>
      <c r="CR5" s="542" t="s">
        <v>1098</v>
      </c>
      <c r="CS5" s="158"/>
      <c r="CT5" s="159"/>
      <c r="CU5" s="542" t="str">
        <f>AI30</f>
        <v>4Q21</v>
      </c>
      <c r="CV5" s="158"/>
      <c r="CW5" s="159"/>
      <c r="CX5" s="542" t="str">
        <f>AJ30</f>
        <v>1Q22</v>
      </c>
      <c r="CY5" s="158"/>
      <c r="CZ5" s="159"/>
      <c r="DA5" s="542" t="str">
        <f>AK30</f>
        <v>2Q22</v>
      </c>
      <c r="DB5" s="158"/>
      <c r="DC5" s="159"/>
      <c r="DD5" s="542" t="str">
        <f>AL30</f>
        <v>3Q22</v>
      </c>
      <c r="DE5" s="158"/>
      <c r="DF5" s="159"/>
      <c r="DG5" s="542" t="str">
        <f>AM30</f>
        <v>4Q22</v>
      </c>
      <c r="DH5" s="158"/>
      <c r="DI5" s="159"/>
      <c r="DJ5" s="542" t="str">
        <f>AP30</f>
        <v>1Q23</v>
      </c>
      <c r="DK5" s="158"/>
      <c r="DL5" s="159"/>
      <c r="DM5" s="542" t="str">
        <f>AO30</f>
        <v>2Q23</v>
      </c>
      <c r="DN5" s="158"/>
      <c r="DO5" s="159"/>
      <c r="DP5" s="542" t="str">
        <f>AR30</f>
        <v>3Q23</v>
      </c>
      <c r="DQ5" s="158"/>
      <c r="DR5" s="159"/>
      <c r="DS5" s="542" t="str">
        <f>AS30</f>
        <v>4Q23</v>
      </c>
      <c r="DT5" s="158"/>
      <c r="DU5" s="159"/>
      <c r="DV5" s="542" t="str">
        <f>AV30</f>
        <v>1Q24</v>
      </c>
      <c r="DW5" s="158"/>
      <c r="DX5" s="159"/>
      <c r="DY5" s="542" t="str">
        <f>AY30</f>
        <v>2Q24</v>
      </c>
      <c r="DZ5" s="543"/>
      <c r="EA5" s="543"/>
      <c r="EB5" s="542" t="str">
        <f>AZ30</f>
        <v>3Q24</v>
      </c>
      <c r="EC5" s="543"/>
      <c r="ED5" s="543"/>
      <c r="EE5" s="542" t="str">
        <f>BA30</f>
        <v>4Q24</v>
      </c>
      <c r="EF5" s="158"/>
      <c r="EG5" s="159"/>
    </row>
    <row r="6" spans="2:137" ht="15" customHeight="1" x14ac:dyDescent="0.2">
      <c r="B6" s="146" t="s">
        <v>397</v>
      </c>
      <c r="C6" s="544" t="s">
        <v>182</v>
      </c>
      <c r="D6" s="545" t="s">
        <v>1558</v>
      </c>
      <c r="E6" s="160" t="s">
        <v>36</v>
      </c>
      <c r="F6" s="544" t="str">
        <f>C6</f>
        <v>Investments</v>
      </c>
      <c r="G6" s="545" t="str">
        <f>D6</f>
        <v>Net goodwill</v>
      </c>
      <c r="H6" s="160" t="s">
        <v>36</v>
      </c>
      <c r="I6" s="544" t="str">
        <f>C6</f>
        <v>Investments</v>
      </c>
      <c r="J6" s="545" t="str">
        <f>D6</f>
        <v>Net goodwill</v>
      </c>
      <c r="K6" s="160" t="s">
        <v>36</v>
      </c>
      <c r="L6" s="544" t="str">
        <f>F6</f>
        <v>Investments</v>
      </c>
      <c r="M6" s="545" t="str">
        <f>G6</f>
        <v>Net goodwill</v>
      </c>
      <c r="N6" s="160" t="s">
        <v>36</v>
      </c>
      <c r="O6" s="544" t="str">
        <f>I6</f>
        <v>Investments</v>
      </c>
      <c r="P6" s="545" t="str">
        <f>J6</f>
        <v>Net goodwill</v>
      </c>
      <c r="Q6" s="160" t="s">
        <v>36</v>
      </c>
      <c r="R6" s="544" t="str">
        <f>L6</f>
        <v>Investments</v>
      </c>
      <c r="S6" s="545" t="str">
        <f>M6</f>
        <v>Net goodwill</v>
      </c>
      <c r="T6" s="160" t="s">
        <v>36</v>
      </c>
      <c r="U6" s="544" t="str">
        <f>O6</f>
        <v>Investments</v>
      </c>
      <c r="V6" s="545" t="str">
        <f>P6</f>
        <v>Net goodwill</v>
      </c>
      <c r="W6" s="160" t="s">
        <v>36</v>
      </c>
      <c r="X6" s="544" t="str">
        <f>R6</f>
        <v>Investments</v>
      </c>
      <c r="Y6" s="545" t="str">
        <f>S6</f>
        <v>Net goodwill</v>
      </c>
      <c r="Z6" s="160" t="s">
        <v>36</v>
      </c>
      <c r="AA6" s="544" t="str">
        <f>U6</f>
        <v>Investments</v>
      </c>
      <c r="AB6" s="545" t="str">
        <f>V6</f>
        <v>Net goodwill</v>
      </c>
      <c r="AC6" s="160" t="s">
        <v>36</v>
      </c>
      <c r="AD6" s="544" t="str">
        <f>X6</f>
        <v>Investments</v>
      </c>
      <c r="AE6" s="545" t="str">
        <f>Y6</f>
        <v>Net goodwill</v>
      </c>
      <c r="AF6" s="160" t="s">
        <v>36</v>
      </c>
      <c r="AG6" s="544" t="str">
        <f>AA6</f>
        <v>Investments</v>
      </c>
      <c r="AH6" s="545" t="str">
        <f>AB6</f>
        <v>Net goodwill</v>
      </c>
      <c r="AI6" s="160" t="s">
        <v>36</v>
      </c>
      <c r="AJ6" s="544" t="str">
        <f>AD6</f>
        <v>Investments</v>
      </c>
      <c r="AK6" s="545" t="str">
        <f>AE6</f>
        <v>Net goodwill</v>
      </c>
      <c r="AL6" s="160" t="s">
        <v>36</v>
      </c>
      <c r="AM6" s="544" t="str">
        <f>AG6</f>
        <v>Investments</v>
      </c>
      <c r="AN6" s="545" t="str">
        <f>AH6</f>
        <v>Net goodwill</v>
      </c>
      <c r="AO6" s="147" t="s">
        <v>36</v>
      </c>
      <c r="AP6" s="544" t="str">
        <f>AJ6</f>
        <v>Investments</v>
      </c>
      <c r="AQ6" s="545" t="str">
        <f>AK6</f>
        <v>Net goodwill</v>
      </c>
      <c r="AR6" s="160" t="s">
        <v>36</v>
      </c>
      <c r="AS6" s="544" t="str">
        <f>AM6</f>
        <v>Investments</v>
      </c>
      <c r="AT6" s="545" t="str">
        <f>AN6</f>
        <v>Net goodwill</v>
      </c>
      <c r="AU6" s="147" t="s">
        <v>36</v>
      </c>
      <c r="AV6" s="544" t="str">
        <f>AM6</f>
        <v>Investments</v>
      </c>
      <c r="AW6" s="545" t="str">
        <f>AN6</f>
        <v>Net goodwill</v>
      </c>
      <c r="AX6" s="160" t="s">
        <v>36</v>
      </c>
      <c r="AY6" s="544" t="str">
        <f>AP6</f>
        <v>Investments</v>
      </c>
      <c r="AZ6" s="545" t="str">
        <f>AQ6</f>
        <v>Net goodwill</v>
      </c>
      <c r="BA6" s="160" t="s">
        <v>36</v>
      </c>
      <c r="BB6" s="544" t="str">
        <f>AS6</f>
        <v>Investments</v>
      </c>
      <c r="BC6" s="545" t="str">
        <f>AT6</f>
        <v>Net goodwill</v>
      </c>
      <c r="BD6" s="160" t="s">
        <v>36</v>
      </c>
      <c r="BE6" s="544" t="str">
        <f>AV6</f>
        <v>Investments</v>
      </c>
      <c r="BF6" s="545" t="str">
        <f>AW6</f>
        <v>Net goodwill</v>
      </c>
      <c r="BG6" s="160" t="s">
        <v>36</v>
      </c>
      <c r="BH6" s="544" t="str">
        <f>AV6</f>
        <v>Investments</v>
      </c>
      <c r="BI6" s="545" t="str">
        <f>AW6</f>
        <v>Net goodwill</v>
      </c>
      <c r="BJ6" s="160" t="s">
        <v>36</v>
      </c>
      <c r="BK6" s="544" t="str">
        <f>AY6</f>
        <v>Investments</v>
      </c>
      <c r="BL6" s="545" t="str">
        <f>AZ6</f>
        <v>Net goodwill</v>
      </c>
      <c r="BM6" s="160" t="s">
        <v>36</v>
      </c>
      <c r="BN6" s="544" t="str">
        <f>AY6</f>
        <v>Investments</v>
      </c>
      <c r="BO6" s="545" t="str">
        <f>AZ6</f>
        <v>Net goodwill</v>
      </c>
      <c r="BP6" s="160" t="s">
        <v>36</v>
      </c>
      <c r="BQ6" s="544" t="str">
        <f>BB6</f>
        <v>Investments</v>
      </c>
      <c r="BR6" s="545" t="str">
        <f>BC6</f>
        <v>Net goodwill</v>
      </c>
      <c r="BS6" s="160" t="s">
        <v>36</v>
      </c>
      <c r="BT6" s="544" t="str">
        <f>BE6</f>
        <v>Investments</v>
      </c>
      <c r="BU6" s="545" t="str">
        <f>BF6</f>
        <v>Net goodwill</v>
      </c>
      <c r="BV6" s="160" t="s">
        <v>36</v>
      </c>
      <c r="BW6" s="544" t="str">
        <f>BH6</f>
        <v>Investments</v>
      </c>
      <c r="BX6" s="545" t="str">
        <f>BI6</f>
        <v>Net goodwill</v>
      </c>
      <c r="BY6" s="160" t="s">
        <v>36</v>
      </c>
      <c r="BZ6" s="544" t="str">
        <f>BK6</f>
        <v>Investments</v>
      </c>
      <c r="CA6" s="545" t="str">
        <f>BL6</f>
        <v>Net goodwill</v>
      </c>
      <c r="CB6" s="160" t="s">
        <v>36</v>
      </c>
      <c r="CC6" s="544" t="str">
        <f>BN6</f>
        <v>Investments</v>
      </c>
      <c r="CD6" s="545" t="str">
        <f>BO6</f>
        <v>Net goodwill</v>
      </c>
      <c r="CE6" s="160" t="s">
        <v>36</v>
      </c>
      <c r="CF6" s="544" t="str">
        <f>BQ6</f>
        <v>Investments</v>
      </c>
      <c r="CG6" s="545" t="str">
        <f>BR6</f>
        <v>Net goodwill</v>
      </c>
      <c r="CH6" s="160" t="s">
        <v>36</v>
      </c>
      <c r="CI6" s="544" t="str">
        <f>BT6</f>
        <v>Investments</v>
      </c>
      <c r="CJ6" s="545" t="str">
        <f>BU6</f>
        <v>Net goodwill</v>
      </c>
      <c r="CK6" s="160" t="s">
        <v>36</v>
      </c>
      <c r="CL6" s="544" t="str">
        <f>BT6</f>
        <v>Investments</v>
      </c>
      <c r="CM6" s="545" t="str">
        <f>BU6</f>
        <v>Net goodwill</v>
      </c>
      <c r="CN6" s="160" t="s">
        <v>36</v>
      </c>
      <c r="CO6" s="544" t="str">
        <f>BW6</f>
        <v>Investments</v>
      </c>
      <c r="CP6" s="545" t="str">
        <f>BX6</f>
        <v>Net goodwill</v>
      </c>
      <c r="CQ6" s="160" t="s">
        <v>36</v>
      </c>
      <c r="CR6" s="544" t="s">
        <v>1174</v>
      </c>
      <c r="CS6" s="545" t="s">
        <v>1175</v>
      </c>
      <c r="CT6" s="160" t="s">
        <v>36</v>
      </c>
      <c r="CU6" s="544" t="str">
        <f>CC6</f>
        <v>Investments</v>
      </c>
      <c r="CV6" s="545" t="str">
        <f>CD6</f>
        <v>Net goodwill</v>
      </c>
      <c r="CW6" s="160" t="s">
        <v>36</v>
      </c>
      <c r="CX6" s="544" t="str">
        <f>CC6</f>
        <v>Investments</v>
      </c>
      <c r="CY6" s="545" t="str">
        <f>CD6</f>
        <v>Net goodwill</v>
      </c>
      <c r="CZ6" s="160" t="s">
        <v>36</v>
      </c>
      <c r="DA6" s="544" t="str">
        <f>CF6</f>
        <v>Investments</v>
      </c>
      <c r="DB6" s="545" t="str">
        <f>CG6</f>
        <v>Net goodwill</v>
      </c>
      <c r="DC6" s="160" t="s">
        <v>36</v>
      </c>
      <c r="DD6" s="544" t="str">
        <f>CI6</f>
        <v>Investments</v>
      </c>
      <c r="DE6" s="545" t="str">
        <f>CJ6</f>
        <v>Net goodwill</v>
      </c>
      <c r="DF6" s="160" t="s">
        <v>36</v>
      </c>
      <c r="DG6" s="544" t="str">
        <f>CL6</f>
        <v>Investments</v>
      </c>
      <c r="DH6" s="545" t="str">
        <f>CM6</f>
        <v>Net goodwill</v>
      </c>
      <c r="DI6" s="160" t="s">
        <v>36</v>
      </c>
      <c r="DJ6" s="544" t="str">
        <f>CO6</f>
        <v>Investments</v>
      </c>
      <c r="DK6" s="545" t="str">
        <f>CP6</f>
        <v>Net goodwill</v>
      </c>
      <c r="DL6" s="160" t="s">
        <v>36</v>
      </c>
      <c r="DM6" s="544" t="str">
        <f>CR6</f>
        <v>Investimento</v>
      </c>
      <c r="DN6" s="545" t="str">
        <f>CS6</f>
        <v>Ágio líquido</v>
      </c>
      <c r="DO6" s="160" t="s">
        <v>36</v>
      </c>
      <c r="DP6" s="544" t="str">
        <f>CU6</f>
        <v>Investments</v>
      </c>
      <c r="DQ6" s="545" t="str">
        <f>CV6</f>
        <v>Net goodwill</v>
      </c>
      <c r="DR6" s="160" t="s">
        <v>36</v>
      </c>
      <c r="DS6" s="544" t="str">
        <f>CX6</f>
        <v>Investments</v>
      </c>
      <c r="DT6" s="545" t="str">
        <f>CY6</f>
        <v>Net goodwill</v>
      </c>
      <c r="DU6" s="160" t="s">
        <v>36</v>
      </c>
      <c r="DV6" s="544" t="str">
        <f>DA6</f>
        <v>Investments</v>
      </c>
      <c r="DW6" s="545" t="str">
        <f>DB6</f>
        <v>Net goodwill</v>
      </c>
      <c r="DX6" s="160" t="s">
        <v>36</v>
      </c>
      <c r="DY6" s="544" t="str">
        <f>DD6</f>
        <v>Investments</v>
      </c>
      <c r="DZ6" s="545" t="str">
        <f>DE6</f>
        <v>Net goodwill</v>
      </c>
      <c r="EA6" s="160" t="s">
        <v>36</v>
      </c>
      <c r="EB6" s="544" t="str">
        <f>DG6</f>
        <v>Investments</v>
      </c>
      <c r="EC6" s="545" t="str">
        <f>DH6</f>
        <v>Net goodwill</v>
      </c>
      <c r="ED6" s="160" t="s">
        <v>36</v>
      </c>
      <c r="EE6" s="544" t="str">
        <f>DD6</f>
        <v>Investments</v>
      </c>
      <c r="EF6" s="545" t="str">
        <f>DE6</f>
        <v>Net goodwill</v>
      </c>
      <c r="EG6" s="160" t="s">
        <v>36</v>
      </c>
    </row>
    <row r="7" spans="2:137" ht="15" customHeight="1" x14ac:dyDescent="0.2">
      <c r="B7" s="130" t="s">
        <v>52</v>
      </c>
      <c r="C7" s="161">
        <v>29478</v>
      </c>
      <c r="D7" s="118">
        <v>6364</v>
      </c>
      <c r="E7" s="162">
        <f>SUM(C7:D7)</f>
        <v>35842</v>
      </c>
      <c r="F7" s="161">
        <v>33338</v>
      </c>
      <c r="G7" s="118">
        <v>6364</v>
      </c>
      <c r="H7" s="162">
        <f>SUM(F7:G7)</f>
        <v>39702</v>
      </c>
      <c r="I7" s="161">
        <v>48311</v>
      </c>
      <c r="J7" s="118">
        <v>6364</v>
      </c>
      <c r="K7" s="162">
        <f>SUM(I7:J7)</f>
        <v>54675</v>
      </c>
      <c r="L7" s="161">
        <v>48738</v>
      </c>
      <c r="M7" s="118">
        <v>6364</v>
      </c>
      <c r="N7" s="162">
        <f>SUM(L7:M7)</f>
        <v>55102</v>
      </c>
      <c r="O7" s="161">
        <v>81809</v>
      </c>
      <c r="P7" s="118">
        <v>6364</v>
      </c>
      <c r="Q7" s="162">
        <f>SUM(O7:P7)</f>
        <v>88173</v>
      </c>
      <c r="R7" s="161">
        <v>83580</v>
      </c>
      <c r="S7" s="118">
        <v>6364</v>
      </c>
      <c r="T7" s="162">
        <f>SUM(R7:S7)</f>
        <v>89944</v>
      </c>
      <c r="U7" s="161">
        <v>83859</v>
      </c>
      <c r="V7" s="118">
        <v>6364</v>
      </c>
      <c r="W7" s="162">
        <f>SUM(U7:V7)</f>
        <v>90223</v>
      </c>
      <c r="X7" s="161">
        <v>83402</v>
      </c>
      <c r="Y7" s="118">
        <v>6364</v>
      </c>
      <c r="Z7" s="162">
        <v>89766</v>
      </c>
      <c r="AA7" s="161">
        <v>83456</v>
      </c>
      <c r="AB7" s="118">
        <v>6364</v>
      </c>
      <c r="AC7" s="162">
        <f>SUM(AA7:AB7)</f>
        <v>89820</v>
      </c>
      <c r="AD7" s="161">
        <v>86724</v>
      </c>
      <c r="AE7" s="118">
        <v>6364</v>
      </c>
      <c r="AF7" s="162">
        <f>SUM(AD7:AE7)</f>
        <v>93088</v>
      </c>
      <c r="AG7" s="161">
        <v>88966</v>
      </c>
      <c r="AH7" s="118">
        <v>6364</v>
      </c>
      <c r="AI7" s="162">
        <f>SUM(AG7:AH7)</f>
        <v>95330</v>
      </c>
      <c r="AJ7" s="161">
        <v>90775</v>
      </c>
      <c r="AK7" s="118">
        <v>6364</v>
      </c>
      <c r="AL7" s="162">
        <v>97139</v>
      </c>
      <c r="AM7" s="118">
        <v>93364</v>
      </c>
      <c r="AN7" s="118">
        <v>6364</v>
      </c>
      <c r="AO7" s="118">
        <v>99728</v>
      </c>
      <c r="AP7" s="161">
        <v>96868</v>
      </c>
      <c r="AQ7" s="118">
        <v>6364</v>
      </c>
      <c r="AR7" s="162">
        <v>103232</v>
      </c>
      <c r="AS7" s="118">
        <v>97463</v>
      </c>
      <c r="AT7" s="118">
        <v>6364</v>
      </c>
      <c r="AU7" s="118">
        <v>103827</v>
      </c>
      <c r="AV7" s="161">
        <v>97271</v>
      </c>
      <c r="AW7" s="118">
        <v>6364</v>
      </c>
      <c r="AX7" s="162">
        <v>103635</v>
      </c>
      <c r="AY7" s="161">
        <v>108886</v>
      </c>
      <c r="AZ7" s="118">
        <v>6364</v>
      </c>
      <c r="BA7" s="162">
        <v>115250</v>
      </c>
      <c r="BB7" s="161">
        <v>47278</v>
      </c>
      <c r="BC7" s="118">
        <v>6364</v>
      </c>
      <c r="BD7" s="162">
        <f>SUM(BB7:BC7)</f>
        <v>53642</v>
      </c>
      <c r="BE7" s="161">
        <v>49584</v>
      </c>
      <c r="BF7" s="118">
        <v>6364</v>
      </c>
      <c r="BG7" s="162">
        <f>SUM(BE7:BF7)</f>
        <v>55948</v>
      </c>
      <c r="BH7" s="161">
        <v>31289</v>
      </c>
      <c r="BI7" s="118">
        <v>6364</v>
      </c>
      <c r="BJ7" s="162">
        <f>SUM(BH7:BI7)</f>
        <v>37653</v>
      </c>
      <c r="BK7" s="161">
        <v>33533</v>
      </c>
      <c r="BL7" s="118">
        <v>6364</v>
      </c>
      <c r="BM7" s="162">
        <f>SUM(BK7:BL7)</f>
        <v>39897</v>
      </c>
      <c r="BN7" s="161">
        <v>36365</v>
      </c>
      <c r="BO7" s="118">
        <v>6364</v>
      </c>
      <c r="BP7" s="162">
        <f>SUM(BN7:BO7)</f>
        <v>42729</v>
      </c>
      <c r="BQ7" s="161">
        <v>38779</v>
      </c>
      <c r="BR7" s="118">
        <v>6364</v>
      </c>
      <c r="BS7" s="162">
        <f t="shared" ref="BS7:BS12" si="0">SUM(BQ7:BR7)</f>
        <v>45143</v>
      </c>
      <c r="BT7" s="161">
        <v>43275</v>
      </c>
      <c r="BU7" s="118">
        <v>6364</v>
      </c>
      <c r="BV7" s="162">
        <v>49639</v>
      </c>
      <c r="BW7" s="161">
        <v>53257</v>
      </c>
      <c r="BX7" s="118">
        <v>6364</v>
      </c>
      <c r="BY7" s="162">
        <v>59621</v>
      </c>
      <c r="BZ7" s="161">
        <v>65416</v>
      </c>
      <c r="CA7" s="118">
        <v>6364</v>
      </c>
      <c r="CB7" s="162">
        <v>71780</v>
      </c>
      <c r="CC7" s="161">
        <v>48803</v>
      </c>
      <c r="CD7" s="118">
        <v>6364</v>
      </c>
      <c r="CE7" s="162">
        <v>55167</v>
      </c>
      <c r="CF7" s="161">
        <v>53246</v>
      </c>
      <c r="CG7" s="118">
        <v>6364</v>
      </c>
      <c r="CH7" s="162">
        <f>SUM(CF7:CG7)</f>
        <v>59610</v>
      </c>
      <c r="CI7" s="161">
        <v>57630</v>
      </c>
      <c r="CJ7" s="118">
        <v>6364</v>
      </c>
      <c r="CK7" s="162">
        <v>63994</v>
      </c>
      <c r="CL7" s="161">
        <v>59815</v>
      </c>
      <c r="CM7" s="118">
        <v>6364</v>
      </c>
      <c r="CN7" s="162">
        <f>SUM(CL7:CM7)</f>
        <v>66179</v>
      </c>
      <c r="CO7" s="161">
        <v>58981</v>
      </c>
      <c r="CP7" s="118">
        <v>6364</v>
      </c>
      <c r="CQ7" s="162">
        <f t="shared" ref="CQ7:CQ12" si="1">SUM(CO7:CP7)</f>
        <v>65345</v>
      </c>
      <c r="CR7" s="161">
        <v>63479</v>
      </c>
      <c r="CS7" s="118">
        <v>6364</v>
      </c>
      <c r="CT7" s="162">
        <v>69843</v>
      </c>
      <c r="CU7" s="161">
        <v>66212</v>
      </c>
      <c r="CV7" s="118">
        <v>6364</v>
      </c>
      <c r="CW7" s="162">
        <f>SUM(CU7:CV7)</f>
        <v>72576</v>
      </c>
      <c r="CX7" s="161">
        <v>71836</v>
      </c>
      <c r="CY7" s="118">
        <v>6364</v>
      </c>
      <c r="CZ7" s="162">
        <f t="shared" ref="CZ7:CZ12" si="2">SUM(CX7:CY7)</f>
        <v>78200</v>
      </c>
      <c r="DA7" s="161">
        <v>65609</v>
      </c>
      <c r="DB7" s="118">
        <v>6363</v>
      </c>
      <c r="DC7" s="162">
        <v>71972</v>
      </c>
      <c r="DD7" s="161">
        <v>59842</v>
      </c>
      <c r="DE7" s="118">
        <v>6363</v>
      </c>
      <c r="DF7" s="162">
        <f t="shared" ref="DF7:DF12" si="3">SUM(DD7:DE7)</f>
        <v>66205</v>
      </c>
      <c r="DG7" s="161">
        <v>62977</v>
      </c>
      <c r="DH7" s="118">
        <v>6363</v>
      </c>
      <c r="DI7" s="162">
        <v>69340</v>
      </c>
      <c r="DJ7" s="161">
        <v>66029</v>
      </c>
      <c r="DK7" s="118">
        <v>6363</v>
      </c>
      <c r="DL7" s="162">
        <f>SUM(DJ7:DK7)</f>
        <v>72392</v>
      </c>
      <c r="DM7" s="161">
        <v>69197</v>
      </c>
      <c r="DN7" s="118">
        <v>6363</v>
      </c>
      <c r="DO7" s="162">
        <v>75560</v>
      </c>
      <c r="DP7" s="161">
        <v>72735</v>
      </c>
      <c r="DQ7" s="118">
        <v>6363</v>
      </c>
      <c r="DR7" s="162">
        <v>79098</v>
      </c>
      <c r="DS7" s="161">
        <v>75399</v>
      </c>
      <c r="DT7" s="118">
        <v>6363</v>
      </c>
      <c r="DU7" s="162">
        <v>81762</v>
      </c>
      <c r="DV7" s="161">
        <v>76976</v>
      </c>
      <c r="DW7" s="118">
        <v>6363</v>
      </c>
      <c r="DX7" s="162">
        <f>SUM(DV7:DW7)</f>
        <v>83339</v>
      </c>
      <c r="DY7" s="161">
        <v>70160</v>
      </c>
      <c r="DZ7" s="118">
        <v>6363</v>
      </c>
      <c r="EA7" s="162">
        <f>SUM(DY7:DZ7)</f>
        <v>76523</v>
      </c>
      <c r="EB7" s="161">
        <v>71773</v>
      </c>
      <c r="EC7" s="118">
        <v>6363</v>
      </c>
      <c r="ED7" s="162">
        <f>SUM(EB7:EC7)</f>
        <v>78136</v>
      </c>
      <c r="EE7" s="161">
        <v>72786</v>
      </c>
      <c r="EF7" s="118">
        <v>6363</v>
      </c>
      <c r="EG7" s="162">
        <f>SUM(EE7:EF7)</f>
        <v>79149</v>
      </c>
    </row>
    <row r="8" spans="2:137" ht="15" customHeight="1" x14ac:dyDescent="0.2">
      <c r="B8" s="130" t="s">
        <v>695</v>
      </c>
      <c r="C8" s="161" t="s">
        <v>47</v>
      </c>
      <c r="D8" s="118" t="s">
        <v>47</v>
      </c>
      <c r="E8" s="162" t="s">
        <v>47</v>
      </c>
      <c r="F8" s="161" t="s">
        <v>47</v>
      </c>
      <c r="G8" s="118" t="s">
        <v>47</v>
      </c>
      <c r="H8" s="162" t="s">
        <v>47</v>
      </c>
      <c r="I8" s="161" t="s">
        <v>47</v>
      </c>
      <c r="J8" s="118" t="s">
        <v>47</v>
      </c>
      <c r="K8" s="162" t="s">
        <v>47</v>
      </c>
      <c r="L8" s="161" t="s">
        <v>47</v>
      </c>
      <c r="M8" s="118" t="s">
        <v>47</v>
      </c>
      <c r="N8" s="162" t="s">
        <v>47</v>
      </c>
      <c r="O8" s="161" t="s">
        <v>47</v>
      </c>
      <c r="P8" s="118" t="s">
        <v>47</v>
      </c>
      <c r="Q8" s="162" t="s">
        <v>47</v>
      </c>
      <c r="R8" s="161" t="s">
        <v>47</v>
      </c>
      <c r="S8" s="118" t="s">
        <v>47</v>
      </c>
      <c r="T8" s="162" t="s">
        <v>47</v>
      </c>
      <c r="U8" s="161" t="s">
        <v>47</v>
      </c>
      <c r="V8" s="118" t="s">
        <v>47</v>
      </c>
      <c r="W8" s="162" t="s">
        <v>47</v>
      </c>
      <c r="X8" s="161" t="s">
        <v>47</v>
      </c>
      <c r="Y8" s="118" t="s">
        <v>47</v>
      </c>
      <c r="Z8" s="162" t="s">
        <v>47</v>
      </c>
      <c r="AA8" s="161" t="s">
        <v>47</v>
      </c>
      <c r="AB8" s="118" t="s">
        <v>47</v>
      </c>
      <c r="AC8" s="162" t="s">
        <v>47</v>
      </c>
      <c r="AD8" s="161" t="s">
        <v>47</v>
      </c>
      <c r="AE8" s="118" t="s">
        <v>47</v>
      </c>
      <c r="AF8" s="162" t="s">
        <v>47</v>
      </c>
      <c r="AG8" s="161" t="s">
        <v>47</v>
      </c>
      <c r="AH8" s="118" t="s">
        <v>47</v>
      </c>
      <c r="AI8" s="162" t="s">
        <v>47</v>
      </c>
      <c r="AJ8" s="161" t="s">
        <v>47</v>
      </c>
      <c r="AK8" s="118" t="s">
        <v>47</v>
      </c>
      <c r="AL8" s="162" t="s">
        <v>47</v>
      </c>
      <c r="AM8" s="118" t="s">
        <v>47</v>
      </c>
      <c r="AN8" s="118" t="s">
        <v>47</v>
      </c>
      <c r="AO8" s="118" t="s">
        <v>47</v>
      </c>
      <c r="AP8" s="161" t="s">
        <v>47</v>
      </c>
      <c r="AQ8" s="118" t="s">
        <v>47</v>
      </c>
      <c r="AR8" s="162" t="s">
        <v>47</v>
      </c>
      <c r="AS8" s="118" t="s">
        <v>47</v>
      </c>
      <c r="AT8" s="118" t="s">
        <v>47</v>
      </c>
      <c r="AU8" s="118" t="s">
        <v>47</v>
      </c>
      <c r="AV8" s="161" t="s">
        <v>47</v>
      </c>
      <c r="AW8" s="118" t="s">
        <v>47</v>
      </c>
      <c r="AX8" s="162" t="s">
        <v>47</v>
      </c>
      <c r="AY8" s="161">
        <v>22236</v>
      </c>
      <c r="AZ8" s="118">
        <v>0</v>
      </c>
      <c r="BA8" s="162">
        <v>22236</v>
      </c>
      <c r="BB8" s="161">
        <v>0</v>
      </c>
      <c r="BC8" s="118">
        <v>0</v>
      </c>
      <c r="BD8" s="162">
        <f>SUM(BB8:BC8)</f>
        <v>0</v>
      </c>
      <c r="BE8" s="161">
        <v>0</v>
      </c>
      <c r="BF8" s="118">
        <v>0</v>
      </c>
      <c r="BG8" s="162">
        <f>SUM(BE8:BF8)</f>
        <v>0</v>
      </c>
      <c r="BH8" s="161">
        <v>27398</v>
      </c>
      <c r="BI8" s="118">
        <v>0</v>
      </c>
      <c r="BJ8" s="162">
        <f>SUM(BH8:BI8)</f>
        <v>27398</v>
      </c>
      <c r="BK8" s="161">
        <v>26099</v>
      </c>
      <c r="BL8" s="118">
        <v>0</v>
      </c>
      <c r="BM8" s="162">
        <f>SUM(BK8:BL8)</f>
        <v>26099</v>
      </c>
      <c r="BN8" s="161">
        <v>25530</v>
      </c>
      <c r="BO8" s="118">
        <v>0</v>
      </c>
      <c r="BP8" s="162">
        <f>SUM(BN8:BO8)</f>
        <v>25530</v>
      </c>
      <c r="BQ8" s="161">
        <v>24857</v>
      </c>
      <c r="BR8" s="118">
        <v>0</v>
      </c>
      <c r="BS8" s="162">
        <f t="shared" si="0"/>
        <v>24857</v>
      </c>
      <c r="BT8" s="161">
        <v>24526</v>
      </c>
      <c r="BU8" s="118">
        <v>0</v>
      </c>
      <c r="BV8" s="162">
        <v>24526</v>
      </c>
      <c r="BW8" s="161">
        <v>23423</v>
      </c>
      <c r="BX8" s="118">
        <v>0</v>
      </c>
      <c r="BY8" s="162">
        <v>23423</v>
      </c>
      <c r="BZ8" s="161">
        <v>17781</v>
      </c>
      <c r="CA8" s="118">
        <v>0</v>
      </c>
      <c r="CB8" s="162">
        <v>17781</v>
      </c>
      <c r="CC8" s="161">
        <v>19149</v>
      </c>
      <c r="CD8" s="118">
        <v>0</v>
      </c>
      <c r="CE8" s="162">
        <v>19149</v>
      </c>
      <c r="CF8" s="161">
        <v>19628</v>
      </c>
      <c r="CG8" s="118">
        <v>0</v>
      </c>
      <c r="CH8" s="162">
        <f>SUM(CF8:CG8)</f>
        <v>19628</v>
      </c>
      <c r="CI8" s="161">
        <v>15975</v>
      </c>
      <c r="CJ8" s="118">
        <v>0</v>
      </c>
      <c r="CK8" s="162">
        <v>15975</v>
      </c>
      <c r="CL8" s="161">
        <v>15536</v>
      </c>
      <c r="CM8" s="118">
        <v>0</v>
      </c>
      <c r="CN8" s="162">
        <f>SUM(CL8:CM8)</f>
        <v>15536</v>
      </c>
      <c r="CO8" s="161">
        <v>14656</v>
      </c>
      <c r="CP8" s="118">
        <v>0</v>
      </c>
      <c r="CQ8" s="162">
        <f t="shared" si="1"/>
        <v>14656</v>
      </c>
      <c r="CR8" s="161">
        <v>14646</v>
      </c>
      <c r="CS8" s="118">
        <v>0</v>
      </c>
      <c r="CT8" s="162">
        <v>14646</v>
      </c>
      <c r="CU8" s="161">
        <v>14650</v>
      </c>
      <c r="CV8" s="118">
        <v>0</v>
      </c>
      <c r="CW8" s="162">
        <f>SUM(CU8:CV8)</f>
        <v>14650</v>
      </c>
      <c r="CX8" s="161">
        <v>14879</v>
      </c>
      <c r="CY8" s="118">
        <v>0</v>
      </c>
      <c r="CZ8" s="162">
        <f t="shared" si="2"/>
        <v>14879</v>
      </c>
      <c r="DA8" s="161">
        <v>15241</v>
      </c>
      <c r="DB8" s="118">
        <v>0</v>
      </c>
      <c r="DC8" s="162">
        <v>15241</v>
      </c>
      <c r="DD8" s="161">
        <v>15626</v>
      </c>
      <c r="DE8" s="118">
        <v>0</v>
      </c>
      <c r="DF8" s="162">
        <f t="shared" si="3"/>
        <v>15626</v>
      </c>
      <c r="DG8" s="161">
        <v>15708</v>
      </c>
      <c r="DH8" s="118">
        <v>0</v>
      </c>
      <c r="DI8" s="162">
        <v>15708</v>
      </c>
      <c r="DJ8" s="161">
        <v>17206</v>
      </c>
      <c r="DK8" s="118">
        <v>0</v>
      </c>
      <c r="DL8" s="162">
        <f>SUM(DJ8:DK8)</f>
        <v>17206</v>
      </c>
      <c r="DM8" s="161">
        <v>19483</v>
      </c>
      <c r="DN8" s="118">
        <v>0</v>
      </c>
      <c r="DO8" s="162">
        <v>19483</v>
      </c>
      <c r="DP8" s="161">
        <v>20924</v>
      </c>
      <c r="DQ8" s="118">
        <v>0</v>
      </c>
      <c r="DR8" s="162">
        <v>20924</v>
      </c>
      <c r="DS8" s="161">
        <v>25078</v>
      </c>
      <c r="DT8" s="118">
        <v>0</v>
      </c>
      <c r="DU8" s="162">
        <v>25078</v>
      </c>
      <c r="DV8" s="161">
        <v>31971</v>
      </c>
      <c r="DW8" s="118">
        <v>0</v>
      </c>
      <c r="DX8" s="162">
        <f>SUM(DV8:DW8)</f>
        <v>31971</v>
      </c>
      <c r="DY8" s="161">
        <v>31457</v>
      </c>
      <c r="DZ8" s="118">
        <v>0</v>
      </c>
      <c r="EA8" s="162">
        <f>SUM(DY8:DZ8)</f>
        <v>31457</v>
      </c>
      <c r="EB8" s="161">
        <v>32740</v>
      </c>
      <c r="EC8" s="118">
        <v>0</v>
      </c>
      <c r="ED8" s="162">
        <f>SUM(EB8:EC8)</f>
        <v>32740</v>
      </c>
      <c r="EE8" s="161">
        <v>33799</v>
      </c>
      <c r="EF8" s="118">
        <v>0</v>
      </c>
      <c r="EG8" s="162">
        <f>SUM(EE8:EF8)</f>
        <v>33799</v>
      </c>
    </row>
    <row r="9" spans="2:137" ht="15" customHeight="1" x14ac:dyDescent="0.2">
      <c r="B9" s="130" t="s">
        <v>54</v>
      </c>
      <c r="C9" s="161">
        <v>18979</v>
      </c>
      <c r="D9" s="118">
        <v>0</v>
      </c>
      <c r="E9" s="162">
        <f>SUM(C9:D9)</f>
        <v>18979</v>
      </c>
      <c r="F9" s="161">
        <v>19969</v>
      </c>
      <c r="G9" s="118">
        <v>0</v>
      </c>
      <c r="H9" s="162">
        <f>SUM(F9:G9)</f>
        <v>19969</v>
      </c>
      <c r="I9" s="161">
        <v>20958</v>
      </c>
      <c r="J9" s="118">
        <v>0</v>
      </c>
      <c r="K9" s="162">
        <f>SUM(I9:J9)</f>
        <v>20958</v>
      </c>
      <c r="L9" s="161">
        <v>21620</v>
      </c>
      <c r="M9" s="118">
        <v>0</v>
      </c>
      <c r="N9" s="162">
        <f>SUM(L9:M9)</f>
        <v>21620</v>
      </c>
      <c r="O9" s="161">
        <v>21620</v>
      </c>
      <c r="P9" s="118">
        <v>0</v>
      </c>
      <c r="Q9" s="162">
        <f>SUM(O9:P9)</f>
        <v>21620</v>
      </c>
      <c r="R9" s="161">
        <v>21708</v>
      </c>
      <c r="S9" s="118">
        <v>0</v>
      </c>
      <c r="T9" s="162">
        <f>SUM(R9:S9)</f>
        <v>21708</v>
      </c>
      <c r="U9" s="161">
        <v>23245</v>
      </c>
      <c r="V9" s="118">
        <v>0</v>
      </c>
      <c r="W9" s="162">
        <f>SUM(U9:V9)</f>
        <v>23245</v>
      </c>
      <c r="X9" s="161">
        <v>28867</v>
      </c>
      <c r="Y9" s="118">
        <v>0</v>
      </c>
      <c r="Z9" s="162">
        <v>28867</v>
      </c>
      <c r="AA9" s="161">
        <v>33759</v>
      </c>
      <c r="AB9" s="118">
        <v>0</v>
      </c>
      <c r="AC9" s="162">
        <f>SUM(AA9:AB9)</f>
        <v>33759</v>
      </c>
      <c r="AD9" s="161">
        <v>37843</v>
      </c>
      <c r="AE9" s="118">
        <v>0</v>
      </c>
      <c r="AF9" s="162">
        <f>SUM(AD9:AE9)</f>
        <v>37843</v>
      </c>
      <c r="AG9" s="161">
        <v>56798</v>
      </c>
      <c r="AH9" s="118">
        <v>0</v>
      </c>
      <c r="AI9" s="162">
        <f>SUM(AG9:AH9)</f>
        <v>56798</v>
      </c>
      <c r="AJ9" s="161">
        <v>62969</v>
      </c>
      <c r="AK9" s="118">
        <v>0</v>
      </c>
      <c r="AL9" s="162">
        <v>62969</v>
      </c>
      <c r="AM9" s="118">
        <v>61947</v>
      </c>
      <c r="AN9" s="118">
        <v>0</v>
      </c>
      <c r="AO9" s="118">
        <v>61947</v>
      </c>
      <c r="AP9" s="161">
        <v>62592</v>
      </c>
      <c r="AQ9" s="118">
        <v>0</v>
      </c>
      <c r="AR9" s="162">
        <v>62592</v>
      </c>
      <c r="AS9" s="118">
        <v>63215</v>
      </c>
      <c r="AT9" s="118">
        <v>0</v>
      </c>
      <c r="AU9" s="118">
        <v>63215</v>
      </c>
      <c r="AV9" s="161">
        <v>63679</v>
      </c>
      <c r="AW9" s="118">
        <v>0</v>
      </c>
      <c r="AX9" s="162">
        <v>63679</v>
      </c>
      <c r="AY9" s="161">
        <v>64203</v>
      </c>
      <c r="AZ9" s="118">
        <v>0</v>
      </c>
      <c r="BA9" s="162">
        <v>64203</v>
      </c>
      <c r="BB9" s="161">
        <v>64705</v>
      </c>
      <c r="BC9" s="118">
        <v>0</v>
      </c>
      <c r="BD9" s="162">
        <f>SUM(BB9:BC9)</f>
        <v>64705</v>
      </c>
      <c r="BE9" s="161">
        <v>64110</v>
      </c>
      <c r="BF9" s="118">
        <v>0</v>
      </c>
      <c r="BG9" s="162">
        <f>SUM(BE9:BF9)</f>
        <v>64110</v>
      </c>
      <c r="BH9" s="161">
        <v>71996</v>
      </c>
      <c r="BI9" s="118">
        <v>0</v>
      </c>
      <c r="BJ9" s="162">
        <f>SUM(BH9:BI9)</f>
        <v>71996</v>
      </c>
      <c r="BK9" s="161">
        <v>76452</v>
      </c>
      <c r="BL9" s="118">
        <v>0</v>
      </c>
      <c r="BM9" s="162">
        <f>SUM(BK9:BL9)</f>
        <v>76452</v>
      </c>
      <c r="BN9" s="161">
        <v>80906</v>
      </c>
      <c r="BO9" s="118">
        <v>0</v>
      </c>
      <c r="BP9" s="162">
        <f t="shared" ref="BP9:BP20" si="4">SUM(BN9:BO9)</f>
        <v>80906</v>
      </c>
      <c r="BQ9" s="161">
        <v>84261</v>
      </c>
      <c r="BR9" s="118">
        <v>0</v>
      </c>
      <c r="BS9" s="162">
        <f t="shared" si="0"/>
        <v>84261</v>
      </c>
      <c r="BT9" s="161">
        <v>84881</v>
      </c>
      <c r="BU9" s="118">
        <v>0</v>
      </c>
      <c r="BV9" s="162">
        <v>84881</v>
      </c>
      <c r="BW9" s="161">
        <v>107579</v>
      </c>
      <c r="BX9" s="118">
        <v>0</v>
      </c>
      <c r="BY9" s="162">
        <v>107579</v>
      </c>
      <c r="BZ9" s="161">
        <v>108161</v>
      </c>
      <c r="CA9" s="118">
        <v>0</v>
      </c>
      <c r="CB9" s="162">
        <v>108161</v>
      </c>
      <c r="CC9" s="161">
        <v>106865</v>
      </c>
      <c r="CD9" s="118">
        <v>0</v>
      </c>
      <c r="CE9" s="162">
        <v>106865</v>
      </c>
      <c r="CF9" s="161">
        <v>107433</v>
      </c>
      <c r="CG9" s="118">
        <v>0</v>
      </c>
      <c r="CH9" s="162">
        <f t="shared" ref="CH9:CH20" si="5">SUM(CF9:CG9)</f>
        <v>107433</v>
      </c>
      <c r="CI9" s="161">
        <v>108528</v>
      </c>
      <c r="CJ9" s="118">
        <v>0</v>
      </c>
      <c r="CK9" s="162">
        <v>108528</v>
      </c>
      <c r="CL9" s="161">
        <v>109597</v>
      </c>
      <c r="CM9" s="118">
        <v>0</v>
      </c>
      <c r="CN9" s="162">
        <f t="shared" ref="CN9:CN20" si="6">SUM(CL9:CM9)</f>
        <v>109597</v>
      </c>
      <c r="CO9" s="161">
        <v>106699</v>
      </c>
      <c r="CP9" s="118">
        <v>0</v>
      </c>
      <c r="CQ9" s="162">
        <f t="shared" si="1"/>
        <v>106699</v>
      </c>
      <c r="CR9" s="161">
        <v>108077</v>
      </c>
      <c r="CS9" s="118">
        <v>0</v>
      </c>
      <c r="CT9" s="162">
        <v>108077</v>
      </c>
      <c r="CU9" s="161">
        <v>109416</v>
      </c>
      <c r="CV9" s="118">
        <v>0</v>
      </c>
      <c r="CW9" s="162">
        <f t="shared" ref="CW9:CW17" si="7">SUM(CU9:CV9)</f>
        <v>109416</v>
      </c>
      <c r="CX9" s="161">
        <v>110978</v>
      </c>
      <c r="CY9" s="118">
        <v>0</v>
      </c>
      <c r="CZ9" s="162">
        <f t="shared" si="2"/>
        <v>110978</v>
      </c>
      <c r="DA9" s="161">
        <v>106725</v>
      </c>
      <c r="DB9" s="118">
        <v>0</v>
      </c>
      <c r="DC9" s="162">
        <v>106725</v>
      </c>
      <c r="DD9" s="161">
        <v>104623</v>
      </c>
      <c r="DE9" s="118">
        <v>0</v>
      </c>
      <c r="DF9" s="162">
        <f t="shared" si="3"/>
        <v>104623</v>
      </c>
      <c r="DG9" s="161">
        <v>105659</v>
      </c>
      <c r="DH9" s="118">
        <v>0</v>
      </c>
      <c r="DI9" s="162">
        <v>105659</v>
      </c>
      <c r="DJ9" s="161">
        <v>134059</v>
      </c>
      <c r="DK9" s="118">
        <v>0</v>
      </c>
      <c r="DL9" s="162">
        <f t="shared" ref="DL9:DL17" si="8">SUM(DJ9:DK9)</f>
        <v>134059</v>
      </c>
      <c r="DM9" s="161">
        <v>132900</v>
      </c>
      <c r="DN9" s="118">
        <v>0</v>
      </c>
      <c r="DO9" s="162">
        <v>132900</v>
      </c>
      <c r="DP9" s="161">
        <v>133724</v>
      </c>
      <c r="DQ9" s="118">
        <v>0</v>
      </c>
      <c r="DR9" s="162">
        <v>133724</v>
      </c>
      <c r="DS9" s="161">
        <v>134605</v>
      </c>
      <c r="DT9" s="118">
        <v>0</v>
      </c>
      <c r="DU9" s="162">
        <v>134605</v>
      </c>
      <c r="DV9" s="161">
        <v>135451</v>
      </c>
      <c r="DW9" s="118">
        <v>0</v>
      </c>
      <c r="DX9" s="162">
        <f t="shared" ref="DX9:DX17" si="9">SUM(DV9:DW9)</f>
        <v>135451</v>
      </c>
      <c r="DY9" s="161">
        <v>133134</v>
      </c>
      <c r="DZ9" s="118">
        <v>0</v>
      </c>
      <c r="EA9" s="162">
        <f t="shared" ref="EA9:EA14" si="10">SUM(DY9:DZ9)</f>
        <v>133134</v>
      </c>
      <c r="EB9" s="161">
        <v>134001</v>
      </c>
      <c r="EC9" s="118">
        <v>0</v>
      </c>
      <c r="ED9" s="162">
        <f t="shared" ref="ED9:ED17" si="11">SUM(EB9:EC9)</f>
        <v>134001</v>
      </c>
      <c r="EE9" s="161">
        <v>134911</v>
      </c>
      <c r="EF9" s="118">
        <v>0</v>
      </c>
      <c r="EG9" s="162">
        <f t="shared" ref="EG9:EG17" si="12">SUM(EE9:EF9)</f>
        <v>134911</v>
      </c>
    </row>
    <row r="10" spans="2:137" ht="15" customHeight="1" x14ac:dyDescent="0.2">
      <c r="B10" s="130" t="s">
        <v>56</v>
      </c>
      <c r="C10" s="161">
        <v>10694</v>
      </c>
      <c r="D10" s="118">
        <v>0</v>
      </c>
      <c r="E10" s="162">
        <f>SUM(C10:D10)</f>
        <v>10694</v>
      </c>
      <c r="F10" s="161">
        <v>11395</v>
      </c>
      <c r="G10" s="118">
        <v>0</v>
      </c>
      <c r="H10" s="162">
        <f>SUM(F10:G10)</f>
        <v>11395</v>
      </c>
      <c r="I10" s="161">
        <v>12780</v>
      </c>
      <c r="J10" s="118">
        <v>0</v>
      </c>
      <c r="K10" s="162">
        <f>SUM(I10:J10)</f>
        <v>12780</v>
      </c>
      <c r="L10" s="161">
        <v>13823</v>
      </c>
      <c r="M10" s="118">
        <v>0</v>
      </c>
      <c r="N10" s="162">
        <f>SUM(L10:M10)</f>
        <v>13823</v>
      </c>
      <c r="O10" s="161">
        <v>14186</v>
      </c>
      <c r="P10" s="118">
        <v>0</v>
      </c>
      <c r="Q10" s="162">
        <f>SUM(O10:P10)</f>
        <v>14186</v>
      </c>
      <c r="R10" s="161">
        <v>14896</v>
      </c>
      <c r="S10" s="118">
        <v>0</v>
      </c>
      <c r="T10" s="162">
        <f>SUM(R10:S10)</f>
        <v>14896</v>
      </c>
      <c r="U10" s="161">
        <v>15281</v>
      </c>
      <c r="V10" s="118">
        <v>0</v>
      </c>
      <c r="W10" s="162">
        <f>SUM(U10:V10)</f>
        <v>15281</v>
      </c>
      <c r="X10" s="161">
        <v>15624</v>
      </c>
      <c r="Y10" s="118">
        <v>0</v>
      </c>
      <c r="Z10" s="162">
        <v>15624</v>
      </c>
      <c r="AA10" s="118">
        <v>14560</v>
      </c>
      <c r="AB10" s="118">
        <v>0</v>
      </c>
      <c r="AC10" s="118">
        <f>SUM(AA10:AB10)</f>
        <v>14560</v>
      </c>
      <c r="AD10" s="161">
        <v>14693</v>
      </c>
      <c r="AE10" s="118">
        <v>0</v>
      </c>
      <c r="AF10" s="162">
        <f>SUM(AD10:AE10)</f>
        <v>14693</v>
      </c>
      <c r="AG10" s="161">
        <v>14110</v>
      </c>
      <c r="AH10" s="118">
        <v>0</v>
      </c>
      <c r="AI10" s="162">
        <f>SUM(AG10:AH10)</f>
        <v>14110</v>
      </c>
      <c r="AJ10" s="161">
        <v>13963</v>
      </c>
      <c r="AK10" s="118">
        <v>0</v>
      </c>
      <c r="AL10" s="162">
        <v>13963</v>
      </c>
      <c r="AM10" s="118">
        <v>14025</v>
      </c>
      <c r="AN10" s="118">
        <v>0</v>
      </c>
      <c r="AO10" s="118">
        <v>14025</v>
      </c>
      <c r="AP10" s="161">
        <v>14240</v>
      </c>
      <c r="AQ10" s="118">
        <v>0</v>
      </c>
      <c r="AR10" s="162">
        <v>14240</v>
      </c>
      <c r="AS10" s="118">
        <v>14308</v>
      </c>
      <c r="AT10" s="118">
        <v>0</v>
      </c>
      <c r="AU10" s="118">
        <v>14308</v>
      </c>
      <c r="AV10" s="161">
        <v>14365</v>
      </c>
      <c r="AW10" s="118">
        <v>0</v>
      </c>
      <c r="AX10" s="162">
        <v>14365</v>
      </c>
      <c r="AY10" s="161">
        <v>8319</v>
      </c>
      <c r="AZ10" s="118">
        <v>0</v>
      </c>
      <c r="BA10" s="162">
        <v>8319</v>
      </c>
      <c r="BB10" s="161">
        <v>2920</v>
      </c>
      <c r="BC10" s="118">
        <v>0</v>
      </c>
      <c r="BD10" s="162">
        <f>SUM(BB10:BC10)</f>
        <v>2920</v>
      </c>
      <c r="BE10" s="161">
        <v>2619</v>
      </c>
      <c r="BF10" s="118">
        <v>0</v>
      </c>
      <c r="BG10" s="162">
        <f>SUM(BE10:BF10)</f>
        <v>2619</v>
      </c>
      <c r="BH10" s="161">
        <v>2620</v>
      </c>
      <c r="BI10" s="118">
        <v>0</v>
      </c>
      <c r="BJ10" s="162">
        <f>SUM(BH10:BI10)</f>
        <v>2620</v>
      </c>
      <c r="BK10" s="161">
        <v>2640</v>
      </c>
      <c r="BL10" s="118">
        <v>0</v>
      </c>
      <c r="BM10" s="162">
        <f>SUM(BK10:BL10)</f>
        <v>2640</v>
      </c>
      <c r="BN10" s="161">
        <v>2669</v>
      </c>
      <c r="BO10" s="118">
        <v>0</v>
      </c>
      <c r="BP10" s="162">
        <f t="shared" si="4"/>
        <v>2669</v>
      </c>
      <c r="BQ10" s="161">
        <v>2686</v>
      </c>
      <c r="BR10" s="118">
        <v>0</v>
      </c>
      <c r="BS10" s="162">
        <f t="shared" si="0"/>
        <v>2686</v>
      </c>
      <c r="BT10" s="161">
        <v>2646</v>
      </c>
      <c r="BU10" s="118">
        <v>0</v>
      </c>
      <c r="BV10" s="162">
        <v>2646</v>
      </c>
      <c r="BW10" s="161">
        <v>2664</v>
      </c>
      <c r="BX10" s="118">
        <v>0</v>
      </c>
      <c r="BY10" s="162">
        <v>2664</v>
      </c>
      <c r="BZ10" s="161">
        <v>2676</v>
      </c>
      <c r="CA10" s="118">
        <v>0</v>
      </c>
      <c r="CB10" s="162">
        <v>2676</v>
      </c>
      <c r="CC10" s="161">
        <v>2533</v>
      </c>
      <c r="CD10" s="118">
        <v>0</v>
      </c>
      <c r="CE10" s="162">
        <v>2533</v>
      </c>
      <c r="CF10" s="161">
        <v>2536</v>
      </c>
      <c r="CG10" s="118">
        <v>0</v>
      </c>
      <c r="CH10" s="162">
        <f t="shared" si="5"/>
        <v>2536</v>
      </c>
      <c r="CI10" s="161">
        <v>1377</v>
      </c>
      <c r="CJ10" s="118">
        <v>0</v>
      </c>
      <c r="CK10" s="162">
        <v>1377</v>
      </c>
      <c r="CL10" s="161">
        <v>1378</v>
      </c>
      <c r="CM10" s="118">
        <v>0</v>
      </c>
      <c r="CN10" s="162">
        <f t="shared" si="6"/>
        <v>1378</v>
      </c>
      <c r="CO10" s="161">
        <v>1328</v>
      </c>
      <c r="CP10" s="118">
        <v>0</v>
      </c>
      <c r="CQ10" s="162">
        <f t="shared" si="1"/>
        <v>1328</v>
      </c>
      <c r="CR10" s="161">
        <v>1349</v>
      </c>
      <c r="CS10" s="118">
        <v>0</v>
      </c>
      <c r="CT10" s="162">
        <v>1349</v>
      </c>
      <c r="CU10" s="161">
        <v>1343</v>
      </c>
      <c r="CV10" s="118">
        <v>0</v>
      </c>
      <c r="CW10" s="162">
        <f t="shared" si="7"/>
        <v>1343</v>
      </c>
      <c r="CX10" s="161">
        <v>1349</v>
      </c>
      <c r="CY10" s="118">
        <v>0</v>
      </c>
      <c r="CZ10" s="162">
        <f t="shared" si="2"/>
        <v>1349</v>
      </c>
      <c r="DA10" s="161">
        <v>1366</v>
      </c>
      <c r="DB10" s="118">
        <v>0</v>
      </c>
      <c r="DC10" s="162">
        <v>1366</v>
      </c>
      <c r="DD10" s="161">
        <v>1385</v>
      </c>
      <c r="DE10" s="118">
        <v>0</v>
      </c>
      <c r="DF10" s="162">
        <f t="shared" si="3"/>
        <v>1385</v>
      </c>
      <c r="DG10" s="161">
        <v>1374</v>
      </c>
      <c r="DH10" s="118">
        <v>0</v>
      </c>
      <c r="DI10" s="162">
        <v>1374</v>
      </c>
      <c r="DJ10" s="161">
        <v>1391</v>
      </c>
      <c r="DK10" s="118">
        <v>0</v>
      </c>
      <c r="DL10" s="162">
        <f t="shared" si="8"/>
        <v>1391</v>
      </c>
      <c r="DM10" s="161">
        <v>1380</v>
      </c>
      <c r="DN10" s="118">
        <v>0</v>
      </c>
      <c r="DO10" s="162">
        <v>1380</v>
      </c>
      <c r="DP10" s="161">
        <v>1398</v>
      </c>
      <c r="DQ10" s="118">
        <v>0</v>
      </c>
      <c r="DR10" s="162">
        <v>1398</v>
      </c>
      <c r="DS10" s="161">
        <v>1415</v>
      </c>
      <c r="DT10" s="118">
        <v>0</v>
      </c>
      <c r="DU10" s="162">
        <v>1415</v>
      </c>
      <c r="DV10" s="161">
        <v>1417</v>
      </c>
      <c r="DW10" s="118">
        <v>0</v>
      </c>
      <c r="DX10" s="162">
        <f t="shared" si="9"/>
        <v>1417</v>
      </c>
      <c r="DY10" s="161">
        <v>1433</v>
      </c>
      <c r="DZ10" s="118">
        <v>0</v>
      </c>
      <c r="EA10" s="162">
        <f t="shared" si="10"/>
        <v>1433</v>
      </c>
      <c r="EB10" s="161">
        <v>1424</v>
      </c>
      <c r="EC10" s="118">
        <v>0</v>
      </c>
      <c r="ED10" s="162">
        <f t="shared" si="11"/>
        <v>1424</v>
      </c>
      <c r="EE10" s="161">
        <v>1437</v>
      </c>
      <c r="EF10" s="118">
        <v>0</v>
      </c>
      <c r="EG10" s="162">
        <f t="shared" si="12"/>
        <v>1437</v>
      </c>
    </row>
    <row r="11" spans="2:137" ht="15" customHeight="1" x14ac:dyDescent="0.2">
      <c r="B11" s="130" t="s">
        <v>775</v>
      </c>
      <c r="C11" s="161">
        <v>0</v>
      </c>
      <c r="D11" s="118">
        <v>0</v>
      </c>
      <c r="E11" s="162">
        <v>0</v>
      </c>
      <c r="F11" s="161">
        <v>0</v>
      </c>
      <c r="G11" s="118">
        <v>0</v>
      </c>
      <c r="H11" s="162">
        <v>0</v>
      </c>
      <c r="I11" s="161">
        <v>0</v>
      </c>
      <c r="J11" s="118">
        <v>0</v>
      </c>
      <c r="K11" s="162">
        <v>0</v>
      </c>
      <c r="L11" s="161">
        <v>0</v>
      </c>
      <c r="M11" s="118">
        <v>0</v>
      </c>
      <c r="N11" s="162">
        <v>0</v>
      </c>
      <c r="O11" s="161">
        <v>0</v>
      </c>
      <c r="P11" s="118">
        <v>0</v>
      </c>
      <c r="Q11" s="162">
        <v>0</v>
      </c>
      <c r="R11" s="161">
        <v>0</v>
      </c>
      <c r="S11" s="118">
        <v>0</v>
      </c>
      <c r="T11" s="162">
        <v>0</v>
      </c>
      <c r="U11" s="161">
        <v>0</v>
      </c>
      <c r="V11" s="118">
        <v>0</v>
      </c>
      <c r="W11" s="162">
        <v>0</v>
      </c>
      <c r="X11" s="161">
        <v>0</v>
      </c>
      <c r="Y11" s="118">
        <v>0</v>
      </c>
      <c r="Z11" s="162">
        <v>0</v>
      </c>
      <c r="AA11" s="161">
        <v>0</v>
      </c>
      <c r="AB11" s="118">
        <v>0</v>
      </c>
      <c r="AC11" s="162">
        <v>0</v>
      </c>
      <c r="AD11" s="161">
        <v>0</v>
      </c>
      <c r="AE11" s="118">
        <v>0</v>
      </c>
      <c r="AF11" s="162">
        <v>0</v>
      </c>
      <c r="AG11" s="161">
        <v>0</v>
      </c>
      <c r="AH11" s="118">
        <v>0</v>
      </c>
      <c r="AI11" s="162">
        <v>0</v>
      </c>
      <c r="AJ11" s="161">
        <v>0</v>
      </c>
      <c r="AK11" s="118">
        <v>0</v>
      </c>
      <c r="AL11" s="162">
        <v>0</v>
      </c>
      <c r="AM11" s="118">
        <v>0</v>
      </c>
      <c r="AN11" s="118">
        <v>0</v>
      </c>
      <c r="AO11" s="118">
        <v>0</v>
      </c>
      <c r="AP11" s="161">
        <v>0</v>
      </c>
      <c r="AQ11" s="118">
        <v>0</v>
      </c>
      <c r="AR11" s="162">
        <v>0</v>
      </c>
      <c r="AS11" s="118">
        <v>0</v>
      </c>
      <c r="AT11" s="118">
        <v>0</v>
      </c>
      <c r="AU11" s="118">
        <v>0</v>
      </c>
      <c r="AV11" s="161">
        <v>0</v>
      </c>
      <c r="AW11" s="118">
        <v>0</v>
      </c>
      <c r="AX11" s="162">
        <v>0</v>
      </c>
      <c r="AY11" s="161">
        <v>0</v>
      </c>
      <c r="AZ11" s="118">
        <v>0</v>
      </c>
      <c r="BA11" s="162">
        <v>0</v>
      </c>
      <c r="BB11" s="161">
        <v>0</v>
      </c>
      <c r="BC11" s="118">
        <v>0</v>
      </c>
      <c r="BD11" s="162">
        <v>0</v>
      </c>
      <c r="BE11" s="161">
        <v>1</v>
      </c>
      <c r="BF11" s="118">
        <v>0</v>
      </c>
      <c r="BG11" s="162">
        <f>SUM(BE11:BF11)</f>
        <v>1</v>
      </c>
      <c r="BH11" s="161">
        <v>1433</v>
      </c>
      <c r="BI11" s="118">
        <v>0</v>
      </c>
      <c r="BJ11" s="162">
        <f>SUM(BH11:BI11)</f>
        <v>1433</v>
      </c>
      <c r="BK11" s="161">
        <v>1448</v>
      </c>
      <c r="BL11" s="118">
        <v>0</v>
      </c>
      <c r="BM11" s="162">
        <f>SUM(BK11:BL11)</f>
        <v>1448</v>
      </c>
      <c r="BN11" s="161">
        <v>1426</v>
      </c>
      <c r="BO11" s="118">
        <v>0</v>
      </c>
      <c r="BP11" s="162">
        <f t="shared" si="4"/>
        <v>1426</v>
      </c>
      <c r="BQ11" s="161">
        <v>1430</v>
      </c>
      <c r="BR11" s="118">
        <v>0</v>
      </c>
      <c r="BS11" s="162">
        <f t="shared" si="0"/>
        <v>1430</v>
      </c>
      <c r="BT11" s="161">
        <v>4537</v>
      </c>
      <c r="BU11" s="118">
        <v>0</v>
      </c>
      <c r="BV11" s="162">
        <v>4537</v>
      </c>
      <c r="BW11" s="161">
        <v>4517</v>
      </c>
      <c r="BX11" s="118">
        <v>0</v>
      </c>
      <c r="BY11" s="162">
        <v>4517</v>
      </c>
      <c r="BZ11" s="161">
        <v>4496</v>
      </c>
      <c r="CA11" s="118">
        <v>0</v>
      </c>
      <c r="CB11" s="162">
        <v>4496</v>
      </c>
      <c r="CC11" s="161">
        <v>4624</v>
      </c>
      <c r="CD11" s="118">
        <v>0</v>
      </c>
      <c r="CE11" s="162">
        <v>4624</v>
      </c>
      <c r="CF11" s="161">
        <v>4641</v>
      </c>
      <c r="CG11" s="118">
        <v>0</v>
      </c>
      <c r="CH11" s="162">
        <f t="shared" si="5"/>
        <v>4641</v>
      </c>
      <c r="CI11" s="161">
        <v>4907</v>
      </c>
      <c r="CJ11" s="118">
        <v>0</v>
      </c>
      <c r="CK11" s="162">
        <v>4907</v>
      </c>
      <c r="CL11" s="161">
        <v>4889</v>
      </c>
      <c r="CM11" s="118">
        <v>0</v>
      </c>
      <c r="CN11" s="162">
        <f t="shared" si="6"/>
        <v>4889</v>
      </c>
      <c r="CO11" s="161">
        <v>5097</v>
      </c>
      <c r="CP11" s="118">
        <v>0</v>
      </c>
      <c r="CQ11" s="162">
        <f t="shared" si="1"/>
        <v>5097</v>
      </c>
      <c r="CR11" s="161">
        <v>5155</v>
      </c>
      <c r="CS11" s="118">
        <v>0</v>
      </c>
      <c r="CT11" s="162">
        <v>5155</v>
      </c>
      <c r="CU11" s="161">
        <v>6698</v>
      </c>
      <c r="CV11" s="118">
        <v>0</v>
      </c>
      <c r="CW11" s="162">
        <f t="shared" si="7"/>
        <v>6698</v>
      </c>
      <c r="CX11" s="161">
        <v>6831</v>
      </c>
      <c r="CY11" s="118">
        <v>0</v>
      </c>
      <c r="CZ11" s="162">
        <f t="shared" si="2"/>
        <v>6831</v>
      </c>
      <c r="DA11" s="161">
        <v>7361</v>
      </c>
      <c r="DB11" s="118">
        <v>0</v>
      </c>
      <c r="DC11" s="162">
        <v>7361</v>
      </c>
      <c r="DD11" s="161">
        <v>7892</v>
      </c>
      <c r="DE11" s="118">
        <v>0</v>
      </c>
      <c r="DF11" s="162">
        <f t="shared" si="3"/>
        <v>7892</v>
      </c>
      <c r="DG11" s="161">
        <v>7542</v>
      </c>
      <c r="DH11" s="118">
        <v>0</v>
      </c>
      <c r="DI11" s="162">
        <v>7542</v>
      </c>
      <c r="DJ11" s="161">
        <v>7400</v>
      </c>
      <c r="DK11" s="118">
        <v>0</v>
      </c>
      <c r="DL11" s="162">
        <f t="shared" si="8"/>
        <v>7400</v>
      </c>
      <c r="DM11" s="161">
        <v>6974</v>
      </c>
      <c r="DN11" s="118">
        <v>0</v>
      </c>
      <c r="DO11" s="162">
        <v>6974</v>
      </c>
      <c r="DP11" s="161">
        <v>6887</v>
      </c>
      <c r="DQ11" s="118">
        <v>0</v>
      </c>
      <c r="DR11" s="162">
        <v>6887</v>
      </c>
      <c r="DS11" s="161">
        <v>6833</v>
      </c>
      <c r="DT11" s="118">
        <v>0</v>
      </c>
      <c r="DU11" s="162">
        <v>6833</v>
      </c>
      <c r="DV11" s="161">
        <v>6803</v>
      </c>
      <c r="DW11" s="118">
        <v>0</v>
      </c>
      <c r="DX11" s="162">
        <f t="shared" si="9"/>
        <v>6803</v>
      </c>
      <c r="DY11" s="161">
        <v>6572</v>
      </c>
      <c r="DZ11" s="118">
        <v>0</v>
      </c>
      <c r="EA11" s="162">
        <f t="shared" si="10"/>
        <v>6572</v>
      </c>
      <c r="EB11" s="161">
        <v>16178</v>
      </c>
      <c r="EC11" s="118">
        <v>0</v>
      </c>
      <c r="ED11" s="162">
        <f t="shared" si="11"/>
        <v>16178</v>
      </c>
      <c r="EE11" s="161">
        <v>15801</v>
      </c>
      <c r="EF11" s="118">
        <v>0</v>
      </c>
      <c r="EG11" s="162">
        <f t="shared" si="12"/>
        <v>15801</v>
      </c>
    </row>
    <row r="12" spans="2:137" ht="15" customHeight="1" x14ac:dyDescent="0.2">
      <c r="B12" s="130" t="s">
        <v>868</v>
      </c>
      <c r="C12" s="161">
        <v>0</v>
      </c>
      <c r="D12" s="118">
        <v>0</v>
      </c>
      <c r="E12" s="162">
        <v>0</v>
      </c>
      <c r="F12" s="161">
        <v>0</v>
      </c>
      <c r="G12" s="118">
        <v>0</v>
      </c>
      <c r="H12" s="162">
        <v>0</v>
      </c>
      <c r="I12" s="161">
        <v>0</v>
      </c>
      <c r="J12" s="118">
        <v>0</v>
      </c>
      <c r="K12" s="162">
        <v>0</v>
      </c>
      <c r="L12" s="161">
        <v>0</v>
      </c>
      <c r="M12" s="118">
        <v>0</v>
      </c>
      <c r="N12" s="162">
        <v>0</v>
      </c>
      <c r="O12" s="161">
        <v>0</v>
      </c>
      <c r="P12" s="118">
        <v>0</v>
      </c>
      <c r="Q12" s="162">
        <v>0</v>
      </c>
      <c r="R12" s="161">
        <v>0</v>
      </c>
      <c r="S12" s="118">
        <v>0</v>
      </c>
      <c r="T12" s="162">
        <v>0</v>
      </c>
      <c r="U12" s="161">
        <v>0</v>
      </c>
      <c r="V12" s="118">
        <v>0</v>
      </c>
      <c r="W12" s="162">
        <v>0</v>
      </c>
      <c r="X12" s="161">
        <v>0</v>
      </c>
      <c r="Y12" s="118">
        <v>0</v>
      </c>
      <c r="Z12" s="162">
        <v>0</v>
      </c>
      <c r="AA12" s="161">
        <v>0</v>
      </c>
      <c r="AB12" s="118">
        <v>0</v>
      </c>
      <c r="AC12" s="162">
        <v>0</v>
      </c>
      <c r="AD12" s="161">
        <v>0</v>
      </c>
      <c r="AE12" s="118">
        <v>0</v>
      </c>
      <c r="AF12" s="162">
        <v>0</v>
      </c>
      <c r="AG12" s="161">
        <v>0</v>
      </c>
      <c r="AH12" s="118">
        <v>0</v>
      </c>
      <c r="AI12" s="162">
        <v>0</v>
      </c>
      <c r="AJ12" s="161">
        <v>0</v>
      </c>
      <c r="AK12" s="118">
        <v>0</v>
      </c>
      <c r="AL12" s="162">
        <v>0</v>
      </c>
      <c r="AM12" s="118">
        <v>0</v>
      </c>
      <c r="AN12" s="118">
        <v>0</v>
      </c>
      <c r="AO12" s="118">
        <v>0</v>
      </c>
      <c r="AP12" s="161">
        <v>0</v>
      </c>
      <c r="AQ12" s="118">
        <v>0</v>
      </c>
      <c r="AR12" s="162">
        <v>0</v>
      </c>
      <c r="AS12" s="118">
        <v>0</v>
      </c>
      <c r="AT12" s="118">
        <v>0</v>
      </c>
      <c r="AU12" s="118">
        <v>0</v>
      </c>
      <c r="AV12" s="161">
        <v>0</v>
      </c>
      <c r="AW12" s="118">
        <v>0</v>
      </c>
      <c r="AX12" s="162">
        <v>0</v>
      </c>
      <c r="AY12" s="161">
        <v>0</v>
      </c>
      <c r="AZ12" s="118">
        <v>0</v>
      </c>
      <c r="BA12" s="162">
        <v>0</v>
      </c>
      <c r="BB12" s="161">
        <v>0</v>
      </c>
      <c r="BC12" s="118">
        <v>0</v>
      </c>
      <c r="BD12" s="162">
        <v>0</v>
      </c>
      <c r="BE12" s="161">
        <v>0</v>
      </c>
      <c r="BF12" s="118">
        <v>0</v>
      </c>
      <c r="BG12" s="162">
        <v>0</v>
      </c>
      <c r="BH12" s="161">
        <v>0</v>
      </c>
      <c r="BI12" s="118">
        <v>0</v>
      </c>
      <c r="BJ12" s="162">
        <v>0</v>
      </c>
      <c r="BK12" s="161">
        <v>0</v>
      </c>
      <c r="BL12" s="118">
        <v>0</v>
      </c>
      <c r="BM12" s="162">
        <v>0</v>
      </c>
      <c r="BN12" s="161">
        <v>1</v>
      </c>
      <c r="BO12" s="118">
        <v>0</v>
      </c>
      <c r="BP12" s="162">
        <f t="shared" si="4"/>
        <v>1</v>
      </c>
      <c r="BQ12" s="161">
        <v>1</v>
      </c>
      <c r="BR12" s="118">
        <v>0</v>
      </c>
      <c r="BS12" s="162">
        <f t="shared" si="0"/>
        <v>1</v>
      </c>
      <c r="BT12" s="161">
        <v>1</v>
      </c>
      <c r="BU12" s="118">
        <v>0</v>
      </c>
      <c r="BV12" s="162">
        <v>1</v>
      </c>
      <c r="BW12" s="161">
        <v>1</v>
      </c>
      <c r="BX12" s="118">
        <v>0</v>
      </c>
      <c r="BY12" s="162">
        <v>1</v>
      </c>
      <c r="BZ12" s="161">
        <v>1</v>
      </c>
      <c r="CA12" s="118">
        <v>0</v>
      </c>
      <c r="CB12" s="162">
        <v>1</v>
      </c>
      <c r="CC12" s="161">
        <v>1</v>
      </c>
      <c r="CD12" s="118">
        <v>0</v>
      </c>
      <c r="CE12" s="162">
        <v>1</v>
      </c>
      <c r="CF12" s="161">
        <v>1</v>
      </c>
      <c r="CG12" s="118">
        <v>0</v>
      </c>
      <c r="CH12" s="162">
        <f t="shared" si="5"/>
        <v>1</v>
      </c>
      <c r="CI12" s="161">
        <v>1</v>
      </c>
      <c r="CJ12" s="118">
        <v>0</v>
      </c>
      <c r="CK12" s="162">
        <v>1</v>
      </c>
      <c r="CL12" s="161">
        <v>1</v>
      </c>
      <c r="CM12" s="118">
        <v>0</v>
      </c>
      <c r="CN12" s="162">
        <f t="shared" si="6"/>
        <v>1</v>
      </c>
      <c r="CO12" s="161">
        <v>1</v>
      </c>
      <c r="CP12" s="118">
        <v>0</v>
      </c>
      <c r="CQ12" s="162">
        <f t="shared" si="1"/>
        <v>1</v>
      </c>
      <c r="CR12" s="161">
        <v>1</v>
      </c>
      <c r="CS12" s="118">
        <v>0</v>
      </c>
      <c r="CT12" s="162">
        <v>1</v>
      </c>
      <c r="CU12" s="161">
        <v>1</v>
      </c>
      <c r="CV12" s="118">
        <v>0</v>
      </c>
      <c r="CW12" s="162">
        <f t="shared" si="7"/>
        <v>1</v>
      </c>
      <c r="CX12" s="161">
        <v>1</v>
      </c>
      <c r="CY12" s="118">
        <v>0</v>
      </c>
      <c r="CZ12" s="162">
        <f t="shared" si="2"/>
        <v>1</v>
      </c>
      <c r="DA12" s="161">
        <v>1</v>
      </c>
      <c r="DB12" s="118">
        <v>0</v>
      </c>
      <c r="DC12" s="162">
        <v>1</v>
      </c>
      <c r="DD12" s="161">
        <v>1</v>
      </c>
      <c r="DE12" s="118">
        <v>0</v>
      </c>
      <c r="DF12" s="162">
        <f t="shared" si="3"/>
        <v>1</v>
      </c>
      <c r="DG12" s="161">
        <v>1</v>
      </c>
      <c r="DH12" s="118">
        <v>0</v>
      </c>
      <c r="DI12" s="162">
        <v>1</v>
      </c>
      <c r="DJ12" s="161">
        <v>1</v>
      </c>
      <c r="DK12" s="118">
        <v>0</v>
      </c>
      <c r="DL12" s="162">
        <f t="shared" si="8"/>
        <v>1</v>
      </c>
      <c r="DM12" s="161">
        <v>1</v>
      </c>
      <c r="DN12" s="118">
        <v>0</v>
      </c>
      <c r="DO12" s="162">
        <v>1</v>
      </c>
      <c r="DP12" s="161">
        <v>1</v>
      </c>
      <c r="DQ12" s="118">
        <v>0</v>
      </c>
      <c r="DR12" s="162">
        <v>1</v>
      </c>
      <c r="DS12" s="161">
        <v>1</v>
      </c>
      <c r="DT12" s="118">
        <v>0</v>
      </c>
      <c r="DU12" s="162">
        <v>1</v>
      </c>
      <c r="DV12" s="161">
        <v>1</v>
      </c>
      <c r="DW12" s="118">
        <v>0</v>
      </c>
      <c r="DX12" s="162">
        <f t="shared" si="9"/>
        <v>1</v>
      </c>
      <c r="DY12" s="161">
        <v>1</v>
      </c>
      <c r="DZ12" s="118">
        <v>0</v>
      </c>
      <c r="EA12" s="162">
        <f t="shared" si="10"/>
        <v>1</v>
      </c>
      <c r="EB12" s="161">
        <v>1</v>
      </c>
      <c r="EC12" s="118">
        <v>0</v>
      </c>
      <c r="ED12" s="162">
        <f t="shared" si="11"/>
        <v>1</v>
      </c>
      <c r="EE12" s="161">
        <v>1</v>
      </c>
      <c r="EF12" s="118">
        <v>0</v>
      </c>
      <c r="EG12" s="162">
        <f t="shared" si="12"/>
        <v>1</v>
      </c>
    </row>
    <row r="13" spans="2:137" ht="15" customHeight="1" x14ac:dyDescent="0.2">
      <c r="B13" s="130" t="s">
        <v>57</v>
      </c>
      <c r="C13" s="161"/>
      <c r="D13" s="118"/>
      <c r="E13" s="162"/>
      <c r="F13" s="161"/>
      <c r="G13" s="118"/>
      <c r="H13" s="162"/>
      <c r="I13" s="161"/>
      <c r="J13" s="118"/>
      <c r="K13" s="162"/>
      <c r="L13" s="161"/>
      <c r="M13" s="118"/>
      <c r="N13" s="162"/>
      <c r="O13" s="161"/>
      <c r="P13" s="118"/>
      <c r="Q13" s="162"/>
      <c r="R13" s="161"/>
      <c r="S13" s="118"/>
      <c r="T13" s="162"/>
      <c r="U13" s="161"/>
      <c r="V13" s="118"/>
      <c r="W13" s="162"/>
      <c r="X13" s="161"/>
      <c r="Y13" s="118"/>
      <c r="Z13" s="162"/>
      <c r="AA13" s="161"/>
      <c r="AB13" s="118"/>
      <c r="AC13" s="162"/>
      <c r="AD13" s="161"/>
      <c r="AE13" s="118"/>
      <c r="AF13" s="162"/>
      <c r="AG13" s="161"/>
      <c r="AH13" s="118"/>
      <c r="AI13" s="162"/>
      <c r="AJ13" s="161"/>
      <c r="AK13" s="118"/>
      <c r="AL13" s="162"/>
      <c r="AM13" s="118"/>
      <c r="AN13" s="118"/>
      <c r="AO13" s="118"/>
      <c r="AP13" s="161"/>
      <c r="AQ13" s="118"/>
      <c r="AR13" s="162"/>
      <c r="AS13" s="118"/>
      <c r="AT13" s="118"/>
      <c r="AU13" s="118"/>
      <c r="AV13" s="161"/>
      <c r="AW13" s="118"/>
      <c r="AX13" s="162"/>
      <c r="AY13" s="161"/>
      <c r="AZ13" s="118"/>
      <c r="BA13" s="162"/>
      <c r="BB13" s="161"/>
      <c r="BC13" s="118"/>
      <c r="BD13" s="162"/>
      <c r="BE13" s="161"/>
      <c r="BF13" s="118"/>
      <c r="BG13" s="162"/>
      <c r="BH13" s="161"/>
      <c r="BI13" s="118"/>
      <c r="BJ13" s="162"/>
      <c r="BK13" s="161"/>
      <c r="BL13" s="118"/>
      <c r="BM13" s="162"/>
      <c r="BN13" s="161"/>
      <c r="BO13" s="118"/>
      <c r="BP13" s="162"/>
      <c r="BQ13" s="161"/>
      <c r="BR13" s="118"/>
      <c r="BS13" s="162"/>
      <c r="BT13" s="118"/>
      <c r="BU13" s="118"/>
      <c r="BV13" s="118"/>
      <c r="BW13" s="161"/>
      <c r="BX13" s="118"/>
      <c r="BY13" s="162"/>
      <c r="BZ13" s="161"/>
      <c r="CA13" s="118"/>
      <c r="CB13" s="162"/>
      <c r="CC13" s="161"/>
      <c r="CD13" s="118"/>
      <c r="CE13" s="162"/>
      <c r="CF13" s="161"/>
      <c r="CG13" s="118"/>
      <c r="CH13" s="162"/>
      <c r="CI13" s="161"/>
      <c r="CJ13" s="118"/>
      <c r="CK13" s="162"/>
      <c r="CL13" s="161"/>
      <c r="CM13" s="118"/>
      <c r="CN13" s="162"/>
      <c r="CO13" s="161"/>
      <c r="CP13" s="118"/>
      <c r="CQ13" s="162"/>
      <c r="CR13" s="161"/>
      <c r="CS13" s="118"/>
      <c r="CT13" s="162"/>
      <c r="CU13" s="161"/>
      <c r="CV13" s="118"/>
      <c r="CW13" s="162"/>
      <c r="CX13" s="161"/>
      <c r="CY13" s="118"/>
      <c r="CZ13" s="162"/>
      <c r="DA13" s="161"/>
      <c r="DB13" s="118"/>
      <c r="DC13" s="162"/>
      <c r="DD13" s="161"/>
      <c r="DE13" s="118"/>
      <c r="DF13" s="162"/>
      <c r="DG13" s="161">
        <v>15485</v>
      </c>
      <c r="DH13" s="118">
        <v>0</v>
      </c>
      <c r="DI13" s="162">
        <v>15485</v>
      </c>
      <c r="DJ13" s="161">
        <v>64977</v>
      </c>
      <c r="DK13" s="118">
        <v>0</v>
      </c>
      <c r="DL13" s="162">
        <f t="shared" si="8"/>
        <v>64977</v>
      </c>
      <c r="DM13" s="161">
        <v>60364</v>
      </c>
      <c r="DN13" s="118">
        <v>0</v>
      </c>
      <c r="DO13" s="162">
        <v>60364</v>
      </c>
      <c r="DP13" s="161">
        <v>58399</v>
      </c>
      <c r="DQ13" s="118">
        <v>0</v>
      </c>
      <c r="DR13" s="162">
        <v>58399</v>
      </c>
      <c r="DS13" s="161">
        <v>61371</v>
      </c>
      <c r="DT13" s="118">
        <v>0</v>
      </c>
      <c r="DU13" s="162">
        <v>61371</v>
      </c>
      <c r="DV13" s="161">
        <v>65059</v>
      </c>
      <c r="DW13" s="118">
        <v>0</v>
      </c>
      <c r="DX13" s="162">
        <f t="shared" si="9"/>
        <v>65059</v>
      </c>
      <c r="DY13" s="161">
        <v>0</v>
      </c>
      <c r="DZ13" s="118">
        <v>0</v>
      </c>
      <c r="EA13" s="162">
        <f t="shared" si="10"/>
        <v>0</v>
      </c>
      <c r="EB13" s="161">
        <v>0</v>
      </c>
      <c r="EC13" s="118">
        <v>0</v>
      </c>
      <c r="ED13" s="162">
        <f t="shared" si="11"/>
        <v>0</v>
      </c>
      <c r="EE13" s="161">
        <v>0</v>
      </c>
      <c r="EF13" s="118">
        <v>0</v>
      </c>
      <c r="EG13" s="162">
        <f t="shared" si="12"/>
        <v>0</v>
      </c>
    </row>
    <row r="14" spans="2:137" ht="15" customHeight="1" x14ac:dyDescent="0.2">
      <c r="B14" s="130" t="s">
        <v>1343</v>
      </c>
      <c r="C14" s="161" t="s">
        <v>47</v>
      </c>
      <c r="D14" s="118" t="s">
        <v>47</v>
      </c>
      <c r="E14" s="162" t="s">
        <v>47</v>
      </c>
      <c r="F14" s="161" t="s">
        <v>47</v>
      </c>
      <c r="G14" s="118" t="s">
        <v>47</v>
      </c>
      <c r="H14" s="162" t="s">
        <v>47</v>
      </c>
      <c r="I14" s="161" t="s">
        <v>47</v>
      </c>
      <c r="J14" s="118" t="s">
        <v>47</v>
      </c>
      <c r="K14" s="162" t="s">
        <v>47</v>
      </c>
      <c r="L14" s="161" t="s">
        <v>47</v>
      </c>
      <c r="M14" s="118" t="s">
        <v>47</v>
      </c>
      <c r="N14" s="162" t="s">
        <v>47</v>
      </c>
      <c r="O14" s="161" t="s">
        <v>47</v>
      </c>
      <c r="P14" s="118" t="s">
        <v>47</v>
      </c>
      <c r="Q14" s="162" t="s">
        <v>47</v>
      </c>
      <c r="R14" s="161" t="s">
        <v>47</v>
      </c>
      <c r="S14" s="118" t="s">
        <v>47</v>
      </c>
      <c r="T14" s="162" t="s">
        <v>47</v>
      </c>
      <c r="U14" s="161" t="s">
        <v>47</v>
      </c>
      <c r="V14" s="118" t="s">
        <v>47</v>
      </c>
      <c r="W14" s="162" t="s">
        <v>47</v>
      </c>
      <c r="X14" s="161" t="s">
        <v>47</v>
      </c>
      <c r="Y14" s="118" t="s">
        <v>47</v>
      </c>
      <c r="Z14" s="162" t="s">
        <v>47</v>
      </c>
      <c r="AA14" s="161" t="s">
        <v>47</v>
      </c>
      <c r="AB14" s="118" t="s">
        <v>47</v>
      </c>
      <c r="AC14" s="162" t="s">
        <v>47</v>
      </c>
      <c r="AD14" s="161" t="s">
        <v>47</v>
      </c>
      <c r="AE14" s="118" t="s">
        <v>47</v>
      </c>
      <c r="AF14" s="162" t="s">
        <v>47</v>
      </c>
      <c r="AG14" s="161" t="s">
        <v>47</v>
      </c>
      <c r="AH14" s="118" t="s">
        <v>47</v>
      </c>
      <c r="AI14" s="162" t="s">
        <v>47</v>
      </c>
      <c r="AJ14" s="161" t="s">
        <v>47</v>
      </c>
      <c r="AK14" s="118" t="s">
        <v>47</v>
      </c>
      <c r="AL14" s="162" t="s">
        <v>47</v>
      </c>
      <c r="AM14" s="118" t="s">
        <v>47</v>
      </c>
      <c r="AN14" s="118" t="s">
        <v>47</v>
      </c>
      <c r="AO14" s="118" t="s">
        <v>47</v>
      </c>
      <c r="AP14" s="161" t="s">
        <v>47</v>
      </c>
      <c r="AQ14" s="118" t="s">
        <v>47</v>
      </c>
      <c r="AR14" s="162" t="s">
        <v>47</v>
      </c>
      <c r="AS14" s="118" t="s">
        <v>47</v>
      </c>
      <c r="AT14" s="118" t="s">
        <v>47</v>
      </c>
      <c r="AU14" s="118" t="s">
        <v>47</v>
      </c>
      <c r="AV14" s="161" t="s">
        <v>47</v>
      </c>
      <c r="AW14" s="118" t="s">
        <v>47</v>
      </c>
      <c r="AX14" s="162" t="s">
        <v>47</v>
      </c>
      <c r="AY14" s="161" t="s">
        <v>47</v>
      </c>
      <c r="AZ14" s="118" t="s">
        <v>47</v>
      </c>
      <c r="BA14" s="162" t="s">
        <v>47</v>
      </c>
      <c r="BB14" s="161" t="s">
        <v>47</v>
      </c>
      <c r="BC14" s="118" t="s">
        <v>47</v>
      </c>
      <c r="BD14" s="162" t="s">
        <v>47</v>
      </c>
      <c r="BE14" s="161" t="s">
        <v>47</v>
      </c>
      <c r="BF14" s="118" t="s">
        <v>47</v>
      </c>
      <c r="BG14" s="162" t="s">
        <v>47</v>
      </c>
      <c r="BH14" s="161" t="s">
        <v>47</v>
      </c>
      <c r="BI14" s="118" t="s">
        <v>47</v>
      </c>
      <c r="BJ14" s="162" t="s">
        <v>47</v>
      </c>
      <c r="BK14" s="161" t="s">
        <v>47</v>
      </c>
      <c r="BL14" s="118" t="s">
        <v>47</v>
      </c>
      <c r="BM14" s="162" t="s">
        <v>47</v>
      </c>
      <c r="BN14" s="161" t="s">
        <v>47</v>
      </c>
      <c r="BO14" s="118" t="s">
        <v>47</v>
      </c>
      <c r="BP14" s="162" t="s">
        <v>47</v>
      </c>
      <c r="BQ14" s="161" t="s">
        <v>47</v>
      </c>
      <c r="BR14" s="118" t="s">
        <v>47</v>
      </c>
      <c r="BS14" s="162" t="s">
        <v>47</v>
      </c>
      <c r="BT14" s="118" t="s">
        <v>47</v>
      </c>
      <c r="BU14" s="118" t="s">
        <v>47</v>
      </c>
      <c r="BV14" s="118" t="s">
        <v>47</v>
      </c>
      <c r="BW14" s="161" t="s">
        <v>47</v>
      </c>
      <c r="BX14" s="118" t="s">
        <v>47</v>
      </c>
      <c r="BY14" s="162" t="s">
        <v>47</v>
      </c>
      <c r="BZ14" s="161" t="s">
        <v>47</v>
      </c>
      <c r="CA14" s="118" t="s">
        <v>47</v>
      </c>
      <c r="CB14" s="162" t="s">
        <v>47</v>
      </c>
      <c r="CC14" s="161" t="s">
        <v>47</v>
      </c>
      <c r="CD14" s="118" t="s">
        <v>47</v>
      </c>
      <c r="CE14" s="162" t="s">
        <v>47</v>
      </c>
      <c r="CF14" s="161" t="s">
        <v>47</v>
      </c>
      <c r="CG14" s="118" t="s">
        <v>47</v>
      </c>
      <c r="CH14" s="162" t="s">
        <v>47</v>
      </c>
      <c r="CI14" s="161" t="s">
        <v>47</v>
      </c>
      <c r="CJ14" s="118" t="s">
        <v>47</v>
      </c>
      <c r="CK14" s="162" t="s">
        <v>47</v>
      </c>
      <c r="CL14" s="161" t="s">
        <v>47</v>
      </c>
      <c r="CM14" s="118" t="s">
        <v>47</v>
      </c>
      <c r="CN14" s="162" t="s">
        <v>47</v>
      </c>
      <c r="CO14" s="161" t="s">
        <v>47</v>
      </c>
      <c r="CP14" s="118" t="s">
        <v>47</v>
      </c>
      <c r="CQ14" s="162" t="s">
        <v>47</v>
      </c>
      <c r="CR14" s="161" t="s">
        <v>47</v>
      </c>
      <c r="CS14" s="118" t="s">
        <v>47</v>
      </c>
      <c r="CT14" s="162" t="s">
        <v>47</v>
      </c>
      <c r="CU14" s="161" t="s">
        <v>47</v>
      </c>
      <c r="CV14" s="118" t="s">
        <v>47</v>
      </c>
      <c r="CW14" s="162" t="s">
        <v>47</v>
      </c>
      <c r="CX14" s="161" t="s">
        <v>47</v>
      </c>
      <c r="CY14" s="118" t="s">
        <v>47</v>
      </c>
      <c r="CZ14" s="162" t="s">
        <v>47</v>
      </c>
      <c r="DA14" s="161" t="s">
        <v>47</v>
      </c>
      <c r="DB14" s="118" t="s">
        <v>47</v>
      </c>
      <c r="DC14" s="162" t="s">
        <v>47</v>
      </c>
      <c r="DD14" s="161" t="s">
        <v>47</v>
      </c>
      <c r="DE14" s="118" t="s">
        <v>47</v>
      </c>
      <c r="DF14" s="162" t="s">
        <v>47</v>
      </c>
      <c r="DG14" s="161" t="s">
        <v>47</v>
      </c>
      <c r="DH14" s="118" t="s">
        <v>47</v>
      </c>
      <c r="DI14" s="162" t="s">
        <v>47</v>
      </c>
      <c r="DJ14" s="161" t="s">
        <v>47</v>
      </c>
      <c r="DK14" s="118" t="s">
        <v>47</v>
      </c>
      <c r="DL14" s="162" t="s">
        <v>47</v>
      </c>
      <c r="DM14" s="161" t="s">
        <v>47</v>
      </c>
      <c r="DN14" s="118" t="s">
        <v>47</v>
      </c>
      <c r="DO14" s="162" t="s">
        <v>47</v>
      </c>
      <c r="DP14" s="161" t="s">
        <v>47</v>
      </c>
      <c r="DQ14" s="118" t="s">
        <v>47</v>
      </c>
      <c r="DR14" s="162" t="s">
        <v>47</v>
      </c>
      <c r="DS14" s="161" t="s">
        <v>47</v>
      </c>
      <c r="DT14" s="118" t="s">
        <v>47</v>
      </c>
      <c r="DU14" s="162" t="s">
        <v>47</v>
      </c>
      <c r="DV14" s="161" t="s">
        <v>47</v>
      </c>
      <c r="DW14" s="118" t="s">
        <v>47</v>
      </c>
      <c r="DX14" s="162" t="s">
        <v>47</v>
      </c>
      <c r="DY14" s="161">
        <v>7969</v>
      </c>
      <c r="DZ14" s="118">
        <v>0</v>
      </c>
      <c r="EA14" s="162">
        <f t="shared" si="10"/>
        <v>7969</v>
      </c>
      <c r="EB14" s="161">
        <v>9066</v>
      </c>
      <c r="EC14" s="118">
        <v>0</v>
      </c>
      <c r="ED14" s="162">
        <f t="shared" si="11"/>
        <v>9066</v>
      </c>
      <c r="EE14" s="161">
        <v>10425</v>
      </c>
      <c r="EF14" s="118">
        <v>0</v>
      </c>
      <c r="EG14" s="162">
        <f t="shared" si="12"/>
        <v>10425</v>
      </c>
    </row>
    <row r="15" spans="2:137" s="312" customFormat="1" ht="15" hidden="1" customHeight="1" outlineLevel="1" x14ac:dyDescent="0.2">
      <c r="B15" s="319" t="s">
        <v>1002</v>
      </c>
      <c r="C15" s="320" t="s">
        <v>47</v>
      </c>
      <c r="D15" s="313" t="s">
        <v>47</v>
      </c>
      <c r="E15" s="333" t="s">
        <v>47</v>
      </c>
      <c r="F15" s="320" t="s">
        <v>47</v>
      </c>
      <c r="G15" s="313" t="s">
        <v>47</v>
      </c>
      <c r="H15" s="333" t="s">
        <v>47</v>
      </c>
      <c r="I15" s="320" t="s">
        <v>47</v>
      </c>
      <c r="J15" s="313" t="s">
        <v>47</v>
      </c>
      <c r="K15" s="333" t="s">
        <v>47</v>
      </c>
      <c r="L15" s="320" t="s">
        <v>47</v>
      </c>
      <c r="M15" s="313" t="s">
        <v>47</v>
      </c>
      <c r="N15" s="333" t="s">
        <v>47</v>
      </c>
      <c r="O15" s="320" t="s">
        <v>47</v>
      </c>
      <c r="P15" s="313" t="s">
        <v>47</v>
      </c>
      <c r="Q15" s="333" t="s">
        <v>47</v>
      </c>
      <c r="R15" s="320" t="s">
        <v>47</v>
      </c>
      <c r="S15" s="313" t="s">
        <v>47</v>
      </c>
      <c r="T15" s="333" t="s">
        <v>47</v>
      </c>
      <c r="U15" s="320" t="s">
        <v>47</v>
      </c>
      <c r="V15" s="313" t="s">
        <v>47</v>
      </c>
      <c r="W15" s="333" t="s">
        <v>47</v>
      </c>
      <c r="X15" s="320" t="s">
        <v>47</v>
      </c>
      <c r="Y15" s="313" t="s">
        <v>47</v>
      </c>
      <c r="Z15" s="333" t="s">
        <v>47</v>
      </c>
      <c r="AA15" s="320" t="s">
        <v>47</v>
      </c>
      <c r="AB15" s="313" t="s">
        <v>47</v>
      </c>
      <c r="AC15" s="333" t="s">
        <v>47</v>
      </c>
      <c r="AD15" s="320" t="s">
        <v>47</v>
      </c>
      <c r="AE15" s="313" t="s">
        <v>47</v>
      </c>
      <c r="AF15" s="333" t="s">
        <v>47</v>
      </c>
      <c r="AG15" s="320" t="s">
        <v>47</v>
      </c>
      <c r="AH15" s="313" t="s">
        <v>47</v>
      </c>
      <c r="AI15" s="333" t="s">
        <v>47</v>
      </c>
      <c r="AJ15" s="320" t="s">
        <v>47</v>
      </c>
      <c r="AK15" s="313" t="s">
        <v>47</v>
      </c>
      <c r="AL15" s="333" t="s">
        <v>47</v>
      </c>
      <c r="AM15" s="313" t="s">
        <v>47</v>
      </c>
      <c r="AN15" s="313" t="s">
        <v>47</v>
      </c>
      <c r="AO15" s="313" t="s">
        <v>47</v>
      </c>
      <c r="AP15" s="320" t="s">
        <v>47</v>
      </c>
      <c r="AQ15" s="313" t="s">
        <v>47</v>
      </c>
      <c r="AR15" s="333" t="s">
        <v>47</v>
      </c>
      <c r="AS15" s="313" t="s">
        <v>47</v>
      </c>
      <c r="AT15" s="313" t="s">
        <v>47</v>
      </c>
      <c r="AU15" s="313" t="s">
        <v>47</v>
      </c>
      <c r="AV15" s="320" t="s">
        <v>47</v>
      </c>
      <c r="AW15" s="313" t="s">
        <v>47</v>
      </c>
      <c r="AX15" s="333" t="s">
        <v>47</v>
      </c>
      <c r="AY15" s="320" t="s">
        <v>47</v>
      </c>
      <c r="AZ15" s="313" t="s">
        <v>47</v>
      </c>
      <c r="BA15" s="333" t="s">
        <v>47</v>
      </c>
      <c r="BB15" s="320" t="s">
        <v>47</v>
      </c>
      <c r="BC15" s="313" t="s">
        <v>47</v>
      </c>
      <c r="BD15" s="333" t="s">
        <v>47</v>
      </c>
      <c r="BE15" s="320" t="s">
        <v>47</v>
      </c>
      <c r="BF15" s="313" t="s">
        <v>47</v>
      </c>
      <c r="BG15" s="333" t="s">
        <v>47</v>
      </c>
      <c r="BH15" s="320" t="s">
        <v>47</v>
      </c>
      <c r="BI15" s="313" t="s">
        <v>47</v>
      </c>
      <c r="BJ15" s="333" t="s">
        <v>47</v>
      </c>
      <c r="BK15" s="320" t="s">
        <v>47</v>
      </c>
      <c r="BL15" s="313" t="s">
        <v>47</v>
      </c>
      <c r="BM15" s="333" t="s">
        <v>47</v>
      </c>
      <c r="BN15" s="320" t="s">
        <v>47</v>
      </c>
      <c r="BO15" s="313" t="s">
        <v>47</v>
      </c>
      <c r="BP15" s="333" t="s">
        <v>47</v>
      </c>
      <c r="BQ15" s="320" t="s">
        <v>47</v>
      </c>
      <c r="BR15" s="313" t="s">
        <v>47</v>
      </c>
      <c r="BS15" s="333" t="s">
        <v>47</v>
      </c>
      <c r="BT15" s="313" t="s">
        <v>47</v>
      </c>
      <c r="BU15" s="313" t="s">
        <v>47</v>
      </c>
      <c r="BV15" s="313" t="s">
        <v>47</v>
      </c>
      <c r="BW15" s="320" t="s">
        <v>47</v>
      </c>
      <c r="BX15" s="313" t="s">
        <v>47</v>
      </c>
      <c r="BY15" s="333" t="s">
        <v>47</v>
      </c>
      <c r="BZ15" s="320">
        <v>1</v>
      </c>
      <c r="CA15" s="313">
        <v>0</v>
      </c>
      <c r="CB15" s="333">
        <v>1</v>
      </c>
      <c r="CC15" s="320">
        <v>1</v>
      </c>
      <c r="CD15" s="313">
        <v>0</v>
      </c>
      <c r="CE15" s="333">
        <v>1</v>
      </c>
      <c r="CF15" s="320">
        <v>1</v>
      </c>
      <c r="CG15" s="313">
        <v>0</v>
      </c>
      <c r="CH15" s="333">
        <f t="shared" si="5"/>
        <v>1</v>
      </c>
      <c r="CI15" s="320">
        <v>0</v>
      </c>
      <c r="CJ15" s="313">
        <v>0</v>
      </c>
      <c r="CK15" s="333">
        <v>0</v>
      </c>
      <c r="CL15" s="320">
        <v>0</v>
      </c>
      <c r="CM15" s="313">
        <v>0</v>
      </c>
      <c r="CN15" s="333">
        <f t="shared" si="6"/>
        <v>0</v>
      </c>
      <c r="CO15" s="320">
        <v>0</v>
      </c>
      <c r="CP15" s="313">
        <v>0</v>
      </c>
      <c r="CQ15" s="333">
        <v>0</v>
      </c>
      <c r="CR15" s="320">
        <v>0</v>
      </c>
      <c r="CS15" s="313">
        <v>0</v>
      </c>
      <c r="CT15" s="333">
        <v>0</v>
      </c>
      <c r="CU15" s="320">
        <v>0</v>
      </c>
      <c r="CV15" s="313">
        <v>0</v>
      </c>
      <c r="CW15" s="333">
        <f t="shared" si="7"/>
        <v>0</v>
      </c>
      <c r="CX15" s="320">
        <v>0</v>
      </c>
      <c r="CY15" s="313">
        <v>0</v>
      </c>
      <c r="CZ15" s="333">
        <v>0</v>
      </c>
      <c r="DA15" s="320">
        <v>0</v>
      </c>
      <c r="DB15" s="313">
        <v>0</v>
      </c>
      <c r="DC15" s="333">
        <f>SUM(DA15:DB15)</f>
        <v>0</v>
      </c>
      <c r="DD15" s="320">
        <v>0</v>
      </c>
      <c r="DE15" s="313">
        <v>0</v>
      </c>
      <c r="DF15" s="333">
        <f t="shared" ref="DF15:DF20" si="13">SUM(DD15:DE15)</f>
        <v>0</v>
      </c>
      <c r="DG15" s="320">
        <v>0</v>
      </c>
      <c r="DH15" s="313">
        <v>0</v>
      </c>
      <c r="DI15" s="333">
        <f>SUM(DG15:DH15)</f>
        <v>0</v>
      </c>
      <c r="DJ15" s="320">
        <v>0</v>
      </c>
      <c r="DK15" s="313">
        <v>0</v>
      </c>
      <c r="DL15" s="333">
        <f t="shared" si="8"/>
        <v>0</v>
      </c>
      <c r="DM15" s="320">
        <v>0</v>
      </c>
      <c r="DN15" s="313">
        <v>0</v>
      </c>
      <c r="DO15" s="333">
        <f>SUM(DM15:DN15)</f>
        <v>0</v>
      </c>
      <c r="DP15" s="320">
        <v>0</v>
      </c>
      <c r="DQ15" s="313">
        <v>0</v>
      </c>
      <c r="DR15" s="333">
        <f>SUM(DP15:DQ15)</f>
        <v>0</v>
      </c>
      <c r="DS15" s="320">
        <v>0</v>
      </c>
      <c r="DT15" s="313">
        <v>0</v>
      </c>
      <c r="DU15" s="333">
        <f>SUM(DS15:DT15)</f>
        <v>0</v>
      </c>
      <c r="DV15" s="320">
        <v>0</v>
      </c>
      <c r="DW15" s="313">
        <v>0</v>
      </c>
      <c r="DX15" s="333">
        <f t="shared" si="9"/>
        <v>0</v>
      </c>
      <c r="DY15" s="320"/>
      <c r="DZ15" s="313"/>
      <c r="EA15" s="333"/>
      <c r="EB15" s="320">
        <v>0</v>
      </c>
      <c r="EC15" s="313">
        <v>0</v>
      </c>
      <c r="ED15" s="333">
        <f t="shared" si="11"/>
        <v>0</v>
      </c>
      <c r="EE15" s="320">
        <v>0</v>
      </c>
      <c r="EF15" s="313">
        <v>0</v>
      </c>
      <c r="EG15" s="333">
        <f t="shared" si="12"/>
        <v>0</v>
      </c>
    </row>
    <row r="16" spans="2:137" ht="15" hidden="1" customHeight="1" outlineLevel="1" x14ac:dyDescent="0.2">
      <c r="B16" s="319" t="s">
        <v>118</v>
      </c>
      <c r="C16" s="320">
        <v>0</v>
      </c>
      <c r="D16" s="313">
        <v>0</v>
      </c>
      <c r="E16" s="333">
        <v>0</v>
      </c>
      <c r="F16" s="320">
        <v>0</v>
      </c>
      <c r="G16" s="313">
        <v>0</v>
      </c>
      <c r="H16" s="333">
        <v>0</v>
      </c>
      <c r="I16" s="320">
        <v>0</v>
      </c>
      <c r="J16" s="313">
        <v>0</v>
      </c>
      <c r="K16" s="333">
        <v>0</v>
      </c>
      <c r="L16" s="320">
        <v>0</v>
      </c>
      <c r="M16" s="313">
        <v>0</v>
      </c>
      <c r="N16" s="333">
        <v>0</v>
      </c>
      <c r="O16" s="320">
        <v>0</v>
      </c>
      <c r="P16" s="313">
        <v>0</v>
      </c>
      <c r="Q16" s="333">
        <v>0</v>
      </c>
      <c r="R16" s="320">
        <v>0</v>
      </c>
      <c r="S16" s="313">
        <v>0</v>
      </c>
      <c r="T16" s="333">
        <v>0</v>
      </c>
      <c r="U16" s="320">
        <v>0</v>
      </c>
      <c r="V16" s="313">
        <v>0</v>
      </c>
      <c r="W16" s="333">
        <v>0</v>
      </c>
      <c r="X16" s="320">
        <v>0</v>
      </c>
      <c r="Y16" s="313">
        <v>0</v>
      </c>
      <c r="Z16" s="333">
        <v>0</v>
      </c>
      <c r="AA16" s="320">
        <v>0</v>
      </c>
      <c r="AB16" s="313">
        <v>0</v>
      </c>
      <c r="AC16" s="333">
        <f>SUM(AA16:AB16)</f>
        <v>0</v>
      </c>
      <c r="AD16" s="320">
        <v>30636</v>
      </c>
      <c r="AE16" s="313">
        <v>0</v>
      </c>
      <c r="AF16" s="333">
        <f>SUM(AD16:AE16)</f>
        <v>30636</v>
      </c>
      <c r="AG16" s="320">
        <v>30627</v>
      </c>
      <c r="AH16" s="313">
        <v>0</v>
      </c>
      <c r="AI16" s="333">
        <f>SUM(AG16:AH16)</f>
        <v>30627</v>
      </c>
      <c r="AJ16" s="320">
        <v>30769</v>
      </c>
      <c r="AK16" s="313">
        <v>0</v>
      </c>
      <c r="AL16" s="333">
        <v>30769</v>
      </c>
      <c r="AM16" s="313">
        <v>30136</v>
      </c>
      <c r="AN16" s="313">
        <v>0</v>
      </c>
      <c r="AO16" s="313">
        <v>30136</v>
      </c>
      <c r="AP16" s="320">
        <v>30078</v>
      </c>
      <c r="AQ16" s="313">
        <v>0</v>
      </c>
      <c r="AR16" s="333">
        <v>30078</v>
      </c>
      <c r="AS16" s="313">
        <v>30052</v>
      </c>
      <c r="AT16" s="313">
        <v>0</v>
      </c>
      <c r="AU16" s="313">
        <v>30052</v>
      </c>
      <c r="AV16" s="320">
        <v>26655</v>
      </c>
      <c r="AW16" s="313">
        <v>0</v>
      </c>
      <c r="AX16" s="333">
        <v>26655</v>
      </c>
      <c r="AY16" s="320">
        <v>22864</v>
      </c>
      <c r="AZ16" s="313">
        <v>0</v>
      </c>
      <c r="BA16" s="162">
        <v>22864</v>
      </c>
      <c r="BB16" s="320">
        <v>16926</v>
      </c>
      <c r="BC16" s="313">
        <v>0</v>
      </c>
      <c r="BD16" s="162">
        <f>SUM(BB16:BC16)</f>
        <v>16926</v>
      </c>
      <c r="BE16" s="320">
        <v>17065</v>
      </c>
      <c r="BF16" s="313">
        <v>0</v>
      </c>
      <c r="BG16" s="162">
        <f>SUM(BE16:BF16)</f>
        <v>17065</v>
      </c>
      <c r="BH16" s="320">
        <v>17089</v>
      </c>
      <c r="BI16" s="313">
        <v>0</v>
      </c>
      <c r="BJ16" s="162">
        <f>SUM(BH16:BI16)</f>
        <v>17089</v>
      </c>
      <c r="BK16" s="320">
        <v>15248</v>
      </c>
      <c r="BL16" s="313">
        <v>0</v>
      </c>
      <c r="BM16" s="162">
        <f>SUM(BK16:BL16)</f>
        <v>15248</v>
      </c>
      <c r="BN16" s="320">
        <v>15026</v>
      </c>
      <c r="BO16" s="313">
        <v>0</v>
      </c>
      <c r="BP16" s="162">
        <f>SUM(BN16:BO16)</f>
        <v>15026</v>
      </c>
      <c r="BQ16" s="320">
        <v>16000</v>
      </c>
      <c r="BR16" s="313">
        <v>0</v>
      </c>
      <c r="BS16" s="162">
        <f>SUM(BQ16:BR16)</f>
        <v>16000</v>
      </c>
      <c r="BT16" s="118">
        <v>16817</v>
      </c>
      <c r="BU16" s="118">
        <v>0</v>
      </c>
      <c r="BV16" s="118">
        <v>16817</v>
      </c>
      <c r="BW16" s="320">
        <v>14752</v>
      </c>
      <c r="BX16" s="313">
        <v>0</v>
      </c>
      <c r="BY16" s="162">
        <v>14752</v>
      </c>
      <c r="BZ16" s="320">
        <v>18083</v>
      </c>
      <c r="CA16" s="313">
        <v>0</v>
      </c>
      <c r="CB16" s="162">
        <v>18083</v>
      </c>
      <c r="CC16" s="320">
        <v>19849</v>
      </c>
      <c r="CD16" s="313">
        <v>0</v>
      </c>
      <c r="CE16" s="162">
        <v>19849</v>
      </c>
      <c r="CF16" s="320">
        <v>22317</v>
      </c>
      <c r="CG16" s="313">
        <v>0</v>
      </c>
      <c r="CH16" s="162">
        <f>SUM(CF16:CG16)</f>
        <v>22317</v>
      </c>
      <c r="CI16" s="320">
        <v>25326</v>
      </c>
      <c r="CJ16" s="313">
        <v>0</v>
      </c>
      <c r="CK16" s="162">
        <v>25326</v>
      </c>
      <c r="CL16" s="320">
        <v>26950</v>
      </c>
      <c r="CM16" s="313">
        <v>0</v>
      </c>
      <c r="CN16" s="162">
        <f>SUM(CL16:CM16)</f>
        <v>26950</v>
      </c>
      <c r="CO16" s="320">
        <v>28609</v>
      </c>
      <c r="CP16" s="313">
        <v>0</v>
      </c>
      <c r="CQ16" s="162">
        <f>SUM(CO16:CP16)</f>
        <v>28609</v>
      </c>
      <c r="CR16" s="320">
        <v>42735</v>
      </c>
      <c r="CS16" s="313">
        <v>0</v>
      </c>
      <c r="CT16" s="162">
        <v>42735</v>
      </c>
      <c r="CU16" s="320">
        <v>63142</v>
      </c>
      <c r="CV16" s="313">
        <v>0</v>
      </c>
      <c r="CW16" s="162">
        <f>SUM(CU16:CV16)</f>
        <v>63142</v>
      </c>
      <c r="CX16" s="320">
        <v>77360</v>
      </c>
      <c r="CY16" s="313">
        <v>0</v>
      </c>
      <c r="CZ16" s="162">
        <f>SUM(CX16:CY16)</f>
        <v>77360</v>
      </c>
      <c r="DA16" s="320">
        <v>51644</v>
      </c>
      <c r="DB16" s="313">
        <v>0</v>
      </c>
      <c r="DC16" s="162">
        <v>51644</v>
      </c>
      <c r="DD16" s="320">
        <v>40820</v>
      </c>
      <c r="DE16" s="313">
        <v>0</v>
      </c>
      <c r="DF16" s="162">
        <f t="shared" si="13"/>
        <v>40820</v>
      </c>
      <c r="DG16" s="320">
        <v>44534</v>
      </c>
      <c r="DH16" s="313">
        <v>0</v>
      </c>
      <c r="DI16" s="162">
        <v>44534</v>
      </c>
      <c r="DJ16" s="320">
        <v>0</v>
      </c>
      <c r="DK16" s="313">
        <v>0</v>
      </c>
      <c r="DL16" s="162">
        <f>SUM(DJ16:DK16)</f>
        <v>0</v>
      </c>
      <c r="DM16" s="320">
        <v>0</v>
      </c>
      <c r="DN16" s="313">
        <v>0</v>
      </c>
      <c r="DO16" s="162">
        <v>0</v>
      </c>
      <c r="DP16" s="320">
        <v>0</v>
      </c>
      <c r="DQ16" s="313">
        <v>0</v>
      </c>
      <c r="DR16" s="162">
        <v>0</v>
      </c>
      <c r="DS16" s="320">
        <v>0</v>
      </c>
      <c r="DT16" s="313">
        <v>0</v>
      </c>
      <c r="DU16" s="162">
        <v>0</v>
      </c>
      <c r="DV16" s="320">
        <v>0</v>
      </c>
      <c r="DW16" s="313">
        <v>0</v>
      </c>
      <c r="DX16" s="162">
        <f>SUM(DV16:DW16)</f>
        <v>0</v>
      </c>
      <c r="DY16" s="320"/>
      <c r="DZ16" s="313"/>
      <c r="EA16" s="162"/>
      <c r="EB16" s="320"/>
      <c r="EC16" s="313">
        <v>0</v>
      </c>
      <c r="ED16" s="162">
        <f>SUM(EB16:EC16)</f>
        <v>0</v>
      </c>
      <c r="EE16" s="320"/>
      <c r="EF16" s="313">
        <v>0</v>
      </c>
      <c r="EG16" s="162">
        <f>SUM(EE16:EF16)</f>
        <v>0</v>
      </c>
    </row>
    <row r="17" spans="2:137" ht="15" hidden="1" customHeight="1" outlineLevel="1" x14ac:dyDescent="0.2">
      <c r="B17" s="319" t="s">
        <v>69</v>
      </c>
      <c r="C17" s="320">
        <v>0</v>
      </c>
      <c r="D17" s="313">
        <v>0</v>
      </c>
      <c r="E17" s="333">
        <v>0</v>
      </c>
      <c r="F17" s="320">
        <v>0</v>
      </c>
      <c r="G17" s="313">
        <v>0</v>
      </c>
      <c r="H17" s="333">
        <v>0</v>
      </c>
      <c r="I17" s="320">
        <v>1</v>
      </c>
      <c r="J17" s="313">
        <v>0</v>
      </c>
      <c r="K17" s="333">
        <v>1</v>
      </c>
      <c r="L17" s="320">
        <v>31640</v>
      </c>
      <c r="M17" s="313">
        <v>0</v>
      </c>
      <c r="N17" s="333">
        <v>31640</v>
      </c>
      <c r="O17" s="320">
        <v>31530</v>
      </c>
      <c r="P17" s="313">
        <v>0</v>
      </c>
      <c r="Q17" s="333">
        <v>31530</v>
      </c>
      <c r="R17" s="320">
        <v>31265</v>
      </c>
      <c r="S17" s="313">
        <v>31265</v>
      </c>
      <c r="T17" s="333">
        <v>31265</v>
      </c>
      <c r="U17" s="320">
        <v>31124</v>
      </c>
      <c r="V17" s="313">
        <v>0</v>
      </c>
      <c r="W17" s="333">
        <v>31124</v>
      </c>
      <c r="X17" s="320">
        <v>30642</v>
      </c>
      <c r="Y17" s="313">
        <v>0</v>
      </c>
      <c r="Z17" s="333">
        <v>30642</v>
      </c>
      <c r="AA17" s="320">
        <v>30353</v>
      </c>
      <c r="AB17" s="313">
        <v>0</v>
      </c>
      <c r="AC17" s="333">
        <f>SUM(AA17:AB17)</f>
        <v>30353</v>
      </c>
      <c r="AD17" s="320">
        <v>0</v>
      </c>
      <c r="AE17" s="313">
        <v>0</v>
      </c>
      <c r="AF17" s="333">
        <v>0</v>
      </c>
      <c r="AG17" s="320">
        <v>0</v>
      </c>
      <c r="AH17" s="313">
        <v>0</v>
      </c>
      <c r="AI17" s="333">
        <v>0</v>
      </c>
      <c r="AJ17" s="320">
        <v>0</v>
      </c>
      <c r="AK17" s="313">
        <v>0</v>
      </c>
      <c r="AL17" s="333">
        <v>0</v>
      </c>
      <c r="AM17" s="313">
        <v>0</v>
      </c>
      <c r="AN17" s="313">
        <v>0</v>
      </c>
      <c r="AO17" s="313">
        <v>0</v>
      </c>
      <c r="AP17" s="320">
        <v>0</v>
      </c>
      <c r="AQ17" s="313">
        <v>0</v>
      </c>
      <c r="AR17" s="333">
        <v>0</v>
      </c>
      <c r="AS17" s="313">
        <v>0</v>
      </c>
      <c r="AT17" s="313">
        <v>0</v>
      </c>
      <c r="AU17" s="313">
        <v>0</v>
      </c>
      <c r="AV17" s="320">
        <v>0</v>
      </c>
      <c r="AW17" s="313">
        <v>0</v>
      </c>
      <c r="AX17" s="333">
        <v>0</v>
      </c>
      <c r="AY17" s="320">
        <v>0</v>
      </c>
      <c r="AZ17" s="313">
        <v>0</v>
      </c>
      <c r="BA17" s="162">
        <v>0</v>
      </c>
      <c r="BB17" s="320">
        <v>0</v>
      </c>
      <c r="BC17" s="313">
        <v>0</v>
      </c>
      <c r="BD17" s="162">
        <f>SUM(BB17:BC17)</f>
        <v>0</v>
      </c>
      <c r="BE17" s="320">
        <v>0</v>
      </c>
      <c r="BF17" s="313">
        <v>0</v>
      </c>
      <c r="BG17" s="162">
        <f>SUM(BE17:BF17)</f>
        <v>0</v>
      </c>
      <c r="BH17" s="320">
        <v>0</v>
      </c>
      <c r="BI17" s="313">
        <v>0</v>
      </c>
      <c r="BJ17" s="162">
        <f>SUM(BH17:BI17)</f>
        <v>0</v>
      </c>
      <c r="BK17" s="320">
        <v>0</v>
      </c>
      <c r="BL17" s="313">
        <v>0</v>
      </c>
      <c r="BM17" s="162">
        <f>SUM(BK17:BL17)</f>
        <v>0</v>
      </c>
      <c r="BN17" s="320">
        <v>0</v>
      </c>
      <c r="BO17" s="313">
        <v>0</v>
      </c>
      <c r="BP17" s="162">
        <f t="shared" si="4"/>
        <v>0</v>
      </c>
      <c r="BQ17" s="320"/>
      <c r="BR17" s="313"/>
      <c r="BS17" s="162"/>
      <c r="BT17" s="118"/>
      <c r="BU17" s="118"/>
      <c r="BV17" s="118"/>
      <c r="BW17" s="320">
        <v>0</v>
      </c>
      <c r="BX17" s="313">
        <v>0</v>
      </c>
      <c r="BY17" s="162">
        <v>0</v>
      </c>
      <c r="BZ17" s="320">
        <v>0</v>
      </c>
      <c r="CA17" s="313">
        <v>0</v>
      </c>
      <c r="CB17" s="162">
        <v>0</v>
      </c>
      <c r="CC17" s="320">
        <v>0</v>
      </c>
      <c r="CD17" s="313">
        <v>0</v>
      </c>
      <c r="CE17" s="162">
        <f>SUM(CC17:CD17)</f>
        <v>0</v>
      </c>
      <c r="CF17" s="320">
        <v>0</v>
      </c>
      <c r="CG17" s="313">
        <v>0</v>
      </c>
      <c r="CH17" s="162">
        <f t="shared" si="5"/>
        <v>0</v>
      </c>
      <c r="CI17" s="320">
        <v>0</v>
      </c>
      <c r="CJ17" s="313">
        <v>0</v>
      </c>
      <c r="CK17" s="162">
        <v>0</v>
      </c>
      <c r="CL17" s="320">
        <v>0</v>
      </c>
      <c r="CM17" s="313">
        <v>0</v>
      </c>
      <c r="CN17" s="162">
        <f t="shared" si="6"/>
        <v>0</v>
      </c>
      <c r="CO17" s="320">
        <v>0</v>
      </c>
      <c r="CP17" s="313">
        <v>0</v>
      </c>
      <c r="CQ17" s="162">
        <v>0</v>
      </c>
      <c r="CR17" s="320">
        <v>0</v>
      </c>
      <c r="CS17" s="313">
        <v>0</v>
      </c>
      <c r="CT17" s="162">
        <v>0</v>
      </c>
      <c r="CU17" s="320">
        <v>0</v>
      </c>
      <c r="CV17" s="313">
        <v>0</v>
      </c>
      <c r="CW17" s="162">
        <f t="shared" si="7"/>
        <v>0</v>
      </c>
      <c r="CX17" s="320">
        <v>0</v>
      </c>
      <c r="CY17" s="313">
        <v>0</v>
      </c>
      <c r="CZ17" s="162">
        <v>0</v>
      </c>
      <c r="DA17" s="320">
        <v>0</v>
      </c>
      <c r="DB17" s="313">
        <v>0</v>
      </c>
      <c r="DC17" s="162">
        <f>SUM(DA17:DB17)</f>
        <v>0</v>
      </c>
      <c r="DD17" s="320">
        <v>0</v>
      </c>
      <c r="DE17" s="313">
        <v>0</v>
      </c>
      <c r="DF17" s="162">
        <f t="shared" si="13"/>
        <v>0</v>
      </c>
      <c r="DG17" s="320">
        <v>0</v>
      </c>
      <c r="DH17" s="313">
        <v>0</v>
      </c>
      <c r="DI17" s="162">
        <f>SUM(DG17:DH17)</f>
        <v>0</v>
      </c>
      <c r="DJ17" s="320">
        <v>0</v>
      </c>
      <c r="DK17" s="313">
        <v>0</v>
      </c>
      <c r="DL17" s="162">
        <f t="shared" si="8"/>
        <v>0</v>
      </c>
      <c r="DM17" s="320">
        <v>0</v>
      </c>
      <c r="DN17" s="313">
        <v>0</v>
      </c>
      <c r="DO17" s="162">
        <f>SUM(DM17:DN17)</f>
        <v>0</v>
      </c>
      <c r="DP17" s="320">
        <v>0</v>
      </c>
      <c r="DQ17" s="313">
        <v>0</v>
      </c>
      <c r="DR17" s="162">
        <f>SUM(DP17:DQ17)</f>
        <v>0</v>
      </c>
      <c r="DS17" s="320">
        <v>0</v>
      </c>
      <c r="DT17" s="313">
        <v>0</v>
      </c>
      <c r="DU17" s="162">
        <f>SUM(DS17:DT17)</f>
        <v>0</v>
      </c>
      <c r="DV17" s="320">
        <v>0</v>
      </c>
      <c r="DW17" s="313">
        <v>0</v>
      </c>
      <c r="DX17" s="162">
        <f t="shared" si="9"/>
        <v>0</v>
      </c>
      <c r="DY17" s="320"/>
      <c r="DZ17" s="313"/>
      <c r="EA17" s="162"/>
      <c r="EB17" s="320">
        <v>0</v>
      </c>
      <c r="EC17" s="313">
        <v>0</v>
      </c>
      <c r="ED17" s="162">
        <f t="shared" si="11"/>
        <v>0</v>
      </c>
      <c r="EE17" s="320">
        <v>0</v>
      </c>
      <c r="EF17" s="313">
        <v>0</v>
      </c>
      <c r="EG17" s="162">
        <f t="shared" si="12"/>
        <v>0</v>
      </c>
    </row>
    <row r="18" spans="2:137" s="312" customFormat="1" ht="15" hidden="1" customHeight="1" outlineLevel="1" x14ac:dyDescent="0.2">
      <c r="B18" s="319" t="s">
        <v>55</v>
      </c>
      <c r="C18" s="320">
        <v>0</v>
      </c>
      <c r="D18" s="313">
        <v>37</v>
      </c>
      <c r="E18" s="333">
        <f>SUM(C18:D18)</f>
        <v>37</v>
      </c>
      <c r="F18" s="320">
        <v>0</v>
      </c>
      <c r="G18" s="313">
        <v>37</v>
      </c>
      <c r="H18" s="333">
        <f>SUM(F18:G18)</f>
        <v>37</v>
      </c>
      <c r="I18" s="320">
        <v>0</v>
      </c>
      <c r="J18" s="313">
        <v>37</v>
      </c>
      <c r="K18" s="333">
        <f>SUM(I18:J18)</f>
        <v>37</v>
      </c>
      <c r="L18" s="320">
        <v>0</v>
      </c>
      <c r="M18" s="313">
        <v>37</v>
      </c>
      <c r="N18" s="333">
        <f>SUM(L18:M18)</f>
        <v>37</v>
      </c>
      <c r="O18" s="320">
        <v>0</v>
      </c>
      <c r="P18" s="313">
        <v>37</v>
      </c>
      <c r="Q18" s="333">
        <f>SUM(O18:P18)</f>
        <v>37</v>
      </c>
      <c r="R18" s="320">
        <v>0</v>
      </c>
      <c r="S18" s="313">
        <v>37</v>
      </c>
      <c r="T18" s="333">
        <f>SUM(R18:S18)</f>
        <v>37</v>
      </c>
      <c r="U18" s="320">
        <v>0</v>
      </c>
      <c r="V18" s="313">
        <v>37</v>
      </c>
      <c r="W18" s="333">
        <f>SUM(U18:V18)</f>
        <v>37</v>
      </c>
      <c r="X18" s="320">
        <v>0</v>
      </c>
      <c r="Y18" s="313">
        <v>37</v>
      </c>
      <c r="Z18" s="333">
        <v>37</v>
      </c>
      <c r="AA18" s="320">
        <v>0</v>
      </c>
      <c r="AB18" s="313">
        <v>37</v>
      </c>
      <c r="AC18" s="333">
        <f>SUM(AA18:AB18)</f>
        <v>37</v>
      </c>
      <c r="AD18" s="320">
        <v>0</v>
      </c>
      <c r="AE18" s="313">
        <v>37</v>
      </c>
      <c r="AF18" s="333">
        <f>SUM(AD18:AE18)</f>
        <v>37</v>
      </c>
      <c r="AG18" s="320">
        <v>0</v>
      </c>
      <c r="AH18" s="313">
        <v>37</v>
      </c>
      <c r="AI18" s="333">
        <f>SUM(AG18:AH18)</f>
        <v>37</v>
      </c>
      <c r="AJ18" s="320">
        <v>0</v>
      </c>
      <c r="AK18" s="313">
        <v>37</v>
      </c>
      <c r="AL18" s="333">
        <v>37</v>
      </c>
      <c r="AM18" s="313">
        <v>0</v>
      </c>
      <c r="AN18" s="313">
        <v>37</v>
      </c>
      <c r="AO18" s="313">
        <v>37</v>
      </c>
      <c r="AP18" s="320">
        <v>0</v>
      </c>
      <c r="AQ18" s="313">
        <v>37</v>
      </c>
      <c r="AR18" s="333">
        <v>37</v>
      </c>
      <c r="AS18" s="313">
        <v>0</v>
      </c>
      <c r="AT18" s="313">
        <v>37</v>
      </c>
      <c r="AU18" s="313">
        <v>37</v>
      </c>
      <c r="AV18" s="320">
        <v>0</v>
      </c>
      <c r="AW18" s="313">
        <v>37</v>
      </c>
      <c r="AX18" s="333">
        <v>37</v>
      </c>
      <c r="AY18" s="320">
        <v>0</v>
      </c>
      <c r="AZ18" s="313">
        <v>37</v>
      </c>
      <c r="BA18" s="333">
        <v>37</v>
      </c>
      <c r="BB18" s="320">
        <v>0</v>
      </c>
      <c r="BC18" s="313">
        <v>0</v>
      </c>
      <c r="BD18" s="333">
        <f>SUM(BB18:BC18)</f>
        <v>0</v>
      </c>
      <c r="BE18" s="320">
        <v>0</v>
      </c>
      <c r="BF18" s="313">
        <v>0</v>
      </c>
      <c r="BG18" s="333">
        <f>SUM(BE18:BF18)</f>
        <v>0</v>
      </c>
      <c r="BH18" s="320">
        <v>0</v>
      </c>
      <c r="BI18" s="313">
        <v>0</v>
      </c>
      <c r="BJ18" s="333">
        <f>SUM(BH18:BI18)</f>
        <v>0</v>
      </c>
      <c r="BK18" s="320">
        <v>0</v>
      </c>
      <c r="BL18" s="313">
        <v>0</v>
      </c>
      <c r="BM18" s="333">
        <f>SUM(BK18:BL18)</f>
        <v>0</v>
      </c>
      <c r="BN18" s="320">
        <v>0</v>
      </c>
      <c r="BO18" s="313">
        <v>0</v>
      </c>
      <c r="BP18" s="333">
        <f>SUM(BN18:BO18)</f>
        <v>0</v>
      </c>
      <c r="BQ18" s="320">
        <v>0</v>
      </c>
      <c r="BR18" s="313">
        <v>0</v>
      </c>
      <c r="BS18" s="333">
        <f>SUM(BQ18:BR18)</f>
        <v>0</v>
      </c>
      <c r="BT18" s="320">
        <v>0</v>
      </c>
      <c r="BU18" s="313">
        <v>0</v>
      </c>
      <c r="BV18" s="333">
        <v>0</v>
      </c>
      <c r="BW18" s="320">
        <v>0</v>
      </c>
      <c r="BX18" s="313">
        <v>0</v>
      </c>
      <c r="BY18" s="333">
        <v>0</v>
      </c>
      <c r="BZ18" s="320">
        <v>0</v>
      </c>
      <c r="CA18" s="313">
        <v>0</v>
      </c>
      <c r="CB18" s="333">
        <v>0</v>
      </c>
      <c r="CC18" s="320">
        <v>0</v>
      </c>
      <c r="CD18" s="313">
        <v>0</v>
      </c>
      <c r="CE18" s="333">
        <v>0</v>
      </c>
      <c r="CF18" s="320">
        <v>0</v>
      </c>
      <c r="CG18" s="313">
        <v>0</v>
      </c>
      <c r="CH18" s="333">
        <f>SUM(CF18:CG18)</f>
        <v>0</v>
      </c>
      <c r="CI18" s="320">
        <v>0</v>
      </c>
      <c r="CJ18" s="313">
        <v>0</v>
      </c>
      <c r="CK18" s="333">
        <v>0</v>
      </c>
      <c r="CL18" s="320">
        <v>0</v>
      </c>
      <c r="CM18" s="313">
        <v>0</v>
      </c>
      <c r="CN18" s="333">
        <f>SUM(CL18:CM18)</f>
        <v>0</v>
      </c>
      <c r="CO18" s="320">
        <v>0</v>
      </c>
      <c r="CP18" s="313">
        <v>0</v>
      </c>
      <c r="CQ18" s="333">
        <v>0</v>
      </c>
      <c r="CR18" s="320">
        <v>0</v>
      </c>
      <c r="CS18" s="313">
        <v>0</v>
      </c>
      <c r="CT18" s="333">
        <v>0</v>
      </c>
      <c r="CU18" s="320">
        <v>0</v>
      </c>
      <c r="CV18" s="313">
        <v>0</v>
      </c>
      <c r="CW18" s="333">
        <f>SUM(CU18:CV18)</f>
        <v>0</v>
      </c>
      <c r="CX18" s="320">
        <v>0</v>
      </c>
      <c r="CY18" s="313">
        <v>0</v>
      </c>
      <c r="CZ18" s="333">
        <v>0</v>
      </c>
      <c r="DA18" s="320">
        <v>0</v>
      </c>
      <c r="DB18" s="313">
        <v>0</v>
      </c>
      <c r="DC18" s="333">
        <f>SUM(DA18:DB18)</f>
        <v>0</v>
      </c>
      <c r="DD18" s="320">
        <v>0</v>
      </c>
      <c r="DE18" s="313">
        <v>0</v>
      </c>
      <c r="DF18" s="333">
        <f t="shared" si="13"/>
        <v>0</v>
      </c>
      <c r="DG18" s="320">
        <v>0</v>
      </c>
      <c r="DH18" s="313">
        <v>0</v>
      </c>
      <c r="DI18" s="333">
        <f>SUM(DG18:DH18)</f>
        <v>0</v>
      </c>
      <c r="DJ18" s="320">
        <v>0</v>
      </c>
      <c r="DK18" s="313">
        <v>0</v>
      </c>
      <c r="DL18" s="333">
        <f>SUM(DJ18:DK18)</f>
        <v>0</v>
      </c>
      <c r="DM18" s="320">
        <v>0</v>
      </c>
      <c r="DN18" s="313">
        <v>0</v>
      </c>
      <c r="DO18" s="333">
        <f>SUM(DM18:DN18)</f>
        <v>0</v>
      </c>
      <c r="DP18" s="320">
        <v>0</v>
      </c>
      <c r="DQ18" s="313">
        <v>0</v>
      </c>
      <c r="DR18" s="333">
        <f>SUM(DP18:DQ18)</f>
        <v>0</v>
      </c>
      <c r="DS18" s="320">
        <v>0</v>
      </c>
      <c r="DT18" s="313">
        <v>0</v>
      </c>
      <c r="DU18" s="333">
        <f>SUM(DS18:DT18)</f>
        <v>0</v>
      </c>
      <c r="DV18" s="320">
        <v>0</v>
      </c>
      <c r="DW18" s="313">
        <v>0</v>
      </c>
      <c r="DX18" s="333">
        <f>SUM(DV18:DW18)</f>
        <v>0</v>
      </c>
      <c r="DY18" s="320"/>
      <c r="DZ18" s="313"/>
      <c r="EA18" s="333"/>
      <c r="EB18" s="320">
        <v>0</v>
      </c>
      <c r="EC18" s="313">
        <v>0</v>
      </c>
      <c r="ED18" s="333">
        <f>SUM(EB18:EC18)</f>
        <v>0</v>
      </c>
      <c r="EE18" s="320">
        <v>0</v>
      </c>
      <c r="EF18" s="313">
        <v>0</v>
      </c>
      <c r="EG18" s="333">
        <f>SUM(EE18:EF18)</f>
        <v>0</v>
      </c>
    </row>
    <row r="19" spans="2:137" s="312" customFormat="1" ht="15" hidden="1" customHeight="1" outlineLevel="1" x14ac:dyDescent="0.2">
      <c r="B19" s="319" t="s">
        <v>53</v>
      </c>
      <c r="C19" s="320">
        <v>59596</v>
      </c>
      <c r="D19" s="313">
        <v>2491</v>
      </c>
      <c r="E19" s="333">
        <f>SUM(C19:D19)</f>
        <v>62087</v>
      </c>
      <c r="F19" s="320">
        <v>62383</v>
      </c>
      <c r="G19" s="313">
        <v>2491</v>
      </c>
      <c r="H19" s="333">
        <f>SUM(F19:G19)</f>
        <v>64874</v>
      </c>
      <c r="I19" s="320">
        <v>60464</v>
      </c>
      <c r="J19" s="313">
        <v>2491</v>
      </c>
      <c r="K19" s="333">
        <f>SUM(I19:J19)</f>
        <v>62955</v>
      </c>
      <c r="L19" s="320">
        <v>61347</v>
      </c>
      <c r="M19" s="313">
        <v>2491</v>
      </c>
      <c r="N19" s="333">
        <f>SUM(L19:M19)</f>
        <v>63838</v>
      </c>
      <c r="O19" s="320">
        <v>89070</v>
      </c>
      <c r="P19" s="313">
        <v>2491</v>
      </c>
      <c r="Q19" s="333">
        <f>SUM(O19:P19)</f>
        <v>91561</v>
      </c>
      <c r="R19" s="320">
        <v>87396</v>
      </c>
      <c r="S19" s="313">
        <v>2491</v>
      </c>
      <c r="T19" s="333">
        <f>SUM(R19:S19)</f>
        <v>89887</v>
      </c>
      <c r="U19" s="320">
        <v>82115</v>
      </c>
      <c r="V19" s="313">
        <v>2491</v>
      </c>
      <c r="W19" s="333">
        <f>SUM(U19:V19)</f>
        <v>84606</v>
      </c>
      <c r="X19" s="320">
        <v>80667</v>
      </c>
      <c r="Y19" s="313">
        <v>2491</v>
      </c>
      <c r="Z19" s="333">
        <v>83158</v>
      </c>
      <c r="AA19" s="320">
        <v>73639</v>
      </c>
      <c r="AB19" s="313">
        <v>2491</v>
      </c>
      <c r="AC19" s="333">
        <f>SUM(AA19:AB19)</f>
        <v>76130</v>
      </c>
      <c r="AD19" s="320">
        <v>70735</v>
      </c>
      <c r="AE19" s="313">
        <v>2491</v>
      </c>
      <c r="AF19" s="333">
        <f>SUM(AD19:AE19)</f>
        <v>73226</v>
      </c>
      <c r="AG19" s="320">
        <v>67926</v>
      </c>
      <c r="AH19" s="313">
        <v>2491</v>
      </c>
      <c r="AI19" s="333">
        <f>SUM(AG19:AH19)</f>
        <v>70417</v>
      </c>
      <c r="AJ19" s="320">
        <v>66234</v>
      </c>
      <c r="AK19" s="313">
        <v>2491</v>
      </c>
      <c r="AL19" s="333">
        <v>68725</v>
      </c>
      <c r="AM19" s="313">
        <v>63959</v>
      </c>
      <c r="AN19" s="313">
        <v>2491</v>
      </c>
      <c r="AO19" s="313">
        <v>66450</v>
      </c>
      <c r="AP19" s="320">
        <v>61358</v>
      </c>
      <c r="AQ19" s="313">
        <v>2491</v>
      </c>
      <c r="AR19" s="333">
        <v>63849</v>
      </c>
      <c r="AS19" s="313">
        <v>68730</v>
      </c>
      <c r="AT19" s="313">
        <v>2491</v>
      </c>
      <c r="AU19" s="313">
        <v>71221</v>
      </c>
      <c r="AV19" s="320">
        <v>67392</v>
      </c>
      <c r="AW19" s="313">
        <v>2491</v>
      </c>
      <c r="AX19" s="333">
        <v>69883</v>
      </c>
      <c r="AY19" s="320">
        <v>43465</v>
      </c>
      <c r="AZ19" s="313">
        <v>2491</v>
      </c>
      <c r="BA19" s="333">
        <v>45956</v>
      </c>
      <c r="BB19" s="320">
        <v>22286</v>
      </c>
      <c r="BC19" s="313">
        <v>0</v>
      </c>
      <c r="BD19" s="333">
        <f>SUM(BB19:BC19)</f>
        <v>22286</v>
      </c>
      <c r="BE19" s="320">
        <v>26878</v>
      </c>
      <c r="BF19" s="313">
        <v>0</v>
      </c>
      <c r="BG19" s="333">
        <f>SUM(BE19:BF19)</f>
        <v>26878</v>
      </c>
      <c r="BH19" s="320">
        <v>0</v>
      </c>
      <c r="BI19" s="313">
        <v>0</v>
      </c>
      <c r="BJ19" s="333">
        <f>SUM(BH19:BI19)</f>
        <v>0</v>
      </c>
      <c r="BK19" s="320">
        <v>0</v>
      </c>
      <c r="BL19" s="313">
        <v>0</v>
      </c>
      <c r="BM19" s="333">
        <f>SUM(BK19:BL19)</f>
        <v>0</v>
      </c>
      <c r="BN19" s="320">
        <v>0</v>
      </c>
      <c r="BO19" s="313">
        <v>0</v>
      </c>
      <c r="BP19" s="333">
        <f>SUM(BN19:BO19)</f>
        <v>0</v>
      </c>
      <c r="BQ19" s="320">
        <v>0</v>
      </c>
      <c r="BR19" s="313">
        <v>0</v>
      </c>
      <c r="BS19" s="333">
        <f>SUM(BQ19:BR19)</f>
        <v>0</v>
      </c>
      <c r="BT19" s="320">
        <v>0</v>
      </c>
      <c r="BU19" s="313">
        <v>0</v>
      </c>
      <c r="BV19" s="333">
        <v>0</v>
      </c>
      <c r="BW19" s="320">
        <v>0</v>
      </c>
      <c r="BX19" s="313">
        <v>0</v>
      </c>
      <c r="BY19" s="333">
        <v>0</v>
      </c>
      <c r="BZ19" s="320">
        <v>0</v>
      </c>
      <c r="CA19" s="313">
        <v>0</v>
      </c>
      <c r="CB19" s="333">
        <v>0</v>
      </c>
      <c r="CC19" s="320">
        <v>0</v>
      </c>
      <c r="CD19" s="313">
        <v>0</v>
      </c>
      <c r="CE19" s="333">
        <v>0</v>
      </c>
      <c r="CF19" s="320">
        <v>0</v>
      </c>
      <c r="CG19" s="313">
        <v>0</v>
      </c>
      <c r="CH19" s="333">
        <f>SUM(CF19:CG19)</f>
        <v>0</v>
      </c>
      <c r="CI19" s="320">
        <v>0</v>
      </c>
      <c r="CJ19" s="313">
        <v>0</v>
      </c>
      <c r="CK19" s="333">
        <v>0</v>
      </c>
      <c r="CL19" s="320">
        <v>0</v>
      </c>
      <c r="CM19" s="313">
        <v>0</v>
      </c>
      <c r="CN19" s="333">
        <f>SUM(CL19:CM19)</f>
        <v>0</v>
      </c>
      <c r="CO19" s="320">
        <v>0</v>
      </c>
      <c r="CP19" s="313">
        <v>0</v>
      </c>
      <c r="CQ19" s="333">
        <v>0</v>
      </c>
      <c r="CR19" s="320">
        <v>0</v>
      </c>
      <c r="CS19" s="313">
        <v>0</v>
      </c>
      <c r="CT19" s="333">
        <v>0</v>
      </c>
      <c r="CU19" s="320">
        <v>0</v>
      </c>
      <c r="CV19" s="313">
        <v>0</v>
      </c>
      <c r="CW19" s="333">
        <f>SUM(CU19:CV19)</f>
        <v>0</v>
      </c>
      <c r="CX19" s="320">
        <v>0</v>
      </c>
      <c r="CY19" s="313">
        <v>0</v>
      </c>
      <c r="CZ19" s="333">
        <v>0</v>
      </c>
      <c r="DA19" s="320">
        <v>0</v>
      </c>
      <c r="DB19" s="313">
        <v>0</v>
      </c>
      <c r="DC19" s="333">
        <f>SUM(DA19:DB19)</f>
        <v>0</v>
      </c>
      <c r="DD19" s="320">
        <v>0</v>
      </c>
      <c r="DE19" s="313">
        <v>0</v>
      </c>
      <c r="DF19" s="333">
        <f t="shared" si="13"/>
        <v>0</v>
      </c>
      <c r="DG19" s="320">
        <v>0</v>
      </c>
      <c r="DH19" s="313">
        <v>0</v>
      </c>
      <c r="DI19" s="333">
        <f>SUM(DG19:DH19)</f>
        <v>0</v>
      </c>
      <c r="DJ19" s="320">
        <v>0</v>
      </c>
      <c r="DK19" s="313">
        <v>0</v>
      </c>
      <c r="DL19" s="333">
        <f>SUM(DJ19:DK19)</f>
        <v>0</v>
      </c>
      <c r="DM19" s="320">
        <v>0</v>
      </c>
      <c r="DN19" s="313">
        <v>0</v>
      </c>
      <c r="DO19" s="333">
        <f>SUM(DM19:DN19)</f>
        <v>0</v>
      </c>
      <c r="DP19" s="320">
        <v>0</v>
      </c>
      <c r="DQ19" s="313">
        <v>0</v>
      </c>
      <c r="DR19" s="333">
        <f>SUM(DP19:DQ19)</f>
        <v>0</v>
      </c>
      <c r="DS19" s="320">
        <v>0</v>
      </c>
      <c r="DT19" s="313">
        <v>0</v>
      </c>
      <c r="DU19" s="333">
        <f>SUM(DS19:DT19)</f>
        <v>0</v>
      </c>
      <c r="DV19" s="320">
        <v>0</v>
      </c>
      <c r="DW19" s="313">
        <v>0</v>
      </c>
      <c r="DX19" s="333">
        <f>SUM(DV19:DW19)</f>
        <v>0</v>
      </c>
      <c r="DY19" s="320"/>
      <c r="DZ19" s="313"/>
      <c r="EA19" s="333"/>
      <c r="EB19" s="320">
        <v>0</v>
      </c>
      <c r="EC19" s="313">
        <v>0</v>
      </c>
      <c r="ED19" s="333">
        <f>SUM(EB19:EC19)</f>
        <v>0</v>
      </c>
      <c r="EE19" s="320">
        <v>0</v>
      </c>
      <c r="EF19" s="313">
        <v>0</v>
      </c>
      <c r="EG19" s="333">
        <f>SUM(EE19:EF19)</f>
        <v>0</v>
      </c>
    </row>
    <row r="20" spans="2:137" ht="15" hidden="1" customHeight="1" outlineLevel="1" x14ac:dyDescent="0.2">
      <c r="B20" s="319" t="s">
        <v>51</v>
      </c>
      <c r="C20" s="320">
        <v>6740</v>
      </c>
      <c r="D20" s="313">
        <v>91361</v>
      </c>
      <c r="E20" s="333">
        <f>SUM(C20:D20)</f>
        <v>98101</v>
      </c>
      <c r="F20" s="320">
        <v>3946</v>
      </c>
      <c r="G20" s="313">
        <v>81529</v>
      </c>
      <c r="H20" s="333">
        <f>SUM(F20:G20)</f>
        <v>85475</v>
      </c>
      <c r="I20" s="320">
        <v>35161</v>
      </c>
      <c r="J20" s="313">
        <v>0</v>
      </c>
      <c r="K20" s="333">
        <f>SUM(I20:J20)</f>
        <v>35161</v>
      </c>
      <c r="L20" s="320">
        <v>0</v>
      </c>
      <c r="M20" s="313">
        <v>0</v>
      </c>
      <c r="N20" s="333">
        <f>SUM(L20:M20)</f>
        <v>0</v>
      </c>
      <c r="O20" s="320">
        <v>0</v>
      </c>
      <c r="P20" s="313">
        <v>0</v>
      </c>
      <c r="Q20" s="333">
        <f>SUM(O20:P20)</f>
        <v>0</v>
      </c>
      <c r="R20" s="320">
        <v>0</v>
      </c>
      <c r="S20" s="313">
        <v>0</v>
      </c>
      <c r="T20" s="333">
        <f>SUM(R20:S20)</f>
        <v>0</v>
      </c>
      <c r="U20" s="320"/>
      <c r="V20" s="313"/>
      <c r="W20" s="333">
        <f>SUM(U20:V20)</f>
        <v>0</v>
      </c>
      <c r="X20" s="320"/>
      <c r="Y20" s="313"/>
      <c r="Z20" s="333">
        <f>SUM(X20:Y20)</f>
        <v>0</v>
      </c>
      <c r="AA20" s="320"/>
      <c r="AB20" s="313"/>
      <c r="AC20" s="333">
        <f>SUM(AA20:AB20)</f>
        <v>0</v>
      </c>
      <c r="AD20" s="320">
        <v>0</v>
      </c>
      <c r="AE20" s="313">
        <v>0</v>
      </c>
      <c r="AF20" s="333">
        <v>0</v>
      </c>
      <c r="AG20" s="320">
        <v>0</v>
      </c>
      <c r="AH20" s="313">
        <v>0</v>
      </c>
      <c r="AI20" s="333">
        <v>0</v>
      </c>
      <c r="AJ20" s="320">
        <v>0</v>
      </c>
      <c r="AK20" s="313">
        <v>0</v>
      </c>
      <c r="AL20" s="333">
        <v>0</v>
      </c>
      <c r="AM20" s="313">
        <v>0</v>
      </c>
      <c r="AN20" s="313">
        <v>0</v>
      </c>
      <c r="AO20" s="313">
        <v>0</v>
      </c>
      <c r="AP20" s="320">
        <v>0</v>
      </c>
      <c r="AQ20" s="313">
        <v>0</v>
      </c>
      <c r="AR20" s="333">
        <v>0</v>
      </c>
      <c r="AS20" s="313">
        <v>0</v>
      </c>
      <c r="AT20" s="313">
        <v>0</v>
      </c>
      <c r="AU20" s="313">
        <v>0</v>
      </c>
      <c r="AV20" s="320">
        <v>0</v>
      </c>
      <c r="AW20" s="313">
        <v>0</v>
      </c>
      <c r="AX20" s="333">
        <v>0</v>
      </c>
      <c r="AY20" s="320">
        <v>0</v>
      </c>
      <c r="AZ20" s="313">
        <v>0</v>
      </c>
      <c r="BA20" s="162">
        <v>0</v>
      </c>
      <c r="BB20" s="320">
        <v>0</v>
      </c>
      <c r="BC20" s="313">
        <v>0</v>
      </c>
      <c r="BD20" s="162">
        <f>SUM(BB20:BC20)</f>
        <v>0</v>
      </c>
      <c r="BE20" s="320">
        <v>0</v>
      </c>
      <c r="BF20" s="313">
        <v>0</v>
      </c>
      <c r="BG20" s="162">
        <f>SUM(BE20:BF20)</f>
        <v>0</v>
      </c>
      <c r="BH20" s="320">
        <v>0</v>
      </c>
      <c r="BI20" s="313">
        <v>0</v>
      </c>
      <c r="BJ20" s="162">
        <f>SUM(BH20:BI20)</f>
        <v>0</v>
      </c>
      <c r="BK20" s="320">
        <v>0</v>
      </c>
      <c r="BL20" s="313">
        <v>0</v>
      </c>
      <c r="BM20" s="162">
        <f>SUM(BK20:BL20)</f>
        <v>0</v>
      </c>
      <c r="BN20" s="320">
        <v>0</v>
      </c>
      <c r="BO20" s="313">
        <v>0</v>
      </c>
      <c r="BP20" s="162">
        <f t="shared" si="4"/>
        <v>0</v>
      </c>
      <c r="BQ20" s="320"/>
      <c r="BR20" s="313"/>
      <c r="BS20" s="162"/>
      <c r="BT20" s="118"/>
      <c r="BU20" s="118"/>
      <c r="BV20" s="118"/>
      <c r="BW20" s="320">
        <v>0</v>
      </c>
      <c r="BX20" s="313">
        <v>0</v>
      </c>
      <c r="BY20" s="162">
        <v>0</v>
      </c>
      <c r="BZ20" s="320" t="s">
        <v>47</v>
      </c>
      <c r="CA20" s="313" t="s">
        <v>47</v>
      </c>
      <c r="CB20" s="162">
        <v>0</v>
      </c>
      <c r="CC20" s="320" t="s">
        <v>47</v>
      </c>
      <c r="CD20" s="313" t="s">
        <v>47</v>
      </c>
      <c r="CE20" s="162">
        <f>SUM(CC20:CD20)</f>
        <v>0</v>
      </c>
      <c r="CF20" s="320" t="s">
        <v>47</v>
      </c>
      <c r="CG20" s="313" t="s">
        <v>47</v>
      </c>
      <c r="CH20" s="162">
        <f t="shared" si="5"/>
        <v>0</v>
      </c>
      <c r="CI20" s="320" t="s">
        <v>47</v>
      </c>
      <c r="CJ20" s="313" t="s">
        <v>47</v>
      </c>
      <c r="CK20" s="162">
        <v>0</v>
      </c>
      <c r="CL20" s="320" t="s">
        <v>47</v>
      </c>
      <c r="CM20" s="313" t="s">
        <v>47</v>
      </c>
      <c r="CN20" s="162">
        <f t="shared" si="6"/>
        <v>0</v>
      </c>
      <c r="CO20" s="320" t="s">
        <v>47</v>
      </c>
      <c r="CP20" s="313" t="s">
        <v>47</v>
      </c>
      <c r="CQ20" s="162">
        <v>0</v>
      </c>
      <c r="CR20" s="320" t="s">
        <v>47</v>
      </c>
      <c r="CS20" s="313" t="s">
        <v>47</v>
      </c>
      <c r="CT20" s="162">
        <v>0</v>
      </c>
      <c r="CU20" s="320" t="s">
        <v>47</v>
      </c>
      <c r="CV20" s="313" t="s">
        <v>47</v>
      </c>
      <c r="CW20" s="162">
        <f>SUM(CU20:CV20)</f>
        <v>0</v>
      </c>
      <c r="CX20" s="320" t="s">
        <v>47</v>
      </c>
      <c r="CY20" s="313" t="s">
        <v>47</v>
      </c>
      <c r="CZ20" s="162">
        <v>0</v>
      </c>
      <c r="DA20" s="320" t="s">
        <v>47</v>
      </c>
      <c r="DB20" s="313" t="s">
        <v>47</v>
      </c>
      <c r="DC20" s="162">
        <f>SUM(DA20:DB20)</f>
        <v>0</v>
      </c>
      <c r="DD20" s="320" t="s">
        <v>47</v>
      </c>
      <c r="DE20" s="313" t="s">
        <v>47</v>
      </c>
      <c r="DF20" s="162">
        <f t="shared" si="13"/>
        <v>0</v>
      </c>
      <c r="DG20" s="320" t="s">
        <v>47</v>
      </c>
      <c r="DH20" s="313" t="s">
        <v>47</v>
      </c>
      <c r="DI20" s="162">
        <f>SUM(DG20:DH20)</f>
        <v>0</v>
      </c>
      <c r="DJ20" s="320" t="s">
        <v>47</v>
      </c>
      <c r="DK20" s="313" t="s">
        <v>47</v>
      </c>
      <c r="DL20" s="162">
        <f>SUM(DJ20:DK20)</f>
        <v>0</v>
      </c>
      <c r="DM20" s="320" t="s">
        <v>47</v>
      </c>
      <c r="DN20" s="313" t="s">
        <v>47</v>
      </c>
      <c r="DO20" s="162">
        <f>SUM(DM20:DN20)</f>
        <v>0</v>
      </c>
      <c r="DP20" s="320" t="s">
        <v>47</v>
      </c>
      <c r="DQ20" s="313" t="s">
        <v>47</v>
      </c>
      <c r="DR20" s="162">
        <f>SUM(DP20:DQ20)</f>
        <v>0</v>
      </c>
      <c r="DS20" s="320" t="s">
        <v>47</v>
      </c>
      <c r="DT20" s="313" t="s">
        <v>47</v>
      </c>
      <c r="DU20" s="162">
        <f>SUM(DS20:DT20)</f>
        <v>0</v>
      </c>
      <c r="DV20" s="320" t="s">
        <v>47</v>
      </c>
      <c r="DW20" s="313" t="s">
        <v>47</v>
      </c>
      <c r="DX20" s="162">
        <f>SUM(DV20:DW20)</f>
        <v>0</v>
      </c>
      <c r="DY20" s="320"/>
      <c r="DZ20" s="313"/>
      <c r="EA20" s="162"/>
      <c r="EB20" s="320" t="s">
        <v>47</v>
      </c>
      <c r="EC20" s="313" t="s">
        <v>47</v>
      </c>
      <c r="ED20" s="162">
        <f>SUM(EB20:EC20)</f>
        <v>0</v>
      </c>
      <c r="EE20" s="320" t="s">
        <v>47</v>
      </c>
      <c r="EF20" s="313" t="s">
        <v>47</v>
      </c>
      <c r="EG20" s="162">
        <f>SUM(EE20:EF20)</f>
        <v>0</v>
      </c>
    </row>
    <row r="21" spans="2:137" ht="15" customHeight="1" collapsed="1" x14ac:dyDescent="0.2">
      <c r="B21" s="127" t="s">
        <v>440</v>
      </c>
      <c r="C21" s="163">
        <f t="shared" ref="C21:AH21" si="14">SUM(C7:C20)</f>
        <v>125487</v>
      </c>
      <c r="D21" s="120">
        <f t="shared" si="14"/>
        <v>100253</v>
      </c>
      <c r="E21" s="164">
        <f t="shared" si="14"/>
        <v>225740</v>
      </c>
      <c r="F21" s="163">
        <f t="shared" si="14"/>
        <v>131031</v>
      </c>
      <c r="G21" s="120">
        <f t="shared" si="14"/>
        <v>90421</v>
      </c>
      <c r="H21" s="164">
        <f t="shared" si="14"/>
        <v>221452</v>
      </c>
      <c r="I21" s="163">
        <f t="shared" si="14"/>
        <v>177675</v>
      </c>
      <c r="J21" s="120">
        <f t="shared" si="14"/>
        <v>8892</v>
      </c>
      <c r="K21" s="164">
        <f t="shared" si="14"/>
        <v>186567</v>
      </c>
      <c r="L21" s="163">
        <f t="shared" si="14"/>
        <v>177168</v>
      </c>
      <c r="M21" s="120">
        <f t="shared" si="14"/>
        <v>8892</v>
      </c>
      <c r="N21" s="164">
        <f t="shared" si="14"/>
        <v>186060</v>
      </c>
      <c r="O21" s="163">
        <f t="shared" si="14"/>
        <v>238215</v>
      </c>
      <c r="P21" s="120">
        <f t="shared" si="14"/>
        <v>8892</v>
      </c>
      <c r="Q21" s="164">
        <f t="shared" si="14"/>
        <v>247107</v>
      </c>
      <c r="R21" s="163">
        <f t="shared" si="14"/>
        <v>238845</v>
      </c>
      <c r="S21" s="120">
        <f t="shared" si="14"/>
        <v>40157</v>
      </c>
      <c r="T21" s="164">
        <f t="shared" si="14"/>
        <v>247737</v>
      </c>
      <c r="U21" s="163">
        <f t="shared" si="14"/>
        <v>235624</v>
      </c>
      <c r="V21" s="120">
        <f t="shared" si="14"/>
        <v>8892</v>
      </c>
      <c r="W21" s="164">
        <f t="shared" si="14"/>
        <v>244516</v>
      </c>
      <c r="X21" s="163">
        <f t="shared" si="14"/>
        <v>239202</v>
      </c>
      <c r="Y21" s="120">
        <f t="shared" si="14"/>
        <v>8892</v>
      </c>
      <c r="Z21" s="164">
        <f t="shared" si="14"/>
        <v>248094</v>
      </c>
      <c r="AA21" s="163">
        <f t="shared" si="14"/>
        <v>235767</v>
      </c>
      <c r="AB21" s="120">
        <f t="shared" si="14"/>
        <v>8892</v>
      </c>
      <c r="AC21" s="164">
        <f t="shared" si="14"/>
        <v>244659</v>
      </c>
      <c r="AD21" s="163">
        <f t="shared" si="14"/>
        <v>240631</v>
      </c>
      <c r="AE21" s="120">
        <f t="shared" si="14"/>
        <v>8892</v>
      </c>
      <c r="AF21" s="164">
        <f t="shared" si="14"/>
        <v>249523</v>
      </c>
      <c r="AG21" s="163">
        <f t="shared" si="14"/>
        <v>258427</v>
      </c>
      <c r="AH21" s="120">
        <f t="shared" si="14"/>
        <v>8892</v>
      </c>
      <c r="AI21" s="164">
        <f t="shared" ref="AI21:BN21" si="15">SUM(AI7:AI20)</f>
        <v>267319</v>
      </c>
      <c r="AJ21" s="163">
        <f t="shared" si="15"/>
        <v>264710</v>
      </c>
      <c r="AK21" s="120">
        <f t="shared" si="15"/>
        <v>8892</v>
      </c>
      <c r="AL21" s="164">
        <f t="shared" si="15"/>
        <v>273602</v>
      </c>
      <c r="AM21" s="163">
        <f t="shared" si="15"/>
        <v>263431</v>
      </c>
      <c r="AN21" s="120">
        <f t="shared" si="15"/>
        <v>8892</v>
      </c>
      <c r="AO21" s="164">
        <f t="shared" si="15"/>
        <v>272323</v>
      </c>
      <c r="AP21" s="163">
        <f t="shared" si="15"/>
        <v>265136</v>
      </c>
      <c r="AQ21" s="120">
        <f t="shared" si="15"/>
        <v>8892</v>
      </c>
      <c r="AR21" s="164">
        <f t="shared" si="15"/>
        <v>274028</v>
      </c>
      <c r="AS21" s="163">
        <f t="shared" si="15"/>
        <v>273768</v>
      </c>
      <c r="AT21" s="120">
        <f t="shared" si="15"/>
        <v>8892</v>
      </c>
      <c r="AU21" s="164">
        <f t="shared" si="15"/>
        <v>282660</v>
      </c>
      <c r="AV21" s="163">
        <f t="shared" si="15"/>
        <v>269362</v>
      </c>
      <c r="AW21" s="120">
        <f t="shared" si="15"/>
        <v>8892</v>
      </c>
      <c r="AX21" s="164">
        <f t="shared" si="15"/>
        <v>278254</v>
      </c>
      <c r="AY21" s="163">
        <f t="shared" si="15"/>
        <v>269973</v>
      </c>
      <c r="AZ21" s="120">
        <f t="shared" si="15"/>
        <v>8892</v>
      </c>
      <c r="BA21" s="164">
        <f t="shared" si="15"/>
        <v>278865</v>
      </c>
      <c r="BB21" s="163">
        <f t="shared" si="15"/>
        <v>154115</v>
      </c>
      <c r="BC21" s="120">
        <f t="shared" si="15"/>
        <v>6364</v>
      </c>
      <c r="BD21" s="164">
        <f t="shared" si="15"/>
        <v>160479</v>
      </c>
      <c r="BE21" s="163">
        <f t="shared" si="15"/>
        <v>160257</v>
      </c>
      <c r="BF21" s="120">
        <f t="shared" si="15"/>
        <v>6364</v>
      </c>
      <c r="BG21" s="164">
        <f t="shared" si="15"/>
        <v>166621</v>
      </c>
      <c r="BH21" s="163">
        <f t="shared" si="15"/>
        <v>151825</v>
      </c>
      <c r="BI21" s="120">
        <f t="shared" si="15"/>
        <v>6364</v>
      </c>
      <c r="BJ21" s="164">
        <f t="shared" si="15"/>
        <v>158189</v>
      </c>
      <c r="BK21" s="163">
        <f t="shared" si="15"/>
        <v>155420</v>
      </c>
      <c r="BL21" s="120">
        <f t="shared" si="15"/>
        <v>6364</v>
      </c>
      <c r="BM21" s="164">
        <f t="shared" si="15"/>
        <v>161784</v>
      </c>
      <c r="BN21" s="163">
        <f t="shared" si="15"/>
        <v>161923</v>
      </c>
      <c r="BO21" s="120">
        <f t="shared" ref="BO21:CQ21" si="16">SUM(BO7:BO20)</f>
        <v>6364</v>
      </c>
      <c r="BP21" s="164">
        <f t="shared" si="16"/>
        <v>168287</v>
      </c>
      <c r="BQ21" s="163">
        <f t="shared" si="16"/>
        <v>168014</v>
      </c>
      <c r="BR21" s="120">
        <f t="shared" si="16"/>
        <v>6364</v>
      </c>
      <c r="BS21" s="164">
        <f t="shared" si="16"/>
        <v>174378</v>
      </c>
      <c r="BT21" s="163">
        <f t="shared" si="16"/>
        <v>176683</v>
      </c>
      <c r="BU21" s="120">
        <f t="shared" si="16"/>
        <v>6364</v>
      </c>
      <c r="BV21" s="164">
        <f t="shared" si="16"/>
        <v>183047</v>
      </c>
      <c r="BW21" s="163">
        <f t="shared" si="16"/>
        <v>206193</v>
      </c>
      <c r="BX21" s="120">
        <f t="shared" si="16"/>
        <v>6364</v>
      </c>
      <c r="BY21" s="164">
        <f t="shared" si="16"/>
        <v>212557</v>
      </c>
      <c r="BZ21" s="163">
        <f t="shared" si="16"/>
        <v>216615</v>
      </c>
      <c r="CA21" s="120">
        <f t="shared" si="16"/>
        <v>6364</v>
      </c>
      <c r="CB21" s="164">
        <f t="shared" si="16"/>
        <v>222979</v>
      </c>
      <c r="CC21" s="163">
        <f t="shared" si="16"/>
        <v>201825</v>
      </c>
      <c r="CD21" s="120">
        <f t="shared" si="16"/>
        <v>6364</v>
      </c>
      <c r="CE21" s="164">
        <f t="shared" si="16"/>
        <v>208189</v>
      </c>
      <c r="CF21" s="163">
        <f t="shared" si="16"/>
        <v>209803</v>
      </c>
      <c r="CG21" s="120">
        <f t="shared" si="16"/>
        <v>6364</v>
      </c>
      <c r="CH21" s="164">
        <f t="shared" si="16"/>
        <v>216167</v>
      </c>
      <c r="CI21" s="163">
        <f t="shared" si="16"/>
        <v>213744</v>
      </c>
      <c r="CJ21" s="120">
        <f t="shared" si="16"/>
        <v>6364</v>
      </c>
      <c r="CK21" s="164">
        <f t="shared" si="16"/>
        <v>220108</v>
      </c>
      <c r="CL21" s="163">
        <f t="shared" si="16"/>
        <v>218166</v>
      </c>
      <c r="CM21" s="120">
        <f t="shared" si="16"/>
        <v>6364</v>
      </c>
      <c r="CN21" s="164">
        <f t="shared" si="16"/>
        <v>224530</v>
      </c>
      <c r="CO21" s="163">
        <f t="shared" si="16"/>
        <v>215371</v>
      </c>
      <c r="CP21" s="120">
        <f t="shared" si="16"/>
        <v>6364</v>
      </c>
      <c r="CQ21" s="164">
        <f t="shared" si="16"/>
        <v>221735</v>
      </c>
      <c r="CR21" s="163">
        <v>235442</v>
      </c>
      <c r="CS21" s="120">
        <v>6364</v>
      </c>
      <c r="CT21" s="164">
        <v>241806</v>
      </c>
      <c r="CU21" s="163">
        <f t="shared" ref="CU21:EG21" si="17">SUM(CU7:CU20)</f>
        <v>261462</v>
      </c>
      <c r="CV21" s="120">
        <f t="shared" si="17"/>
        <v>6364</v>
      </c>
      <c r="CW21" s="164">
        <f t="shared" si="17"/>
        <v>267826</v>
      </c>
      <c r="CX21" s="163">
        <f t="shared" si="17"/>
        <v>283234</v>
      </c>
      <c r="CY21" s="120">
        <f t="shared" si="17"/>
        <v>6364</v>
      </c>
      <c r="CZ21" s="164">
        <f t="shared" si="17"/>
        <v>289598</v>
      </c>
      <c r="DA21" s="163">
        <f t="shared" si="17"/>
        <v>247947</v>
      </c>
      <c r="DB21" s="120">
        <f t="shared" si="17"/>
        <v>6363</v>
      </c>
      <c r="DC21" s="164">
        <f t="shared" si="17"/>
        <v>254310</v>
      </c>
      <c r="DD21" s="163">
        <f t="shared" si="17"/>
        <v>230189</v>
      </c>
      <c r="DE21" s="120">
        <f t="shared" si="17"/>
        <v>6363</v>
      </c>
      <c r="DF21" s="164">
        <f t="shared" si="17"/>
        <v>236552</v>
      </c>
      <c r="DG21" s="163">
        <f t="shared" si="17"/>
        <v>253280</v>
      </c>
      <c r="DH21" s="120">
        <f t="shared" si="17"/>
        <v>6363</v>
      </c>
      <c r="DI21" s="164">
        <f t="shared" si="17"/>
        <v>259643</v>
      </c>
      <c r="DJ21" s="163">
        <f t="shared" si="17"/>
        <v>291063</v>
      </c>
      <c r="DK21" s="120">
        <f t="shared" si="17"/>
        <v>6363</v>
      </c>
      <c r="DL21" s="164">
        <f t="shared" si="17"/>
        <v>297426</v>
      </c>
      <c r="DM21" s="163">
        <f t="shared" si="17"/>
        <v>290299</v>
      </c>
      <c r="DN21" s="120">
        <f t="shared" si="17"/>
        <v>6363</v>
      </c>
      <c r="DO21" s="164">
        <f t="shared" si="17"/>
        <v>296662</v>
      </c>
      <c r="DP21" s="163">
        <f t="shared" si="17"/>
        <v>294068</v>
      </c>
      <c r="DQ21" s="120">
        <f t="shared" si="17"/>
        <v>6363</v>
      </c>
      <c r="DR21" s="164">
        <f t="shared" si="17"/>
        <v>300431</v>
      </c>
      <c r="DS21" s="163">
        <f t="shared" si="17"/>
        <v>304702</v>
      </c>
      <c r="DT21" s="120">
        <f t="shared" si="17"/>
        <v>6363</v>
      </c>
      <c r="DU21" s="164">
        <f t="shared" si="17"/>
        <v>311065</v>
      </c>
      <c r="DV21" s="163">
        <f t="shared" si="17"/>
        <v>317678</v>
      </c>
      <c r="DW21" s="120">
        <f t="shared" si="17"/>
        <v>6363</v>
      </c>
      <c r="DX21" s="164">
        <f t="shared" si="17"/>
        <v>324041</v>
      </c>
      <c r="DY21" s="163">
        <f t="shared" ref="DY21:EC21" si="18">SUM(DY7:DY20)</f>
        <v>250726</v>
      </c>
      <c r="DZ21" s="120">
        <f t="shared" si="18"/>
        <v>6363</v>
      </c>
      <c r="EA21" s="164">
        <f t="shared" si="18"/>
        <v>257089</v>
      </c>
      <c r="EB21" s="163">
        <f t="shared" si="18"/>
        <v>265183</v>
      </c>
      <c r="EC21" s="120">
        <f t="shared" si="18"/>
        <v>6363</v>
      </c>
      <c r="ED21" s="164">
        <f t="shared" ref="ED21" si="19">SUM(ED7:ED20)</f>
        <v>271546</v>
      </c>
      <c r="EE21" s="163">
        <f t="shared" si="17"/>
        <v>269160</v>
      </c>
      <c r="EF21" s="120">
        <f t="shared" si="17"/>
        <v>6363</v>
      </c>
      <c r="EG21" s="164">
        <f t="shared" si="17"/>
        <v>275523</v>
      </c>
    </row>
    <row r="22" spans="2:137" ht="15" hidden="1" customHeight="1" outlineLevel="1" x14ac:dyDescent="0.2">
      <c r="B22" s="319" t="s">
        <v>58</v>
      </c>
      <c r="C22" s="320">
        <v>595</v>
      </c>
      <c r="D22" s="313">
        <v>0</v>
      </c>
      <c r="E22" s="333">
        <f>SUM(C22:D22)</f>
        <v>595</v>
      </c>
      <c r="F22" s="320">
        <v>456</v>
      </c>
      <c r="G22" s="313">
        <v>0</v>
      </c>
      <c r="H22" s="333">
        <f>SUM(F22:G22)</f>
        <v>456</v>
      </c>
      <c r="I22" s="320">
        <v>463</v>
      </c>
      <c r="J22" s="313">
        <v>0</v>
      </c>
      <c r="K22" s="333">
        <f>SUM(I22:J22)</f>
        <v>463</v>
      </c>
      <c r="L22" s="320">
        <v>501</v>
      </c>
      <c r="M22" s="313">
        <v>0</v>
      </c>
      <c r="N22" s="333">
        <f>SUM(L22:M22)</f>
        <v>501</v>
      </c>
      <c r="O22" s="320">
        <v>482</v>
      </c>
      <c r="P22" s="313">
        <v>0</v>
      </c>
      <c r="Q22" s="333">
        <f>SUM(O22:P22)</f>
        <v>482</v>
      </c>
      <c r="R22" s="320">
        <v>797</v>
      </c>
      <c r="S22" s="313">
        <v>797</v>
      </c>
      <c r="T22" s="333">
        <f>SUM(R22:S22)</f>
        <v>1594</v>
      </c>
      <c r="U22" s="320">
        <v>893</v>
      </c>
      <c r="V22" s="313">
        <v>0</v>
      </c>
      <c r="W22" s="333">
        <f>SUM(U22:V22)</f>
        <v>893</v>
      </c>
      <c r="X22" s="320">
        <v>1941</v>
      </c>
      <c r="Y22" s="313">
        <v>0</v>
      </c>
      <c r="Z22" s="333">
        <v>1941</v>
      </c>
      <c r="AA22" s="320">
        <v>2244</v>
      </c>
      <c r="AB22" s="313">
        <v>0</v>
      </c>
      <c r="AC22" s="333">
        <f>SUM(AA22:AB22)</f>
        <v>2244</v>
      </c>
      <c r="AD22" s="320">
        <v>827</v>
      </c>
      <c r="AE22" s="313">
        <v>0</v>
      </c>
      <c r="AF22" s="333">
        <f>SUM(AD22:AE22)</f>
        <v>827</v>
      </c>
      <c r="AG22" s="320">
        <v>211</v>
      </c>
      <c r="AH22" s="313">
        <v>0</v>
      </c>
      <c r="AI22" s="333">
        <f>SUM(AG22:AH22)</f>
        <v>211</v>
      </c>
      <c r="AJ22" s="320">
        <v>211</v>
      </c>
      <c r="AK22" s="313">
        <v>0</v>
      </c>
      <c r="AL22" s="333">
        <v>211</v>
      </c>
      <c r="AM22" s="313">
        <v>0</v>
      </c>
      <c r="AN22" s="313">
        <v>0</v>
      </c>
      <c r="AO22" s="313">
        <v>0</v>
      </c>
      <c r="AP22" s="320">
        <v>0</v>
      </c>
      <c r="AQ22" s="313">
        <v>0</v>
      </c>
      <c r="AR22" s="333">
        <v>0</v>
      </c>
      <c r="AS22" s="313">
        <v>0</v>
      </c>
      <c r="AT22" s="313">
        <v>0</v>
      </c>
      <c r="AU22" s="313">
        <v>0</v>
      </c>
      <c r="AV22" s="320">
        <v>0</v>
      </c>
      <c r="AW22" s="313">
        <v>0</v>
      </c>
      <c r="AX22" s="333">
        <v>0</v>
      </c>
      <c r="AY22" s="320">
        <v>0</v>
      </c>
      <c r="AZ22" s="313">
        <v>0</v>
      </c>
      <c r="BA22" s="333">
        <v>0</v>
      </c>
      <c r="BB22" s="320" t="s">
        <v>47</v>
      </c>
      <c r="BC22" s="313" t="s">
        <v>47</v>
      </c>
      <c r="BD22" s="162">
        <f>SUM(BB22:BC22)</f>
        <v>0</v>
      </c>
      <c r="BE22" s="320" t="s">
        <v>47</v>
      </c>
      <c r="BF22" s="313" t="s">
        <v>47</v>
      </c>
      <c r="BG22" s="333" t="s">
        <v>47</v>
      </c>
      <c r="BH22" s="320" t="s">
        <v>47</v>
      </c>
      <c r="BI22" s="313" t="s">
        <v>47</v>
      </c>
      <c r="BJ22" s="333" t="s">
        <v>47</v>
      </c>
      <c r="BK22" s="320" t="s">
        <v>47</v>
      </c>
      <c r="BL22" s="313" t="s">
        <v>47</v>
      </c>
      <c r="BM22" s="333" t="s">
        <v>47</v>
      </c>
      <c r="BN22" s="320" t="s">
        <v>47</v>
      </c>
      <c r="BO22" s="313" t="s">
        <v>47</v>
      </c>
      <c r="BP22" s="333" t="s">
        <v>47</v>
      </c>
      <c r="BQ22" s="320"/>
      <c r="BR22" s="313"/>
      <c r="BS22" s="333"/>
      <c r="BT22" s="313"/>
      <c r="BU22" s="313"/>
      <c r="BV22" s="313"/>
      <c r="BW22" s="320" t="s">
        <v>47</v>
      </c>
      <c r="BX22" s="313" t="s">
        <v>47</v>
      </c>
      <c r="BY22" s="333" t="s">
        <v>47</v>
      </c>
      <c r="BZ22" s="320" t="s">
        <v>47</v>
      </c>
      <c r="CA22" s="313" t="s">
        <v>47</v>
      </c>
      <c r="CB22" s="333" t="s">
        <v>47</v>
      </c>
      <c r="CC22" s="320" t="s">
        <v>47</v>
      </c>
      <c r="CD22" s="313" t="s">
        <v>47</v>
      </c>
      <c r="CE22" s="333" t="s">
        <v>47</v>
      </c>
      <c r="CF22" s="320" t="s">
        <v>47</v>
      </c>
      <c r="CG22" s="313" t="s">
        <v>47</v>
      </c>
      <c r="CH22" s="333" t="s">
        <v>47</v>
      </c>
      <c r="CI22" s="320" t="s">
        <v>47</v>
      </c>
      <c r="CJ22" s="313" t="s">
        <v>47</v>
      </c>
      <c r="CK22" s="333" t="s">
        <v>47</v>
      </c>
      <c r="CL22" s="320" t="s">
        <v>47</v>
      </c>
      <c r="CM22" s="313" t="s">
        <v>47</v>
      </c>
      <c r="CN22" s="333" t="s">
        <v>47</v>
      </c>
      <c r="CO22" s="320" t="s">
        <v>47</v>
      </c>
      <c r="CP22" s="313" t="s">
        <v>47</v>
      </c>
      <c r="CQ22" s="333" t="s">
        <v>47</v>
      </c>
      <c r="CR22" s="320" t="s">
        <v>47</v>
      </c>
      <c r="CS22" s="313" t="s">
        <v>47</v>
      </c>
      <c r="CT22" s="333" t="s">
        <v>47</v>
      </c>
      <c r="CU22" s="320" t="s">
        <v>47</v>
      </c>
      <c r="CV22" s="313" t="s">
        <v>47</v>
      </c>
      <c r="CW22" s="333" t="s">
        <v>47</v>
      </c>
      <c r="CX22" s="320" t="s">
        <v>47</v>
      </c>
      <c r="CY22" s="313" t="s">
        <v>47</v>
      </c>
      <c r="CZ22" s="333" t="s">
        <v>47</v>
      </c>
      <c r="DA22" s="320" t="s">
        <v>47</v>
      </c>
      <c r="DB22" s="313" t="s">
        <v>47</v>
      </c>
      <c r="DC22" s="333" t="s">
        <v>47</v>
      </c>
      <c r="DD22" s="320" t="s">
        <v>47</v>
      </c>
      <c r="DE22" s="313" t="s">
        <v>47</v>
      </c>
      <c r="DF22" s="333" t="s">
        <v>47</v>
      </c>
      <c r="DG22" s="320" t="s">
        <v>47</v>
      </c>
      <c r="DH22" s="313" t="s">
        <v>47</v>
      </c>
      <c r="DI22" s="333" t="s">
        <v>47</v>
      </c>
      <c r="DJ22" s="320" t="s">
        <v>47</v>
      </c>
      <c r="DK22" s="313" t="s">
        <v>47</v>
      </c>
      <c r="DL22" s="333" t="s">
        <v>47</v>
      </c>
      <c r="DM22" s="320" t="s">
        <v>47</v>
      </c>
      <c r="DN22" s="313" t="s">
        <v>47</v>
      </c>
      <c r="DO22" s="333" t="s">
        <v>47</v>
      </c>
      <c r="DP22" s="320" t="s">
        <v>47</v>
      </c>
      <c r="DQ22" s="313" t="s">
        <v>47</v>
      </c>
      <c r="DR22" s="333" t="s">
        <v>47</v>
      </c>
      <c r="DS22" s="320" t="s">
        <v>47</v>
      </c>
      <c r="DT22" s="313" t="s">
        <v>47</v>
      </c>
      <c r="DU22" s="333" t="s">
        <v>47</v>
      </c>
      <c r="DV22" s="320" t="s">
        <v>47</v>
      </c>
      <c r="DW22" s="313" t="s">
        <v>47</v>
      </c>
      <c r="DX22" s="333" t="s">
        <v>47</v>
      </c>
      <c r="DY22" s="320" t="s">
        <v>47</v>
      </c>
      <c r="DZ22" s="313" t="s">
        <v>47</v>
      </c>
      <c r="EA22" s="333" t="s">
        <v>47</v>
      </c>
      <c r="EB22" s="320" t="s">
        <v>47</v>
      </c>
      <c r="EC22" s="313" t="s">
        <v>47</v>
      </c>
      <c r="ED22" s="333" t="s">
        <v>47</v>
      </c>
      <c r="EE22" s="320" t="s">
        <v>47</v>
      </c>
      <c r="EF22" s="313" t="s">
        <v>47</v>
      </c>
      <c r="EG22" s="333" t="s">
        <v>47</v>
      </c>
    </row>
    <row r="23" spans="2:137" ht="15" hidden="1" customHeight="1" collapsed="1" x14ac:dyDescent="0.2">
      <c r="B23" s="127" t="s">
        <v>441</v>
      </c>
      <c r="C23" s="163">
        <f t="shared" ref="C23:AH23" si="20">SUM(C22:C22)</f>
        <v>595</v>
      </c>
      <c r="D23" s="120">
        <f t="shared" si="20"/>
        <v>0</v>
      </c>
      <c r="E23" s="164">
        <f t="shared" si="20"/>
        <v>595</v>
      </c>
      <c r="F23" s="163">
        <f t="shared" si="20"/>
        <v>456</v>
      </c>
      <c r="G23" s="120">
        <f t="shared" si="20"/>
        <v>0</v>
      </c>
      <c r="H23" s="164">
        <f t="shared" si="20"/>
        <v>456</v>
      </c>
      <c r="I23" s="163">
        <f t="shared" si="20"/>
        <v>463</v>
      </c>
      <c r="J23" s="120">
        <f t="shared" si="20"/>
        <v>0</v>
      </c>
      <c r="K23" s="164">
        <f t="shared" si="20"/>
        <v>463</v>
      </c>
      <c r="L23" s="163">
        <f t="shared" si="20"/>
        <v>501</v>
      </c>
      <c r="M23" s="120">
        <f t="shared" si="20"/>
        <v>0</v>
      </c>
      <c r="N23" s="164">
        <f t="shared" si="20"/>
        <v>501</v>
      </c>
      <c r="O23" s="163">
        <f t="shared" si="20"/>
        <v>482</v>
      </c>
      <c r="P23" s="120">
        <f t="shared" si="20"/>
        <v>0</v>
      </c>
      <c r="Q23" s="164">
        <f t="shared" si="20"/>
        <v>482</v>
      </c>
      <c r="R23" s="163">
        <f t="shared" si="20"/>
        <v>797</v>
      </c>
      <c r="S23" s="120">
        <f t="shared" si="20"/>
        <v>797</v>
      </c>
      <c r="T23" s="164">
        <f t="shared" si="20"/>
        <v>1594</v>
      </c>
      <c r="U23" s="163">
        <f t="shared" si="20"/>
        <v>893</v>
      </c>
      <c r="V23" s="120">
        <f t="shared" si="20"/>
        <v>0</v>
      </c>
      <c r="W23" s="164">
        <f t="shared" si="20"/>
        <v>893</v>
      </c>
      <c r="X23" s="163">
        <f t="shared" si="20"/>
        <v>1941</v>
      </c>
      <c r="Y23" s="120">
        <f t="shared" si="20"/>
        <v>0</v>
      </c>
      <c r="Z23" s="164">
        <f t="shared" si="20"/>
        <v>1941</v>
      </c>
      <c r="AA23" s="163">
        <f t="shared" si="20"/>
        <v>2244</v>
      </c>
      <c r="AB23" s="120">
        <f t="shared" si="20"/>
        <v>0</v>
      </c>
      <c r="AC23" s="164">
        <f t="shared" si="20"/>
        <v>2244</v>
      </c>
      <c r="AD23" s="163">
        <f t="shared" si="20"/>
        <v>827</v>
      </c>
      <c r="AE23" s="120">
        <f t="shared" si="20"/>
        <v>0</v>
      </c>
      <c r="AF23" s="164">
        <f t="shared" si="20"/>
        <v>827</v>
      </c>
      <c r="AG23" s="163">
        <f t="shared" si="20"/>
        <v>211</v>
      </c>
      <c r="AH23" s="120">
        <f t="shared" si="20"/>
        <v>0</v>
      </c>
      <c r="AI23" s="164">
        <f t="shared" ref="AI23:BN23" si="21">SUM(AI22:AI22)</f>
        <v>211</v>
      </c>
      <c r="AJ23" s="163">
        <f t="shared" si="21"/>
        <v>211</v>
      </c>
      <c r="AK23" s="120">
        <f t="shared" si="21"/>
        <v>0</v>
      </c>
      <c r="AL23" s="164">
        <f t="shared" si="21"/>
        <v>211</v>
      </c>
      <c r="AM23" s="163">
        <f t="shared" si="21"/>
        <v>0</v>
      </c>
      <c r="AN23" s="120">
        <f t="shared" si="21"/>
        <v>0</v>
      </c>
      <c r="AO23" s="164">
        <f t="shared" si="21"/>
        <v>0</v>
      </c>
      <c r="AP23" s="163">
        <f t="shared" si="21"/>
        <v>0</v>
      </c>
      <c r="AQ23" s="120">
        <f t="shared" si="21"/>
        <v>0</v>
      </c>
      <c r="AR23" s="164">
        <f t="shared" si="21"/>
        <v>0</v>
      </c>
      <c r="AS23" s="163">
        <f t="shared" si="21"/>
        <v>0</v>
      </c>
      <c r="AT23" s="120">
        <f t="shared" si="21"/>
        <v>0</v>
      </c>
      <c r="AU23" s="164">
        <f t="shared" si="21"/>
        <v>0</v>
      </c>
      <c r="AV23" s="163">
        <f t="shared" si="21"/>
        <v>0</v>
      </c>
      <c r="AW23" s="120">
        <f t="shared" si="21"/>
        <v>0</v>
      </c>
      <c r="AX23" s="164">
        <f t="shared" si="21"/>
        <v>0</v>
      </c>
      <c r="AY23" s="163">
        <f t="shared" si="21"/>
        <v>0</v>
      </c>
      <c r="AZ23" s="120">
        <f t="shared" si="21"/>
        <v>0</v>
      </c>
      <c r="BA23" s="164">
        <f t="shared" si="21"/>
        <v>0</v>
      </c>
      <c r="BB23" s="163">
        <f t="shared" si="21"/>
        <v>0</v>
      </c>
      <c r="BC23" s="120">
        <f t="shared" si="21"/>
        <v>0</v>
      </c>
      <c r="BD23" s="164">
        <f t="shared" si="21"/>
        <v>0</v>
      </c>
      <c r="BE23" s="163">
        <f t="shared" si="21"/>
        <v>0</v>
      </c>
      <c r="BF23" s="120">
        <f t="shared" si="21"/>
        <v>0</v>
      </c>
      <c r="BG23" s="164">
        <f t="shared" si="21"/>
        <v>0</v>
      </c>
      <c r="BH23" s="163">
        <f t="shared" si="21"/>
        <v>0</v>
      </c>
      <c r="BI23" s="120">
        <f t="shared" si="21"/>
        <v>0</v>
      </c>
      <c r="BJ23" s="164">
        <f t="shared" si="21"/>
        <v>0</v>
      </c>
      <c r="BK23" s="163">
        <f t="shared" si="21"/>
        <v>0</v>
      </c>
      <c r="BL23" s="120">
        <f t="shared" si="21"/>
        <v>0</v>
      </c>
      <c r="BM23" s="164">
        <f t="shared" si="21"/>
        <v>0</v>
      </c>
      <c r="BN23" s="163">
        <f t="shared" si="21"/>
        <v>0</v>
      </c>
      <c r="BO23" s="120">
        <f t="shared" ref="BO23:CN23" si="22">SUM(BO22:BO22)</f>
        <v>0</v>
      </c>
      <c r="BP23" s="164">
        <f t="shared" si="22"/>
        <v>0</v>
      </c>
      <c r="BQ23" s="163">
        <f t="shared" si="22"/>
        <v>0</v>
      </c>
      <c r="BR23" s="120">
        <f t="shared" si="22"/>
        <v>0</v>
      </c>
      <c r="BS23" s="164">
        <f t="shared" si="22"/>
        <v>0</v>
      </c>
      <c r="BT23" s="163">
        <f t="shared" si="22"/>
        <v>0</v>
      </c>
      <c r="BU23" s="120">
        <f t="shared" si="22"/>
        <v>0</v>
      </c>
      <c r="BV23" s="164">
        <f t="shared" si="22"/>
        <v>0</v>
      </c>
      <c r="BW23" s="163">
        <f t="shared" si="22"/>
        <v>0</v>
      </c>
      <c r="BX23" s="120">
        <f t="shared" si="22"/>
        <v>0</v>
      </c>
      <c r="BY23" s="164">
        <f t="shared" si="22"/>
        <v>0</v>
      </c>
      <c r="BZ23" s="163">
        <f t="shared" si="22"/>
        <v>0</v>
      </c>
      <c r="CA23" s="120">
        <f t="shared" si="22"/>
        <v>0</v>
      </c>
      <c r="CB23" s="164">
        <f t="shared" si="22"/>
        <v>0</v>
      </c>
      <c r="CC23" s="163">
        <f t="shared" si="22"/>
        <v>0</v>
      </c>
      <c r="CD23" s="120">
        <f t="shared" si="22"/>
        <v>0</v>
      </c>
      <c r="CE23" s="164">
        <f t="shared" si="22"/>
        <v>0</v>
      </c>
      <c r="CF23" s="163">
        <f t="shared" si="22"/>
        <v>0</v>
      </c>
      <c r="CG23" s="120">
        <f t="shared" si="22"/>
        <v>0</v>
      </c>
      <c r="CH23" s="164">
        <f t="shared" si="22"/>
        <v>0</v>
      </c>
      <c r="CI23" s="163">
        <f t="shared" si="22"/>
        <v>0</v>
      </c>
      <c r="CJ23" s="120">
        <f t="shared" si="22"/>
        <v>0</v>
      </c>
      <c r="CK23" s="164">
        <f t="shared" si="22"/>
        <v>0</v>
      </c>
      <c r="CL23" s="163">
        <f t="shared" si="22"/>
        <v>0</v>
      </c>
      <c r="CM23" s="120">
        <f t="shared" si="22"/>
        <v>0</v>
      </c>
      <c r="CN23" s="164">
        <f t="shared" si="22"/>
        <v>0</v>
      </c>
      <c r="CO23" s="163">
        <f>SUM(CO22:CO22)</f>
        <v>0</v>
      </c>
      <c r="CP23" s="120">
        <f>SUM(CP22:CP22)</f>
        <v>0</v>
      </c>
      <c r="CQ23" s="164">
        <f>SUM(CQ22:CQ22)</f>
        <v>0</v>
      </c>
      <c r="CR23" s="163">
        <v>0</v>
      </c>
      <c r="CS23" s="120">
        <v>0</v>
      </c>
      <c r="CT23" s="164">
        <v>0</v>
      </c>
      <c r="CU23" s="163">
        <f t="shared" ref="CU23:DC23" si="23">SUM(CU22:CU22)</f>
        <v>0</v>
      </c>
      <c r="CV23" s="120">
        <f t="shared" si="23"/>
        <v>0</v>
      </c>
      <c r="CW23" s="164">
        <f t="shared" si="23"/>
        <v>0</v>
      </c>
      <c r="CX23" s="163">
        <f>SUM(CX22:CX22)</f>
        <v>0</v>
      </c>
      <c r="CY23" s="120">
        <f>SUM(CY22:CY22)</f>
        <v>0</v>
      </c>
      <c r="CZ23" s="164">
        <f>SUM(CZ22:CZ22)</f>
        <v>0</v>
      </c>
      <c r="DA23" s="163">
        <f t="shared" si="23"/>
        <v>0</v>
      </c>
      <c r="DB23" s="120">
        <f t="shared" si="23"/>
        <v>0</v>
      </c>
      <c r="DC23" s="164">
        <f t="shared" si="23"/>
        <v>0</v>
      </c>
      <c r="DD23" s="163">
        <f t="shared" ref="DD23:DX23" si="24">SUM(DD22:DD22)</f>
        <v>0</v>
      </c>
      <c r="DE23" s="120">
        <f t="shared" si="24"/>
        <v>0</v>
      </c>
      <c r="DF23" s="164">
        <f t="shared" si="24"/>
        <v>0</v>
      </c>
      <c r="DG23" s="163">
        <f t="shared" si="24"/>
        <v>0</v>
      </c>
      <c r="DH23" s="120">
        <f t="shared" si="24"/>
        <v>0</v>
      </c>
      <c r="DI23" s="164">
        <f t="shared" si="24"/>
        <v>0</v>
      </c>
      <c r="DJ23" s="163">
        <f t="shared" si="24"/>
        <v>0</v>
      </c>
      <c r="DK23" s="120">
        <f t="shared" si="24"/>
        <v>0</v>
      </c>
      <c r="DL23" s="164">
        <f t="shared" si="24"/>
        <v>0</v>
      </c>
      <c r="DM23" s="163">
        <f t="shared" si="24"/>
        <v>0</v>
      </c>
      <c r="DN23" s="120">
        <f t="shared" si="24"/>
        <v>0</v>
      </c>
      <c r="DO23" s="164">
        <f t="shared" si="24"/>
        <v>0</v>
      </c>
      <c r="DP23" s="163">
        <f t="shared" si="24"/>
        <v>0</v>
      </c>
      <c r="DQ23" s="120">
        <f t="shared" si="24"/>
        <v>0</v>
      </c>
      <c r="DR23" s="164">
        <f t="shared" si="24"/>
        <v>0</v>
      </c>
      <c r="DS23" s="163">
        <f t="shared" si="24"/>
        <v>0</v>
      </c>
      <c r="DT23" s="120">
        <f t="shared" si="24"/>
        <v>0</v>
      </c>
      <c r="DU23" s="164">
        <f t="shared" si="24"/>
        <v>0</v>
      </c>
      <c r="DV23" s="163">
        <f t="shared" si="24"/>
        <v>0</v>
      </c>
      <c r="DW23" s="120">
        <f t="shared" si="24"/>
        <v>0</v>
      </c>
      <c r="DX23" s="164">
        <f t="shared" si="24"/>
        <v>0</v>
      </c>
      <c r="DY23" s="163">
        <f t="shared" ref="DY23:EG23" si="25">SUM(DY22:DY22)</f>
        <v>0</v>
      </c>
      <c r="DZ23" s="120">
        <f t="shared" si="25"/>
        <v>0</v>
      </c>
      <c r="EA23" s="164">
        <f t="shared" si="25"/>
        <v>0</v>
      </c>
      <c r="EB23" s="163">
        <f t="shared" ref="EB23:EC23" si="26">SUM(EB22:EB22)</f>
        <v>0</v>
      </c>
      <c r="EC23" s="120">
        <f t="shared" si="26"/>
        <v>0</v>
      </c>
      <c r="ED23" s="164">
        <f t="shared" ref="ED23" si="27">SUM(ED22:ED22)</f>
        <v>0</v>
      </c>
      <c r="EE23" s="163">
        <f t="shared" si="25"/>
        <v>0</v>
      </c>
      <c r="EF23" s="120">
        <f t="shared" si="25"/>
        <v>0</v>
      </c>
      <c r="EG23" s="164">
        <f t="shared" si="25"/>
        <v>0</v>
      </c>
    </row>
    <row r="24" spans="2:137" ht="15" customHeight="1" x14ac:dyDescent="0.2">
      <c r="B24" s="127" t="s">
        <v>776</v>
      </c>
      <c r="C24" s="163"/>
      <c r="D24" s="120"/>
      <c r="E24" s="164"/>
      <c r="F24" s="163"/>
      <c r="G24" s="120"/>
      <c r="H24" s="164"/>
      <c r="I24" s="163"/>
      <c r="J24" s="120"/>
      <c r="K24" s="164"/>
      <c r="L24" s="163"/>
      <c r="M24" s="120"/>
      <c r="N24" s="164"/>
      <c r="O24" s="163"/>
      <c r="P24" s="120"/>
      <c r="Q24" s="164"/>
      <c r="R24" s="163"/>
      <c r="S24" s="120"/>
      <c r="T24" s="164"/>
      <c r="U24" s="163"/>
      <c r="V24" s="120"/>
      <c r="W24" s="164"/>
      <c r="X24" s="163"/>
      <c r="Y24" s="120"/>
      <c r="Z24" s="164"/>
      <c r="AA24" s="163"/>
      <c r="AB24" s="120"/>
      <c r="AC24" s="164"/>
      <c r="AD24" s="657">
        <f t="shared" ref="AD24:CO24" si="28">SUM(AD25:AD26)</f>
        <v>3475</v>
      </c>
      <c r="AE24" s="208">
        <f t="shared" si="28"/>
        <v>1365</v>
      </c>
      <c r="AF24" s="658">
        <f t="shared" si="28"/>
        <v>4840</v>
      </c>
      <c r="AG24" s="657">
        <f t="shared" si="28"/>
        <v>3187</v>
      </c>
      <c r="AH24" s="208">
        <f t="shared" si="28"/>
        <v>1365</v>
      </c>
      <c r="AI24" s="658">
        <f t="shared" si="28"/>
        <v>4552</v>
      </c>
      <c r="AJ24" s="657">
        <f t="shared" si="28"/>
        <v>3168</v>
      </c>
      <c r="AK24" s="208">
        <f t="shared" si="28"/>
        <v>1365</v>
      </c>
      <c r="AL24" s="658">
        <f t="shared" si="28"/>
        <v>4533</v>
      </c>
      <c r="AM24" s="657">
        <f t="shared" si="28"/>
        <v>2999</v>
      </c>
      <c r="AN24" s="208">
        <f t="shared" si="28"/>
        <v>1365</v>
      </c>
      <c r="AO24" s="658">
        <f t="shared" si="28"/>
        <v>4364</v>
      </c>
      <c r="AP24" s="657">
        <f t="shared" si="28"/>
        <v>2984</v>
      </c>
      <c r="AQ24" s="208">
        <f t="shared" si="28"/>
        <v>1365</v>
      </c>
      <c r="AR24" s="658">
        <f t="shared" si="28"/>
        <v>4349</v>
      </c>
      <c r="AS24" s="657">
        <f t="shared" si="28"/>
        <v>1340</v>
      </c>
      <c r="AT24" s="208">
        <f t="shared" si="28"/>
        <v>0</v>
      </c>
      <c r="AU24" s="658">
        <f t="shared" si="28"/>
        <v>1340</v>
      </c>
      <c r="AV24" s="657">
        <f t="shared" si="28"/>
        <v>1382</v>
      </c>
      <c r="AW24" s="208">
        <f t="shared" si="28"/>
        <v>0</v>
      </c>
      <c r="AX24" s="658">
        <f t="shared" si="28"/>
        <v>1382</v>
      </c>
      <c r="AY24" s="657">
        <f t="shared" si="28"/>
        <v>1978</v>
      </c>
      <c r="AZ24" s="208">
        <f t="shared" si="28"/>
        <v>0</v>
      </c>
      <c r="BA24" s="658">
        <f t="shared" si="28"/>
        <v>1978</v>
      </c>
      <c r="BB24" s="163">
        <f t="shared" si="28"/>
        <v>19190</v>
      </c>
      <c r="BC24" s="120">
        <f t="shared" si="28"/>
        <v>16693</v>
      </c>
      <c r="BD24" s="164">
        <f t="shared" si="28"/>
        <v>35883</v>
      </c>
      <c r="BE24" s="163">
        <f t="shared" si="28"/>
        <v>18720</v>
      </c>
      <c r="BF24" s="120">
        <f t="shared" si="28"/>
        <v>16693</v>
      </c>
      <c r="BG24" s="164">
        <f t="shared" si="28"/>
        <v>35413</v>
      </c>
      <c r="BH24" s="163">
        <f t="shared" si="28"/>
        <v>18571</v>
      </c>
      <c r="BI24" s="120">
        <f t="shared" si="28"/>
        <v>16693</v>
      </c>
      <c r="BJ24" s="164">
        <f t="shared" si="28"/>
        <v>35264</v>
      </c>
      <c r="BK24" s="163">
        <f t="shared" si="28"/>
        <v>19251</v>
      </c>
      <c r="BL24" s="120">
        <f t="shared" si="28"/>
        <v>16693</v>
      </c>
      <c r="BM24" s="164">
        <f t="shared" si="28"/>
        <v>35944</v>
      </c>
      <c r="BN24" s="163">
        <f t="shared" si="28"/>
        <v>18637</v>
      </c>
      <c r="BO24" s="120">
        <f t="shared" si="28"/>
        <v>16693</v>
      </c>
      <c r="BP24" s="164">
        <f t="shared" si="28"/>
        <v>35330</v>
      </c>
      <c r="BQ24" s="163">
        <f t="shared" si="28"/>
        <v>18777</v>
      </c>
      <c r="BR24" s="120">
        <f t="shared" si="28"/>
        <v>16693</v>
      </c>
      <c r="BS24" s="164">
        <f t="shared" si="28"/>
        <v>35470</v>
      </c>
      <c r="BT24" s="163">
        <f t="shared" si="28"/>
        <v>19301</v>
      </c>
      <c r="BU24" s="120">
        <f t="shared" si="28"/>
        <v>16693</v>
      </c>
      <c r="BV24" s="164">
        <f t="shared" si="28"/>
        <v>35994</v>
      </c>
      <c r="BW24" s="163">
        <f t="shared" si="28"/>
        <v>21650</v>
      </c>
      <c r="BX24" s="120">
        <f t="shared" si="28"/>
        <v>16693</v>
      </c>
      <c r="BY24" s="164">
        <f t="shared" si="28"/>
        <v>38343</v>
      </c>
      <c r="BZ24" s="163">
        <f t="shared" si="28"/>
        <v>23044</v>
      </c>
      <c r="CA24" s="120">
        <f t="shared" si="28"/>
        <v>16693</v>
      </c>
      <c r="CB24" s="164">
        <f t="shared" si="28"/>
        <v>39737</v>
      </c>
      <c r="CC24" s="163">
        <f t="shared" si="28"/>
        <v>23889</v>
      </c>
      <c r="CD24" s="120">
        <f t="shared" si="28"/>
        <v>16693</v>
      </c>
      <c r="CE24" s="164">
        <f t="shared" si="28"/>
        <v>40582</v>
      </c>
      <c r="CF24" s="163">
        <f t="shared" si="28"/>
        <v>22746</v>
      </c>
      <c r="CG24" s="120">
        <f t="shared" si="28"/>
        <v>21157</v>
      </c>
      <c r="CH24" s="164">
        <f t="shared" si="28"/>
        <v>43903</v>
      </c>
      <c r="CI24" s="163">
        <f t="shared" si="28"/>
        <v>20584</v>
      </c>
      <c r="CJ24" s="120">
        <f t="shared" si="28"/>
        <v>16693</v>
      </c>
      <c r="CK24" s="164">
        <f t="shared" si="28"/>
        <v>37277</v>
      </c>
      <c r="CL24" s="163">
        <f t="shared" si="28"/>
        <v>21395</v>
      </c>
      <c r="CM24" s="120">
        <f t="shared" si="28"/>
        <v>20174</v>
      </c>
      <c r="CN24" s="164">
        <f t="shared" si="28"/>
        <v>41569</v>
      </c>
      <c r="CO24" s="163">
        <f t="shared" si="28"/>
        <v>21974</v>
      </c>
      <c r="CP24" s="120">
        <f t="shared" ref="CP24:DR24" si="29">SUM(CP25:CP26)</f>
        <v>16693</v>
      </c>
      <c r="CQ24" s="164">
        <f t="shared" si="29"/>
        <v>38667</v>
      </c>
      <c r="CR24" s="163">
        <f t="shared" si="29"/>
        <v>21132</v>
      </c>
      <c r="CS24" s="120">
        <f t="shared" si="29"/>
        <v>16693</v>
      </c>
      <c r="CT24" s="164">
        <f t="shared" si="29"/>
        <v>37825</v>
      </c>
      <c r="CU24" s="163">
        <f t="shared" si="29"/>
        <v>23380</v>
      </c>
      <c r="CV24" s="120">
        <f t="shared" si="29"/>
        <v>26537</v>
      </c>
      <c r="CW24" s="164">
        <f t="shared" si="29"/>
        <v>43554</v>
      </c>
      <c r="CX24" s="163">
        <f t="shared" si="29"/>
        <v>25249</v>
      </c>
      <c r="CY24" s="120">
        <f t="shared" si="29"/>
        <v>16693</v>
      </c>
      <c r="CZ24" s="164">
        <f t="shared" si="29"/>
        <v>41942</v>
      </c>
      <c r="DA24" s="163">
        <f t="shared" si="29"/>
        <v>26060</v>
      </c>
      <c r="DB24" s="120">
        <f t="shared" si="29"/>
        <v>16693</v>
      </c>
      <c r="DC24" s="164">
        <f t="shared" si="29"/>
        <v>42753</v>
      </c>
      <c r="DD24" s="163">
        <f t="shared" si="29"/>
        <v>23191</v>
      </c>
      <c r="DE24" s="120">
        <f t="shared" si="29"/>
        <v>16693</v>
      </c>
      <c r="DF24" s="164">
        <f t="shared" si="29"/>
        <v>39884</v>
      </c>
      <c r="DG24" s="163">
        <f t="shared" si="29"/>
        <v>24368</v>
      </c>
      <c r="DH24" s="120">
        <f t="shared" si="29"/>
        <v>16693</v>
      </c>
      <c r="DI24" s="164">
        <f t="shared" si="29"/>
        <v>41061</v>
      </c>
      <c r="DJ24" s="163">
        <f t="shared" si="29"/>
        <v>26099</v>
      </c>
      <c r="DK24" s="120">
        <f t="shared" si="29"/>
        <v>16693</v>
      </c>
      <c r="DL24" s="164">
        <f t="shared" si="29"/>
        <v>42792</v>
      </c>
      <c r="DM24" s="163">
        <f t="shared" si="29"/>
        <v>26316</v>
      </c>
      <c r="DN24" s="120">
        <f t="shared" si="29"/>
        <v>16693</v>
      </c>
      <c r="DO24" s="164">
        <f t="shared" si="29"/>
        <v>50684</v>
      </c>
      <c r="DP24" s="163">
        <f t="shared" si="29"/>
        <v>27505</v>
      </c>
      <c r="DQ24" s="120">
        <f t="shared" si="29"/>
        <v>16693</v>
      </c>
      <c r="DR24" s="164">
        <f t="shared" si="29"/>
        <v>44198</v>
      </c>
      <c r="DS24" s="163">
        <f>SUM(DS25:DS26)</f>
        <v>26508</v>
      </c>
      <c r="DT24" s="120">
        <f t="shared" ref="DT24:EG24" si="30">SUM(DT25:DT26)</f>
        <v>16693</v>
      </c>
      <c r="DU24" s="164">
        <f t="shared" si="30"/>
        <v>43201</v>
      </c>
      <c r="DV24" s="163">
        <f t="shared" si="30"/>
        <v>33149</v>
      </c>
      <c r="DW24" s="120">
        <f t="shared" si="30"/>
        <v>16693</v>
      </c>
      <c r="DX24" s="164">
        <f t="shared" si="30"/>
        <v>49842</v>
      </c>
      <c r="DY24" s="163">
        <f t="shared" ref="DY24:EC24" si="31">SUM(DY25:DY26)</f>
        <v>39565</v>
      </c>
      <c r="DZ24" s="120">
        <f t="shared" si="31"/>
        <v>16693</v>
      </c>
      <c r="EA24" s="164">
        <f t="shared" si="31"/>
        <v>56258</v>
      </c>
      <c r="EB24" s="163">
        <f t="shared" si="31"/>
        <v>29901</v>
      </c>
      <c r="EC24" s="120">
        <f t="shared" si="31"/>
        <v>16693</v>
      </c>
      <c r="ED24" s="164">
        <f t="shared" ref="ED24" si="32">SUM(ED25:ED26)</f>
        <v>46594</v>
      </c>
      <c r="EE24" s="163">
        <f t="shared" si="30"/>
        <v>29652</v>
      </c>
      <c r="EF24" s="120">
        <f t="shared" si="30"/>
        <v>16693</v>
      </c>
      <c r="EG24" s="164">
        <f t="shared" si="30"/>
        <v>46345</v>
      </c>
    </row>
    <row r="25" spans="2:137" ht="15" customHeight="1" x14ac:dyDescent="0.2">
      <c r="B25" s="130" t="s">
        <v>777</v>
      </c>
      <c r="C25" s="161"/>
      <c r="D25" s="118"/>
      <c r="E25" s="162"/>
      <c r="F25" s="161"/>
      <c r="G25" s="118"/>
      <c r="H25" s="162"/>
      <c r="I25" s="161"/>
      <c r="J25" s="118"/>
      <c r="K25" s="162"/>
      <c r="L25" s="161"/>
      <c r="M25" s="118"/>
      <c r="N25" s="162"/>
      <c r="O25" s="161"/>
      <c r="P25" s="118"/>
      <c r="Q25" s="162"/>
      <c r="R25" s="161"/>
      <c r="S25" s="118"/>
      <c r="T25" s="162"/>
      <c r="U25" s="161"/>
      <c r="V25" s="118"/>
      <c r="W25" s="162"/>
      <c r="X25" s="161"/>
      <c r="Y25" s="118"/>
      <c r="Z25" s="162"/>
      <c r="AA25" s="161"/>
      <c r="AB25" s="118"/>
      <c r="AC25" s="162"/>
      <c r="AD25" s="161" t="s">
        <v>47</v>
      </c>
      <c r="AE25" s="118" t="s">
        <v>47</v>
      </c>
      <c r="AF25" s="162" t="s">
        <v>47</v>
      </c>
      <c r="AG25" s="161" t="s">
        <v>47</v>
      </c>
      <c r="AH25" s="118" t="s">
        <v>47</v>
      </c>
      <c r="AI25" s="162" t="s">
        <v>47</v>
      </c>
      <c r="AJ25" s="161" t="s">
        <v>47</v>
      </c>
      <c r="AK25" s="118" t="s">
        <v>47</v>
      </c>
      <c r="AL25" s="162" t="s">
        <v>47</v>
      </c>
      <c r="AM25" s="118" t="s">
        <v>47</v>
      </c>
      <c r="AN25" s="118" t="s">
        <v>47</v>
      </c>
      <c r="AO25" s="118" t="s">
        <v>47</v>
      </c>
      <c r="AP25" s="161" t="s">
        <v>47</v>
      </c>
      <c r="AQ25" s="118" t="s">
        <v>47</v>
      </c>
      <c r="AR25" s="162" t="s">
        <v>47</v>
      </c>
      <c r="AS25" s="118" t="s">
        <v>47</v>
      </c>
      <c r="AT25" s="118" t="s">
        <v>47</v>
      </c>
      <c r="AU25" s="118" t="s">
        <v>47</v>
      </c>
      <c r="AV25" s="161" t="s">
        <v>47</v>
      </c>
      <c r="AW25" s="118" t="s">
        <v>47</v>
      </c>
      <c r="AX25" s="162" t="s">
        <v>47</v>
      </c>
      <c r="AY25" s="161" t="s">
        <v>47</v>
      </c>
      <c r="AZ25" s="118" t="s">
        <v>47</v>
      </c>
      <c r="BA25" s="162" t="s">
        <v>47</v>
      </c>
      <c r="BB25" s="161">
        <v>17105</v>
      </c>
      <c r="BC25" s="118">
        <v>16693</v>
      </c>
      <c r="BD25" s="162">
        <f>+SUM(BA25:BC25)</f>
        <v>33798</v>
      </c>
      <c r="BE25" s="161">
        <v>16867</v>
      </c>
      <c r="BF25" s="118">
        <v>16693</v>
      </c>
      <c r="BG25" s="162">
        <f>+SUM(BE25:BF25)</f>
        <v>33560</v>
      </c>
      <c r="BH25" s="161">
        <v>17132</v>
      </c>
      <c r="BI25" s="118">
        <v>16693</v>
      </c>
      <c r="BJ25" s="162">
        <f>+SUM(BH25:BI25)</f>
        <v>33825</v>
      </c>
      <c r="BK25" s="161">
        <v>17838</v>
      </c>
      <c r="BL25" s="118">
        <v>16693</v>
      </c>
      <c r="BM25" s="162">
        <f>+SUM(BK25:BL25)</f>
        <v>34531</v>
      </c>
      <c r="BN25" s="161">
        <v>17408</v>
      </c>
      <c r="BO25" s="118">
        <v>16693</v>
      </c>
      <c r="BP25" s="162">
        <v>34101</v>
      </c>
      <c r="BQ25" s="161">
        <v>17931</v>
      </c>
      <c r="BR25" s="118">
        <v>16693</v>
      </c>
      <c r="BS25" s="162">
        <f>+SUM(BQ25:BR25)</f>
        <v>34624</v>
      </c>
      <c r="BT25" s="161">
        <v>18777</v>
      </c>
      <c r="BU25" s="118">
        <v>16693</v>
      </c>
      <c r="BV25" s="162">
        <v>35470</v>
      </c>
      <c r="BW25" s="161">
        <v>21157</v>
      </c>
      <c r="BX25" s="118">
        <v>16693</v>
      </c>
      <c r="BY25" s="162">
        <v>37850</v>
      </c>
      <c r="BZ25" s="161">
        <v>22621</v>
      </c>
      <c r="CA25" s="118">
        <v>16693</v>
      </c>
      <c r="CB25" s="162">
        <v>39314</v>
      </c>
      <c r="CC25" s="161">
        <v>23531</v>
      </c>
      <c r="CD25" s="118">
        <v>16693</v>
      </c>
      <c r="CE25" s="162">
        <v>40224</v>
      </c>
      <c r="CF25" s="161">
        <v>22317</v>
      </c>
      <c r="CG25" s="118">
        <v>21157</v>
      </c>
      <c r="CH25" s="162">
        <f>+SUM(CF25:CG25)</f>
        <v>43474</v>
      </c>
      <c r="CI25" s="161">
        <v>20174</v>
      </c>
      <c r="CJ25" s="118">
        <v>16693</v>
      </c>
      <c r="CK25" s="162">
        <v>36867</v>
      </c>
      <c r="CL25" s="161">
        <v>20992</v>
      </c>
      <c r="CM25" s="118">
        <v>20174</v>
      </c>
      <c r="CN25" s="162">
        <f>+SUM(CL25:CM25)</f>
        <v>41166</v>
      </c>
      <c r="CO25" s="161">
        <v>21576</v>
      </c>
      <c r="CP25" s="118">
        <v>16693</v>
      </c>
      <c r="CQ25" s="162">
        <f>+SUM(CO25:CP25)</f>
        <v>38269</v>
      </c>
      <c r="CR25" s="161">
        <v>20806</v>
      </c>
      <c r="CS25" s="118">
        <v>16693</v>
      </c>
      <c r="CT25" s="162">
        <v>37499</v>
      </c>
      <c r="CU25" s="161">
        <v>20265</v>
      </c>
      <c r="CV25" s="118">
        <v>20174</v>
      </c>
      <c r="CW25" s="162">
        <f>+SUM(CU25:CV25)</f>
        <v>40439</v>
      </c>
      <c r="CX25" s="161">
        <v>22108</v>
      </c>
      <c r="CY25" s="118">
        <v>16693</v>
      </c>
      <c r="CZ25" s="162">
        <f>+SUM(CX25:CY25)</f>
        <v>38801</v>
      </c>
      <c r="DA25" s="161">
        <v>22890</v>
      </c>
      <c r="DB25" s="118">
        <v>16693</v>
      </c>
      <c r="DC25" s="162">
        <v>39583</v>
      </c>
      <c r="DD25" s="161">
        <v>23191</v>
      </c>
      <c r="DE25" s="118">
        <v>16693</v>
      </c>
      <c r="DF25" s="162">
        <f>+SUM(DD25:DE25)</f>
        <v>39884</v>
      </c>
      <c r="DG25" s="161">
        <v>24368</v>
      </c>
      <c r="DH25" s="118">
        <v>16693</v>
      </c>
      <c r="DI25" s="162">
        <f>+SUM(DG25:DH25)</f>
        <v>41061</v>
      </c>
      <c r="DJ25" s="161">
        <v>26099</v>
      </c>
      <c r="DK25" s="118">
        <v>16693</v>
      </c>
      <c r="DL25" s="162">
        <f>+SUM(DJ25:DK25)</f>
        <v>42792</v>
      </c>
      <c r="DM25" s="161">
        <v>26316</v>
      </c>
      <c r="DN25" s="118">
        <v>16693</v>
      </c>
      <c r="DO25" s="162">
        <v>50684</v>
      </c>
      <c r="DP25" s="161">
        <v>27505</v>
      </c>
      <c r="DQ25" s="118">
        <v>16693</v>
      </c>
      <c r="DR25" s="162">
        <v>44198</v>
      </c>
      <c r="DS25" s="161">
        <v>26508</v>
      </c>
      <c r="DT25" s="118">
        <v>16693</v>
      </c>
      <c r="DU25" s="162">
        <v>43201</v>
      </c>
      <c r="DV25" s="161">
        <v>33149</v>
      </c>
      <c r="DW25" s="118">
        <v>16693</v>
      </c>
      <c r="DX25" s="162">
        <f>+SUM(DV25:DW25)</f>
        <v>49842</v>
      </c>
      <c r="DY25" s="161">
        <v>39565</v>
      </c>
      <c r="DZ25" s="118">
        <v>16693</v>
      </c>
      <c r="EA25" s="162">
        <f>+SUM(DY25:DZ25)</f>
        <v>56258</v>
      </c>
      <c r="EB25" s="161">
        <v>29901</v>
      </c>
      <c r="EC25" s="118">
        <v>16693</v>
      </c>
      <c r="ED25" s="162">
        <f>+SUM(EB25:EC25)</f>
        <v>46594</v>
      </c>
      <c r="EE25" s="161">
        <v>29652</v>
      </c>
      <c r="EF25" s="118">
        <v>16693</v>
      </c>
      <c r="EG25" s="162">
        <f>+SUM(EE25:EF25)</f>
        <v>46345</v>
      </c>
    </row>
    <row r="26" spans="2:137" s="312" customFormat="1" ht="15" hidden="1" customHeight="1" outlineLevel="1" x14ac:dyDescent="0.2">
      <c r="B26" s="319" t="s">
        <v>57</v>
      </c>
      <c r="C26" s="320">
        <v>1668</v>
      </c>
      <c r="D26" s="313">
        <v>1365</v>
      </c>
      <c r="E26" s="333">
        <f>SUM(C26:D26)</f>
        <v>3033</v>
      </c>
      <c r="F26" s="320">
        <v>1602</v>
      </c>
      <c r="G26" s="313">
        <v>1365</v>
      </c>
      <c r="H26" s="333">
        <f>SUM(F26:G26)</f>
        <v>2967</v>
      </c>
      <c r="I26" s="320">
        <v>1644</v>
      </c>
      <c r="J26" s="313">
        <v>1365</v>
      </c>
      <c r="K26" s="333">
        <f>SUM(I26:J26)</f>
        <v>3009</v>
      </c>
      <c r="L26" s="320">
        <v>2065</v>
      </c>
      <c r="M26" s="313">
        <v>1365</v>
      </c>
      <c r="N26" s="333">
        <f>SUM(L26:M26)</f>
        <v>3430</v>
      </c>
      <c r="O26" s="320">
        <v>4223</v>
      </c>
      <c r="P26" s="313">
        <v>1365</v>
      </c>
      <c r="Q26" s="333">
        <f>SUM(O26:P26)</f>
        <v>5588</v>
      </c>
      <c r="R26" s="320">
        <v>4404</v>
      </c>
      <c r="S26" s="313">
        <v>4404</v>
      </c>
      <c r="T26" s="333">
        <f>SUM(R26:S26)</f>
        <v>8808</v>
      </c>
      <c r="U26" s="320">
        <v>4536</v>
      </c>
      <c r="V26" s="313">
        <v>1365</v>
      </c>
      <c r="W26" s="333">
        <f>SUM(U26:V26)</f>
        <v>5901</v>
      </c>
      <c r="X26" s="320">
        <v>3420</v>
      </c>
      <c r="Y26" s="313">
        <v>1365</v>
      </c>
      <c r="Z26" s="333">
        <v>4785</v>
      </c>
      <c r="AA26" s="320">
        <v>3533</v>
      </c>
      <c r="AB26" s="313">
        <v>1365</v>
      </c>
      <c r="AC26" s="333">
        <f>SUM(AA26:AB26)</f>
        <v>4898</v>
      </c>
      <c r="AD26" s="320">
        <v>3475</v>
      </c>
      <c r="AE26" s="313">
        <v>1365</v>
      </c>
      <c r="AF26" s="333">
        <f>SUM(AD26:AE26)</f>
        <v>4840</v>
      </c>
      <c r="AG26" s="320">
        <v>3187</v>
      </c>
      <c r="AH26" s="313">
        <v>1365</v>
      </c>
      <c r="AI26" s="333">
        <f>SUM(AG26:AH26)</f>
        <v>4552</v>
      </c>
      <c r="AJ26" s="320">
        <v>3168</v>
      </c>
      <c r="AK26" s="313">
        <v>1365</v>
      </c>
      <c r="AL26" s="333">
        <v>4533</v>
      </c>
      <c r="AM26" s="313">
        <v>2999</v>
      </c>
      <c r="AN26" s="313">
        <v>1365</v>
      </c>
      <c r="AO26" s="313">
        <v>4364</v>
      </c>
      <c r="AP26" s="320">
        <v>2984</v>
      </c>
      <c r="AQ26" s="313">
        <v>1365</v>
      </c>
      <c r="AR26" s="333">
        <v>4349</v>
      </c>
      <c r="AS26" s="313">
        <v>1340</v>
      </c>
      <c r="AT26" s="313">
        <v>0</v>
      </c>
      <c r="AU26" s="313">
        <v>1340</v>
      </c>
      <c r="AV26" s="320">
        <v>1382</v>
      </c>
      <c r="AW26" s="313">
        <v>0</v>
      </c>
      <c r="AX26" s="333">
        <v>1382</v>
      </c>
      <c r="AY26" s="320">
        <v>1978</v>
      </c>
      <c r="AZ26" s="313">
        <v>0</v>
      </c>
      <c r="BA26" s="333">
        <v>1978</v>
      </c>
      <c r="BB26" s="320">
        <v>2085</v>
      </c>
      <c r="BC26" s="313">
        <v>0</v>
      </c>
      <c r="BD26" s="333">
        <f>SUM(BB26:BC26)</f>
        <v>2085</v>
      </c>
      <c r="BE26" s="320">
        <v>1853</v>
      </c>
      <c r="BF26" s="313">
        <v>0</v>
      </c>
      <c r="BG26" s="333">
        <f>+BE26</f>
        <v>1853</v>
      </c>
      <c r="BH26" s="320">
        <v>1439</v>
      </c>
      <c r="BI26" s="313">
        <v>0</v>
      </c>
      <c r="BJ26" s="333">
        <f>+BH26</f>
        <v>1439</v>
      </c>
      <c r="BK26" s="320">
        <v>1413</v>
      </c>
      <c r="BL26" s="313">
        <v>0</v>
      </c>
      <c r="BM26" s="333">
        <f>+BK26</f>
        <v>1413</v>
      </c>
      <c r="BN26" s="320">
        <v>1229</v>
      </c>
      <c r="BO26" s="313">
        <v>0</v>
      </c>
      <c r="BP26" s="333">
        <v>1229</v>
      </c>
      <c r="BQ26" s="320">
        <v>846</v>
      </c>
      <c r="BR26" s="313">
        <v>0</v>
      </c>
      <c r="BS26" s="333">
        <f>+BQ26</f>
        <v>846</v>
      </c>
      <c r="BT26" s="320">
        <v>524</v>
      </c>
      <c r="BU26" s="313">
        <v>0</v>
      </c>
      <c r="BV26" s="333">
        <v>524</v>
      </c>
      <c r="BW26" s="320">
        <v>493</v>
      </c>
      <c r="BX26" s="313">
        <v>0</v>
      </c>
      <c r="BY26" s="333">
        <v>493</v>
      </c>
      <c r="BZ26" s="320">
        <v>423</v>
      </c>
      <c r="CA26" s="313">
        <v>0</v>
      </c>
      <c r="CB26" s="333">
        <v>423</v>
      </c>
      <c r="CC26" s="320">
        <v>358</v>
      </c>
      <c r="CD26" s="313">
        <v>0</v>
      </c>
      <c r="CE26" s="333">
        <v>358</v>
      </c>
      <c r="CF26" s="320">
        <v>429</v>
      </c>
      <c r="CG26" s="313">
        <v>0</v>
      </c>
      <c r="CH26" s="333">
        <f>+CF26</f>
        <v>429</v>
      </c>
      <c r="CI26" s="320">
        <v>410</v>
      </c>
      <c r="CJ26" s="313">
        <v>0</v>
      </c>
      <c r="CK26" s="333">
        <v>410</v>
      </c>
      <c r="CL26" s="320">
        <v>403</v>
      </c>
      <c r="CM26" s="313">
        <v>0</v>
      </c>
      <c r="CN26" s="333">
        <f>+CL26</f>
        <v>403</v>
      </c>
      <c r="CO26" s="320">
        <v>398</v>
      </c>
      <c r="CP26" s="313">
        <v>0</v>
      </c>
      <c r="CQ26" s="333">
        <f>+CO26</f>
        <v>398</v>
      </c>
      <c r="CR26" s="320">
        <v>326</v>
      </c>
      <c r="CS26" s="313">
        <v>0</v>
      </c>
      <c r="CT26" s="333">
        <v>326</v>
      </c>
      <c r="CU26" s="320">
        <v>3115</v>
      </c>
      <c r="CV26" s="313">
        <v>6363</v>
      </c>
      <c r="CW26" s="333">
        <f>+CU26</f>
        <v>3115</v>
      </c>
      <c r="CX26" s="320">
        <v>3141</v>
      </c>
      <c r="CY26" s="313">
        <v>0</v>
      </c>
      <c r="CZ26" s="333">
        <f>+CX26</f>
        <v>3141</v>
      </c>
      <c r="DA26" s="320">
        <v>3170</v>
      </c>
      <c r="DB26" s="313">
        <v>0</v>
      </c>
      <c r="DC26" s="333">
        <v>3170</v>
      </c>
      <c r="DD26" s="320">
        <v>0</v>
      </c>
      <c r="DE26" s="313">
        <v>0</v>
      </c>
      <c r="DF26" s="333">
        <v>0</v>
      </c>
      <c r="DG26" s="320">
        <v>0</v>
      </c>
      <c r="DH26" s="313">
        <v>0</v>
      </c>
      <c r="DI26" s="333">
        <v>0</v>
      </c>
      <c r="DJ26" s="320">
        <v>0</v>
      </c>
      <c r="DK26" s="313">
        <v>0</v>
      </c>
      <c r="DL26" s="333">
        <f>+DJ26</f>
        <v>0</v>
      </c>
      <c r="DM26" s="320">
        <v>0</v>
      </c>
      <c r="DN26" s="313">
        <v>0</v>
      </c>
      <c r="DO26" s="333">
        <v>0</v>
      </c>
      <c r="DP26" s="320">
        <v>0</v>
      </c>
      <c r="DQ26" s="313">
        <v>0</v>
      </c>
      <c r="DR26" s="333">
        <v>0</v>
      </c>
      <c r="DS26" s="320">
        <v>0</v>
      </c>
      <c r="DT26" s="313">
        <v>0</v>
      </c>
      <c r="DU26" s="333">
        <v>0</v>
      </c>
      <c r="DV26" s="320">
        <v>0</v>
      </c>
      <c r="DW26" s="313">
        <v>0</v>
      </c>
      <c r="DX26" s="333" t="s">
        <v>47</v>
      </c>
      <c r="DY26" s="320"/>
      <c r="DZ26" s="313"/>
      <c r="EA26" s="333"/>
      <c r="EB26" s="320" t="s">
        <v>47</v>
      </c>
      <c r="EC26" s="313" t="s">
        <v>47</v>
      </c>
      <c r="ED26" s="333" t="s">
        <v>47</v>
      </c>
      <c r="EE26" s="320" t="s">
        <v>47</v>
      </c>
      <c r="EF26" s="313" t="s">
        <v>47</v>
      </c>
      <c r="EG26" s="333" t="s">
        <v>47</v>
      </c>
    </row>
    <row r="27" spans="2:137" ht="15" customHeight="1" collapsed="1" x14ac:dyDescent="0.2">
      <c r="B27" s="127" t="s">
        <v>442</v>
      </c>
      <c r="C27" s="165">
        <f t="shared" ref="C27:AH27" si="33">SUM(C23,C21)</f>
        <v>126082</v>
      </c>
      <c r="D27" s="126">
        <f t="shared" si="33"/>
        <v>100253</v>
      </c>
      <c r="E27" s="166">
        <f t="shared" si="33"/>
        <v>226335</v>
      </c>
      <c r="F27" s="165">
        <f t="shared" si="33"/>
        <v>131487</v>
      </c>
      <c r="G27" s="126">
        <f t="shared" si="33"/>
        <v>90421</v>
      </c>
      <c r="H27" s="166">
        <f t="shared" si="33"/>
        <v>221908</v>
      </c>
      <c r="I27" s="165">
        <f t="shared" si="33"/>
        <v>178138</v>
      </c>
      <c r="J27" s="126">
        <f t="shared" si="33"/>
        <v>8892</v>
      </c>
      <c r="K27" s="166">
        <f t="shared" si="33"/>
        <v>187030</v>
      </c>
      <c r="L27" s="165">
        <f t="shared" si="33"/>
        <v>177669</v>
      </c>
      <c r="M27" s="126">
        <f t="shared" si="33"/>
        <v>8892</v>
      </c>
      <c r="N27" s="166">
        <f t="shared" si="33"/>
        <v>186561</v>
      </c>
      <c r="O27" s="165">
        <f t="shared" si="33"/>
        <v>238697</v>
      </c>
      <c r="P27" s="126">
        <f t="shared" si="33"/>
        <v>8892</v>
      </c>
      <c r="Q27" s="166">
        <f t="shared" si="33"/>
        <v>247589</v>
      </c>
      <c r="R27" s="165">
        <f t="shared" si="33"/>
        <v>239642</v>
      </c>
      <c r="S27" s="126">
        <f t="shared" si="33"/>
        <v>40954</v>
      </c>
      <c r="T27" s="166">
        <f t="shared" si="33"/>
        <v>249331</v>
      </c>
      <c r="U27" s="165">
        <f t="shared" si="33"/>
        <v>236517</v>
      </c>
      <c r="V27" s="126">
        <f t="shared" si="33"/>
        <v>8892</v>
      </c>
      <c r="W27" s="166">
        <f t="shared" si="33"/>
        <v>245409</v>
      </c>
      <c r="X27" s="165">
        <f t="shared" si="33"/>
        <v>241143</v>
      </c>
      <c r="Y27" s="126">
        <f t="shared" si="33"/>
        <v>8892</v>
      </c>
      <c r="Z27" s="166">
        <f t="shared" si="33"/>
        <v>250035</v>
      </c>
      <c r="AA27" s="165">
        <f t="shared" si="33"/>
        <v>238011</v>
      </c>
      <c r="AB27" s="126">
        <f t="shared" si="33"/>
        <v>8892</v>
      </c>
      <c r="AC27" s="166">
        <f t="shared" si="33"/>
        <v>246903</v>
      </c>
      <c r="AD27" s="165">
        <f t="shared" si="33"/>
        <v>241458</v>
      </c>
      <c r="AE27" s="126">
        <f t="shared" si="33"/>
        <v>8892</v>
      </c>
      <c r="AF27" s="166">
        <f t="shared" si="33"/>
        <v>250350</v>
      </c>
      <c r="AG27" s="165">
        <f t="shared" si="33"/>
        <v>258638</v>
      </c>
      <c r="AH27" s="126">
        <f t="shared" si="33"/>
        <v>8892</v>
      </c>
      <c r="AI27" s="166">
        <f t="shared" ref="AI27:BC27" si="34">SUM(AI23,AI21)</f>
        <v>267530</v>
      </c>
      <c r="AJ27" s="165">
        <f t="shared" si="34"/>
        <v>264921</v>
      </c>
      <c r="AK27" s="126">
        <f t="shared" si="34"/>
        <v>8892</v>
      </c>
      <c r="AL27" s="166">
        <f t="shared" si="34"/>
        <v>273813</v>
      </c>
      <c r="AM27" s="165">
        <f t="shared" si="34"/>
        <v>263431</v>
      </c>
      <c r="AN27" s="126">
        <f t="shared" si="34"/>
        <v>8892</v>
      </c>
      <c r="AO27" s="166">
        <f t="shared" si="34"/>
        <v>272323</v>
      </c>
      <c r="AP27" s="165">
        <f t="shared" si="34"/>
        <v>265136</v>
      </c>
      <c r="AQ27" s="126">
        <f t="shared" si="34"/>
        <v>8892</v>
      </c>
      <c r="AR27" s="166">
        <f t="shared" si="34"/>
        <v>274028</v>
      </c>
      <c r="AS27" s="165">
        <f t="shared" si="34"/>
        <v>273768</v>
      </c>
      <c r="AT27" s="126">
        <f t="shared" si="34"/>
        <v>8892</v>
      </c>
      <c r="AU27" s="166">
        <f t="shared" si="34"/>
        <v>282660</v>
      </c>
      <c r="AV27" s="165">
        <f t="shared" si="34"/>
        <v>269362</v>
      </c>
      <c r="AW27" s="126">
        <f t="shared" si="34"/>
        <v>8892</v>
      </c>
      <c r="AX27" s="166">
        <f t="shared" si="34"/>
        <v>278254</v>
      </c>
      <c r="AY27" s="165">
        <f t="shared" si="34"/>
        <v>269973</v>
      </c>
      <c r="AZ27" s="126">
        <f t="shared" si="34"/>
        <v>8892</v>
      </c>
      <c r="BA27" s="166">
        <f t="shared" si="34"/>
        <v>278865</v>
      </c>
      <c r="BB27" s="165">
        <f t="shared" si="34"/>
        <v>154115</v>
      </c>
      <c r="BC27" s="126">
        <f t="shared" si="34"/>
        <v>6364</v>
      </c>
      <c r="BD27" s="166">
        <f>SUM(BD23,BD21,BD24)</f>
        <v>196362</v>
      </c>
      <c r="BE27" s="165">
        <f>SUM(BE23,BE21)</f>
        <v>160257</v>
      </c>
      <c r="BF27" s="126">
        <f>SUM(BF23,BF21)</f>
        <v>6364</v>
      </c>
      <c r="BG27" s="166">
        <f>SUM(BG23,BG21,BG24)</f>
        <v>202034</v>
      </c>
      <c r="BH27" s="165">
        <f>SUM(BH23,BH21)</f>
        <v>151825</v>
      </c>
      <c r="BI27" s="126">
        <f>SUM(BI23,BI21)</f>
        <v>6364</v>
      </c>
      <c r="BJ27" s="166">
        <f>SUM(BJ23,BJ21,BJ24)</f>
        <v>193453</v>
      </c>
      <c r="BK27" s="165">
        <f>SUM(BK23,BK21)</f>
        <v>155420</v>
      </c>
      <c r="BL27" s="126">
        <f>SUM(BL23,BL21)</f>
        <v>6364</v>
      </c>
      <c r="BM27" s="166">
        <f>SUM(BM23,BM21,BM24)</f>
        <v>197728</v>
      </c>
      <c r="BN27" s="165">
        <f t="shared" ref="BN27:CA27" si="35">SUM(BN23,BN21,BN25)</f>
        <v>179331</v>
      </c>
      <c r="BO27" s="126">
        <f t="shared" si="35"/>
        <v>23057</v>
      </c>
      <c r="BP27" s="166">
        <f t="shared" si="35"/>
        <v>202388</v>
      </c>
      <c r="BQ27" s="165">
        <f t="shared" si="35"/>
        <v>185945</v>
      </c>
      <c r="BR27" s="126">
        <f t="shared" si="35"/>
        <v>23057</v>
      </c>
      <c r="BS27" s="166">
        <f t="shared" si="35"/>
        <v>209002</v>
      </c>
      <c r="BT27" s="165">
        <f t="shared" si="35"/>
        <v>195460</v>
      </c>
      <c r="BU27" s="126">
        <f t="shared" si="35"/>
        <v>23057</v>
      </c>
      <c r="BV27" s="166">
        <f t="shared" si="35"/>
        <v>218517</v>
      </c>
      <c r="BW27" s="165">
        <f t="shared" si="35"/>
        <v>227350</v>
      </c>
      <c r="BX27" s="126">
        <f t="shared" si="35"/>
        <v>23057</v>
      </c>
      <c r="BY27" s="166">
        <f t="shared" si="35"/>
        <v>250407</v>
      </c>
      <c r="BZ27" s="165">
        <f t="shared" si="35"/>
        <v>239236</v>
      </c>
      <c r="CA27" s="126">
        <f t="shared" si="35"/>
        <v>23057</v>
      </c>
      <c r="CB27" s="166">
        <f>SUM(CB23,CB21,CB25:CB25)</f>
        <v>262293</v>
      </c>
      <c r="CC27" s="165">
        <f>SUM(CC23,CC21,CC25)</f>
        <v>225356</v>
      </c>
      <c r="CD27" s="126">
        <f>SUM(CD23,CD21,CD25)</f>
        <v>23057</v>
      </c>
      <c r="CE27" s="166">
        <f>SUM(CE23,CE21,CE25:CE25)</f>
        <v>248413</v>
      </c>
      <c r="CF27" s="165">
        <f>SUM(CF23,CF21,CF25)</f>
        <v>232120</v>
      </c>
      <c r="CG27" s="126">
        <f>SUM(CG23,CG21,CG25)</f>
        <v>27521</v>
      </c>
      <c r="CH27" s="166">
        <f>SUM(CH23,CH21,CH25:CH25)</f>
        <v>259641</v>
      </c>
      <c r="CI27" s="165">
        <f>SUM(CI23,CI21,CI24)</f>
        <v>234328</v>
      </c>
      <c r="CJ27" s="126">
        <f>SUM(CJ23,CJ21,CJ25)</f>
        <v>23057</v>
      </c>
      <c r="CK27" s="166">
        <f>SUM(CK23,CK21,CK25:CK25)</f>
        <v>256975</v>
      </c>
      <c r="CL27" s="165">
        <f>SUM(CL23,CL21,CL24)</f>
        <v>239561</v>
      </c>
      <c r="CM27" s="126">
        <f>SUM(CM23,CM21,CM25)</f>
        <v>26538</v>
      </c>
      <c r="CN27" s="166">
        <f>SUM(CN23,CN21,CN25:CN25)</f>
        <v>265696</v>
      </c>
      <c r="CO27" s="165">
        <f>SUM(CO23,CO21,CO24)</f>
        <v>237345</v>
      </c>
      <c r="CP27" s="126">
        <f>SUM(CP23,CP21,CP25)</f>
        <v>23057</v>
      </c>
      <c r="CQ27" s="166">
        <f>SUM(CQ23,CQ21,CQ25:CQ25)</f>
        <v>260004</v>
      </c>
      <c r="CR27" s="165">
        <v>256574</v>
      </c>
      <c r="CS27" s="126">
        <v>23057</v>
      </c>
      <c r="CT27" s="166">
        <v>279631</v>
      </c>
      <c r="CU27" s="165">
        <f>SUM(CU23,CU21,CU24)</f>
        <v>284842</v>
      </c>
      <c r="CV27" s="126">
        <f>SUM(CV23,CV21,CV25)</f>
        <v>26538</v>
      </c>
      <c r="CW27" s="166">
        <f>SUM(CW23,CW21,CW25:CW25)</f>
        <v>308265</v>
      </c>
      <c r="CX27" s="165">
        <f>SUM(CX23,CX21,CX24)</f>
        <v>308483</v>
      </c>
      <c r="CY27" s="126">
        <f>SUM(CY23,CY21,CY25)</f>
        <v>23057</v>
      </c>
      <c r="CZ27" s="166">
        <f>SUM(CZ23,CZ21,CZ25:CZ25)</f>
        <v>328399</v>
      </c>
      <c r="DA27" s="165">
        <f>SUM(DA23,DA21,DA24)</f>
        <v>274007</v>
      </c>
      <c r="DB27" s="126">
        <f>SUM(DB23,DB21,DB25)</f>
        <v>23056</v>
      </c>
      <c r="DC27" s="166">
        <f>SUM(DC23,DC21,DC25:DC25)</f>
        <v>293893</v>
      </c>
      <c r="DD27" s="165">
        <f>SUM(DD23,DD21,DD24)</f>
        <v>253380</v>
      </c>
      <c r="DE27" s="126">
        <f>SUM(DE23,DE21,DE25)</f>
        <v>23056</v>
      </c>
      <c r="DF27" s="166">
        <f>SUM(DF23,DF21,DF25:DF25)</f>
        <v>276436</v>
      </c>
      <c r="DG27" s="165">
        <f>SUM(DG23,DG21,DG24)</f>
        <v>277648</v>
      </c>
      <c r="DH27" s="126">
        <f>SUM(DH23,DH21,DH25)</f>
        <v>23056</v>
      </c>
      <c r="DI27" s="166">
        <f>SUM(DI23,DI21,DI25:DI25)</f>
        <v>300704</v>
      </c>
      <c r="DJ27" s="165">
        <f>SUM(DJ23,DJ21,DJ24)</f>
        <v>317162</v>
      </c>
      <c r="DK27" s="126">
        <f>SUM(DK23,DK21,DK25)</f>
        <v>23056</v>
      </c>
      <c r="DL27" s="166">
        <f>SUM(DL23,DL21,DL25:DL25)</f>
        <v>340218</v>
      </c>
      <c r="DM27" s="165">
        <f>SUM(DM23,DM21,DM24)</f>
        <v>316615</v>
      </c>
      <c r="DN27" s="126">
        <f>SUM(DN23,DN21,DN25)</f>
        <v>23056</v>
      </c>
      <c r="DO27" s="166">
        <f>SUM(DO23,DO21,DO25:DO25)</f>
        <v>347346</v>
      </c>
      <c r="DP27" s="165">
        <f>SUM(DP23,DP21,DP24)</f>
        <v>321573</v>
      </c>
      <c r="DQ27" s="126">
        <f>SUM(DQ23,DQ21,DQ25)</f>
        <v>23056</v>
      </c>
      <c r="DR27" s="166">
        <f>SUM(DR23,DR21,DR25:DR25)</f>
        <v>344629</v>
      </c>
      <c r="DS27" s="165">
        <f>SUM(DS23,DS21,DS24)</f>
        <v>331210</v>
      </c>
      <c r="DT27" s="126">
        <f>SUM(DT23,DT21,DT25)</f>
        <v>23056</v>
      </c>
      <c r="DU27" s="166">
        <f>SUM(DU23,DU21,DU25:DU25)</f>
        <v>354266</v>
      </c>
      <c r="DV27" s="165">
        <f>SUM(DV23,DV21,DV24)</f>
        <v>350827</v>
      </c>
      <c r="DW27" s="126">
        <f>SUM(DW23,DW21,DW25)</f>
        <v>23056</v>
      </c>
      <c r="DX27" s="166">
        <f>SUM(DX23,DX21,DX25:DX25)</f>
        <v>373883</v>
      </c>
      <c r="DY27" s="165">
        <f>SUM(DY23,DY21,DY24)</f>
        <v>290291</v>
      </c>
      <c r="DZ27" s="126">
        <f>+DZ25</f>
        <v>16693</v>
      </c>
      <c r="EA27" s="166">
        <f>SUM(EA23,EA21,EA25:EA25)</f>
        <v>313347</v>
      </c>
      <c r="EB27" s="165">
        <f>SUM(EB23,EB21,EB24)</f>
        <v>295084</v>
      </c>
      <c r="EC27" s="126">
        <f>+EC25</f>
        <v>16693</v>
      </c>
      <c r="ED27" s="166">
        <f>SUM(ED23,ED21,ED25:ED25)</f>
        <v>318140</v>
      </c>
      <c r="EE27" s="165">
        <f>SUM(EE23,EE21,EE24)</f>
        <v>298812</v>
      </c>
      <c r="EF27" s="126">
        <f>+EF25</f>
        <v>16693</v>
      </c>
      <c r="EG27" s="166">
        <f>SUM(EG23,EG21,EG25:EG25)</f>
        <v>321868</v>
      </c>
    </row>
    <row r="28" spans="2:137" s="190" customFormat="1" x14ac:dyDescent="0.2">
      <c r="B28" s="189"/>
      <c r="C28" s="155"/>
      <c r="F28" s="155"/>
      <c r="I28" s="155"/>
      <c r="L28" s="155"/>
      <c r="O28" s="155"/>
      <c r="R28" s="155"/>
      <c r="S28" s="155"/>
      <c r="U28" s="155"/>
      <c r="W28" s="191"/>
    </row>
    <row r="29" spans="2:137" x14ac:dyDescent="0.2">
      <c r="B29" s="62"/>
      <c r="C29" s="65"/>
      <c r="D29" s="65"/>
      <c r="E29" s="65"/>
      <c r="F29" s="65"/>
      <c r="G29" s="65"/>
      <c r="H29" s="65"/>
      <c r="I29" s="65"/>
      <c r="J29" s="65"/>
      <c r="K29" s="65"/>
      <c r="L29" s="65"/>
      <c r="M29" s="65"/>
      <c r="N29" s="65"/>
      <c r="O29" s="65"/>
      <c r="P29" s="65"/>
      <c r="Q29" s="65"/>
      <c r="R29" s="65"/>
      <c r="S29" s="65"/>
      <c r="T29" s="65"/>
      <c r="U29" s="65"/>
      <c r="V29" s="65"/>
      <c r="W29" s="65"/>
    </row>
    <row r="30" spans="2:137" ht="15" customHeight="1" outlineLevel="1" x14ac:dyDescent="0.2">
      <c r="B30" s="152" t="s">
        <v>391</v>
      </c>
      <c r="C30" s="247" t="s">
        <v>622</v>
      </c>
      <c r="D30" s="247" t="s">
        <v>471</v>
      </c>
      <c r="E30" s="247" t="s">
        <v>472</v>
      </c>
      <c r="F30" s="247" t="s">
        <v>473</v>
      </c>
      <c r="G30" s="247" t="s">
        <v>474</v>
      </c>
      <c r="H30" s="247" t="s">
        <v>475</v>
      </c>
      <c r="I30" s="247" t="s">
        <v>476</v>
      </c>
      <c r="J30" s="247" t="s">
        <v>477</v>
      </c>
      <c r="K30" s="247" t="s">
        <v>478</v>
      </c>
      <c r="L30" s="247" t="s">
        <v>479</v>
      </c>
      <c r="M30" s="247" t="s">
        <v>371</v>
      </c>
      <c r="N30" s="247" t="s">
        <v>372</v>
      </c>
      <c r="O30" s="247" t="s">
        <v>373</v>
      </c>
      <c r="P30" s="551" t="s">
        <v>374</v>
      </c>
      <c r="Q30" s="551" t="s">
        <v>375</v>
      </c>
      <c r="R30" s="551" t="s">
        <v>376</v>
      </c>
      <c r="S30" s="551" t="s">
        <v>694</v>
      </c>
      <c r="T30" s="551" t="s">
        <v>758</v>
      </c>
      <c r="U30" s="551" t="s">
        <v>771</v>
      </c>
      <c r="V30" s="551" t="s">
        <v>788</v>
      </c>
      <c r="W30" s="551" t="s">
        <v>844</v>
      </c>
      <c r="X30" s="551" t="s">
        <v>862</v>
      </c>
      <c r="Y30" s="551" t="s">
        <v>922</v>
      </c>
      <c r="Z30" s="551" t="s">
        <v>923</v>
      </c>
      <c r="AA30" s="551" t="s">
        <v>924</v>
      </c>
      <c r="AB30" s="551" t="s">
        <v>995</v>
      </c>
      <c r="AC30" s="551" t="s">
        <v>1027</v>
      </c>
      <c r="AD30" s="551" t="s">
        <v>1028</v>
      </c>
      <c r="AE30" s="551" t="s">
        <v>993</v>
      </c>
      <c r="AF30" s="551" t="s">
        <v>1124</v>
      </c>
      <c r="AG30" s="551" t="s">
        <v>1125</v>
      </c>
      <c r="AH30" s="551" t="s">
        <v>1126</v>
      </c>
      <c r="AI30" s="551" t="s">
        <v>1127</v>
      </c>
      <c r="AJ30" s="551" t="s">
        <v>1181</v>
      </c>
      <c r="AK30" s="551" t="s">
        <v>1189</v>
      </c>
      <c r="AL30" s="551" t="s">
        <v>1191</v>
      </c>
      <c r="AM30" s="551" t="s">
        <v>1193</v>
      </c>
      <c r="AN30" s="551" t="s">
        <v>1232</v>
      </c>
      <c r="AO30" s="551" t="s">
        <v>1245</v>
      </c>
      <c r="AP30" s="551" t="s">
        <v>1232</v>
      </c>
      <c r="AR30" s="551" t="s">
        <v>1247</v>
      </c>
      <c r="AS30" s="551" t="s">
        <v>1249</v>
      </c>
      <c r="AV30" s="551" t="s">
        <v>1306</v>
      </c>
      <c r="AY30" s="551" t="s">
        <v>1316</v>
      </c>
      <c r="AZ30" s="551" t="s">
        <v>1317</v>
      </c>
      <c r="BA30" s="551" t="s">
        <v>1318</v>
      </c>
    </row>
    <row r="31" spans="2:137" ht="15" customHeight="1" outlineLevel="1" x14ac:dyDescent="0.2">
      <c r="B31" s="130" t="s">
        <v>57</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37" ht="15" customHeight="1" outlineLevel="1" x14ac:dyDescent="0.2">
      <c r="B32" s="130" t="s">
        <v>58</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
      <c r="B33" s="127" t="s">
        <v>36</v>
      </c>
      <c r="C33" s="120">
        <f>SUM(C31:C32)</f>
        <v>2263</v>
      </c>
      <c r="D33" s="120">
        <f t="shared" ref="D33:J33" si="36">SUM(D31:D32)</f>
        <v>2058</v>
      </c>
      <c r="E33" s="120">
        <f t="shared" si="36"/>
        <v>2107</v>
      </c>
      <c r="F33" s="120">
        <f t="shared" si="36"/>
        <v>2566</v>
      </c>
      <c r="G33" s="120">
        <f t="shared" si="36"/>
        <v>4705</v>
      </c>
      <c r="H33" s="120">
        <f t="shared" si="36"/>
        <v>5201</v>
      </c>
      <c r="I33" s="120">
        <f t="shared" si="36"/>
        <v>5429</v>
      </c>
      <c r="J33" s="120">
        <f t="shared" si="36"/>
        <v>5361</v>
      </c>
      <c r="K33" s="120">
        <f>SUM(K31:K32)</f>
        <v>5777</v>
      </c>
      <c r="L33" s="120">
        <f>SUM(L31:L32)</f>
        <v>4302</v>
      </c>
      <c r="M33" s="120">
        <f>SUM(M31:M32)</f>
        <v>3398</v>
      </c>
      <c r="N33" s="120">
        <f>SUM(N31:N32)</f>
        <v>3379</v>
      </c>
      <c r="O33" s="120">
        <f>SUM(O31:O32)</f>
        <v>2999</v>
      </c>
    </row>
    <row r="34" spans="2:23" ht="15" customHeight="1" x14ac:dyDescent="0.2">
      <c r="B34" s="154"/>
      <c r="C34" s="155">
        <f>+C33-BalSheet!R34</f>
        <v>0</v>
      </c>
      <c r="D34" s="155">
        <f>+D33-BalSheet!S34</f>
        <v>0</v>
      </c>
      <c r="E34" s="155">
        <f>+E33-BalSheet!T34</f>
        <v>0</v>
      </c>
      <c r="F34" s="155">
        <f>+F33-BalSheet!U34</f>
        <v>0</v>
      </c>
      <c r="G34" s="155">
        <f>+G33-BalSheet!V34</f>
        <v>0</v>
      </c>
      <c r="H34" s="155">
        <f>+H33-BalSheet!W34</f>
        <v>0</v>
      </c>
      <c r="I34" s="155">
        <f>+I33-BalSheet!X34</f>
        <v>0</v>
      </c>
      <c r="J34" s="155">
        <f>+J33-BalSheet!Y34</f>
        <v>0</v>
      </c>
      <c r="K34" s="155">
        <f>+K33-BalSheet!Z34</f>
        <v>0</v>
      </c>
      <c r="L34" s="155">
        <f>+L33-BalSheet!AA34</f>
        <v>0</v>
      </c>
      <c r="M34" s="155">
        <f>+M33-BalSheet!AB34</f>
        <v>0</v>
      </c>
      <c r="N34" s="155">
        <f>+N33-BalSheet!AC34</f>
        <v>0</v>
      </c>
      <c r="O34" s="155">
        <f>+O33-BalSheet!AD34</f>
        <v>0</v>
      </c>
    </row>
    <row r="35" spans="2:23" ht="15" customHeight="1" x14ac:dyDescent="0.2">
      <c r="B35" s="154"/>
    </row>
    <row r="36" spans="2:23" ht="15" customHeight="1" x14ac:dyDescent="0.2">
      <c r="B36" s="154"/>
      <c r="C36" s="155"/>
      <c r="D36" s="155"/>
      <c r="E36" s="155"/>
      <c r="F36" s="155"/>
      <c r="G36" s="155"/>
      <c r="H36" s="155"/>
      <c r="I36" s="155"/>
    </row>
    <row r="37" spans="2:23" ht="15" customHeight="1" x14ac:dyDescent="0.2">
      <c r="B37" s="60"/>
      <c r="D37" s="61"/>
      <c r="E37" s="61"/>
      <c r="F37" s="61"/>
      <c r="G37" s="61"/>
      <c r="H37" s="61"/>
      <c r="I37" s="61"/>
      <c r="J37" s="61"/>
      <c r="K37" s="61"/>
      <c r="L37" s="61"/>
      <c r="M37" s="61"/>
      <c r="N37" s="61"/>
      <c r="O37" s="61"/>
      <c r="P37" s="61"/>
      <c r="Q37" s="61"/>
      <c r="R37" s="61"/>
      <c r="S37" s="61"/>
      <c r="T37" s="61"/>
      <c r="U37" s="61"/>
      <c r="V37" s="61"/>
      <c r="W37" s="61"/>
    </row>
    <row r="38" spans="2:23" x14ac:dyDescent="0.2">
      <c r="B38" s="60"/>
      <c r="C38" s="64"/>
      <c r="D38" s="64"/>
      <c r="E38" s="64"/>
      <c r="F38" s="64"/>
      <c r="G38" s="64"/>
      <c r="H38" s="64"/>
      <c r="I38" s="64"/>
      <c r="J38" s="64"/>
      <c r="K38" s="64"/>
      <c r="L38" s="64"/>
      <c r="M38" s="64"/>
      <c r="N38" s="64"/>
      <c r="O38" s="64"/>
      <c r="P38" s="64"/>
      <c r="Q38" s="64"/>
      <c r="R38" s="64"/>
      <c r="S38" s="64"/>
      <c r="T38" s="64"/>
      <c r="U38" s="45"/>
      <c r="V38" s="45"/>
      <c r="W38" s="45"/>
    </row>
    <row r="39" spans="2:23" x14ac:dyDescent="0.2">
      <c r="B39" s="60"/>
      <c r="D39" s="61"/>
      <c r="E39" s="61"/>
      <c r="F39" s="61"/>
      <c r="G39" s="61"/>
      <c r="H39" s="61"/>
      <c r="I39" s="61"/>
      <c r="J39" s="45"/>
      <c r="K39" s="66"/>
      <c r="L39" s="1265"/>
      <c r="M39" s="1265"/>
      <c r="N39" s="66"/>
      <c r="O39" s="66"/>
      <c r="P39" s="66"/>
      <c r="Q39" s="66"/>
      <c r="R39" s="66"/>
      <c r="S39" s="66"/>
      <c r="T39" s="66"/>
      <c r="U39" s="1266"/>
      <c r="V39" s="1266"/>
      <c r="W39" s="1266"/>
    </row>
    <row r="40" spans="2:23" x14ac:dyDescent="0.2">
      <c r="B40" s="167"/>
      <c r="C40" s="168"/>
      <c r="D40" s="168"/>
      <c r="E40" s="168"/>
      <c r="F40" s="168"/>
      <c r="G40" s="168"/>
      <c r="H40" s="168"/>
      <c r="I40" s="168"/>
      <c r="J40" s="60"/>
      <c r="O40" s="45"/>
    </row>
    <row r="41" spans="2:23" x14ac:dyDescent="0.2">
      <c r="B41" s="169"/>
      <c r="C41" s="170"/>
      <c r="D41" s="170"/>
      <c r="E41" s="170"/>
      <c r="F41" s="170"/>
      <c r="G41" s="170"/>
      <c r="H41" s="170"/>
      <c r="I41" s="170"/>
      <c r="J41" s="60"/>
      <c r="O41" s="69"/>
    </row>
    <row r="42" spans="2:23" x14ac:dyDescent="0.2">
      <c r="B42" s="169"/>
      <c r="C42" s="170"/>
      <c r="D42" s="170"/>
      <c r="E42" s="170"/>
      <c r="F42" s="170"/>
      <c r="G42" s="170"/>
      <c r="H42" s="170"/>
      <c r="I42" s="170"/>
      <c r="J42" s="60"/>
      <c r="O42" s="69"/>
    </row>
    <row r="43" spans="2:23" x14ac:dyDescent="0.2">
      <c r="B43" s="154"/>
      <c r="C43" s="155"/>
      <c r="D43" s="155"/>
      <c r="E43" s="155"/>
      <c r="F43" s="155"/>
      <c r="G43" s="155"/>
      <c r="H43" s="155"/>
      <c r="I43" s="155"/>
      <c r="J43" s="62"/>
      <c r="L43" s="63"/>
      <c r="M43" s="63"/>
      <c r="N43" s="69"/>
      <c r="O43" s="69"/>
    </row>
    <row r="44" spans="2:23" x14ac:dyDescent="0.2">
      <c r="L44" s="68"/>
      <c r="M44" s="68"/>
      <c r="N44" s="68"/>
    </row>
    <row r="45" spans="2:23" x14ac:dyDescent="0.2">
      <c r="L45" s="68"/>
      <c r="M45" s="68"/>
      <c r="N45" s="68"/>
    </row>
    <row r="46" spans="2:23" x14ac:dyDescent="0.2">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32">
    <pageSetUpPr autoPageBreaks="0"/>
  </sheetPr>
  <dimension ref="A1:Z383"/>
  <sheetViews>
    <sheetView showGridLines="0" topLeftCell="B1" zoomScale="85" zoomScaleNormal="85" workbookViewId="0">
      <pane ySplit="5" topLeftCell="A362" activePane="bottomLeft" state="frozen"/>
      <selection activeCell="EF37" sqref="EF37"/>
      <selection pane="bottomLeft" activeCell="E3" sqref="E3"/>
    </sheetView>
  </sheetViews>
  <sheetFormatPr defaultColWidth="9.28515625" defaultRowHeight="12.75" outlineLevelRow="1" outlineLevelCol="1" x14ac:dyDescent="0.2"/>
  <cols>
    <col min="1" max="1" width="1.5703125" customWidth="1"/>
    <col min="2" max="2" width="36.7109375" bestFit="1" customWidth="1"/>
    <col min="3" max="3" width="12.28515625" bestFit="1" customWidth="1"/>
    <col min="4" max="9" width="10.7109375" customWidth="1"/>
    <col min="10" max="10" width="15.5703125" customWidth="1"/>
    <col min="11" max="17" width="10.7109375" style="314" hidden="1" customWidth="1" outlineLevel="1"/>
    <col min="18" max="18" width="10.7109375" customWidth="1" collapsed="1"/>
    <col min="19" max="19" width="4.42578125" style="536" customWidth="1"/>
    <col min="20" max="20" width="37" style="536" customWidth="1"/>
    <col min="21" max="16384" width="9.28515625" style="536"/>
  </cols>
  <sheetData>
    <row r="1" spans="2:23" ht="7.5" customHeight="1" x14ac:dyDescent="0.2">
      <c r="T1" s="612"/>
    </row>
    <row r="2" spans="2:23" ht="12.75" customHeight="1" x14ac:dyDescent="0.2">
      <c r="T2" s="612"/>
    </row>
    <row r="3" spans="2:23" ht="12.75" customHeight="1" x14ac:dyDescent="0.2"/>
    <row r="4" spans="2:23" ht="12.75" customHeight="1" x14ac:dyDescent="0.2"/>
    <row r="5" spans="2:23" ht="15.75" customHeight="1" x14ac:dyDescent="0.2">
      <c r="B5" s="142" t="s">
        <v>397</v>
      </c>
      <c r="C5" s="140" t="s">
        <v>59</v>
      </c>
      <c r="D5" s="140" t="s">
        <v>148</v>
      </c>
      <c r="E5" s="140" t="s">
        <v>61</v>
      </c>
      <c r="F5" s="140" t="s">
        <v>781</v>
      </c>
      <c r="G5" s="140" t="s">
        <v>63</v>
      </c>
      <c r="H5" s="140" t="s">
        <v>769</v>
      </c>
      <c r="I5" s="140" t="s">
        <v>117</v>
      </c>
      <c r="J5" s="140" t="s">
        <v>1351</v>
      </c>
      <c r="K5" s="315" t="s">
        <v>65</v>
      </c>
      <c r="L5" s="315" t="s">
        <v>64</v>
      </c>
      <c r="M5" s="315" t="s">
        <v>869</v>
      </c>
      <c r="N5" s="315" t="s">
        <v>66</v>
      </c>
      <c r="O5" s="315" t="s">
        <v>60</v>
      </c>
      <c r="P5" s="315" t="s">
        <v>62</v>
      </c>
      <c r="Q5" s="315" t="s">
        <v>37</v>
      </c>
      <c r="R5" s="140" t="s">
        <v>36</v>
      </c>
      <c r="T5" s="142" t="s">
        <v>391</v>
      </c>
      <c r="U5" s="140" t="s">
        <v>769</v>
      </c>
      <c r="V5" s="140" t="s">
        <v>1325</v>
      </c>
      <c r="W5" s="140" t="s">
        <v>36</v>
      </c>
    </row>
    <row r="6" spans="2:23" x14ac:dyDescent="0.2">
      <c r="B6" s="127" t="s">
        <v>889</v>
      </c>
      <c r="C6" s="120">
        <v>48027</v>
      </c>
      <c r="D6" s="120">
        <v>0</v>
      </c>
      <c r="E6" s="120">
        <v>13360</v>
      </c>
      <c r="F6" s="120"/>
      <c r="G6" s="120">
        <v>2978</v>
      </c>
      <c r="H6" s="120"/>
      <c r="I6" s="120"/>
      <c r="J6" s="120"/>
      <c r="K6" s="316">
        <v>2886</v>
      </c>
      <c r="L6" s="316">
        <v>1998</v>
      </c>
      <c r="M6" s="316"/>
      <c r="N6" s="316">
        <v>791</v>
      </c>
      <c r="O6" s="316">
        <v>48126</v>
      </c>
      <c r="P6" s="316">
        <v>3633</v>
      </c>
      <c r="Q6" s="316">
        <v>0</v>
      </c>
      <c r="R6" s="120">
        <v>121799</v>
      </c>
    </row>
    <row r="7" spans="2:23" x14ac:dyDescent="0.2">
      <c r="B7" s="154"/>
      <c r="C7" s="155"/>
      <c r="D7" s="155"/>
      <c r="E7" s="155"/>
      <c r="F7" s="155"/>
      <c r="G7" s="155"/>
      <c r="H7" s="155"/>
      <c r="I7" s="155"/>
      <c r="J7" s="155"/>
      <c r="K7" s="317"/>
      <c r="L7" s="317"/>
      <c r="M7" s="317"/>
      <c r="N7" s="317"/>
      <c r="O7" s="317"/>
      <c r="P7" s="317"/>
      <c r="Q7" s="317"/>
      <c r="R7" s="155"/>
    </row>
    <row r="8" spans="2:23" ht="12.75" hidden="1" customHeight="1" outlineLevel="1" x14ac:dyDescent="0.2">
      <c r="B8" s="130" t="s">
        <v>624</v>
      </c>
      <c r="C8" s="118">
        <v>0</v>
      </c>
      <c r="D8" s="118"/>
      <c r="E8" s="118">
        <v>5628</v>
      </c>
      <c r="F8" s="118"/>
      <c r="G8" s="118">
        <v>0</v>
      </c>
      <c r="H8" s="118"/>
      <c r="I8" s="118"/>
      <c r="J8" s="118"/>
      <c r="K8" s="318">
        <v>0</v>
      </c>
      <c r="L8" s="318">
        <v>0</v>
      </c>
      <c r="M8" s="318"/>
      <c r="N8" s="318">
        <v>0</v>
      </c>
      <c r="O8" s="318">
        <v>20471</v>
      </c>
      <c r="P8" s="318">
        <v>0</v>
      </c>
      <c r="Q8" s="318">
        <v>100000</v>
      </c>
      <c r="R8" s="118">
        <f t="shared" ref="R8:R15" si="0">SUM(C8:Q8)</f>
        <v>126099</v>
      </c>
    </row>
    <row r="9" spans="2:23" ht="12.75" hidden="1" customHeight="1" outlineLevel="1" x14ac:dyDescent="0.2">
      <c r="B9" s="130" t="s">
        <v>286</v>
      </c>
      <c r="C9" s="118">
        <v>-18549</v>
      </c>
      <c r="D9" s="118"/>
      <c r="E9" s="118">
        <v>-9</v>
      </c>
      <c r="F9" s="118"/>
      <c r="G9" s="118">
        <v>-66</v>
      </c>
      <c r="H9" s="118"/>
      <c r="I9" s="118"/>
      <c r="J9" s="118"/>
      <c r="K9" s="318">
        <v>630</v>
      </c>
      <c r="L9" s="318">
        <v>2297</v>
      </c>
      <c r="M9" s="318"/>
      <c r="N9" s="318">
        <v>165</v>
      </c>
      <c r="O9" s="318">
        <v>-9001</v>
      </c>
      <c r="P9" s="318">
        <v>50</v>
      </c>
      <c r="Q9" s="318">
        <v>-47693</v>
      </c>
      <c r="R9" s="118">
        <f t="shared" si="0"/>
        <v>-72176</v>
      </c>
    </row>
    <row r="10" spans="2:23" ht="12.75" hidden="1" customHeight="1" outlineLevel="1" x14ac:dyDescent="0.2">
      <c r="B10" s="130" t="s">
        <v>314</v>
      </c>
      <c r="C10" s="118">
        <v>0</v>
      </c>
      <c r="D10" s="118"/>
      <c r="E10" s="118">
        <v>0</v>
      </c>
      <c r="F10" s="118"/>
      <c r="G10" s="118">
        <v>-1244</v>
      </c>
      <c r="H10" s="118"/>
      <c r="I10" s="118"/>
      <c r="J10" s="118"/>
      <c r="K10" s="318">
        <v>0</v>
      </c>
      <c r="L10" s="318">
        <v>-419</v>
      </c>
      <c r="M10" s="318"/>
      <c r="N10" s="318">
        <v>0</v>
      </c>
      <c r="O10" s="318">
        <v>0</v>
      </c>
      <c r="P10" s="318">
        <v>0</v>
      </c>
      <c r="Q10" s="318">
        <v>0</v>
      </c>
      <c r="R10" s="118">
        <f t="shared" si="0"/>
        <v>-1663</v>
      </c>
    </row>
    <row r="11" spans="2:23" ht="12.75" hidden="1" customHeight="1" outlineLevel="1" x14ac:dyDescent="0.2">
      <c r="B11" s="130" t="s">
        <v>625</v>
      </c>
      <c r="C11" s="118">
        <v>0</v>
      </c>
      <c r="D11" s="118"/>
      <c r="E11" s="118">
        <v>0</v>
      </c>
      <c r="F11" s="118"/>
      <c r="G11" s="118">
        <v>0</v>
      </c>
      <c r="H11" s="118"/>
      <c r="I11" s="118"/>
      <c r="J11" s="118"/>
      <c r="K11" s="318">
        <v>0</v>
      </c>
      <c r="L11" s="318">
        <v>0</v>
      </c>
      <c r="M11" s="318"/>
      <c r="N11" s="318">
        <v>0</v>
      </c>
      <c r="O11" s="318">
        <v>0</v>
      </c>
      <c r="P11" s="318">
        <v>0</v>
      </c>
      <c r="Q11" s="318">
        <v>-26704</v>
      </c>
      <c r="R11" s="118">
        <f t="shared" si="0"/>
        <v>-26704</v>
      </c>
    </row>
    <row r="12" spans="2:23" ht="12.75" hidden="1" customHeight="1" outlineLevel="1" x14ac:dyDescent="0.2">
      <c r="B12" s="130" t="s">
        <v>626</v>
      </c>
      <c r="C12" s="118">
        <v>0</v>
      </c>
      <c r="D12" s="118"/>
      <c r="E12" s="118">
        <v>0</v>
      </c>
      <c r="F12" s="118"/>
      <c r="G12" s="118">
        <v>0</v>
      </c>
      <c r="H12" s="118"/>
      <c r="I12" s="118"/>
      <c r="J12" s="118"/>
      <c r="K12" s="318">
        <v>-3516</v>
      </c>
      <c r="L12" s="318">
        <v>7199</v>
      </c>
      <c r="M12" s="318"/>
      <c r="N12" s="318">
        <v>0</v>
      </c>
      <c r="O12" s="318">
        <v>0</v>
      </c>
      <c r="P12" s="318">
        <v>-3683</v>
      </c>
      <c r="Q12" s="318">
        <v>0</v>
      </c>
      <c r="R12" s="118">
        <f t="shared" si="0"/>
        <v>0</v>
      </c>
    </row>
    <row r="13" spans="2:23" ht="12.75" hidden="1" customHeight="1" outlineLevel="1" x14ac:dyDescent="0.2">
      <c r="B13" s="130" t="s">
        <v>890</v>
      </c>
      <c r="C13" s="118">
        <v>0</v>
      </c>
      <c r="D13" s="118"/>
      <c r="E13" s="118">
        <v>0</v>
      </c>
      <c r="F13" s="118"/>
      <c r="G13" s="118">
        <v>0</v>
      </c>
      <c r="H13" s="118"/>
      <c r="I13" s="118"/>
      <c r="J13" s="118"/>
      <c r="K13" s="318">
        <v>0</v>
      </c>
      <c r="L13" s="318">
        <v>0</v>
      </c>
      <c r="M13" s="318"/>
      <c r="N13" s="318">
        <v>-361</v>
      </c>
      <c r="O13" s="318">
        <v>0</v>
      </c>
      <c r="P13" s="318">
        <v>0</v>
      </c>
      <c r="Q13" s="318">
        <v>0</v>
      </c>
      <c r="R13" s="118">
        <f t="shared" si="0"/>
        <v>-361</v>
      </c>
    </row>
    <row r="14" spans="2:23" ht="12.75" hidden="1" customHeight="1" outlineLevel="1" x14ac:dyDescent="0.2">
      <c r="B14" s="130" t="s">
        <v>627</v>
      </c>
      <c r="C14" s="118">
        <v>0</v>
      </c>
      <c r="D14" s="118"/>
      <c r="E14" s="118">
        <v>0</v>
      </c>
      <c r="F14" s="118"/>
      <c r="G14" s="118">
        <v>0</v>
      </c>
      <c r="H14" s="118"/>
      <c r="I14" s="118"/>
      <c r="J14" s="118"/>
      <c r="K14" s="318">
        <v>0</v>
      </c>
      <c r="L14" s="318">
        <v>0</v>
      </c>
      <c r="M14" s="318"/>
      <c r="N14" s="318">
        <v>0</v>
      </c>
      <c r="O14" s="318">
        <v>0</v>
      </c>
      <c r="P14" s="318">
        <v>0</v>
      </c>
      <c r="Q14" s="318">
        <v>-18863</v>
      </c>
      <c r="R14" s="118">
        <f t="shared" si="0"/>
        <v>-18863</v>
      </c>
    </row>
    <row r="15" spans="2:23" ht="12.75" hidden="1" customHeight="1" outlineLevel="1" x14ac:dyDescent="0.2">
      <c r="B15" s="130" t="s">
        <v>224</v>
      </c>
      <c r="C15" s="118">
        <v>0</v>
      </c>
      <c r="D15" s="118"/>
      <c r="E15" s="118">
        <v>0</v>
      </c>
      <c r="F15" s="118"/>
      <c r="G15" s="118">
        <v>0</v>
      </c>
      <c r="H15" s="118"/>
      <c r="I15" s="118"/>
      <c r="J15" s="118"/>
      <c r="K15" s="318">
        <v>0</v>
      </c>
      <c r="L15" s="318">
        <v>-381</v>
      </c>
      <c r="M15" s="318"/>
      <c r="N15" s="318">
        <v>0</v>
      </c>
      <c r="O15" s="318">
        <v>0</v>
      </c>
      <c r="P15" s="318">
        <v>0</v>
      </c>
      <c r="Q15" s="318">
        <v>0</v>
      </c>
      <c r="R15" s="118">
        <f t="shared" si="0"/>
        <v>-381</v>
      </c>
    </row>
    <row r="16" spans="2:23" collapsed="1" x14ac:dyDescent="0.2">
      <c r="B16" s="127" t="s">
        <v>891</v>
      </c>
      <c r="C16" s="120">
        <f>SUM(C6:C15)</f>
        <v>29478</v>
      </c>
      <c r="D16" s="120">
        <v>0</v>
      </c>
      <c r="E16" s="120">
        <f>SUM(E6:E15)</f>
        <v>18979</v>
      </c>
      <c r="F16" s="120"/>
      <c r="G16" s="120">
        <f>SUM(G6:G15)</f>
        <v>1668</v>
      </c>
      <c r="H16" s="120"/>
      <c r="I16" s="120"/>
      <c r="J16" s="120"/>
      <c r="K16" s="316">
        <f>SUM(K6:K15)</f>
        <v>0</v>
      </c>
      <c r="L16" s="316">
        <f>SUM(L6:L15)</f>
        <v>10694</v>
      </c>
      <c r="M16" s="316"/>
      <c r="N16" s="316">
        <f>SUM(N6:N15)</f>
        <v>595</v>
      </c>
      <c r="O16" s="316">
        <f>SUM(O6:O15)</f>
        <v>59596</v>
      </c>
      <c r="P16" s="316">
        <f>SUM(P6:P15)</f>
        <v>0</v>
      </c>
      <c r="Q16" s="316">
        <f>SUM(Q6:Q15)</f>
        <v>6740</v>
      </c>
      <c r="R16" s="120">
        <f>SUM(R6:R15)</f>
        <v>127750</v>
      </c>
    </row>
    <row r="17" spans="2:18" x14ac:dyDescent="0.2">
      <c r="B17" s="154"/>
      <c r="C17" s="155"/>
      <c r="D17" s="155"/>
      <c r="E17" s="155"/>
      <c r="F17" s="155"/>
      <c r="G17" s="155"/>
      <c r="H17" s="155"/>
      <c r="I17" s="155"/>
      <c r="J17" s="155"/>
      <c r="K17" s="317"/>
      <c r="L17" s="317"/>
      <c r="M17" s="317"/>
      <c r="N17" s="317"/>
      <c r="O17" s="317"/>
      <c r="P17" s="317"/>
      <c r="Q17" s="317"/>
      <c r="R17" s="155"/>
    </row>
    <row r="18" spans="2:18" ht="12.75" hidden="1" customHeight="1" outlineLevel="1" x14ac:dyDescent="0.2">
      <c r="B18" s="130" t="s">
        <v>624</v>
      </c>
      <c r="C18" s="118">
        <v>0</v>
      </c>
      <c r="D18" s="118"/>
      <c r="E18" s="118">
        <v>990</v>
      </c>
      <c r="F18" s="118"/>
      <c r="G18" s="118">
        <v>0</v>
      </c>
      <c r="H18" s="118"/>
      <c r="I18" s="118"/>
      <c r="J18" s="118"/>
      <c r="K18" s="318">
        <v>0</v>
      </c>
      <c r="L18" s="318">
        <v>0</v>
      </c>
      <c r="M18" s="318"/>
      <c r="N18" s="318">
        <v>0</v>
      </c>
      <c r="O18" s="318">
        <v>6040</v>
      </c>
      <c r="P18" s="318">
        <v>0</v>
      </c>
      <c r="Q18" s="318">
        <v>0</v>
      </c>
      <c r="R18" s="118">
        <f>SUM(C18:Q18)</f>
        <v>7030</v>
      </c>
    </row>
    <row r="19" spans="2:18" ht="12.75" hidden="1" customHeight="1" outlineLevel="1" x14ac:dyDescent="0.2">
      <c r="B19" s="130" t="s">
        <v>629</v>
      </c>
      <c r="C19" s="118">
        <v>420</v>
      </c>
      <c r="D19" s="118"/>
      <c r="E19" s="118">
        <v>0</v>
      </c>
      <c r="F19" s="118"/>
      <c r="G19" s="118">
        <v>0</v>
      </c>
      <c r="H19" s="118"/>
      <c r="I19" s="118"/>
      <c r="J19" s="118"/>
      <c r="K19" s="318">
        <v>0</v>
      </c>
      <c r="L19" s="318">
        <v>0</v>
      </c>
      <c r="M19" s="318"/>
      <c r="N19" s="318">
        <v>0</v>
      </c>
      <c r="O19" s="318">
        <v>0</v>
      </c>
      <c r="P19" s="318">
        <v>0</v>
      </c>
      <c r="Q19" s="318">
        <v>0</v>
      </c>
      <c r="R19" s="118">
        <f>SUM(C19:Q19)</f>
        <v>420</v>
      </c>
    </row>
    <row r="20" spans="2:18" ht="12.75" hidden="1" customHeight="1" outlineLevel="1" x14ac:dyDescent="0.2">
      <c r="B20" s="130" t="s">
        <v>286</v>
      </c>
      <c r="C20" s="118">
        <v>3440</v>
      </c>
      <c r="D20" s="118"/>
      <c r="E20" s="118">
        <v>0</v>
      </c>
      <c r="F20" s="118"/>
      <c r="G20" s="118">
        <v>-66</v>
      </c>
      <c r="H20" s="118"/>
      <c r="I20" s="118"/>
      <c r="J20" s="118"/>
      <c r="K20" s="318">
        <v>0</v>
      </c>
      <c r="L20" s="318">
        <v>703</v>
      </c>
      <c r="M20" s="318"/>
      <c r="N20" s="318">
        <v>-134</v>
      </c>
      <c r="O20" s="318">
        <v>-3253</v>
      </c>
      <c r="P20" s="318">
        <v>0</v>
      </c>
      <c r="Q20" s="318">
        <v>-11994</v>
      </c>
      <c r="R20" s="118">
        <f>SUM(C20:Q20)</f>
        <v>-11304</v>
      </c>
    </row>
    <row r="21" spans="2:18" ht="12.75" hidden="1" customHeight="1" outlineLevel="1" x14ac:dyDescent="0.2">
      <c r="B21" s="130" t="s">
        <v>890</v>
      </c>
      <c r="C21" s="118">
        <v>0</v>
      </c>
      <c r="D21" s="118"/>
      <c r="E21" s="118">
        <v>0</v>
      </c>
      <c r="F21" s="118"/>
      <c r="G21" s="118">
        <v>0</v>
      </c>
      <c r="H21" s="118"/>
      <c r="I21" s="118"/>
      <c r="J21" s="118"/>
      <c r="K21" s="318">
        <v>0</v>
      </c>
      <c r="L21" s="318">
        <v>0</v>
      </c>
      <c r="M21" s="318"/>
      <c r="N21" s="318">
        <v>-2</v>
      </c>
      <c r="O21" s="318">
        <v>0</v>
      </c>
      <c r="P21" s="318">
        <v>0</v>
      </c>
      <c r="Q21" s="318">
        <v>0</v>
      </c>
      <c r="R21" s="118">
        <f>SUM(C21:Q21)</f>
        <v>-2</v>
      </c>
    </row>
    <row r="22" spans="2:18" ht="12.75" hidden="1" customHeight="1" outlineLevel="1" x14ac:dyDescent="0.2">
      <c r="B22" s="130" t="s">
        <v>224</v>
      </c>
      <c r="C22" s="118">
        <v>0</v>
      </c>
      <c r="D22" s="118"/>
      <c r="E22" s="118">
        <v>0</v>
      </c>
      <c r="F22" s="118"/>
      <c r="G22" s="118">
        <v>0</v>
      </c>
      <c r="H22" s="118"/>
      <c r="I22" s="118"/>
      <c r="J22" s="118"/>
      <c r="K22" s="318">
        <v>0</v>
      </c>
      <c r="L22" s="318">
        <v>-2</v>
      </c>
      <c r="M22" s="318"/>
      <c r="N22" s="318">
        <v>-3</v>
      </c>
      <c r="O22" s="318">
        <v>0</v>
      </c>
      <c r="P22" s="318">
        <v>0</v>
      </c>
      <c r="Q22" s="318">
        <v>9200</v>
      </c>
      <c r="R22" s="118">
        <f>SUM(C22:Q22)</f>
        <v>9195</v>
      </c>
    </row>
    <row r="23" spans="2:18" collapsed="1" x14ac:dyDescent="0.2">
      <c r="B23" s="127" t="s">
        <v>892</v>
      </c>
      <c r="C23" s="120">
        <f>SUM(C16:C22)</f>
        <v>33338</v>
      </c>
      <c r="D23" s="120">
        <v>0</v>
      </c>
      <c r="E23" s="120">
        <f>SUM(E16:E22)</f>
        <v>19969</v>
      </c>
      <c r="F23" s="120"/>
      <c r="G23" s="120">
        <f>SUM(G16:G22)</f>
        <v>1602</v>
      </c>
      <c r="H23" s="120"/>
      <c r="I23" s="120"/>
      <c r="J23" s="120"/>
      <c r="K23" s="316">
        <f>SUM(K16:K22)</f>
        <v>0</v>
      </c>
      <c r="L23" s="316">
        <f>SUM(L16:L22)</f>
        <v>11395</v>
      </c>
      <c r="M23" s="316"/>
      <c r="N23" s="316">
        <f>SUM(N16:N22)</f>
        <v>456</v>
      </c>
      <c r="O23" s="316">
        <f>SUM(O16:O22)</f>
        <v>62383</v>
      </c>
      <c r="P23" s="316">
        <f>SUM(P16:P22)</f>
        <v>0</v>
      </c>
      <c r="Q23" s="316">
        <f>SUM(Q16:Q22)</f>
        <v>3946</v>
      </c>
      <c r="R23" s="120">
        <f>SUM(R16:R22)</f>
        <v>133089</v>
      </c>
    </row>
    <row r="24" spans="2:18" x14ac:dyDescent="0.2">
      <c r="B24" s="154"/>
      <c r="C24" s="155"/>
      <c r="D24" s="155"/>
      <c r="E24" s="155"/>
      <c r="F24" s="155"/>
      <c r="G24" s="155"/>
      <c r="H24" s="155"/>
      <c r="I24" s="155"/>
      <c r="J24" s="155"/>
      <c r="K24" s="317"/>
      <c r="L24" s="317"/>
      <c r="M24" s="317"/>
      <c r="N24" s="317"/>
      <c r="O24" s="317"/>
      <c r="P24" s="317"/>
      <c r="Q24" s="317"/>
      <c r="R24" s="155"/>
    </row>
    <row r="25" spans="2:18" ht="12.75" hidden="1" customHeight="1" outlineLevel="1" x14ac:dyDescent="0.2">
      <c r="B25" s="130" t="s">
        <v>624</v>
      </c>
      <c r="C25" s="118">
        <v>0</v>
      </c>
      <c r="D25" s="118"/>
      <c r="E25" s="118">
        <v>-990</v>
      </c>
      <c r="F25" s="118"/>
      <c r="G25" s="118">
        <v>0</v>
      </c>
      <c r="H25" s="118"/>
      <c r="I25" s="118"/>
      <c r="J25" s="118"/>
      <c r="K25" s="318">
        <v>0</v>
      </c>
      <c r="L25" s="318">
        <v>0</v>
      </c>
      <c r="M25" s="318"/>
      <c r="N25" s="318">
        <v>0</v>
      </c>
      <c r="O25" s="318">
        <v>0</v>
      </c>
      <c r="P25" s="318">
        <v>0</v>
      </c>
      <c r="Q25" s="318">
        <v>75225</v>
      </c>
      <c r="R25" s="118">
        <f t="shared" ref="R25:R30" si="1">SUM(C25:Q25)</f>
        <v>74235</v>
      </c>
    </row>
    <row r="26" spans="2:18" ht="12.75" hidden="1" customHeight="1" outlineLevel="1" x14ac:dyDescent="0.2">
      <c r="B26" s="130" t="s">
        <v>629</v>
      </c>
      <c r="C26" s="118">
        <v>7000</v>
      </c>
      <c r="D26" s="118"/>
      <c r="E26" s="118">
        <v>2010</v>
      </c>
      <c r="F26" s="118"/>
      <c r="G26" s="118">
        <v>0</v>
      </c>
      <c r="H26" s="118"/>
      <c r="I26" s="118"/>
      <c r="J26" s="118"/>
      <c r="K26" s="318">
        <v>0</v>
      </c>
      <c r="L26" s="318">
        <v>0</v>
      </c>
      <c r="M26" s="318"/>
      <c r="N26" s="318">
        <v>0</v>
      </c>
      <c r="O26" s="318">
        <v>0</v>
      </c>
      <c r="P26" s="318">
        <v>0</v>
      </c>
      <c r="Q26" s="318">
        <v>0</v>
      </c>
      <c r="R26" s="118">
        <f t="shared" si="1"/>
        <v>9010</v>
      </c>
    </row>
    <row r="27" spans="2:18" ht="12.75" hidden="1" customHeight="1" outlineLevel="1" x14ac:dyDescent="0.2">
      <c r="B27" s="130" t="s">
        <v>286</v>
      </c>
      <c r="C27" s="118">
        <v>7973</v>
      </c>
      <c r="D27" s="118"/>
      <c r="E27" s="118">
        <v>-31</v>
      </c>
      <c r="F27" s="118"/>
      <c r="G27" s="118">
        <v>42</v>
      </c>
      <c r="H27" s="118"/>
      <c r="I27" s="118"/>
      <c r="J27" s="118"/>
      <c r="K27" s="318">
        <v>0</v>
      </c>
      <c r="L27" s="318">
        <v>1385</v>
      </c>
      <c r="M27" s="318"/>
      <c r="N27" s="318">
        <v>26</v>
      </c>
      <c r="O27" s="318">
        <v>-1919</v>
      </c>
      <c r="P27" s="318">
        <v>0</v>
      </c>
      <c r="Q27" s="318">
        <v>-7139</v>
      </c>
      <c r="R27" s="118">
        <f t="shared" si="1"/>
        <v>337</v>
      </c>
    </row>
    <row r="28" spans="2:18" ht="12.75" hidden="1" customHeight="1" outlineLevel="1" x14ac:dyDescent="0.2">
      <c r="B28" s="130" t="s">
        <v>893</v>
      </c>
      <c r="C28" s="118">
        <v>0</v>
      </c>
      <c r="D28" s="118"/>
      <c r="E28" s="118">
        <v>0</v>
      </c>
      <c r="F28" s="118"/>
      <c r="G28" s="118">
        <v>0</v>
      </c>
      <c r="H28" s="118"/>
      <c r="I28" s="118"/>
      <c r="J28" s="118"/>
      <c r="K28" s="318">
        <v>0</v>
      </c>
      <c r="L28" s="318">
        <v>0</v>
      </c>
      <c r="M28" s="318"/>
      <c r="N28" s="318">
        <v>0</v>
      </c>
      <c r="O28" s="318">
        <v>0</v>
      </c>
      <c r="P28" s="318">
        <v>0</v>
      </c>
      <c r="Q28" s="318">
        <v>-36871</v>
      </c>
      <c r="R28" s="118">
        <f t="shared" si="1"/>
        <v>-36871</v>
      </c>
    </row>
    <row r="29" spans="2:18" ht="12.75" hidden="1" customHeight="1" outlineLevel="1" x14ac:dyDescent="0.2">
      <c r="B29" s="130" t="s">
        <v>890</v>
      </c>
      <c r="C29" s="118">
        <v>0</v>
      </c>
      <c r="D29" s="118"/>
      <c r="E29" s="118">
        <v>0</v>
      </c>
      <c r="F29" s="118"/>
      <c r="G29" s="118">
        <v>0</v>
      </c>
      <c r="H29" s="118"/>
      <c r="I29" s="118"/>
      <c r="J29" s="118"/>
      <c r="K29" s="318">
        <v>0</v>
      </c>
      <c r="L29" s="318">
        <v>0</v>
      </c>
      <c r="M29" s="318"/>
      <c r="N29" s="318">
        <v>-18</v>
      </c>
      <c r="O29" s="318">
        <v>0</v>
      </c>
      <c r="P29" s="318">
        <v>0</v>
      </c>
      <c r="Q29" s="318">
        <v>0</v>
      </c>
      <c r="R29" s="118">
        <f t="shared" si="1"/>
        <v>-18</v>
      </c>
    </row>
    <row r="30" spans="2:18" ht="12.75" hidden="1" customHeight="1" outlineLevel="1" x14ac:dyDescent="0.2">
      <c r="B30" s="130" t="s">
        <v>224</v>
      </c>
      <c r="C30" s="118">
        <v>0</v>
      </c>
      <c r="D30" s="118"/>
      <c r="E30" s="118">
        <v>0</v>
      </c>
      <c r="F30" s="118"/>
      <c r="G30" s="118">
        <v>0</v>
      </c>
      <c r="H30" s="118"/>
      <c r="I30" s="118"/>
      <c r="J30" s="118"/>
      <c r="K30" s="318">
        <v>0</v>
      </c>
      <c r="L30" s="318">
        <v>0</v>
      </c>
      <c r="M30" s="318"/>
      <c r="N30" s="318">
        <v>-1</v>
      </c>
      <c r="O30" s="318">
        <v>0</v>
      </c>
      <c r="P30" s="318">
        <v>0</v>
      </c>
      <c r="Q30" s="318">
        <v>0</v>
      </c>
      <c r="R30" s="118">
        <f t="shared" si="1"/>
        <v>-1</v>
      </c>
    </row>
    <row r="31" spans="2:18" collapsed="1" x14ac:dyDescent="0.2">
      <c r="B31" s="127" t="s">
        <v>894</v>
      </c>
      <c r="C31" s="120">
        <f>SUM(C23:C30)</f>
        <v>48311</v>
      </c>
      <c r="D31" s="120">
        <v>0</v>
      </c>
      <c r="E31" s="120">
        <f>SUM(E23:E30)</f>
        <v>20958</v>
      </c>
      <c r="F31" s="120"/>
      <c r="G31" s="120">
        <f>SUM(G23:G30)</f>
        <v>1644</v>
      </c>
      <c r="H31" s="120"/>
      <c r="I31" s="120"/>
      <c r="J31" s="120"/>
      <c r="K31" s="316">
        <f>SUM(K23:K30)</f>
        <v>0</v>
      </c>
      <c r="L31" s="316">
        <f>SUM(L23:L30)</f>
        <v>12780</v>
      </c>
      <c r="M31" s="316"/>
      <c r="N31" s="316">
        <f>SUM(N23:N30)</f>
        <v>463</v>
      </c>
      <c r="O31" s="316">
        <f>SUM(O23:O30)</f>
        <v>60464</v>
      </c>
      <c r="P31" s="316">
        <f>SUM(P23:P30)</f>
        <v>0</v>
      </c>
      <c r="Q31" s="316">
        <f>SUM(Q23:Q30)</f>
        <v>35161</v>
      </c>
      <c r="R31" s="120">
        <f>SUM(R23:R30)</f>
        <v>179781</v>
      </c>
    </row>
    <row r="32" spans="2:18" x14ac:dyDescent="0.2">
      <c r="B32" s="154"/>
      <c r="C32" s="155"/>
      <c r="D32" s="155"/>
      <c r="E32" s="155"/>
      <c r="F32" s="155"/>
      <c r="G32" s="155"/>
      <c r="H32" s="155"/>
      <c r="I32" s="155"/>
      <c r="J32" s="155"/>
      <c r="K32" s="317"/>
      <c r="L32" s="317"/>
      <c r="M32" s="317"/>
      <c r="N32" s="317"/>
      <c r="O32" s="317"/>
      <c r="P32" s="317"/>
      <c r="Q32" s="317"/>
      <c r="R32" s="155"/>
    </row>
    <row r="33" spans="2:18" ht="12.75" hidden="1" customHeight="1" outlineLevel="1" x14ac:dyDescent="0.2">
      <c r="B33" s="130" t="s">
        <v>624</v>
      </c>
      <c r="C33" s="118">
        <v>7420</v>
      </c>
      <c r="D33" s="118"/>
      <c r="E33" s="118">
        <v>1702</v>
      </c>
      <c r="F33" s="118"/>
      <c r="G33" s="118">
        <v>0</v>
      </c>
      <c r="H33" s="118"/>
      <c r="I33" s="118"/>
      <c r="J33" s="118"/>
      <c r="K33" s="318">
        <v>0</v>
      </c>
      <c r="L33" s="318">
        <v>0</v>
      </c>
      <c r="M33" s="318"/>
      <c r="N33" s="318">
        <v>0</v>
      </c>
      <c r="O33" s="318">
        <v>0</v>
      </c>
      <c r="P33" s="318">
        <v>0</v>
      </c>
      <c r="Q33" s="318">
        <v>93701</v>
      </c>
      <c r="R33" s="118">
        <f t="shared" ref="R33:R39" si="2">SUM(C33:Q33)</f>
        <v>102823</v>
      </c>
    </row>
    <row r="34" spans="2:18" ht="12.75" hidden="1" customHeight="1" outlineLevel="1" x14ac:dyDescent="0.2">
      <c r="B34" s="130" t="s">
        <v>629</v>
      </c>
      <c r="C34" s="118">
        <v>-7420</v>
      </c>
      <c r="D34" s="118"/>
      <c r="E34" s="118">
        <v>-1017</v>
      </c>
      <c r="F34" s="118"/>
      <c r="G34" s="118">
        <v>0</v>
      </c>
      <c r="H34" s="118"/>
      <c r="I34" s="118"/>
      <c r="J34" s="118"/>
      <c r="K34" s="318">
        <v>0</v>
      </c>
      <c r="L34" s="318">
        <v>0</v>
      </c>
      <c r="M34" s="318"/>
      <c r="N34" s="318">
        <v>0</v>
      </c>
      <c r="O34" s="318">
        <v>0</v>
      </c>
      <c r="P34" s="318">
        <v>0</v>
      </c>
      <c r="Q34" s="318">
        <v>0</v>
      </c>
      <c r="R34" s="118">
        <f t="shared" si="2"/>
        <v>-8437</v>
      </c>
    </row>
    <row r="35" spans="2:18" ht="12.75" hidden="1" customHeight="1" outlineLevel="1" x14ac:dyDescent="0.2">
      <c r="B35" s="130" t="s">
        <v>286</v>
      </c>
      <c r="C35" s="118">
        <v>427</v>
      </c>
      <c r="D35" s="118"/>
      <c r="E35" s="118">
        <v>-23</v>
      </c>
      <c r="F35" s="118"/>
      <c r="G35" s="118">
        <v>420</v>
      </c>
      <c r="H35" s="118"/>
      <c r="I35" s="118"/>
      <c r="J35" s="118"/>
      <c r="K35" s="318">
        <v>0</v>
      </c>
      <c r="L35" s="318">
        <v>656</v>
      </c>
      <c r="M35" s="318"/>
      <c r="N35" s="318">
        <v>-12</v>
      </c>
      <c r="O35" s="318">
        <v>886</v>
      </c>
      <c r="P35" s="318">
        <v>0</v>
      </c>
      <c r="Q35" s="318">
        <v>-25341</v>
      </c>
      <c r="R35" s="118">
        <f t="shared" si="2"/>
        <v>-22987</v>
      </c>
    </row>
    <row r="36" spans="2:18" ht="12.75" hidden="1" customHeight="1" outlineLevel="1" x14ac:dyDescent="0.2">
      <c r="B36" s="130" t="s">
        <v>630</v>
      </c>
      <c r="C36" s="118">
        <v>0</v>
      </c>
      <c r="D36" s="118"/>
      <c r="E36" s="118">
        <v>0</v>
      </c>
      <c r="F36" s="118"/>
      <c r="G36" s="118">
        <v>0</v>
      </c>
      <c r="H36" s="118"/>
      <c r="I36" s="118"/>
      <c r="J36" s="118"/>
      <c r="K36" s="318">
        <v>0</v>
      </c>
      <c r="L36" s="318">
        <v>0</v>
      </c>
      <c r="M36" s="318"/>
      <c r="N36" s="318">
        <v>0</v>
      </c>
      <c r="O36" s="318">
        <v>0</v>
      </c>
      <c r="P36" s="318">
        <v>0</v>
      </c>
      <c r="Q36" s="318">
        <v>-34224</v>
      </c>
      <c r="R36" s="118">
        <f t="shared" si="2"/>
        <v>-34224</v>
      </c>
    </row>
    <row r="37" spans="2:18" ht="12.75" hidden="1" customHeight="1" outlineLevel="1" x14ac:dyDescent="0.2">
      <c r="B37" s="130" t="s">
        <v>893</v>
      </c>
      <c r="C37" s="118">
        <v>0</v>
      </c>
      <c r="D37" s="118"/>
      <c r="E37" s="118">
        <v>0</v>
      </c>
      <c r="F37" s="118"/>
      <c r="G37" s="118">
        <v>0</v>
      </c>
      <c r="H37" s="118"/>
      <c r="I37" s="118"/>
      <c r="J37" s="118"/>
      <c r="K37" s="318">
        <v>0</v>
      </c>
      <c r="L37" s="318">
        <v>0</v>
      </c>
      <c r="M37" s="318"/>
      <c r="N37" s="318">
        <v>0</v>
      </c>
      <c r="O37" s="318">
        <v>0</v>
      </c>
      <c r="P37" s="318">
        <v>0</v>
      </c>
      <c r="Q37" s="318">
        <v>-69297</v>
      </c>
      <c r="R37" s="118">
        <f t="shared" si="2"/>
        <v>-69297</v>
      </c>
    </row>
    <row r="38" spans="2:18" ht="12.75" hidden="1" customHeight="1" outlineLevel="1" x14ac:dyDescent="0.2">
      <c r="B38" s="130" t="s">
        <v>890</v>
      </c>
      <c r="C38" s="118">
        <v>0</v>
      </c>
      <c r="D38" s="118"/>
      <c r="E38" s="118">
        <v>0</v>
      </c>
      <c r="F38" s="118"/>
      <c r="G38" s="118">
        <v>0</v>
      </c>
      <c r="H38" s="118"/>
      <c r="I38" s="118"/>
      <c r="J38" s="118"/>
      <c r="K38" s="318">
        <v>0</v>
      </c>
      <c r="L38" s="318">
        <v>0</v>
      </c>
      <c r="M38" s="318"/>
      <c r="N38" s="318">
        <v>50</v>
      </c>
      <c r="O38" s="318">
        <v>0</v>
      </c>
      <c r="P38" s="318">
        <v>0</v>
      </c>
      <c r="Q38" s="318">
        <v>0</v>
      </c>
      <c r="R38" s="118">
        <f t="shared" si="2"/>
        <v>50</v>
      </c>
    </row>
    <row r="39" spans="2:18" ht="12.75" hidden="1" customHeight="1" outlineLevel="1" x14ac:dyDescent="0.2">
      <c r="B39" s="130" t="s">
        <v>224</v>
      </c>
      <c r="C39" s="118">
        <v>0</v>
      </c>
      <c r="D39" s="118"/>
      <c r="E39" s="118">
        <v>0</v>
      </c>
      <c r="F39" s="118"/>
      <c r="G39" s="118">
        <v>1</v>
      </c>
      <c r="H39" s="118"/>
      <c r="I39" s="118"/>
      <c r="J39" s="118"/>
      <c r="K39" s="318">
        <v>0</v>
      </c>
      <c r="L39" s="318">
        <v>387</v>
      </c>
      <c r="M39" s="318"/>
      <c r="N39" s="318">
        <v>0</v>
      </c>
      <c r="O39" s="318">
        <v>-3</v>
      </c>
      <c r="P39" s="318">
        <v>0</v>
      </c>
      <c r="Q39" s="318">
        <v>0</v>
      </c>
      <c r="R39" s="118">
        <f t="shared" si="2"/>
        <v>385</v>
      </c>
    </row>
    <row r="40" spans="2:18" collapsed="1" x14ac:dyDescent="0.2">
      <c r="B40" s="127" t="s">
        <v>895</v>
      </c>
      <c r="C40" s="120">
        <f>SUM(C31:C39)</f>
        <v>48738</v>
      </c>
      <c r="D40" s="120">
        <v>0</v>
      </c>
      <c r="E40" s="120">
        <f>SUM(E31:E39)</f>
        <v>21620</v>
      </c>
      <c r="F40" s="120"/>
      <c r="G40" s="120">
        <f>SUM(G31:G39)</f>
        <v>2065</v>
      </c>
      <c r="H40" s="120"/>
      <c r="I40" s="120"/>
      <c r="J40" s="120"/>
      <c r="K40" s="316">
        <f t="shared" ref="K40:R40" si="3">SUM(K31:K39)</f>
        <v>0</v>
      </c>
      <c r="L40" s="316">
        <f>SUM(L31:L39)</f>
        <v>13823</v>
      </c>
      <c r="M40" s="316"/>
      <c r="N40" s="316">
        <f t="shared" si="3"/>
        <v>501</v>
      </c>
      <c r="O40" s="316">
        <f t="shared" si="3"/>
        <v>61347</v>
      </c>
      <c r="P40" s="316">
        <f t="shared" si="3"/>
        <v>0</v>
      </c>
      <c r="Q40" s="316">
        <f t="shared" si="3"/>
        <v>0</v>
      </c>
      <c r="R40" s="120">
        <f t="shared" si="3"/>
        <v>148094</v>
      </c>
    </row>
    <row r="41" spans="2:18" x14ac:dyDescent="0.2">
      <c r="B41" s="154"/>
      <c r="C41" s="155"/>
      <c r="D41" s="155"/>
      <c r="E41" s="155"/>
      <c r="F41" s="155"/>
      <c r="G41" s="155"/>
      <c r="H41" s="155"/>
      <c r="I41" s="155"/>
      <c r="J41" s="155"/>
      <c r="K41" s="317"/>
      <c r="L41" s="317"/>
      <c r="M41" s="317"/>
      <c r="N41" s="317"/>
      <c r="O41" s="317"/>
      <c r="P41" s="317"/>
      <c r="Q41" s="317"/>
      <c r="R41" s="155"/>
    </row>
    <row r="42" spans="2:18" ht="12.75" hidden="1" customHeight="1" outlineLevel="1" x14ac:dyDescent="0.2">
      <c r="B42" s="130" t="s">
        <v>624</v>
      </c>
      <c r="C42" s="118">
        <v>0</v>
      </c>
      <c r="D42" s="118"/>
      <c r="E42" s="118">
        <v>0</v>
      </c>
      <c r="F42" s="118"/>
      <c r="G42" s="118">
        <v>0</v>
      </c>
      <c r="H42" s="118"/>
      <c r="I42" s="118"/>
      <c r="J42" s="118"/>
      <c r="K42" s="318">
        <v>0</v>
      </c>
      <c r="L42" s="318">
        <v>0</v>
      </c>
      <c r="M42" s="318"/>
      <c r="N42" s="318">
        <v>0</v>
      </c>
      <c r="O42" s="318">
        <v>0</v>
      </c>
      <c r="P42" s="318">
        <v>0</v>
      </c>
      <c r="Q42" s="318">
        <v>0</v>
      </c>
      <c r="R42" s="118">
        <f t="shared" ref="R42:R48" si="4">SUM(C42:Q42)</f>
        <v>0</v>
      </c>
    </row>
    <row r="43" spans="2:18" ht="12.75" hidden="1" customHeight="1" outlineLevel="1" x14ac:dyDescent="0.2">
      <c r="B43" s="130" t="s">
        <v>629</v>
      </c>
      <c r="C43" s="118">
        <v>33360</v>
      </c>
      <c r="D43" s="118"/>
      <c r="E43" s="118">
        <v>7</v>
      </c>
      <c r="F43" s="118"/>
      <c r="G43" s="118">
        <v>0</v>
      </c>
      <c r="H43" s="118"/>
      <c r="I43" s="118"/>
      <c r="J43" s="118"/>
      <c r="K43" s="318">
        <v>0</v>
      </c>
      <c r="L43" s="318">
        <v>0</v>
      </c>
      <c r="M43" s="318"/>
      <c r="N43" s="318">
        <v>0</v>
      </c>
      <c r="O43" s="318">
        <v>30000</v>
      </c>
      <c r="P43" s="318">
        <v>0</v>
      </c>
      <c r="Q43" s="318">
        <v>0</v>
      </c>
      <c r="R43" s="118">
        <f t="shared" si="4"/>
        <v>63367</v>
      </c>
    </row>
    <row r="44" spans="2:18" ht="12.75" hidden="1" customHeight="1" outlineLevel="1" x14ac:dyDescent="0.2">
      <c r="B44" s="130" t="s">
        <v>286</v>
      </c>
      <c r="C44" s="118">
        <v>-289</v>
      </c>
      <c r="D44" s="118"/>
      <c r="E44" s="118">
        <v>-7</v>
      </c>
      <c r="F44" s="118"/>
      <c r="G44" s="118">
        <v>2159</v>
      </c>
      <c r="H44" s="118"/>
      <c r="I44" s="118"/>
      <c r="J44" s="118"/>
      <c r="K44" s="318">
        <v>0</v>
      </c>
      <c r="L44" s="318">
        <v>363</v>
      </c>
      <c r="M44" s="318"/>
      <c r="N44" s="318">
        <v>-58</v>
      </c>
      <c r="O44" s="318">
        <v>-2278</v>
      </c>
      <c r="P44" s="318">
        <v>0</v>
      </c>
      <c r="Q44" s="318">
        <v>0</v>
      </c>
      <c r="R44" s="118">
        <f t="shared" si="4"/>
        <v>-110</v>
      </c>
    </row>
    <row r="45" spans="2:18" ht="12.75" hidden="1" customHeight="1" outlineLevel="1" x14ac:dyDescent="0.2">
      <c r="B45" s="130" t="s">
        <v>630</v>
      </c>
      <c r="C45" s="118">
        <v>0</v>
      </c>
      <c r="D45" s="118"/>
      <c r="E45" s="118">
        <v>0</v>
      </c>
      <c r="F45" s="118"/>
      <c r="G45" s="118">
        <v>0</v>
      </c>
      <c r="H45" s="118"/>
      <c r="I45" s="118"/>
      <c r="J45" s="118"/>
      <c r="K45" s="318">
        <v>0</v>
      </c>
      <c r="L45" s="318">
        <v>0</v>
      </c>
      <c r="M45" s="318"/>
      <c r="N45" s="318">
        <v>0</v>
      </c>
      <c r="O45" s="318">
        <v>0</v>
      </c>
      <c r="P45" s="318">
        <v>0</v>
      </c>
      <c r="Q45" s="318">
        <v>0</v>
      </c>
      <c r="R45" s="118">
        <f t="shared" si="4"/>
        <v>0</v>
      </c>
    </row>
    <row r="46" spans="2:18" ht="12.75" hidden="1" customHeight="1" outlineLevel="1" x14ac:dyDescent="0.2">
      <c r="B46" s="130" t="s">
        <v>893</v>
      </c>
      <c r="C46" s="118">
        <v>0</v>
      </c>
      <c r="D46" s="118"/>
      <c r="E46" s="118">
        <v>0</v>
      </c>
      <c r="F46" s="118"/>
      <c r="G46" s="118">
        <v>0</v>
      </c>
      <c r="H46" s="118"/>
      <c r="I46" s="118"/>
      <c r="J46" s="118"/>
      <c r="K46" s="318">
        <v>0</v>
      </c>
      <c r="L46" s="318">
        <v>0</v>
      </c>
      <c r="M46" s="318"/>
      <c r="N46" s="318">
        <v>0</v>
      </c>
      <c r="O46" s="318">
        <v>0</v>
      </c>
      <c r="P46" s="318">
        <v>0</v>
      </c>
      <c r="Q46" s="318">
        <v>0</v>
      </c>
      <c r="R46" s="118">
        <f t="shared" si="4"/>
        <v>0</v>
      </c>
    </row>
    <row r="47" spans="2:18" ht="12.75" hidden="1" customHeight="1" outlineLevel="1" x14ac:dyDescent="0.2">
      <c r="B47" s="130" t="s">
        <v>890</v>
      </c>
      <c r="C47" s="118">
        <v>0</v>
      </c>
      <c r="D47" s="118"/>
      <c r="E47" s="118">
        <v>0</v>
      </c>
      <c r="F47" s="118"/>
      <c r="G47" s="118">
        <v>0</v>
      </c>
      <c r="H47" s="118"/>
      <c r="I47" s="118"/>
      <c r="J47" s="118"/>
      <c r="K47" s="318">
        <v>0</v>
      </c>
      <c r="L47" s="318">
        <v>0</v>
      </c>
      <c r="M47" s="318"/>
      <c r="N47" s="318">
        <v>39</v>
      </c>
      <c r="O47" s="318">
        <v>0</v>
      </c>
      <c r="P47" s="318">
        <v>0</v>
      </c>
      <c r="Q47" s="318">
        <v>0</v>
      </c>
      <c r="R47" s="118">
        <f t="shared" si="4"/>
        <v>39</v>
      </c>
    </row>
    <row r="48" spans="2:18" ht="12.75" hidden="1" customHeight="1" outlineLevel="1" x14ac:dyDescent="0.2">
      <c r="B48" s="130" t="s">
        <v>224</v>
      </c>
      <c r="C48" s="118">
        <v>0</v>
      </c>
      <c r="D48" s="118"/>
      <c r="E48" s="118">
        <v>0</v>
      </c>
      <c r="F48" s="118"/>
      <c r="G48" s="118">
        <v>-1</v>
      </c>
      <c r="H48" s="118"/>
      <c r="I48" s="118"/>
      <c r="J48" s="118"/>
      <c r="K48" s="318">
        <v>0</v>
      </c>
      <c r="L48" s="318">
        <v>0</v>
      </c>
      <c r="M48" s="318"/>
      <c r="N48" s="318">
        <v>0</v>
      </c>
      <c r="O48" s="318">
        <v>1</v>
      </c>
      <c r="P48" s="318">
        <v>0</v>
      </c>
      <c r="Q48" s="318">
        <v>0</v>
      </c>
      <c r="R48" s="118">
        <f t="shared" si="4"/>
        <v>0</v>
      </c>
    </row>
    <row r="49" spans="2:18" collapsed="1" x14ac:dyDescent="0.2">
      <c r="B49" s="127" t="s">
        <v>896</v>
      </c>
      <c r="C49" s="120">
        <f>SUM(C40:C48)</f>
        <v>81809</v>
      </c>
      <c r="D49" s="120">
        <v>0</v>
      </c>
      <c r="E49" s="120">
        <f>SUM(E40:E48)</f>
        <v>21620</v>
      </c>
      <c r="F49" s="120"/>
      <c r="G49" s="120">
        <f>SUM(G40:G48)</f>
        <v>4223</v>
      </c>
      <c r="H49" s="120"/>
      <c r="I49" s="120"/>
      <c r="J49" s="120"/>
      <c r="K49" s="316">
        <f t="shared" ref="K49:R49" si="5">SUM(K40:K48)</f>
        <v>0</v>
      </c>
      <c r="L49" s="316">
        <f>SUM(L40:L48)</f>
        <v>14186</v>
      </c>
      <c r="M49" s="316"/>
      <c r="N49" s="316">
        <f t="shared" si="5"/>
        <v>482</v>
      </c>
      <c r="O49" s="316">
        <f t="shared" si="5"/>
        <v>89070</v>
      </c>
      <c r="P49" s="316">
        <f t="shared" si="5"/>
        <v>0</v>
      </c>
      <c r="Q49" s="316">
        <f t="shared" si="5"/>
        <v>0</v>
      </c>
      <c r="R49" s="120">
        <f t="shared" si="5"/>
        <v>211390</v>
      </c>
    </row>
    <row r="50" spans="2:18" x14ac:dyDescent="0.2">
      <c r="B50" s="154"/>
      <c r="C50" s="155"/>
      <c r="D50" s="155"/>
      <c r="E50" s="155"/>
      <c r="F50" s="155"/>
      <c r="G50" s="155"/>
      <c r="H50" s="155"/>
      <c r="I50" s="155"/>
      <c r="J50" s="155"/>
      <c r="K50" s="317"/>
      <c r="L50" s="317"/>
      <c r="M50" s="317"/>
      <c r="N50" s="317"/>
      <c r="O50" s="317"/>
      <c r="P50" s="317"/>
      <c r="Q50" s="317"/>
      <c r="R50" s="155"/>
    </row>
    <row r="51" spans="2:18" ht="13.5" hidden="1" customHeight="1" outlineLevel="1" x14ac:dyDescent="0.2">
      <c r="B51" s="130" t="s">
        <v>624</v>
      </c>
      <c r="C51" s="118"/>
      <c r="D51" s="118"/>
      <c r="E51" s="118"/>
      <c r="F51" s="118"/>
      <c r="G51" s="118"/>
      <c r="H51" s="118"/>
      <c r="I51" s="118"/>
      <c r="J51" s="118"/>
      <c r="K51" s="318"/>
      <c r="L51" s="318"/>
      <c r="M51" s="318"/>
      <c r="N51" s="318"/>
      <c r="O51" s="318"/>
      <c r="P51" s="318"/>
      <c r="Q51" s="318"/>
      <c r="R51" s="118">
        <f>SUM(C51:Q51)</f>
        <v>0</v>
      </c>
    </row>
    <row r="52" spans="2:18" ht="12.75" hidden="1" customHeight="1" outlineLevel="1" x14ac:dyDescent="0.2">
      <c r="B52" s="130" t="s">
        <v>629</v>
      </c>
      <c r="C52" s="118"/>
      <c r="D52" s="118"/>
      <c r="E52" s="118">
        <v>104</v>
      </c>
      <c r="F52" s="118"/>
      <c r="G52" s="118">
        <v>0</v>
      </c>
      <c r="H52" s="118"/>
      <c r="I52" s="118"/>
      <c r="J52" s="118"/>
      <c r="K52" s="318"/>
      <c r="L52" s="318">
        <v>0</v>
      </c>
      <c r="M52" s="318"/>
      <c r="N52" s="318">
        <v>0</v>
      </c>
      <c r="O52" s="318"/>
      <c r="P52" s="318"/>
      <c r="Q52" s="318">
        <v>0</v>
      </c>
      <c r="R52" s="118">
        <f>SUM(C52:Q52)</f>
        <v>104</v>
      </c>
    </row>
    <row r="53" spans="2:18" ht="12.75" hidden="1" customHeight="1" outlineLevel="1" x14ac:dyDescent="0.2">
      <c r="B53" s="130" t="s">
        <v>286</v>
      </c>
      <c r="C53" s="118">
        <v>1771</v>
      </c>
      <c r="D53" s="118"/>
      <c r="E53" s="118">
        <v>-16</v>
      </c>
      <c r="F53" s="118"/>
      <c r="G53" s="118">
        <v>181</v>
      </c>
      <c r="H53" s="118"/>
      <c r="I53" s="118"/>
      <c r="J53" s="118"/>
      <c r="K53" s="318"/>
      <c r="L53" s="318">
        <v>710</v>
      </c>
      <c r="M53" s="318"/>
      <c r="N53" s="318">
        <v>192</v>
      </c>
      <c r="O53" s="318">
        <v>-1674</v>
      </c>
      <c r="P53" s="318"/>
      <c r="Q53" s="318">
        <v>0</v>
      </c>
      <c r="R53" s="118">
        <f>SUM(C53:Q53)</f>
        <v>1164</v>
      </c>
    </row>
    <row r="54" spans="2:18" ht="12.75" hidden="1" customHeight="1" outlineLevel="1" x14ac:dyDescent="0.2">
      <c r="B54" s="130" t="s">
        <v>890</v>
      </c>
      <c r="C54" s="118">
        <v>0</v>
      </c>
      <c r="D54" s="118"/>
      <c r="E54" s="118">
        <v>0</v>
      </c>
      <c r="F54" s="118"/>
      <c r="G54" s="118">
        <v>0</v>
      </c>
      <c r="H54" s="118"/>
      <c r="I54" s="118"/>
      <c r="J54" s="118"/>
      <c r="K54" s="318"/>
      <c r="L54" s="318">
        <v>0</v>
      </c>
      <c r="M54" s="318"/>
      <c r="N54" s="318">
        <v>123</v>
      </c>
      <c r="O54" s="318">
        <v>0</v>
      </c>
      <c r="P54" s="318"/>
      <c r="Q54" s="318">
        <v>0</v>
      </c>
      <c r="R54" s="118">
        <f>SUM(C54:Q54)</f>
        <v>123</v>
      </c>
    </row>
    <row r="55" spans="2:18" ht="12.75" hidden="1" customHeight="1" outlineLevel="1" x14ac:dyDescent="0.2">
      <c r="B55" s="130" t="s">
        <v>224</v>
      </c>
      <c r="C55" s="118"/>
      <c r="D55" s="118"/>
      <c r="E55" s="118"/>
      <c r="F55" s="118"/>
      <c r="G55" s="118"/>
      <c r="H55" s="118"/>
      <c r="I55" s="118"/>
      <c r="J55" s="118"/>
      <c r="K55" s="318"/>
      <c r="L55" s="318"/>
      <c r="M55" s="318"/>
      <c r="N55" s="318"/>
      <c r="O55" s="318"/>
      <c r="P55" s="318"/>
      <c r="Q55" s="318"/>
      <c r="R55" s="118">
        <f>SUM(C55:Q55)</f>
        <v>0</v>
      </c>
    </row>
    <row r="56" spans="2:18" collapsed="1" x14ac:dyDescent="0.2">
      <c r="B56" s="127" t="s">
        <v>897</v>
      </c>
      <c r="C56" s="120">
        <f>SUM(C49:C55)</f>
        <v>83580</v>
      </c>
      <c r="D56" s="120">
        <v>0</v>
      </c>
      <c r="E56" s="120">
        <f>SUM(E49:E55)</f>
        <v>21708</v>
      </c>
      <c r="F56" s="120"/>
      <c r="G56" s="120">
        <f>SUM(G49:G55)</f>
        <v>4404</v>
      </c>
      <c r="H56" s="120"/>
      <c r="I56" s="120"/>
      <c r="J56" s="120"/>
      <c r="K56" s="316">
        <f t="shared" ref="K56:R56" si="6">SUM(K49:K55)</f>
        <v>0</v>
      </c>
      <c r="L56" s="316">
        <f>SUM(L49:L55)</f>
        <v>14896</v>
      </c>
      <c r="M56" s="316"/>
      <c r="N56" s="316">
        <f t="shared" si="6"/>
        <v>797</v>
      </c>
      <c r="O56" s="316">
        <f t="shared" si="6"/>
        <v>87396</v>
      </c>
      <c r="P56" s="316">
        <f t="shared" si="6"/>
        <v>0</v>
      </c>
      <c r="Q56" s="316">
        <f t="shared" si="6"/>
        <v>0</v>
      </c>
      <c r="R56" s="120">
        <f t="shared" si="6"/>
        <v>212781</v>
      </c>
    </row>
    <row r="57" spans="2:18" x14ac:dyDescent="0.2">
      <c r="B57" s="154"/>
      <c r="C57" s="155"/>
      <c r="D57" s="155"/>
      <c r="E57" s="155"/>
      <c r="F57" s="155"/>
      <c r="G57" s="155"/>
      <c r="H57" s="155"/>
      <c r="I57" s="155"/>
      <c r="J57" s="155"/>
      <c r="K57" s="317"/>
      <c r="L57" s="317"/>
      <c r="M57" s="317"/>
      <c r="N57" s="317"/>
      <c r="O57" s="317"/>
      <c r="P57" s="317"/>
      <c r="Q57" s="317"/>
      <c r="R57" s="155"/>
    </row>
    <row r="58" spans="2:18" ht="12.75" hidden="1" customHeight="1" outlineLevel="1" x14ac:dyDescent="0.2">
      <c r="B58" s="130" t="s">
        <v>624</v>
      </c>
      <c r="C58" s="118">
        <v>0</v>
      </c>
      <c r="D58" s="118"/>
      <c r="E58" s="118">
        <v>0</v>
      </c>
      <c r="F58" s="118"/>
      <c r="G58" s="118">
        <v>0</v>
      </c>
      <c r="H58" s="118"/>
      <c r="I58" s="118"/>
      <c r="J58" s="118"/>
      <c r="K58" s="318">
        <v>0</v>
      </c>
      <c r="L58" s="318">
        <v>41</v>
      </c>
      <c r="M58" s="318"/>
      <c r="N58" s="318">
        <v>0</v>
      </c>
      <c r="O58" s="318">
        <v>0</v>
      </c>
      <c r="P58" s="318">
        <v>0</v>
      </c>
      <c r="Q58" s="318">
        <v>0</v>
      </c>
      <c r="R58" s="118">
        <f>SUM(C58:Q58)</f>
        <v>41</v>
      </c>
    </row>
    <row r="59" spans="2:18" ht="12.75" hidden="1" customHeight="1" outlineLevel="1" x14ac:dyDescent="0.2">
      <c r="B59" s="130" t="s">
        <v>629</v>
      </c>
      <c r="C59" s="118">
        <v>0</v>
      </c>
      <c r="D59" s="118"/>
      <c r="E59" s="118">
        <v>1538</v>
      </c>
      <c r="F59" s="118"/>
      <c r="G59" s="118">
        <v>0</v>
      </c>
      <c r="H59" s="118"/>
      <c r="I59" s="118"/>
      <c r="J59" s="118"/>
      <c r="K59" s="318">
        <v>0</v>
      </c>
      <c r="L59" s="318">
        <v>0</v>
      </c>
      <c r="M59" s="318"/>
      <c r="N59" s="318">
        <v>0</v>
      </c>
      <c r="O59" s="318">
        <v>0</v>
      </c>
      <c r="P59" s="318">
        <v>0</v>
      </c>
      <c r="Q59" s="318">
        <v>0</v>
      </c>
      <c r="R59" s="118">
        <f>SUM(C59:Q59)</f>
        <v>1538</v>
      </c>
    </row>
    <row r="60" spans="2:18" ht="12.75" hidden="1" customHeight="1" outlineLevel="1" x14ac:dyDescent="0.2">
      <c r="B60" s="130" t="s">
        <v>286</v>
      </c>
      <c r="C60" s="118">
        <v>279</v>
      </c>
      <c r="D60" s="118"/>
      <c r="E60" s="118">
        <v>-1</v>
      </c>
      <c r="F60" s="118"/>
      <c r="G60" s="118">
        <v>132</v>
      </c>
      <c r="H60" s="118"/>
      <c r="I60" s="118"/>
      <c r="J60" s="118"/>
      <c r="K60" s="318">
        <v>0</v>
      </c>
      <c r="L60" s="318">
        <v>344</v>
      </c>
      <c r="M60" s="318"/>
      <c r="N60" s="318">
        <v>124</v>
      </c>
      <c r="O60" s="318">
        <v>-5281</v>
      </c>
      <c r="P60" s="318">
        <v>0</v>
      </c>
      <c r="Q60" s="318">
        <v>0</v>
      </c>
      <c r="R60" s="118">
        <f>SUM(C60:Q60)</f>
        <v>-4403</v>
      </c>
    </row>
    <row r="61" spans="2:18" ht="12.75" hidden="1" customHeight="1" outlineLevel="1" x14ac:dyDescent="0.2">
      <c r="B61" s="130" t="s">
        <v>890</v>
      </c>
      <c r="C61" s="118">
        <v>0</v>
      </c>
      <c r="D61" s="118"/>
      <c r="E61" s="118">
        <v>0</v>
      </c>
      <c r="F61" s="118"/>
      <c r="G61" s="118">
        <v>0</v>
      </c>
      <c r="H61" s="118"/>
      <c r="I61" s="118"/>
      <c r="J61" s="118"/>
      <c r="K61" s="318">
        <v>0</v>
      </c>
      <c r="L61" s="318">
        <v>0</v>
      </c>
      <c r="M61" s="318"/>
      <c r="N61" s="318">
        <v>-28</v>
      </c>
      <c r="O61" s="318">
        <v>0</v>
      </c>
      <c r="P61" s="318">
        <v>0</v>
      </c>
      <c r="Q61" s="318">
        <v>0</v>
      </c>
      <c r="R61" s="118">
        <f>SUM(C61:Q61)</f>
        <v>-28</v>
      </c>
    </row>
    <row r="62" spans="2:18" collapsed="1" x14ac:dyDescent="0.2">
      <c r="B62" s="127" t="s">
        <v>898</v>
      </c>
      <c r="C62" s="120">
        <f>SUM(C56:C61)</f>
        <v>83859</v>
      </c>
      <c r="D62" s="120">
        <v>0</v>
      </c>
      <c r="E62" s="120">
        <f>SUM(E56:E61)</f>
        <v>23245</v>
      </c>
      <c r="F62" s="120"/>
      <c r="G62" s="120">
        <f>SUM(G56:G61)</f>
        <v>4536</v>
      </c>
      <c r="H62" s="120"/>
      <c r="I62" s="120"/>
      <c r="J62" s="120"/>
      <c r="K62" s="316">
        <f>SUM(K56:K61)</f>
        <v>0</v>
      </c>
      <c r="L62" s="316">
        <f>SUM(L56:L61)</f>
        <v>15281</v>
      </c>
      <c r="M62" s="316"/>
      <c r="N62" s="316">
        <f>SUM(N56:N61)</f>
        <v>893</v>
      </c>
      <c r="O62" s="316">
        <f>SUM(O56:O61)</f>
        <v>82115</v>
      </c>
      <c r="P62" s="316">
        <f>SUM(P56:P61)</f>
        <v>0</v>
      </c>
      <c r="Q62" s="316">
        <f>SUM(Q56:Q61)</f>
        <v>0</v>
      </c>
      <c r="R62" s="120">
        <f>SUM(R56:R61)</f>
        <v>209929</v>
      </c>
    </row>
    <row r="64" spans="2:18" ht="12.75" hidden="1" customHeight="1" outlineLevel="1" x14ac:dyDescent="0.2">
      <c r="B64" s="130" t="s">
        <v>624</v>
      </c>
      <c r="C64" s="118">
        <v>0</v>
      </c>
      <c r="D64" s="118"/>
      <c r="E64" s="118">
        <v>7315</v>
      </c>
      <c r="F64" s="118"/>
      <c r="G64" s="118">
        <v>0</v>
      </c>
      <c r="H64" s="118"/>
      <c r="I64" s="118"/>
      <c r="J64" s="118"/>
      <c r="K64" s="318">
        <v>0</v>
      </c>
      <c r="L64" s="318">
        <v>0</v>
      </c>
      <c r="M64" s="318"/>
      <c r="N64" s="318">
        <v>0</v>
      </c>
      <c r="O64" s="318">
        <v>0</v>
      </c>
      <c r="P64" s="318">
        <v>0</v>
      </c>
      <c r="Q64" s="318">
        <v>0</v>
      </c>
      <c r="R64" s="118">
        <f>SUM(C64:Q64)</f>
        <v>7315</v>
      </c>
    </row>
    <row r="65" spans="2:18" ht="12.75" hidden="1" customHeight="1" outlineLevel="1" x14ac:dyDescent="0.2">
      <c r="B65" s="130" t="s">
        <v>629</v>
      </c>
      <c r="C65" s="118">
        <v>0</v>
      </c>
      <c r="D65" s="118"/>
      <c r="E65" s="118">
        <f>-E59-E52</f>
        <v>-1642</v>
      </c>
      <c r="F65" s="118"/>
      <c r="G65" s="118">
        <v>0</v>
      </c>
      <c r="H65" s="118"/>
      <c r="I65" s="118"/>
      <c r="J65" s="118"/>
      <c r="K65" s="318">
        <v>0</v>
      </c>
      <c r="L65" s="318">
        <v>0</v>
      </c>
      <c r="M65" s="318"/>
      <c r="N65" s="318">
        <v>0</v>
      </c>
      <c r="O65" s="318">
        <v>0</v>
      </c>
      <c r="P65" s="318">
        <v>0</v>
      </c>
      <c r="Q65" s="318">
        <v>0</v>
      </c>
      <c r="R65" s="118">
        <f>SUM(C65:Q65)</f>
        <v>-1642</v>
      </c>
    </row>
    <row r="66" spans="2:18" ht="12.75" hidden="1" customHeight="1" outlineLevel="1" x14ac:dyDescent="0.2">
      <c r="B66" s="130" t="s">
        <v>314</v>
      </c>
      <c r="C66" s="118">
        <v>0</v>
      </c>
      <c r="D66" s="118"/>
      <c r="E66" s="118">
        <v>0</v>
      </c>
      <c r="F66" s="118"/>
      <c r="G66" s="118">
        <v>-1244</v>
      </c>
      <c r="H66" s="118"/>
      <c r="I66" s="118"/>
      <c r="J66" s="118"/>
      <c r="K66" s="318"/>
      <c r="L66" s="318">
        <v>0</v>
      </c>
      <c r="M66" s="318"/>
      <c r="N66" s="318">
        <v>0</v>
      </c>
      <c r="O66" s="318">
        <v>0</v>
      </c>
      <c r="P66" s="318"/>
      <c r="Q66" s="318">
        <v>0</v>
      </c>
      <c r="R66" s="118">
        <f>SUM(C66:Q66)</f>
        <v>-1244</v>
      </c>
    </row>
    <row r="67" spans="2:18" ht="12.75" hidden="1" customHeight="1" outlineLevel="1" x14ac:dyDescent="0.2">
      <c r="B67" s="130" t="s">
        <v>286</v>
      </c>
      <c r="C67" s="118">
        <v>-457</v>
      </c>
      <c r="D67" s="118"/>
      <c r="E67" s="118">
        <v>-51</v>
      </c>
      <c r="F67" s="118"/>
      <c r="G67" s="118">
        <v>128</v>
      </c>
      <c r="H67" s="118"/>
      <c r="I67" s="118"/>
      <c r="J67" s="118"/>
      <c r="K67" s="318">
        <v>0</v>
      </c>
      <c r="L67" s="318">
        <v>343</v>
      </c>
      <c r="M67" s="318"/>
      <c r="N67" s="318">
        <v>657</v>
      </c>
      <c r="O67" s="318">
        <v>-1448</v>
      </c>
      <c r="P67" s="318">
        <v>0</v>
      </c>
      <c r="Q67" s="318">
        <v>0</v>
      </c>
      <c r="R67" s="118">
        <f>SUM(C67:Q67)</f>
        <v>-828</v>
      </c>
    </row>
    <row r="68" spans="2:18" ht="12.75" hidden="1" customHeight="1" outlineLevel="1" x14ac:dyDescent="0.2">
      <c r="B68" s="130" t="s">
        <v>890</v>
      </c>
      <c r="C68" s="118">
        <v>0</v>
      </c>
      <c r="D68" s="118"/>
      <c r="E68" s="118">
        <v>0</v>
      </c>
      <c r="F68" s="118"/>
      <c r="G68" s="118">
        <v>0</v>
      </c>
      <c r="H68" s="118"/>
      <c r="I68" s="118"/>
      <c r="J68" s="118"/>
      <c r="K68" s="318">
        <v>0</v>
      </c>
      <c r="L68" s="318">
        <v>0</v>
      </c>
      <c r="M68" s="318"/>
      <c r="N68" s="318">
        <v>391</v>
      </c>
      <c r="O68" s="318">
        <v>0</v>
      </c>
      <c r="P68" s="318">
        <v>0</v>
      </c>
      <c r="Q68" s="318">
        <v>0</v>
      </c>
      <c r="R68" s="118">
        <f>SUM(C68:Q68)</f>
        <v>391</v>
      </c>
    </row>
    <row r="69" spans="2:18" collapsed="1" x14ac:dyDescent="0.2">
      <c r="B69" s="127" t="s">
        <v>899</v>
      </c>
      <c r="C69" s="120">
        <v>83402</v>
      </c>
      <c r="D69" s="120">
        <v>0</v>
      </c>
      <c r="E69" s="120">
        <v>28867</v>
      </c>
      <c r="F69" s="120"/>
      <c r="G69" s="120">
        <v>3420</v>
      </c>
      <c r="H69" s="120"/>
      <c r="I69" s="120"/>
      <c r="J69" s="120"/>
      <c r="K69" s="316">
        <v>0</v>
      </c>
      <c r="L69" s="316">
        <v>15624</v>
      </c>
      <c r="M69" s="316"/>
      <c r="N69" s="316">
        <v>1941</v>
      </c>
      <c r="O69" s="316">
        <v>80667</v>
      </c>
      <c r="P69" s="316">
        <v>0</v>
      </c>
      <c r="Q69" s="316">
        <v>0</v>
      </c>
      <c r="R69" s="120">
        <f>SUM(R62:R68)</f>
        <v>213921</v>
      </c>
    </row>
    <row r="71" spans="2:18" ht="12.75" hidden="1" customHeight="1" outlineLevel="1" x14ac:dyDescent="0.2">
      <c r="B71" s="130" t="s">
        <v>624</v>
      </c>
      <c r="C71" s="118">
        <v>0</v>
      </c>
      <c r="D71" s="118"/>
      <c r="E71" s="118">
        <v>4859</v>
      </c>
      <c r="F71" s="118"/>
      <c r="G71" s="118">
        <v>0</v>
      </c>
      <c r="H71" s="118"/>
      <c r="I71" s="118"/>
      <c r="J71" s="118"/>
      <c r="K71" s="318">
        <v>0</v>
      </c>
      <c r="L71" s="318">
        <v>0</v>
      </c>
      <c r="M71" s="318"/>
      <c r="N71" s="318">
        <v>0</v>
      </c>
      <c r="O71" s="318">
        <v>0</v>
      </c>
      <c r="P71" s="318">
        <v>0</v>
      </c>
      <c r="Q71" s="318">
        <v>0</v>
      </c>
      <c r="R71" s="118">
        <f>SUM(C71:Q71)</f>
        <v>4859</v>
      </c>
    </row>
    <row r="72" spans="2:18" ht="12.75" hidden="1" customHeight="1" outlineLevel="1" x14ac:dyDescent="0.2">
      <c r="B72" s="130" t="s">
        <v>286</v>
      </c>
      <c r="C72" s="118">
        <v>54</v>
      </c>
      <c r="D72" s="118"/>
      <c r="E72" s="118">
        <v>33</v>
      </c>
      <c r="F72" s="118"/>
      <c r="G72" s="118">
        <v>113</v>
      </c>
      <c r="H72" s="118"/>
      <c r="I72" s="118"/>
      <c r="J72" s="118"/>
      <c r="K72" s="318">
        <v>0</v>
      </c>
      <c r="L72" s="318">
        <v>-1064</v>
      </c>
      <c r="M72" s="318"/>
      <c r="N72" s="318">
        <v>340</v>
      </c>
      <c r="O72" s="318">
        <v>-7028</v>
      </c>
      <c r="P72" s="318">
        <v>0</v>
      </c>
      <c r="Q72" s="318">
        <v>0</v>
      </c>
      <c r="R72" s="118">
        <f>SUM(C72:Q72)</f>
        <v>-7552</v>
      </c>
    </row>
    <row r="73" spans="2:18" ht="12.75" hidden="1" customHeight="1" outlineLevel="1" x14ac:dyDescent="0.2">
      <c r="B73" s="130" t="s">
        <v>890</v>
      </c>
      <c r="C73" s="118">
        <v>0</v>
      </c>
      <c r="D73" s="118"/>
      <c r="E73" s="118">
        <v>0</v>
      </c>
      <c r="F73" s="118"/>
      <c r="G73" s="118">
        <v>0</v>
      </c>
      <c r="H73" s="118"/>
      <c r="I73" s="118"/>
      <c r="J73" s="118"/>
      <c r="K73" s="318">
        <v>0</v>
      </c>
      <c r="L73" s="318">
        <v>0</v>
      </c>
      <c r="M73" s="318"/>
      <c r="N73" s="318">
        <v>-37</v>
      </c>
      <c r="O73" s="318">
        <v>0</v>
      </c>
      <c r="P73" s="318">
        <v>0</v>
      </c>
      <c r="Q73" s="318">
        <v>0</v>
      </c>
      <c r="R73" s="118">
        <f>SUM(C73:Q73)</f>
        <v>-37</v>
      </c>
    </row>
    <row r="74" spans="2:18" collapsed="1" x14ac:dyDescent="0.2">
      <c r="B74" s="127" t="s">
        <v>909</v>
      </c>
      <c r="C74" s="120">
        <f>SUM(C69:C73)</f>
        <v>83456</v>
      </c>
      <c r="D74" s="120">
        <v>0</v>
      </c>
      <c r="E74" s="120">
        <f>SUM(E69:E73)</f>
        <v>33759</v>
      </c>
      <c r="F74" s="120"/>
      <c r="G74" s="120">
        <f>SUM(G69:G73)</f>
        <v>3533</v>
      </c>
      <c r="H74" s="120"/>
      <c r="I74" s="120"/>
      <c r="J74" s="120"/>
      <c r="K74" s="316">
        <f>SUM(K69:K73)</f>
        <v>0</v>
      </c>
      <c r="L74" s="316">
        <f>SUM(L69:L73)</f>
        <v>14560</v>
      </c>
      <c r="M74" s="316"/>
      <c r="N74" s="316">
        <f>SUM(N69:N73)</f>
        <v>2244</v>
      </c>
      <c r="O74" s="316">
        <f>SUM(O69:O73)</f>
        <v>73639</v>
      </c>
      <c r="P74" s="316">
        <f>SUM(P69:P73)</f>
        <v>0</v>
      </c>
      <c r="Q74" s="316">
        <f>SUM(Q69:Q73)</f>
        <v>0</v>
      </c>
      <c r="R74" s="120">
        <f>SUM(R69:R73)</f>
        <v>211191</v>
      </c>
    </row>
    <row r="76" spans="2:18" ht="12.75" hidden="1" customHeight="1" outlineLevel="1" x14ac:dyDescent="0.2">
      <c r="B76" s="130" t="s">
        <v>624</v>
      </c>
      <c r="C76" s="118">
        <v>0</v>
      </c>
      <c r="D76" s="118"/>
      <c r="E76" s="118">
        <v>4088</v>
      </c>
      <c r="F76" s="118"/>
      <c r="G76" s="118">
        <v>0</v>
      </c>
      <c r="H76" s="118"/>
      <c r="I76" s="118">
        <v>0</v>
      </c>
      <c r="J76" s="118"/>
      <c r="K76" s="318">
        <v>0</v>
      </c>
      <c r="L76" s="318">
        <v>0</v>
      </c>
      <c r="M76" s="318"/>
      <c r="N76" s="318">
        <v>0</v>
      </c>
      <c r="O76" s="318">
        <v>0</v>
      </c>
      <c r="P76" s="318">
        <v>0</v>
      </c>
      <c r="Q76" s="318">
        <v>0</v>
      </c>
      <c r="R76" s="118">
        <f>SUM(C76:Q76)</f>
        <v>4088</v>
      </c>
    </row>
    <row r="77" spans="2:18" ht="12.75" hidden="1" customHeight="1" outlineLevel="1" x14ac:dyDescent="0.2">
      <c r="B77" s="130" t="s">
        <v>286</v>
      </c>
      <c r="C77" s="118">
        <v>3268</v>
      </c>
      <c r="D77" s="118"/>
      <c r="E77" s="118">
        <v>-4</v>
      </c>
      <c r="F77" s="118"/>
      <c r="G77" s="118">
        <v>-58</v>
      </c>
      <c r="H77" s="118"/>
      <c r="I77" s="118">
        <v>238</v>
      </c>
      <c r="J77" s="118"/>
      <c r="K77" s="318">
        <v>0</v>
      </c>
      <c r="L77" s="318">
        <v>133</v>
      </c>
      <c r="M77" s="318"/>
      <c r="N77" s="318">
        <v>-739</v>
      </c>
      <c r="O77" s="318">
        <v>-2904</v>
      </c>
      <c r="P77" s="318">
        <v>0</v>
      </c>
      <c r="Q77" s="318">
        <v>0</v>
      </c>
      <c r="R77" s="118">
        <f>SUM(C77:Q77)</f>
        <v>-66</v>
      </c>
    </row>
    <row r="78" spans="2:18" ht="12.75" hidden="1" customHeight="1" outlineLevel="1" x14ac:dyDescent="0.2">
      <c r="B78" s="130" t="s">
        <v>890</v>
      </c>
      <c r="C78" s="118">
        <v>0</v>
      </c>
      <c r="D78" s="118"/>
      <c r="E78" s="118">
        <v>0</v>
      </c>
      <c r="F78" s="118"/>
      <c r="G78" s="118">
        <v>0</v>
      </c>
      <c r="H78" s="118"/>
      <c r="I78" s="118">
        <v>0</v>
      </c>
      <c r="J78" s="118"/>
      <c r="K78" s="318">
        <v>0</v>
      </c>
      <c r="L78" s="318">
        <v>0</v>
      </c>
      <c r="M78" s="318"/>
      <c r="N78" s="318">
        <v>-678</v>
      </c>
      <c r="O78" s="318">
        <v>0</v>
      </c>
      <c r="P78" s="318">
        <v>0</v>
      </c>
      <c r="Q78" s="318">
        <v>0</v>
      </c>
      <c r="R78" s="118">
        <f>SUM(C78:Q78)</f>
        <v>-678</v>
      </c>
    </row>
    <row r="79" spans="2:18" ht="12.75" hidden="1" customHeight="1" outlineLevel="1" x14ac:dyDescent="0.2">
      <c r="B79" s="130" t="s">
        <v>224</v>
      </c>
      <c r="C79" s="118">
        <v>0</v>
      </c>
      <c r="D79" s="118"/>
      <c r="E79" s="118">
        <v>0</v>
      </c>
      <c r="F79" s="118"/>
      <c r="G79" s="118">
        <v>0</v>
      </c>
      <c r="H79" s="118"/>
      <c r="I79" s="118">
        <v>30398</v>
      </c>
      <c r="J79" s="118"/>
      <c r="K79" s="318">
        <v>0</v>
      </c>
      <c r="L79" s="318">
        <v>0</v>
      </c>
      <c r="M79" s="318"/>
      <c r="N79" s="318">
        <v>0</v>
      </c>
      <c r="O79" s="318">
        <v>0</v>
      </c>
      <c r="P79" s="318">
        <v>0</v>
      </c>
      <c r="Q79" s="318">
        <v>0</v>
      </c>
      <c r="R79" s="118">
        <f>SUM(C79:Q79)</f>
        <v>30398</v>
      </c>
    </row>
    <row r="80" spans="2:18" collapsed="1" x14ac:dyDescent="0.2">
      <c r="B80" s="127" t="s">
        <v>900</v>
      </c>
      <c r="C80" s="120">
        <f>SUM(C74:C79)</f>
        <v>86724</v>
      </c>
      <c r="D80" s="120">
        <v>0</v>
      </c>
      <c r="E80" s="120">
        <f>SUM(E74:E79)</f>
        <v>37843</v>
      </c>
      <c r="F80" s="120"/>
      <c r="G80" s="120">
        <f>SUM(G74:G79)</f>
        <v>3475</v>
      </c>
      <c r="H80" s="120"/>
      <c r="I80" s="120">
        <f t="shared" ref="I80:R80" si="7">SUM(I74:I79)</f>
        <v>30636</v>
      </c>
      <c r="J80" s="120"/>
      <c r="K80" s="316">
        <f t="shared" si="7"/>
        <v>0</v>
      </c>
      <c r="L80" s="316">
        <f>SUM(L74:L79)</f>
        <v>14693</v>
      </c>
      <c r="M80" s="316"/>
      <c r="N80" s="316">
        <f t="shared" si="7"/>
        <v>827</v>
      </c>
      <c r="O80" s="316">
        <f t="shared" si="7"/>
        <v>70735</v>
      </c>
      <c r="P80" s="316">
        <f t="shared" si="7"/>
        <v>0</v>
      </c>
      <c r="Q80" s="316">
        <f t="shared" si="7"/>
        <v>0</v>
      </c>
      <c r="R80" s="120">
        <f t="shared" si="7"/>
        <v>244933</v>
      </c>
    </row>
    <row r="82" spans="2:18" ht="12.75" hidden="1" customHeight="1" outlineLevel="1" x14ac:dyDescent="0.2">
      <c r="B82" s="130" t="s">
        <v>624</v>
      </c>
      <c r="C82" s="118">
        <v>0</v>
      </c>
      <c r="D82" s="118"/>
      <c r="E82" s="118">
        <v>18617</v>
      </c>
      <c r="F82" s="118"/>
      <c r="G82" s="118">
        <v>0</v>
      </c>
      <c r="H82" s="118"/>
      <c r="I82" s="118">
        <v>0</v>
      </c>
      <c r="J82" s="118"/>
      <c r="K82" s="318">
        <v>0</v>
      </c>
      <c r="L82" s="318">
        <v>0</v>
      </c>
      <c r="M82" s="318"/>
      <c r="N82" s="318">
        <v>0</v>
      </c>
      <c r="O82" s="318">
        <v>0</v>
      </c>
      <c r="P82" s="318">
        <v>0</v>
      </c>
      <c r="Q82" s="318">
        <v>0</v>
      </c>
      <c r="R82" s="118">
        <f>SUM(C82:Q82)</f>
        <v>18617</v>
      </c>
    </row>
    <row r="83" spans="2:18" ht="12.75" hidden="1" customHeight="1" outlineLevel="1" x14ac:dyDescent="0.2">
      <c r="B83" s="130" t="s">
        <v>286</v>
      </c>
      <c r="C83" s="118">
        <v>2242</v>
      </c>
      <c r="D83" s="118"/>
      <c r="E83" s="118">
        <v>338</v>
      </c>
      <c r="F83" s="118"/>
      <c r="G83" s="118">
        <v>-288</v>
      </c>
      <c r="H83" s="118"/>
      <c r="I83" s="118">
        <v>-9</v>
      </c>
      <c r="J83" s="118"/>
      <c r="K83" s="318">
        <v>0</v>
      </c>
      <c r="L83" s="318">
        <v>-268</v>
      </c>
      <c r="M83" s="318"/>
      <c r="N83" s="318">
        <v>-620</v>
      </c>
      <c r="O83" s="318">
        <v>-2787</v>
      </c>
      <c r="P83" s="318">
        <v>0</v>
      </c>
      <c r="Q83" s="318">
        <v>0</v>
      </c>
      <c r="R83" s="118">
        <f>SUM(C83:Q83)</f>
        <v>-1392</v>
      </c>
    </row>
    <row r="84" spans="2:18" ht="12.75" hidden="1" customHeight="1" outlineLevel="1" x14ac:dyDescent="0.2">
      <c r="B84" s="130" t="s">
        <v>890</v>
      </c>
      <c r="C84" s="118">
        <v>0</v>
      </c>
      <c r="D84" s="118"/>
      <c r="E84" s="118">
        <v>0</v>
      </c>
      <c r="F84" s="118"/>
      <c r="G84" s="118">
        <v>0</v>
      </c>
      <c r="H84" s="118"/>
      <c r="I84" s="118">
        <v>0</v>
      </c>
      <c r="J84" s="118"/>
      <c r="K84" s="318">
        <v>0</v>
      </c>
      <c r="L84" s="318">
        <v>0</v>
      </c>
      <c r="M84" s="318"/>
      <c r="N84" s="318">
        <v>4</v>
      </c>
      <c r="O84" s="318">
        <v>0</v>
      </c>
      <c r="P84" s="318">
        <v>0</v>
      </c>
      <c r="Q84" s="318">
        <v>0</v>
      </c>
      <c r="R84" s="118">
        <f>SUM(C84:Q84)</f>
        <v>4</v>
      </c>
    </row>
    <row r="85" spans="2:18" ht="12.75" hidden="1" customHeight="1" outlineLevel="1" x14ac:dyDescent="0.2">
      <c r="B85" s="130" t="s">
        <v>224</v>
      </c>
      <c r="C85" s="118">
        <v>0</v>
      </c>
      <c r="D85" s="118"/>
      <c r="E85" s="118">
        <v>0</v>
      </c>
      <c r="F85" s="118"/>
      <c r="G85" s="118">
        <v>0</v>
      </c>
      <c r="H85" s="118"/>
      <c r="I85" s="118">
        <v>0</v>
      </c>
      <c r="J85" s="118"/>
      <c r="K85" s="318">
        <v>0</v>
      </c>
      <c r="L85" s="318">
        <v>-315</v>
      </c>
      <c r="M85" s="318"/>
      <c r="N85" s="318">
        <v>0</v>
      </c>
      <c r="O85" s="318">
        <v>-22</v>
      </c>
      <c r="P85" s="318">
        <v>0</v>
      </c>
      <c r="Q85" s="318">
        <v>0</v>
      </c>
      <c r="R85" s="118">
        <f>SUM(C85:Q85)</f>
        <v>-337</v>
      </c>
    </row>
    <row r="86" spans="2:18" collapsed="1" x14ac:dyDescent="0.2">
      <c r="B86" s="127" t="s">
        <v>901</v>
      </c>
      <c r="C86" s="120">
        <f>SUM(C80:C85)</f>
        <v>88966</v>
      </c>
      <c r="D86" s="120">
        <v>0</v>
      </c>
      <c r="E86" s="120">
        <f>SUM(E80:E85)</f>
        <v>56798</v>
      </c>
      <c r="F86" s="120"/>
      <c r="G86" s="120">
        <f>SUM(G80:G85)</f>
        <v>3187</v>
      </c>
      <c r="H86" s="120"/>
      <c r="I86" s="120">
        <f>SUM(I80:I84)</f>
        <v>30627</v>
      </c>
      <c r="J86" s="120"/>
      <c r="K86" s="316">
        <f>SUM(K80:K85)</f>
        <v>0</v>
      </c>
      <c r="L86" s="316">
        <f>SUM(L80:L85)</f>
        <v>14110</v>
      </c>
      <c r="M86" s="316"/>
      <c r="N86" s="316">
        <f>SUM(N80:N85)</f>
        <v>211</v>
      </c>
      <c r="O86" s="316">
        <f>SUM(O80:O85)</f>
        <v>67926</v>
      </c>
      <c r="P86" s="316">
        <f>SUM(P80:P85)</f>
        <v>0</v>
      </c>
      <c r="Q86" s="316">
        <f>SUM(Q80:Q85)</f>
        <v>0</v>
      </c>
      <c r="R86" s="120">
        <f>SUM(R80:R85)</f>
        <v>261825</v>
      </c>
    </row>
    <row r="88" spans="2:18" ht="12.75" hidden="1" customHeight="1" outlineLevel="1" x14ac:dyDescent="0.2">
      <c r="B88" s="130" t="s">
        <v>624</v>
      </c>
      <c r="C88" s="118">
        <v>0</v>
      </c>
      <c r="D88" s="118"/>
      <c r="E88" s="118">
        <v>6000</v>
      </c>
      <c r="F88" s="118"/>
      <c r="G88" s="118">
        <v>0</v>
      </c>
      <c r="H88" s="118"/>
      <c r="I88" s="118">
        <v>0</v>
      </c>
      <c r="J88" s="118"/>
      <c r="K88" s="318">
        <v>0</v>
      </c>
      <c r="L88" s="318">
        <v>0</v>
      </c>
      <c r="M88" s="318"/>
      <c r="N88" s="318">
        <v>0</v>
      </c>
      <c r="O88" s="318">
        <v>0</v>
      </c>
      <c r="P88" s="318">
        <v>0</v>
      </c>
      <c r="Q88" s="318">
        <v>0</v>
      </c>
      <c r="R88" s="118">
        <f>SUM(C88:Q88)</f>
        <v>6000</v>
      </c>
    </row>
    <row r="89" spans="2:18" ht="12.75" hidden="1" customHeight="1" outlineLevel="1" x14ac:dyDescent="0.2">
      <c r="B89" s="130" t="s">
        <v>286</v>
      </c>
      <c r="C89" s="118">
        <v>1809</v>
      </c>
      <c r="D89" s="118"/>
      <c r="E89" s="118">
        <v>171</v>
      </c>
      <c r="F89" s="118"/>
      <c r="G89" s="118">
        <v>-19</v>
      </c>
      <c r="H89" s="118"/>
      <c r="I89" s="118">
        <v>142</v>
      </c>
      <c r="J89" s="118"/>
      <c r="K89" s="318">
        <v>0</v>
      </c>
      <c r="L89" s="318">
        <v>-147</v>
      </c>
      <c r="M89" s="318"/>
      <c r="N89" s="318"/>
      <c r="O89" s="318">
        <v>-1692</v>
      </c>
      <c r="P89" s="318">
        <v>0</v>
      </c>
      <c r="Q89" s="318">
        <v>0</v>
      </c>
      <c r="R89" s="118">
        <f>SUM(C89:Q89)</f>
        <v>264</v>
      </c>
    </row>
    <row r="90" spans="2:18" collapsed="1" x14ac:dyDescent="0.2">
      <c r="B90" s="127" t="s">
        <v>902</v>
      </c>
      <c r="C90" s="120">
        <f>SUM(C86:C89)</f>
        <v>90775</v>
      </c>
      <c r="D90" s="120">
        <v>0</v>
      </c>
      <c r="E90" s="120">
        <f>SUM(E86:E89)</f>
        <v>62969</v>
      </c>
      <c r="F90" s="120"/>
      <c r="G90" s="120">
        <f>SUM(G86:G89)</f>
        <v>3168</v>
      </c>
      <c r="H90" s="120"/>
      <c r="I90" s="120">
        <f t="shared" ref="I90:R90" si="8">SUM(I86:I89)</f>
        <v>30769</v>
      </c>
      <c r="J90" s="120"/>
      <c r="K90" s="316">
        <f t="shared" si="8"/>
        <v>0</v>
      </c>
      <c r="L90" s="316">
        <f>SUM(L86:L89)</f>
        <v>13963</v>
      </c>
      <c r="M90" s="316"/>
      <c r="N90" s="316">
        <f t="shared" si="8"/>
        <v>211</v>
      </c>
      <c r="O90" s="316">
        <f t="shared" si="8"/>
        <v>66234</v>
      </c>
      <c r="P90" s="316">
        <f t="shared" si="8"/>
        <v>0</v>
      </c>
      <c r="Q90" s="316">
        <f t="shared" si="8"/>
        <v>0</v>
      </c>
      <c r="R90" s="120">
        <f t="shared" si="8"/>
        <v>268089</v>
      </c>
    </row>
    <row r="91" spans="2:18" x14ac:dyDescent="0.2">
      <c r="D91" s="155"/>
    </row>
    <row r="92" spans="2:18" ht="12.75" hidden="1" customHeight="1" outlineLevel="1" x14ac:dyDescent="0.2">
      <c r="B92" s="130" t="s">
        <v>624</v>
      </c>
      <c r="C92" s="118">
        <v>0</v>
      </c>
      <c r="D92" s="118"/>
      <c r="E92" s="118">
        <v>0</v>
      </c>
      <c r="F92" s="118"/>
      <c r="G92" s="118">
        <v>0</v>
      </c>
      <c r="H92" s="118"/>
      <c r="I92" s="118">
        <v>0</v>
      </c>
      <c r="J92" s="118"/>
      <c r="K92" s="318">
        <v>0</v>
      </c>
      <c r="L92" s="318">
        <v>0</v>
      </c>
      <c r="M92" s="318"/>
      <c r="N92" s="318">
        <v>0</v>
      </c>
      <c r="O92" s="318">
        <v>0</v>
      </c>
      <c r="P92" s="318">
        <v>0</v>
      </c>
      <c r="Q92" s="318">
        <v>0</v>
      </c>
      <c r="R92" s="118">
        <f>SUM(C92:Q92)</f>
        <v>0</v>
      </c>
    </row>
    <row r="93" spans="2:18" ht="12.75" hidden="1" customHeight="1" outlineLevel="1" x14ac:dyDescent="0.2">
      <c r="B93" s="130" t="s">
        <v>636</v>
      </c>
      <c r="C93" s="118">
        <v>0</v>
      </c>
      <c r="D93" s="118"/>
      <c r="E93" s="118">
        <v>0</v>
      </c>
      <c r="F93" s="118"/>
      <c r="G93" s="118">
        <v>0</v>
      </c>
      <c r="H93" s="118"/>
      <c r="I93" s="118">
        <v>0</v>
      </c>
      <c r="J93" s="118"/>
      <c r="K93" s="318">
        <v>0</v>
      </c>
      <c r="L93" s="318">
        <v>0</v>
      </c>
      <c r="M93" s="318"/>
      <c r="N93" s="318">
        <v>196</v>
      </c>
      <c r="O93" s="318">
        <v>0</v>
      </c>
      <c r="P93" s="318">
        <v>0</v>
      </c>
      <c r="Q93" s="318">
        <v>0</v>
      </c>
      <c r="R93" s="118">
        <f>SUM(C93:Q93)</f>
        <v>196</v>
      </c>
    </row>
    <row r="94" spans="2:18" ht="12.75" hidden="1" customHeight="1" outlineLevel="1" x14ac:dyDescent="0.2">
      <c r="B94" s="130" t="s">
        <v>286</v>
      </c>
      <c r="C94" s="118">
        <v>2589</v>
      </c>
      <c r="D94" s="118"/>
      <c r="E94" s="118">
        <v>-1022</v>
      </c>
      <c r="F94" s="118"/>
      <c r="G94" s="118">
        <v>-169</v>
      </c>
      <c r="H94" s="118"/>
      <c r="I94" s="118">
        <v>-633</v>
      </c>
      <c r="J94" s="118"/>
      <c r="K94" s="318">
        <v>0</v>
      </c>
      <c r="L94" s="318">
        <v>62</v>
      </c>
      <c r="M94" s="318"/>
      <c r="N94" s="318">
        <v>-297</v>
      </c>
      <c r="O94" s="318">
        <v>-2274</v>
      </c>
      <c r="P94" s="318">
        <v>0</v>
      </c>
      <c r="Q94" s="318">
        <v>0</v>
      </c>
      <c r="R94" s="118">
        <f>SUM(C94:Q94)</f>
        <v>-1744</v>
      </c>
    </row>
    <row r="95" spans="2:18" ht="12.75" hidden="1" customHeight="1" outlineLevel="1" x14ac:dyDescent="0.2">
      <c r="B95" s="130" t="s">
        <v>890</v>
      </c>
      <c r="C95" s="118">
        <v>0</v>
      </c>
      <c r="D95" s="118"/>
      <c r="E95" s="118">
        <v>0</v>
      </c>
      <c r="F95" s="118"/>
      <c r="G95" s="118">
        <v>0</v>
      </c>
      <c r="H95" s="118"/>
      <c r="I95" s="118">
        <v>0</v>
      </c>
      <c r="J95" s="118"/>
      <c r="K95" s="318">
        <v>0</v>
      </c>
      <c r="L95" s="318">
        <v>0</v>
      </c>
      <c r="M95" s="318"/>
      <c r="N95" s="318">
        <v>-110</v>
      </c>
      <c r="O95" s="318">
        <v>0</v>
      </c>
      <c r="P95" s="318">
        <v>0</v>
      </c>
      <c r="Q95" s="318">
        <v>0</v>
      </c>
      <c r="R95" s="118">
        <f>SUM(C95:Q95)</f>
        <v>-110</v>
      </c>
    </row>
    <row r="96" spans="2:18" ht="12.75" hidden="1" customHeight="1" outlineLevel="1" x14ac:dyDescent="0.2">
      <c r="B96" s="130" t="s">
        <v>224</v>
      </c>
      <c r="C96" s="118">
        <v>0</v>
      </c>
      <c r="D96" s="118"/>
      <c r="E96" s="118">
        <v>0</v>
      </c>
      <c r="F96" s="118"/>
      <c r="G96" s="118">
        <v>0</v>
      </c>
      <c r="H96" s="118"/>
      <c r="I96" s="118">
        <v>0</v>
      </c>
      <c r="J96" s="118"/>
      <c r="K96" s="318">
        <v>0</v>
      </c>
      <c r="L96" s="318">
        <v>0</v>
      </c>
      <c r="M96" s="318"/>
      <c r="N96" s="318">
        <v>0</v>
      </c>
      <c r="O96" s="318">
        <v>-1</v>
      </c>
      <c r="P96" s="318">
        <v>0</v>
      </c>
      <c r="Q96" s="318">
        <v>0</v>
      </c>
      <c r="R96" s="118">
        <f>SUM(C96:Q96)</f>
        <v>-1</v>
      </c>
    </row>
    <row r="97" spans="1:18" collapsed="1" x14ac:dyDescent="0.2">
      <c r="B97" s="127" t="s">
        <v>903</v>
      </c>
      <c r="C97" s="120">
        <f>SUM(C90:C96)</f>
        <v>93364</v>
      </c>
      <c r="D97" s="120">
        <v>0</v>
      </c>
      <c r="E97" s="120">
        <f>SUM(E90:E96)</f>
        <v>61947</v>
      </c>
      <c r="F97" s="120"/>
      <c r="G97" s="120">
        <f>SUM(G90:G96)</f>
        <v>2999</v>
      </c>
      <c r="H97" s="120"/>
      <c r="I97" s="120">
        <f t="shared" ref="I97:R97" si="9">SUM(I90:I96)</f>
        <v>30136</v>
      </c>
      <c r="J97" s="120"/>
      <c r="K97" s="316">
        <f t="shared" si="9"/>
        <v>0</v>
      </c>
      <c r="L97" s="316">
        <f>SUM(L90:L96)</f>
        <v>14025</v>
      </c>
      <c r="M97" s="316"/>
      <c r="N97" s="316">
        <f t="shared" si="9"/>
        <v>0</v>
      </c>
      <c r="O97" s="316">
        <f t="shared" si="9"/>
        <v>63959</v>
      </c>
      <c r="P97" s="316">
        <f t="shared" si="9"/>
        <v>0</v>
      </c>
      <c r="Q97" s="316">
        <f t="shared" si="9"/>
        <v>0</v>
      </c>
      <c r="R97" s="120">
        <f t="shared" si="9"/>
        <v>266430</v>
      </c>
    </row>
    <row r="99" spans="1:18" ht="12.75" hidden="1" customHeight="1" outlineLevel="1" x14ac:dyDescent="0.2">
      <c r="B99" s="130" t="s">
        <v>624</v>
      </c>
      <c r="C99" s="118">
        <v>0</v>
      </c>
      <c r="D99" s="118"/>
      <c r="E99" s="118">
        <v>500</v>
      </c>
      <c r="F99" s="118"/>
      <c r="G99" s="118">
        <v>0</v>
      </c>
      <c r="H99" s="118"/>
      <c r="I99" s="118">
        <v>0</v>
      </c>
      <c r="J99" s="118"/>
      <c r="K99" s="318">
        <v>0</v>
      </c>
      <c r="L99" s="318">
        <v>0</v>
      </c>
      <c r="M99" s="318"/>
      <c r="N99" s="318">
        <v>0</v>
      </c>
      <c r="O99" s="318">
        <v>0</v>
      </c>
      <c r="P99" s="318">
        <v>0</v>
      </c>
      <c r="Q99" s="318">
        <v>0</v>
      </c>
      <c r="R99" s="118">
        <f>SUM(C99:Q99)</f>
        <v>500</v>
      </c>
    </row>
    <row r="100" spans="1:18" ht="12.75" hidden="1" customHeight="1" outlineLevel="1" x14ac:dyDescent="0.2">
      <c r="B100" s="130" t="s">
        <v>636</v>
      </c>
      <c r="C100" s="118">
        <v>0</v>
      </c>
      <c r="D100" s="118"/>
      <c r="E100" s="118">
        <v>0</v>
      </c>
      <c r="F100" s="118"/>
      <c r="G100" s="118">
        <v>0</v>
      </c>
      <c r="H100" s="118"/>
      <c r="I100" s="118">
        <v>308</v>
      </c>
      <c r="J100" s="118"/>
      <c r="K100" s="318">
        <v>0</v>
      </c>
      <c r="L100" s="318">
        <v>0</v>
      </c>
      <c r="M100" s="318"/>
      <c r="N100" s="318">
        <v>0</v>
      </c>
      <c r="O100" s="318">
        <v>0</v>
      </c>
      <c r="P100" s="318">
        <v>0</v>
      </c>
      <c r="Q100" s="318">
        <v>0</v>
      </c>
      <c r="R100" s="118">
        <f>SUM(C100:Q100)</f>
        <v>308</v>
      </c>
    </row>
    <row r="101" spans="1:18" ht="12.75" hidden="1" customHeight="1" outlineLevel="1" x14ac:dyDescent="0.2">
      <c r="B101" s="130" t="s">
        <v>286</v>
      </c>
      <c r="C101" s="118">
        <v>3504</v>
      </c>
      <c r="D101" s="118"/>
      <c r="E101" s="118">
        <v>145</v>
      </c>
      <c r="F101" s="118"/>
      <c r="G101" s="118">
        <v>215</v>
      </c>
      <c r="H101" s="118"/>
      <c r="I101" s="118">
        <v>-307</v>
      </c>
      <c r="J101" s="118"/>
      <c r="K101" s="318">
        <v>0</v>
      </c>
      <c r="L101" s="318">
        <v>0</v>
      </c>
      <c r="M101" s="318"/>
      <c r="N101" s="318">
        <v>-58</v>
      </c>
      <c r="O101" s="318">
        <v>-2601</v>
      </c>
      <c r="P101" s="318">
        <v>0</v>
      </c>
      <c r="Q101" s="318">
        <v>0</v>
      </c>
      <c r="R101" s="118">
        <f>SUM(C101:Q101)</f>
        <v>898</v>
      </c>
    </row>
    <row r="102" spans="1:18" ht="12.75" hidden="1" customHeight="1" outlineLevel="1" x14ac:dyDescent="0.2">
      <c r="B102" s="130" t="s">
        <v>890</v>
      </c>
      <c r="C102" s="118">
        <v>0</v>
      </c>
      <c r="D102" s="118"/>
      <c r="E102" s="118">
        <v>0</v>
      </c>
      <c r="F102" s="118"/>
      <c r="G102" s="118">
        <v>0</v>
      </c>
      <c r="H102" s="118"/>
      <c r="I102" s="118">
        <v>-1</v>
      </c>
      <c r="J102" s="118"/>
      <c r="K102" s="318">
        <v>0</v>
      </c>
      <c r="L102" s="318">
        <v>0</v>
      </c>
      <c r="M102" s="318"/>
      <c r="N102" s="318">
        <v>0</v>
      </c>
      <c r="O102" s="318">
        <v>0</v>
      </c>
      <c r="P102" s="318">
        <v>0</v>
      </c>
      <c r="Q102" s="318">
        <v>0</v>
      </c>
      <c r="R102" s="118">
        <f>SUM(C102:Q102)</f>
        <v>-1</v>
      </c>
    </row>
    <row r="103" spans="1:18" collapsed="1" x14ac:dyDescent="0.2">
      <c r="B103" s="127" t="s">
        <v>904</v>
      </c>
      <c r="C103" s="120">
        <f>SUM(C97:C102)</f>
        <v>96868</v>
      </c>
      <c r="D103" s="120">
        <v>0</v>
      </c>
      <c r="E103" s="120">
        <f>SUM(E97:E102)</f>
        <v>62592</v>
      </c>
      <c r="F103" s="120"/>
      <c r="G103" s="120">
        <f>SUM(G97:G102)</f>
        <v>3214</v>
      </c>
      <c r="H103" s="120"/>
      <c r="I103" s="120">
        <f>SUM(I97:I102)</f>
        <v>30136</v>
      </c>
      <c r="J103" s="120"/>
      <c r="K103" s="316">
        <f>SUM(K97:K102)</f>
        <v>0</v>
      </c>
      <c r="L103" s="316">
        <f>SUM(L97:L102)</f>
        <v>14025</v>
      </c>
      <c r="M103" s="316"/>
      <c r="N103" s="316">
        <f>SUM(N97:N102)</f>
        <v>-58</v>
      </c>
      <c r="O103" s="316">
        <f>SUM(O97:O102)</f>
        <v>61358</v>
      </c>
      <c r="P103" s="316">
        <f>SUM(P97:P102)</f>
        <v>0</v>
      </c>
      <c r="Q103" s="316">
        <f>SUM(Q97:Q102)</f>
        <v>0</v>
      </c>
      <c r="R103" s="120">
        <f>SUM(R97:R102)</f>
        <v>268135</v>
      </c>
    </row>
    <row r="104" spans="1:18" s="607" customFormat="1" x14ac:dyDescent="0.2">
      <c r="A104"/>
      <c r="B104" s="608"/>
      <c r="C104" s="609"/>
      <c r="D104" s="609"/>
      <c r="E104" s="609"/>
      <c r="F104" s="609"/>
      <c r="G104" s="609"/>
      <c r="H104" s="609"/>
      <c r="I104" s="609"/>
      <c r="J104" s="609"/>
      <c r="K104" s="610"/>
      <c r="L104" s="610"/>
      <c r="M104" s="610"/>
      <c r="N104" s="610"/>
      <c r="O104" s="610"/>
      <c r="P104" s="610"/>
      <c r="Q104" s="610"/>
      <c r="R104" s="609"/>
    </row>
    <row r="105" spans="1:18" ht="12.75" hidden="1" customHeight="1" outlineLevel="1" x14ac:dyDescent="0.2">
      <c r="B105" s="130" t="s">
        <v>624</v>
      </c>
      <c r="C105" s="118">
        <v>0</v>
      </c>
      <c r="D105" s="118">
        <v>0</v>
      </c>
      <c r="E105" s="118">
        <v>0</v>
      </c>
      <c r="F105" s="118">
        <v>0</v>
      </c>
      <c r="G105" s="118">
        <v>0</v>
      </c>
      <c r="H105" s="118">
        <v>0</v>
      </c>
      <c r="I105" s="118">
        <v>0</v>
      </c>
      <c r="J105" s="118"/>
      <c r="K105" s="118">
        <v>0</v>
      </c>
      <c r="L105" s="118">
        <v>0</v>
      </c>
      <c r="M105" s="118"/>
      <c r="N105" s="118">
        <v>0</v>
      </c>
      <c r="O105" s="318">
        <v>0</v>
      </c>
      <c r="P105" s="318">
        <v>0</v>
      </c>
      <c r="Q105" s="318">
        <v>0</v>
      </c>
      <c r="R105" s="118">
        <f>SUM(C105:Q105)</f>
        <v>0</v>
      </c>
    </row>
    <row r="106" spans="1:18" ht="12.75" hidden="1" customHeight="1" outlineLevel="1" x14ac:dyDescent="0.2">
      <c r="B106" s="130" t="s">
        <v>636</v>
      </c>
      <c r="C106" s="118">
        <v>0</v>
      </c>
      <c r="D106" s="118">
        <v>0</v>
      </c>
      <c r="E106" s="118">
        <v>0</v>
      </c>
      <c r="F106" s="118">
        <v>0</v>
      </c>
      <c r="G106" s="118">
        <v>0</v>
      </c>
      <c r="H106" s="118">
        <v>0</v>
      </c>
      <c r="I106" s="118">
        <v>-308</v>
      </c>
      <c r="J106" s="118"/>
      <c r="K106" s="118">
        <v>0</v>
      </c>
      <c r="L106" s="118">
        <v>0</v>
      </c>
      <c r="M106" s="118"/>
      <c r="N106" s="118">
        <v>-424</v>
      </c>
      <c r="O106" s="318">
        <v>0</v>
      </c>
      <c r="P106" s="318">
        <v>0</v>
      </c>
      <c r="Q106" s="318">
        <v>0</v>
      </c>
      <c r="R106" s="118">
        <f>SUM(C106:Q106)</f>
        <v>-732</v>
      </c>
    </row>
    <row r="107" spans="1:18" ht="12.75" hidden="1" customHeight="1" outlineLevel="1" x14ac:dyDescent="0.2">
      <c r="B107" s="130" t="s">
        <v>286</v>
      </c>
      <c r="C107" s="118">
        <v>595</v>
      </c>
      <c r="D107" s="118">
        <v>0</v>
      </c>
      <c r="E107" s="118">
        <v>623</v>
      </c>
      <c r="F107" s="118">
        <v>0</v>
      </c>
      <c r="G107" s="118">
        <v>-1139</v>
      </c>
      <c r="H107" s="118">
        <v>0</v>
      </c>
      <c r="I107" s="118">
        <v>223</v>
      </c>
      <c r="J107" s="118"/>
      <c r="K107" s="118">
        <v>0</v>
      </c>
      <c r="L107" s="118">
        <v>283</v>
      </c>
      <c r="M107" s="118"/>
      <c r="N107" s="118">
        <v>279</v>
      </c>
      <c r="O107" s="318">
        <v>7372</v>
      </c>
      <c r="P107" s="318">
        <v>0</v>
      </c>
      <c r="Q107" s="318">
        <v>0</v>
      </c>
      <c r="R107" s="118">
        <f>SUM(C107:Q107)</f>
        <v>8236</v>
      </c>
    </row>
    <row r="108" spans="1:18" ht="12.75" hidden="1" customHeight="1" outlineLevel="1" x14ac:dyDescent="0.2">
      <c r="B108" s="130" t="s">
        <v>890</v>
      </c>
      <c r="C108" s="118">
        <v>0</v>
      </c>
      <c r="D108" s="118">
        <v>0</v>
      </c>
      <c r="E108" s="118">
        <v>0</v>
      </c>
      <c r="F108" s="118">
        <v>0</v>
      </c>
      <c r="G108" s="118">
        <v>0</v>
      </c>
      <c r="H108" s="118">
        <v>0</v>
      </c>
      <c r="I108" s="118">
        <v>1</v>
      </c>
      <c r="J108" s="118"/>
      <c r="K108" s="118">
        <v>0</v>
      </c>
      <c r="L108" s="118">
        <v>0</v>
      </c>
      <c r="M108" s="118"/>
      <c r="N108" s="118">
        <v>203</v>
      </c>
      <c r="O108" s="318">
        <v>0</v>
      </c>
      <c r="P108" s="318">
        <v>0</v>
      </c>
      <c r="Q108" s="318">
        <v>0</v>
      </c>
      <c r="R108" s="118">
        <f>SUM(C108:Q108)</f>
        <v>204</v>
      </c>
    </row>
    <row r="109" spans="1:18" ht="12.75" hidden="1" customHeight="1" outlineLevel="1" x14ac:dyDescent="0.2">
      <c r="B109" s="130" t="s">
        <v>224</v>
      </c>
      <c r="C109" s="118">
        <v>0</v>
      </c>
      <c r="D109" s="118">
        <v>0</v>
      </c>
      <c r="E109" s="118">
        <v>0</v>
      </c>
      <c r="F109" s="118">
        <v>0</v>
      </c>
      <c r="G109" s="118">
        <v>-735</v>
      </c>
      <c r="H109" s="118">
        <v>0</v>
      </c>
      <c r="I109" s="118">
        <v>0</v>
      </c>
      <c r="J109" s="118"/>
      <c r="K109" s="118" t="s">
        <v>47</v>
      </c>
      <c r="L109" s="118">
        <v>0</v>
      </c>
      <c r="M109" s="118"/>
      <c r="N109" s="118">
        <v>0</v>
      </c>
      <c r="O109" s="118">
        <v>0</v>
      </c>
      <c r="P109" s="118" t="s">
        <v>47</v>
      </c>
      <c r="Q109" s="118" t="s">
        <v>47</v>
      </c>
      <c r="R109" s="118">
        <f>SUM(C109:Q109)</f>
        <v>-735</v>
      </c>
    </row>
    <row r="110" spans="1:18" collapsed="1" x14ac:dyDescent="0.2">
      <c r="A110" s="154"/>
      <c r="B110" s="127" t="s">
        <v>905</v>
      </c>
      <c r="C110" s="120">
        <f>SUM(C103:C109)</f>
        <v>97463</v>
      </c>
      <c r="D110" s="120">
        <v>0</v>
      </c>
      <c r="E110" s="120">
        <f>SUM(E103:E109)</f>
        <v>63215</v>
      </c>
      <c r="F110" s="120">
        <v>0</v>
      </c>
      <c r="G110" s="120">
        <f>SUM(G103:G109)</f>
        <v>1340</v>
      </c>
      <c r="H110" s="120">
        <v>0</v>
      </c>
      <c r="I110" s="120">
        <f>SUM(I103:I109)</f>
        <v>30052</v>
      </c>
      <c r="J110" s="120"/>
      <c r="K110" s="316">
        <f t="shared" ref="K110:R110" si="10">SUM(K103:K109)</f>
        <v>0</v>
      </c>
      <c r="L110" s="316">
        <f>SUM(L103:L109)</f>
        <v>14308</v>
      </c>
      <c r="M110" s="316"/>
      <c r="N110" s="316">
        <f t="shared" si="10"/>
        <v>0</v>
      </c>
      <c r="O110" s="316">
        <f t="shared" si="10"/>
        <v>68730</v>
      </c>
      <c r="P110" s="316">
        <f t="shared" si="10"/>
        <v>0</v>
      </c>
      <c r="Q110" s="316">
        <f t="shared" si="10"/>
        <v>0</v>
      </c>
      <c r="R110" s="120">
        <f t="shared" si="10"/>
        <v>275108</v>
      </c>
    </row>
    <row r="111" spans="1:18" s="607" customFormat="1" x14ac:dyDescent="0.2">
      <c r="A111" s="150"/>
      <c r="B111" s="608"/>
      <c r="C111" s="608"/>
      <c r="D111" s="608"/>
      <c r="E111" s="608"/>
      <c r="F111" s="608"/>
      <c r="G111" s="608"/>
      <c r="H111" s="608"/>
      <c r="I111" s="608"/>
      <c r="J111" s="608"/>
      <c r="K111" s="608"/>
      <c r="L111" s="608"/>
      <c r="M111" s="608"/>
      <c r="N111" s="608"/>
      <c r="O111" s="608"/>
      <c r="P111" s="608"/>
      <c r="Q111" s="608"/>
      <c r="R111" s="608"/>
    </row>
    <row r="112" spans="1:18" ht="12.75" hidden="1" customHeight="1" outlineLevel="1" x14ac:dyDescent="0.2">
      <c r="B112" s="130">
        <v>0</v>
      </c>
      <c r="C112" s="118">
        <v>0</v>
      </c>
      <c r="D112" s="118">
        <v>0</v>
      </c>
      <c r="E112" s="118">
        <v>0</v>
      </c>
      <c r="F112" s="118">
        <v>0</v>
      </c>
      <c r="G112" s="118">
        <v>0</v>
      </c>
      <c r="H112" s="118">
        <v>0</v>
      </c>
      <c r="I112" s="118">
        <v>0</v>
      </c>
      <c r="J112" s="118"/>
      <c r="K112" s="118">
        <v>0</v>
      </c>
      <c r="L112" s="118">
        <v>0</v>
      </c>
      <c r="M112" s="118"/>
      <c r="N112" s="118">
        <v>-196</v>
      </c>
      <c r="O112" s="118">
        <v>0</v>
      </c>
      <c r="P112" s="118">
        <v>0</v>
      </c>
      <c r="Q112" s="118">
        <v>0</v>
      </c>
      <c r="R112" s="118">
        <f>SUM(C112:Q112)</f>
        <v>-196</v>
      </c>
    </row>
    <row r="113" spans="1:18" ht="12.75" hidden="1" customHeight="1" outlineLevel="1" x14ac:dyDescent="0.2">
      <c r="A113" s="154"/>
      <c r="B113" s="130" t="s">
        <v>624</v>
      </c>
      <c r="C113" s="118">
        <v>0</v>
      </c>
      <c r="D113" s="118">
        <v>0</v>
      </c>
      <c r="E113" s="118">
        <v>0</v>
      </c>
      <c r="F113" s="118">
        <v>0</v>
      </c>
      <c r="G113" s="118">
        <v>0</v>
      </c>
      <c r="H113" s="118">
        <v>0</v>
      </c>
      <c r="I113" s="118">
        <v>0</v>
      </c>
      <c r="J113" s="118"/>
      <c r="K113" s="318">
        <v>0</v>
      </c>
      <c r="L113" s="318">
        <v>0</v>
      </c>
      <c r="M113" s="318"/>
      <c r="N113" s="318">
        <v>0</v>
      </c>
      <c r="O113" s="318">
        <v>0</v>
      </c>
      <c r="P113" s="318">
        <v>0</v>
      </c>
      <c r="Q113" s="318">
        <v>0</v>
      </c>
      <c r="R113" s="118">
        <v>0</v>
      </c>
    </row>
    <row r="114" spans="1:18" ht="12.75" hidden="1" customHeight="1" outlineLevel="1" x14ac:dyDescent="0.2">
      <c r="A114" s="154"/>
      <c r="B114" s="130" t="s">
        <v>636</v>
      </c>
      <c r="C114" s="118">
        <v>0</v>
      </c>
      <c r="D114" s="118">
        <v>0</v>
      </c>
      <c r="E114" s="118">
        <v>0</v>
      </c>
      <c r="F114" s="118">
        <v>0</v>
      </c>
      <c r="G114" s="118">
        <v>0</v>
      </c>
      <c r="H114" s="118">
        <v>0</v>
      </c>
      <c r="I114" s="118">
        <v>0</v>
      </c>
      <c r="J114" s="118"/>
      <c r="K114" s="318">
        <v>0</v>
      </c>
      <c r="L114" s="318">
        <v>0</v>
      </c>
      <c r="M114" s="318"/>
      <c r="N114" s="318">
        <v>1107</v>
      </c>
      <c r="O114" s="318">
        <v>0</v>
      </c>
      <c r="P114" s="318">
        <v>0</v>
      </c>
      <c r="Q114" s="318">
        <v>0</v>
      </c>
      <c r="R114" s="118">
        <v>1107</v>
      </c>
    </row>
    <row r="115" spans="1:18" ht="12.75" hidden="1" customHeight="1" outlineLevel="1" x14ac:dyDescent="0.2">
      <c r="A115" s="154"/>
      <c r="B115" s="130" t="s">
        <v>286</v>
      </c>
      <c r="C115" s="118">
        <v>1729</v>
      </c>
      <c r="D115" s="118">
        <v>0</v>
      </c>
      <c r="E115" s="118">
        <v>464</v>
      </c>
      <c r="F115" s="118">
        <v>0</v>
      </c>
      <c r="G115" s="118">
        <v>42</v>
      </c>
      <c r="H115" s="118">
        <v>0</v>
      </c>
      <c r="I115" s="118">
        <v>-3397</v>
      </c>
      <c r="J115" s="118"/>
      <c r="K115" s="318">
        <v>0</v>
      </c>
      <c r="L115" s="318">
        <v>57</v>
      </c>
      <c r="M115" s="318"/>
      <c r="N115" s="318">
        <v>-699</v>
      </c>
      <c r="O115" s="318">
        <v>-1338</v>
      </c>
      <c r="P115" s="318">
        <v>0</v>
      </c>
      <c r="Q115" s="318">
        <v>0</v>
      </c>
      <c r="R115" s="118">
        <v>-3142</v>
      </c>
    </row>
    <row r="116" spans="1:18" ht="12.75" hidden="1" customHeight="1" outlineLevel="1" x14ac:dyDescent="0.2">
      <c r="A116" s="154"/>
      <c r="B116" s="130" t="s">
        <v>890</v>
      </c>
      <c r="C116" s="118">
        <v>0</v>
      </c>
      <c r="D116" s="118">
        <v>0</v>
      </c>
      <c r="E116" s="118">
        <v>0</v>
      </c>
      <c r="F116" s="118">
        <v>0</v>
      </c>
      <c r="G116" s="118">
        <v>0</v>
      </c>
      <c r="H116" s="118">
        <v>0</v>
      </c>
      <c r="I116" s="118">
        <v>0</v>
      </c>
      <c r="J116" s="118"/>
      <c r="K116" s="318">
        <v>0</v>
      </c>
      <c r="L116" s="318">
        <v>0</v>
      </c>
      <c r="M116" s="318"/>
      <c r="N116" s="318">
        <v>-212</v>
      </c>
      <c r="O116" s="318">
        <v>0</v>
      </c>
      <c r="P116" s="318">
        <v>0</v>
      </c>
      <c r="Q116" s="318">
        <v>0</v>
      </c>
      <c r="R116" s="118">
        <v>-212</v>
      </c>
    </row>
    <row r="117" spans="1:18" ht="12.75" hidden="1" customHeight="1" outlineLevel="1" x14ac:dyDescent="0.2">
      <c r="A117" s="154"/>
      <c r="B117" s="130" t="s">
        <v>224</v>
      </c>
      <c r="C117" s="118">
        <v>-1921</v>
      </c>
      <c r="D117" s="118">
        <v>0</v>
      </c>
      <c r="E117" s="118">
        <v>0</v>
      </c>
      <c r="F117" s="118">
        <v>0</v>
      </c>
      <c r="G117" s="118">
        <v>0</v>
      </c>
      <c r="H117" s="118">
        <v>0</v>
      </c>
      <c r="I117" s="118">
        <v>0</v>
      </c>
      <c r="J117" s="118"/>
      <c r="K117" s="318"/>
      <c r="L117" s="318">
        <v>0</v>
      </c>
      <c r="M117" s="318"/>
      <c r="N117" s="318">
        <v>0</v>
      </c>
      <c r="O117" s="318">
        <v>0</v>
      </c>
      <c r="P117" s="318"/>
      <c r="Q117" s="318"/>
      <c r="R117" s="118">
        <v>-1921</v>
      </c>
    </row>
    <row r="118" spans="1:18" collapsed="1" x14ac:dyDescent="0.2">
      <c r="A118" s="154"/>
      <c r="B118" s="127" t="s">
        <v>906</v>
      </c>
      <c r="C118" s="120">
        <f>SUM(C110:C117)</f>
        <v>97271</v>
      </c>
      <c r="D118" s="120">
        <v>0</v>
      </c>
      <c r="E118" s="120">
        <f>SUM(E110:E117)</f>
        <v>63679</v>
      </c>
      <c r="F118" s="120">
        <v>0</v>
      </c>
      <c r="G118" s="120">
        <f>SUM(G110:G117)</f>
        <v>1382</v>
      </c>
      <c r="H118" s="120">
        <v>0</v>
      </c>
      <c r="I118" s="120">
        <f>SUM(I110:I117)</f>
        <v>26655</v>
      </c>
      <c r="J118" s="120"/>
      <c r="K118" s="120">
        <f>SUM(K110:K117)</f>
        <v>0</v>
      </c>
      <c r="L118" s="120">
        <f>SUM(L110:L117)</f>
        <v>14365</v>
      </c>
      <c r="M118" s="120"/>
      <c r="N118" s="120">
        <f>SUM(N110:N117)</f>
        <v>0</v>
      </c>
      <c r="O118" s="120">
        <f>SUM(O110:O117)</f>
        <v>67392</v>
      </c>
      <c r="P118" s="120">
        <f>SUM(P110:P117)</f>
        <v>0</v>
      </c>
      <c r="Q118" s="120">
        <f>SUM(Q110:Q117)</f>
        <v>0</v>
      </c>
      <c r="R118" s="120">
        <f>SUM(R110:R117)</f>
        <v>270744</v>
      </c>
    </row>
    <row r="120" spans="1:18" outlineLevel="1" x14ac:dyDescent="0.2">
      <c r="B120" s="130">
        <v>0</v>
      </c>
      <c r="C120" s="118">
        <v>0</v>
      </c>
      <c r="D120" s="118">
        <v>0</v>
      </c>
      <c r="E120" s="118">
        <v>0</v>
      </c>
      <c r="F120" s="118">
        <v>0</v>
      </c>
      <c r="G120" s="118">
        <v>0</v>
      </c>
      <c r="H120" s="118">
        <v>0</v>
      </c>
      <c r="I120" s="118">
        <v>0</v>
      </c>
      <c r="J120" s="118"/>
      <c r="K120" s="118">
        <v>0</v>
      </c>
      <c r="L120" s="118">
        <v>0</v>
      </c>
      <c r="M120" s="118">
        <v>0</v>
      </c>
      <c r="N120" s="118">
        <v>0</v>
      </c>
      <c r="O120" s="118">
        <v>0</v>
      </c>
      <c r="P120" s="118">
        <v>0</v>
      </c>
      <c r="Q120" s="118">
        <v>0</v>
      </c>
      <c r="R120" s="118">
        <f t="shared" ref="R120:R126" si="11">SUM(C120:Q120)</f>
        <v>0</v>
      </c>
    </row>
    <row r="121" spans="1:18" outlineLevel="1" x14ac:dyDescent="0.2">
      <c r="B121" s="130" t="s">
        <v>624</v>
      </c>
      <c r="C121" s="118">
        <v>0</v>
      </c>
      <c r="D121" s="118">
        <v>20640</v>
      </c>
      <c r="E121" s="118">
        <v>0</v>
      </c>
      <c r="F121" s="118">
        <v>0</v>
      </c>
      <c r="G121" s="118">
        <v>0</v>
      </c>
      <c r="H121" s="118">
        <v>0</v>
      </c>
      <c r="I121" s="118">
        <v>0</v>
      </c>
      <c r="J121" s="118"/>
      <c r="K121" s="318">
        <v>0</v>
      </c>
      <c r="L121" s="318">
        <v>0</v>
      </c>
      <c r="M121" s="318">
        <v>0</v>
      </c>
      <c r="N121" s="318">
        <v>0</v>
      </c>
      <c r="O121" s="318">
        <v>0</v>
      </c>
      <c r="P121" s="318">
        <v>0</v>
      </c>
      <c r="Q121" s="318">
        <v>0</v>
      </c>
      <c r="R121" s="118">
        <f t="shared" si="11"/>
        <v>20640</v>
      </c>
    </row>
    <row r="122" spans="1:18" outlineLevel="1" x14ac:dyDescent="0.2">
      <c r="B122" s="130" t="s">
        <v>636</v>
      </c>
      <c r="C122" s="118">
        <v>0</v>
      </c>
      <c r="D122" s="118">
        <v>0</v>
      </c>
      <c r="E122" s="118">
        <v>0</v>
      </c>
      <c r="F122" s="118">
        <v>0</v>
      </c>
      <c r="G122" s="118">
        <v>0</v>
      </c>
      <c r="H122" s="118">
        <v>0</v>
      </c>
      <c r="I122" s="118">
        <v>0</v>
      </c>
      <c r="J122" s="118"/>
      <c r="K122" s="318">
        <v>0</v>
      </c>
      <c r="L122" s="318">
        <v>0</v>
      </c>
      <c r="M122" s="318">
        <v>0</v>
      </c>
      <c r="N122" s="318">
        <v>-9</v>
      </c>
      <c r="O122" s="318">
        <v>0</v>
      </c>
      <c r="P122" s="318">
        <v>0</v>
      </c>
      <c r="Q122" s="318">
        <v>0</v>
      </c>
      <c r="R122" s="118">
        <f t="shared" si="11"/>
        <v>-9</v>
      </c>
    </row>
    <row r="123" spans="1:18" outlineLevel="1" x14ac:dyDescent="0.2">
      <c r="B123" s="130" t="s">
        <v>286</v>
      </c>
      <c r="C123" s="118">
        <v>11615</v>
      </c>
      <c r="D123" s="118">
        <v>1596</v>
      </c>
      <c r="E123" s="118">
        <v>524</v>
      </c>
      <c r="F123" s="118">
        <v>0</v>
      </c>
      <c r="G123" s="118">
        <v>597</v>
      </c>
      <c r="H123" s="118">
        <v>0</v>
      </c>
      <c r="I123" s="118">
        <v>-3791</v>
      </c>
      <c r="J123" s="118"/>
      <c r="K123" s="318">
        <v>0</v>
      </c>
      <c r="L123" s="318">
        <v>-11</v>
      </c>
      <c r="M123" s="318">
        <v>0</v>
      </c>
      <c r="N123" s="318">
        <v>0</v>
      </c>
      <c r="O123" s="318">
        <v>-3287</v>
      </c>
      <c r="P123" s="318">
        <v>0</v>
      </c>
      <c r="Q123" s="318">
        <v>0</v>
      </c>
      <c r="R123" s="118">
        <f t="shared" si="11"/>
        <v>7243</v>
      </c>
    </row>
    <row r="124" spans="1:18" outlineLevel="1" x14ac:dyDescent="0.2">
      <c r="B124" s="130" t="s">
        <v>697</v>
      </c>
      <c r="C124" s="118">
        <v>0</v>
      </c>
      <c r="D124" s="118">
        <v>0</v>
      </c>
      <c r="E124" s="118">
        <v>0</v>
      </c>
      <c r="F124" s="118">
        <v>0</v>
      </c>
      <c r="G124" s="118">
        <v>0</v>
      </c>
      <c r="H124" s="118">
        <v>0</v>
      </c>
      <c r="I124" s="118">
        <v>0</v>
      </c>
      <c r="J124" s="118"/>
      <c r="K124" s="318">
        <v>0</v>
      </c>
      <c r="L124" s="318">
        <v>0</v>
      </c>
      <c r="M124" s="318">
        <v>0</v>
      </c>
      <c r="N124" s="318">
        <v>0</v>
      </c>
      <c r="O124" s="318">
        <v>-20640</v>
      </c>
      <c r="P124" s="318">
        <v>0</v>
      </c>
      <c r="Q124" s="318">
        <v>0</v>
      </c>
      <c r="R124" s="118">
        <f t="shared" si="11"/>
        <v>-20640</v>
      </c>
    </row>
    <row r="125" spans="1:18" outlineLevel="1" x14ac:dyDescent="0.2">
      <c r="A125" s="154"/>
      <c r="B125" s="130" t="s">
        <v>890</v>
      </c>
      <c r="C125" s="118">
        <v>0</v>
      </c>
      <c r="D125" s="118">
        <v>0</v>
      </c>
      <c r="E125" s="118">
        <v>0</v>
      </c>
      <c r="F125" s="118">
        <v>0</v>
      </c>
      <c r="G125" s="118">
        <v>0</v>
      </c>
      <c r="H125" s="118">
        <v>0</v>
      </c>
      <c r="I125" s="118">
        <v>0</v>
      </c>
      <c r="J125" s="118"/>
      <c r="K125" s="318">
        <v>0</v>
      </c>
      <c r="L125" s="318">
        <v>0</v>
      </c>
      <c r="M125" s="318">
        <v>0</v>
      </c>
      <c r="N125" s="318">
        <v>9</v>
      </c>
      <c r="O125" s="318">
        <v>0</v>
      </c>
      <c r="P125" s="318">
        <v>0</v>
      </c>
      <c r="Q125" s="318">
        <v>0</v>
      </c>
      <c r="R125" s="118">
        <f t="shared" si="11"/>
        <v>9</v>
      </c>
    </row>
    <row r="126" spans="1:18" ht="14.25" customHeight="1" outlineLevel="1" x14ac:dyDescent="0.2">
      <c r="B126" s="130" t="s">
        <v>175</v>
      </c>
      <c r="C126" s="118">
        <v>0</v>
      </c>
      <c r="D126" s="118">
        <v>0</v>
      </c>
      <c r="E126" s="118">
        <v>0</v>
      </c>
      <c r="F126" s="118">
        <v>0</v>
      </c>
      <c r="G126" s="118">
        <v>-1</v>
      </c>
      <c r="H126" s="118">
        <v>0</v>
      </c>
      <c r="I126" s="118">
        <v>0</v>
      </c>
      <c r="J126" s="118"/>
      <c r="K126" s="318">
        <v>0</v>
      </c>
      <c r="L126" s="318">
        <v>-6035</v>
      </c>
      <c r="M126" s="318">
        <v>0</v>
      </c>
      <c r="N126" s="318">
        <v>0</v>
      </c>
      <c r="O126" s="318">
        <v>0</v>
      </c>
      <c r="P126" s="318">
        <v>0</v>
      </c>
      <c r="Q126" s="318">
        <v>0</v>
      </c>
      <c r="R126" s="118">
        <f t="shared" si="11"/>
        <v>-6036</v>
      </c>
    </row>
    <row r="127" spans="1:18" x14ac:dyDescent="0.2">
      <c r="B127" s="127" t="s">
        <v>910</v>
      </c>
      <c r="C127" s="120">
        <f t="shared" ref="C127:R127" si="12">SUM(C118:C126)</f>
        <v>108886</v>
      </c>
      <c r="D127" s="120">
        <f t="shared" si="12"/>
        <v>22236</v>
      </c>
      <c r="E127" s="120">
        <f t="shared" si="12"/>
        <v>64203</v>
      </c>
      <c r="F127" s="120">
        <v>0</v>
      </c>
      <c r="G127" s="120">
        <f t="shared" si="12"/>
        <v>1978</v>
      </c>
      <c r="H127" s="120">
        <v>0</v>
      </c>
      <c r="I127" s="120">
        <f>SUM(I118:I126)</f>
        <v>22864</v>
      </c>
      <c r="J127" s="120"/>
      <c r="K127" s="120">
        <f t="shared" si="12"/>
        <v>0</v>
      </c>
      <c r="L127" s="120">
        <f>SUM(L118:L126)</f>
        <v>8319</v>
      </c>
      <c r="M127" s="120">
        <f>SUM(M118:M126)</f>
        <v>0</v>
      </c>
      <c r="N127" s="120">
        <f>SUM(N118:N126)</f>
        <v>0</v>
      </c>
      <c r="O127" s="120">
        <f>SUM(O118:O126)</f>
        <v>43465</v>
      </c>
      <c r="P127" s="120">
        <f t="shared" si="12"/>
        <v>0</v>
      </c>
      <c r="Q127" s="120">
        <f t="shared" si="12"/>
        <v>0</v>
      </c>
      <c r="R127" s="120">
        <f t="shared" si="12"/>
        <v>271951</v>
      </c>
    </row>
    <row r="129" spans="1:18" ht="12.75" hidden="1" customHeight="1" outlineLevel="1" x14ac:dyDescent="0.2">
      <c r="B129" s="130" t="s">
        <v>286</v>
      </c>
      <c r="C129" s="118">
        <v>2392</v>
      </c>
      <c r="D129" s="118">
        <v>50</v>
      </c>
      <c r="E129" s="118">
        <v>502</v>
      </c>
      <c r="F129" s="118">
        <v>0</v>
      </c>
      <c r="G129" s="118">
        <v>107</v>
      </c>
      <c r="H129" s="118">
        <v>-532</v>
      </c>
      <c r="I129" s="118">
        <v>62</v>
      </c>
      <c r="J129" s="118"/>
      <c r="K129" s="118">
        <v>0</v>
      </c>
      <c r="L129" s="118">
        <v>101</v>
      </c>
      <c r="M129" s="118">
        <v>0</v>
      </c>
      <c r="N129" s="118">
        <v>0</v>
      </c>
      <c r="O129" s="118">
        <v>-338</v>
      </c>
      <c r="P129" s="118">
        <v>0</v>
      </c>
      <c r="Q129" s="118">
        <v>0</v>
      </c>
      <c r="R129" s="118">
        <f>SUM(C129:Q129)</f>
        <v>2344</v>
      </c>
    </row>
    <row r="130" spans="1:18" ht="12.75" hidden="1" customHeight="1" outlineLevel="1" x14ac:dyDescent="0.2">
      <c r="B130" s="130" t="s">
        <v>697</v>
      </c>
      <c r="C130" s="118">
        <v>-64000</v>
      </c>
      <c r="D130" s="118">
        <v>0</v>
      </c>
      <c r="E130" s="118">
        <v>0</v>
      </c>
      <c r="F130" s="118">
        <v>0</v>
      </c>
      <c r="G130" s="118">
        <v>0</v>
      </c>
      <c r="H130" s="118">
        <v>0</v>
      </c>
      <c r="I130" s="118">
        <v>-6000</v>
      </c>
      <c r="J130" s="118"/>
      <c r="K130" s="118">
        <v>0</v>
      </c>
      <c r="L130" s="118">
        <v>-5500</v>
      </c>
      <c r="M130" s="118">
        <v>0</v>
      </c>
      <c r="N130" s="118">
        <v>0</v>
      </c>
      <c r="O130" s="118">
        <v>0</v>
      </c>
      <c r="P130" s="118">
        <v>0</v>
      </c>
      <c r="Q130" s="118">
        <v>0</v>
      </c>
      <c r="R130" s="118">
        <f>SUM(C130:Q130)</f>
        <v>-75500</v>
      </c>
    </row>
    <row r="131" spans="1:18" ht="12.75" hidden="1" customHeight="1" outlineLevel="1" x14ac:dyDescent="0.2">
      <c r="B131" s="130" t="s">
        <v>778</v>
      </c>
      <c r="C131" s="118">
        <v>0</v>
      </c>
      <c r="D131" s="118">
        <v>0</v>
      </c>
      <c r="E131" s="118">
        <v>0</v>
      </c>
      <c r="F131" s="118">
        <v>0</v>
      </c>
      <c r="G131" s="118">
        <v>0</v>
      </c>
      <c r="H131" s="118">
        <v>0</v>
      </c>
      <c r="I131" s="118">
        <v>0</v>
      </c>
      <c r="J131" s="118"/>
      <c r="K131" s="118">
        <v>0</v>
      </c>
      <c r="L131" s="118">
        <v>0</v>
      </c>
      <c r="M131" s="118">
        <v>0</v>
      </c>
      <c r="N131" s="118">
        <v>0</v>
      </c>
      <c r="O131" s="118">
        <v>5800</v>
      </c>
      <c r="P131" s="118">
        <v>0</v>
      </c>
      <c r="Q131" s="118">
        <v>0</v>
      </c>
      <c r="R131" s="118">
        <f>SUM(C131:Q131)</f>
        <v>5800</v>
      </c>
    </row>
    <row r="132" spans="1:18" ht="12.75" hidden="1" customHeight="1" outlineLevel="1" x14ac:dyDescent="0.2">
      <c r="A132" s="154"/>
      <c r="B132" s="130" t="s">
        <v>907</v>
      </c>
      <c r="C132" s="118">
        <v>0</v>
      </c>
      <c r="D132" s="118">
        <v>0</v>
      </c>
      <c r="E132" s="118">
        <v>0</v>
      </c>
      <c r="F132" s="118">
        <v>0</v>
      </c>
      <c r="G132" s="118">
        <v>0</v>
      </c>
      <c r="H132" s="118">
        <v>17637</v>
      </c>
      <c r="I132" s="118">
        <v>0</v>
      </c>
      <c r="J132" s="118"/>
      <c r="K132" s="118">
        <v>0</v>
      </c>
      <c r="L132" s="118">
        <v>0</v>
      </c>
      <c r="M132" s="118">
        <v>0</v>
      </c>
      <c r="N132" s="118">
        <v>0</v>
      </c>
      <c r="O132" s="118">
        <v>-48927</v>
      </c>
      <c r="P132" s="118">
        <v>0</v>
      </c>
      <c r="Q132" s="118">
        <v>0</v>
      </c>
      <c r="R132" s="118">
        <f>SUM(C132:Q132)</f>
        <v>-31290</v>
      </c>
    </row>
    <row r="133" spans="1:18" collapsed="1" x14ac:dyDescent="0.2">
      <c r="B133" s="127" t="s">
        <v>911</v>
      </c>
      <c r="C133" s="120">
        <f>SUM(C127:C132)</f>
        <v>47278</v>
      </c>
      <c r="D133" s="120">
        <f>SUM(D127:D132)</f>
        <v>22286</v>
      </c>
      <c r="E133" s="120">
        <f>SUM(E127:E132)</f>
        <v>64705</v>
      </c>
      <c r="F133" s="120">
        <v>0</v>
      </c>
      <c r="G133" s="120">
        <f t="shared" ref="G133:R133" si="13">SUM(G127:G132)</f>
        <v>2085</v>
      </c>
      <c r="H133" s="120">
        <f t="shared" si="13"/>
        <v>17105</v>
      </c>
      <c r="I133" s="120">
        <f>SUM(I127:I132)</f>
        <v>16926</v>
      </c>
      <c r="J133" s="120"/>
      <c r="K133" s="120">
        <f t="shared" si="13"/>
        <v>0</v>
      </c>
      <c r="L133" s="120">
        <f>SUM(L127:L132)</f>
        <v>2920</v>
      </c>
      <c r="M133" s="120">
        <f>SUM(M127:M132)</f>
        <v>0</v>
      </c>
      <c r="N133" s="120">
        <f>SUM(N127:N132)</f>
        <v>0</v>
      </c>
      <c r="O133" s="120">
        <f>SUM(O127:O132)</f>
        <v>0</v>
      </c>
      <c r="P133" s="120">
        <f t="shared" si="13"/>
        <v>0</v>
      </c>
      <c r="Q133" s="120">
        <f t="shared" si="13"/>
        <v>0</v>
      </c>
      <c r="R133" s="120">
        <f t="shared" si="13"/>
        <v>173305</v>
      </c>
    </row>
    <row r="135" spans="1:18" ht="12.75" hidden="1" customHeight="1" outlineLevel="1" x14ac:dyDescent="0.2">
      <c r="B135" s="130" t="s">
        <v>286</v>
      </c>
      <c r="C135" s="118">
        <v>2306</v>
      </c>
      <c r="D135" s="118">
        <v>42</v>
      </c>
      <c r="E135" s="118">
        <v>484</v>
      </c>
      <c r="F135" s="118">
        <v>0</v>
      </c>
      <c r="G135" s="118">
        <v>12</v>
      </c>
      <c r="H135" s="118">
        <v>-238</v>
      </c>
      <c r="I135" s="118">
        <v>139</v>
      </c>
      <c r="J135" s="118"/>
      <c r="K135" s="318">
        <v>0</v>
      </c>
      <c r="L135" s="318">
        <v>12</v>
      </c>
      <c r="M135" s="318">
        <v>0</v>
      </c>
      <c r="N135" s="318">
        <v>0</v>
      </c>
      <c r="O135" s="318">
        <v>0</v>
      </c>
      <c r="P135" s="318">
        <v>0</v>
      </c>
      <c r="Q135" s="318">
        <v>0</v>
      </c>
      <c r="R135" s="118">
        <f>SUM(C135:Q135)</f>
        <v>2757</v>
      </c>
    </row>
    <row r="136" spans="1:18" ht="12.75" hidden="1" customHeight="1" outlineLevel="1" x14ac:dyDescent="0.2">
      <c r="B136" s="130" t="s">
        <v>778</v>
      </c>
      <c r="C136" s="118">
        <v>0</v>
      </c>
      <c r="D136" s="118">
        <v>4550</v>
      </c>
      <c r="E136" s="118">
        <v>0</v>
      </c>
      <c r="F136" s="118">
        <v>1</v>
      </c>
      <c r="G136" s="118">
        <v>0</v>
      </c>
      <c r="H136" s="118">
        <v>0</v>
      </c>
      <c r="I136" s="118">
        <v>0</v>
      </c>
      <c r="J136" s="118"/>
      <c r="K136" s="318">
        <v>0</v>
      </c>
      <c r="L136" s="318">
        <v>0</v>
      </c>
      <c r="M136" s="318">
        <v>0</v>
      </c>
      <c r="N136" s="318">
        <v>0</v>
      </c>
      <c r="O136" s="318">
        <v>0</v>
      </c>
      <c r="P136" s="318">
        <v>0</v>
      </c>
      <c r="Q136" s="318">
        <v>0</v>
      </c>
      <c r="R136" s="118">
        <f>SUM(C136:Q136)</f>
        <v>4551</v>
      </c>
    </row>
    <row r="137" spans="1:18" ht="12.75" hidden="1" customHeight="1" outlineLevel="1" x14ac:dyDescent="0.2">
      <c r="B137" s="130" t="s">
        <v>780</v>
      </c>
      <c r="C137" s="118">
        <v>0</v>
      </c>
      <c r="D137" s="118">
        <v>0</v>
      </c>
      <c r="E137" s="118">
        <v>0</v>
      </c>
      <c r="F137" s="118">
        <v>1</v>
      </c>
      <c r="G137" s="118">
        <v>0</v>
      </c>
      <c r="H137" s="118">
        <v>0</v>
      </c>
      <c r="I137" s="118">
        <v>0</v>
      </c>
      <c r="J137" s="118"/>
      <c r="K137" s="318">
        <v>0</v>
      </c>
      <c r="L137" s="318">
        <v>0</v>
      </c>
      <c r="M137" s="318">
        <v>0</v>
      </c>
      <c r="N137" s="318">
        <v>0</v>
      </c>
      <c r="O137" s="318">
        <v>0</v>
      </c>
      <c r="P137" s="318">
        <v>0</v>
      </c>
      <c r="Q137" s="318">
        <v>0</v>
      </c>
      <c r="R137" s="118">
        <f>SUM(C137:Q137)</f>
        <v>1</v>
      </c>
    </row>
    <row r="138" spans="1:18" ht="14.25" hidden="1" customHeight="1" outlineLevel="1" x14ac:dyDescent="0.2">
      <c r="B138" s="130" t="s">
        <v>175</v>
      </c>
      <c r="C138" s="118">
        <v>0</v>
      </c>
      <c r="D138" s="118">
        <v>0</v>
      </c>
      <c r="E138" s="118">
        <v>-1079</v>
      </c>
      <c r="F138" s="118">
        <v>0</v>
      </c>
      <c r="G138" s="118">
        <v>-244</v>
      </c>
      <c r="H138" s="118">
        <v>0</v>
      </c>
      <c r="I138" s="118">
        <v>0</v>
      </c>
      <c r="J138" s="118"/>
      <c r="K138" s="318">
        <v>0</v>
      </c>
      <c r="L138" s="318">
        <v>-313</v>
      </c>
      <c r="M138" s="318">
        <v>0</v>
      </c>
      <c r="N138" s="318">
        <v>0</v>
      </c>
      <c r="O138" s="318">
        <v>0</v>
      </c>
      <c r="P138" s="318">
        <v>0</v>
      </c>
      <c r="Q138" s="318">
        <v>0</v>
      </c>
      <c r="R138" s="118">
        <f>SUM(C138:Q138)</f>
        <v>-1636</v>
      </c>
    </row>
    <row r="139" spans="1:18" collapsed="1" x14ac:dyDescent="0.2">
      <c r="B139" s="127" t="s">
        <v>908</v>
      </c>
      <c r="C139" s="120">
        <f t="shared" ref="C139:Q139" si="14">SUM(C133:C138)</f>
        <v>49584</v>
      </c>
      <c r="D139" s="120">
        <f t="shared" si="14"/>
        <v>26878</v>
      </c>
      <c r="E139" s="120">
        <f t="shared" si="14"/>
        <v>64110</v>
      </c>
      <c r="F139" s="120">
        <f t="shared" si="14"/>
        <v>2</v>
      </c>
      <c r="G139" s="120">
        <f t="shared" si="14"/>
        <v>1853</v>
      </c>
      <c r="H139" s="120">
        <f t="shared" si="14"/>
        <v>16867</v>
      </c>
      <c r="I139" s="120">
        <f>SUM(I133:I138)</f>
        <v>17065</v>
      </c>
      <c r="J139" s="120"/>
      <c r="K139" s="120">
        <f t="shared" si="14"/>
        <v>0</v>
      </c>
      <c r="L139" s="120">
        <f>SUM(L133:L138)</f>
        <v>2619</v>
      </c>
      <c r="M139" s="120">
        <f>SUM(M133:M138)</f>
        <v>0</v>
      </c>
      <c r="N139" s="120">
        <f>SUM(N133:N138)</f>
        <v>0</v>
      </c>
      <c r="O139" s="120">
        <f>SUM(O133:O138)</f>
        <v>0</v>
      </c>
      <c r="P139" s="120">
        <f t="shared" si="14"/>
        <v>0</v>
      </c>
      <c r="Q139" s="120">
        <f t="shared" si="14"/>
        <v>0</v>
      </c>
      <c r="R139" s="120">
        <f>SUM(R133:R138)</f>
        <v>178978</v>
      </c>
    </row>
    <row r="141" spans="1:18" ht="12.75" hidden="1" customHeight="1" outlineLevel="1" x14ac:dyDescent="0.2">
      <c r="B141" s="130" t="s">
        <v>286</v>
      </c>
      <c r="C141" s="118">
        <v>-1723</v>
      </c>
      <c r="D141" s="118">
        <v>-181</v>
      </c>
      <c r="E141" s="118">
        <v>486</v>
      </c>
      <c r="F141" s="118">
        <v>32</v>
      </c>
      <c r="G141" s="118">
        <v>77</v>
      </c>
      <c r="H141" s="118">
        <v>265</v>
      </c>
      <c r="I141" s="118">
        <v>24</v>
      </c>
      <c r="J141" s="118"/>
      <c r="K141" s="318">
        <v>0</v>
      </c>
      <c r="L141" s="318">
        <v>1</v>
      </c>
      <c r="M141" s="318">
        <v>0</v>
      </c>
      <c r="N141" s="318">
        <v>0</v>
      </c>
      <c r="O141" s="318">
        <v>0</v>
      </c>
      <c r="P141" s="318">
        <v>0</v>
      </c>
      <c r="Q141" s="318">
        <v>0</v>
      </c>
      <c r="R141" s="118">
        <f t="shared" ref="R141:R146" si="15">SUM(C141:Q141)</f>
        <v>-1019</v>
      </c>
    </row>
    <row r="142" spans="1:18" ht="12.75" hidden="1" customHeight="1" outlineLevel="1" x14ac:dyDescent="0.2">
      <c r="B142" s="130" t="s">
        <v>697</v>
      </c>
      <c r="C142" s="118">
        <v>0</v>
      </c>
      <c r="D142" s="118">
        <v>0</v>
      </c>
      <c r="E142" s="118">
        <v>0</v>
      </c>
      <c r="F142" s="118">
        <v>0</v>
      </c>
      <c r="G142" s="118">
        <v>-491</v>
      </c>
      <c r="H142" s="118">
        <v>0</v>
      </c>
      <c r="I142" s="118">
        <v>0</v>
      </c>
      <c r="J142" s="118"/>
      <c r="K142" s="318"/>
      <c r="L142" s="318">
        <v>0</v>
      </c>
      <c r="M142" s="318">
        <v>0</v>
      </c>
      <c r="N142" s="318">
        <v>0</v>
      </c>
      <c r="O142" s="318">
        <v>0</v>
      </c>
      <c r="P142" s="318"/>
      <c r="Q142" s="318"/>
      <c r="R142" s="118">
        <f t="shared" si="15"/>
        <v>-491</v>
      </c>
    </row>
    <row r="143" spans="1:18" ht="12.75" hidden="1" customHeight="1" outlineLevel="1" x14ac:dyDescent="0.2">
      <c r="B143" s="130" t="s">
        <v>778</v>
      </c>
      <c r="C143" s="118">
        <v>0</v>
      </c>
      <c r="D143" s="118">
        <v>701</v>
      </c>
      <c r="E143" s="118">
        <v>7400</v>
      </c>
      <c r="F143" s="262">
        <v>1399</v>
      </c>
      <c r="G143" s="118">
        <v>0</v>
      </c>
      <c r="H143" s="118">
        <v>0</v>
      </c>
      <c r="I143" s="118">
        <v>0</v>
      </c>
      <c r="J143" s="118"/>
      <c r="K143" s="318">
        <v>0</v>
      </c>
      <c r="L143" s="318">
        <v>0</v>
      </c>
      <c r="M143" s="318">
        <v>0</v>
      </c>
      <c r="N143" s="318">
        <v>0</v>
      </c>
      <c r="O143" s="318">
        <v>0</v>
      </c>
      <c r="P143" s="318">
        <v>0</v>
      </c>
      <c r="Q143" s="318">
        <v>0</v>
      </c>
      <c r="R143" s="118">
        <f t="shared" si="15"/>
        <v>9500</v>
      </c>
    </row>
    <row r="144" spans="1:18" ht="12.75" hidden="1" customHeight="1" outlineLevel="1" x14ac:dyDescent="0.2">
      <c r="B144" s="130" t="s">
        <v>780</v>
      </c>
      <c r="C144" s="118">
        <v>0</v>
      </c>
      <c r="D144" s="118">
        <v>0</v>
      </c>
      <c r="E144" s="118">
        <v>0</v>
      </c>
      <c r="F144" s="118">
        <v>0</v>
      </c>
      <c r="G144" s="118">
        <v>0</v>
      </c>
      <c r="H144" s="118">
        <v>0</v>
      </c>
      <c r="I144" s="118">
        <v>0</v>
      </c>
      <c r="J144" s="118"/>
      <c r="K144" s="318">
        <v>0</v>
      </c>
      <c r="L144" s="318">
        <v>0</v>
      </c>
      <c r="M144" s="318">
        <v>0</v>
      </c>
      <c r="N144" s="318">
        <v>0</v>
      </c>
      <c r="O144" s="318">
        <v>0</v>
      </c>
      <c r="P144" s="318">
        <v>0</v>
      </c>
      <c r="Q144" s="318">
        <v>0</v>
      </c>
      <c r="R144" s="118">
        <f t="shared" si="15"/>
        <v>0</v>
      </c>
    </row>
    <row r="145" spans="2:18" ht="12.75" hidden="1" customHeight="1" outlineLevel="1" x14ac:dyDescent="0.2">
      <c r="B145" s="130" t="s">
        <v>907</v>
      </c>
      <c r="C145" s="118">
        <v>0</v>
      </c>
      <c r="D145" s="118">
        <v>0</v>
      </c>
      <c r="E145" s="118">
        <v>0</v>
      </c>
      <c r="F145" s="118">
        <v>0</v>
      </c>
      <c r="G145" s="118">
        <v>0</v>
      </c>
      <c r="H145" s="118">
        <v>0</v>
      </c>
      <c r="I145" s="118">
        <v>0</v>
      </c>
      <c r="J145" s="118"/>
      <c r="K145" s="318"/>
      <c r="L145" s="318">
        <v>0</v>
      </c>
      <c r="M145" s="318">
        <v>0</v>
      </c>
      <c r="N145" s="318">
        <v>0</v>
      </c>
      <c r="O145" s="318">
        <v>0</v>
      </c>
      <c r="P145" s="318"/>
      <c r="Q145" s="318"/>
      <c r="R145" s="118">
        <f t="shared" si="15"/>
        <v>0</v>
      </c>
    </row>
    <row r="146" spans="2:18" ht="14.25" hidden="1" customHeight="1" outlineLevel="1" x14ac:dyDescent="0.2">
      <c r="B146" s="130" t="s">
        <v>175</v>
      </c>
      <c r="C146" s="118">
        <v>-16572</v>
      </c>
      <c r="D146" s="118">
        <v>0</v>
      </c>
      <c r="E146" s="118">
        <v>0</v>
      </c>
      <c r="F146" s="118">
        <v>0</v>
      </c>
      <c r="G146" s="118">
        <v>0</v>
      </c>
      <c r="H146" s="118">
        <v>0</v>
      </c>
      <c r="I146" s="118">
        <v>0</v>
      </c>
      <c r="J146" s="118"/>
      <c r="K146" s="318">
        <v>0</v>
      </c>
      <c r="L146" s="318">
        <v>0</v>
      </c>
      <c r="M146" s="318">
        <v>0</v>
      </c>
      <c r="N146" s="318">
        <v>0</v>
      </c>
      <c r="O146" s="318">
        <v>0</v>
      </c>
      <c r="P146" s="318">
        <v>0</v>
      </c>
      <c r="Q146" s="318">
        <v>0</v>
      </c>
      <c r="R146" s="118">
        <f t="shared" si="15"/>
        <v>-16572</v>
      </c>
    </row>
    <row r="147" spans="2:18" collapsed="1" x14ac:dyDescent="0.2">
      <c r="B147" s="127" t="s">
        <v>791</v>
      </c>
      <c r="C147" s="120">
        <f t="shared" ref="C147:Q147" si="16">SUM(C139:C146)</f>
        <v>31289</v>
      </c>
      <c r="D147" s="120">
        <f t="shared" si="16"/>
        <v>27398</v>
      </c>
      <c r="E147" s="120">
        <f t="shared" si="16"/>
        <v>71996</v>
      </c>
      <c r="F147" s="120">
        <f t="shared" si="16"/>
        <v>1433</v>
      </c>
      <c r="G147" s="120">
        <f t="shared" si="16"/>
        <v>1439</v>
      </c>
      <c r="H147" s="120">
        <f t="shared" si="16"/>
        <v>17132</v>
      </c>
      <c r="I147" s="120">
        <f>SUM(I139:I146)</f>
        <v>17089</v>
      </c>
      <c r="J147" s="120"/>
      <c r="K147" s="120">
        <f t="shared" si="16"/>
        <v>0</v>
      </c>
      <c r="L147" s="120">
        <f>SUM(L139:L146)</f>
        <v>2620</v>
      </c>
      <c r="M147" s="120">
        <f>SUM(M139:M146)</f>
        <v>0</v>
      </c>
      <c r="N147" s="120">
        <f>SUM(N139:N146)</f>
        <v>0</v>
      </c>
      <c r="O147" s="120">
        <f>SUM(O139:O146)</f>
        <v>0</v>
      </c>
      <c r="P147" s="120">
        <f t="shared" si="16"/>
        <v>0</v>
      </c>
      <c r="Q147" s="120">
        <f t="shared" si="16"/>
        <v>0</v>
      </c>
      <c r="R147" s="120">
        <f>SUM(R139:R146)</f>
        <v>170396</v>
      </c>
    </row>
    <row r="149" spans="2:18" x14ac:dyDescent="0.2">
      <c r="B149" s="130" t="s">
        <v>286</v>
      </c>
      <c r="C149" s="118">
        <v>2244</v>
      </c>
      <c r="D149" s="118">
        <v>-1299</v>
      </c>
      <c r="E149" s="118">
        <v>507</v>
      </c>
      <c r="F149" s="118">
        <v>15</v>
      </c>
      <c r="G149" s="118">
        <v>-26</v>
      </c>
      <c r="H149" s="118">
        <v>706</v>
      </c>
      <c r="I149" s="118">
        <v>-1841</v>
      </c>
      <c r="J149" s="118"/>
      <c r="K149" s="318" t="s">
        <v>47</v>
      </c>
      <c r="L149" s="318">
        <v>20</v>
      </c>
      <c r="M149" s="318">
        <v>0</v>
      </c>
      <c r="N149" s="318">
        <v>0</v>
      </c>
      <c r="O149" s="318">
        <v>0</v>
      </c>
      <c r="P149" s="318" t="s">
        <v>47</v>
      </c>
      <c r="Q149" s="318" t="s">
        <v>47</v>
      </c>
      <c r="R149" s="118">
        <f t="shared" ref="R149:R155" si="17">SUM(C149:Q149)</f>
        <v>326</v>
      </c>
    </row>
    <row r="150" spans="2:18" x14ac:dyDescent="0.2">
      <c r="B150" s="130" t="s">
        <v>697</v>
      </c>
      <c r="C150" s="118">
        <v>0</v>
      </c>
      <c r="D150" s="118">
        <v>0</v>
      </c>
      <c r="E150" s="118">
        <v>0</v>
      </c>
      <c r="F150" s="118">
        <v>0</v>
      </c>
      <c r="G150" s="118">
        <v>0</v>
      </c>
      <c r="H150" s="118">
        <v>0</v>
      </c>
      <c r="I150" s="118">
        <v>0</v>
      </c>
      <c r="J150" s="118"/>
      <c r="K150" s="318" t="s">
        <v>47</v>
      </c>
      <c r="L150" s="318">
        <v>0</v>
      </c>
      <c r="M150" s="318">
        <v>0</v>
      </c>
      <c r="N150" s="318">
        <v>0</v>
      </c>
      <c r="O150" s="318">
        <v>0</v>
      </c>
      <c r="P150" s="318" t="s">
        <v>47</v>
      </c>
      <c r="Q150" s="318" t="s">
        <v>47</v>
      </c>
      <c r="R150" s="118">
        <f t="shared" si="17"/>
        <v>0</v>
      </c>
    </row>
    <row r="151" spans="2:18" x14ac:dyDescent="0.2">
      <c r="B151" s="130" t="s">
        <v>778</v>
      </c>
      <c r="C151" s="118">
        <v>0</v>
      </c>
      <c r="D151" s="118">
        <v>0</v>
      </c>
      <c r="E151" s="118">
        <v>3949</v>
      </c>
      <c r="F151" s="118">
        <v>0</v>
      </c>
      <c r="G151" s="118">
        <v>0</v>
      </c>
      <c r="H151" s="118">
        <v>0</v>
      </c>
      <c r="I151" s="118">
        <v>0</v>
      </c>
      <c r="J151" s="118"/>
      <c r="K151" s="318" t="s">
        <v>47</v>
      </c>
      <c r="L151" s="318">
        <v>0</v>
      </c>
      <c r="M151" s="318">
        <v>0</v>
      </c>
      <c r="N151" s="318">
        <v>0</v>
      </c>
      <c r="O151" s="318">
        <v>0</v>
      </c>
      <c r="P151" s="318" t="s">
        <v>47</v>
      </c>
      <c r="Q151" s="318" t="s">
        <v>47</v>
      </c>
      <c r="R151" s="118">
        <f t="shared" si="17"/>
        <v>3949</v>
      </c>
    </row>
    <row r="152" spans="2:18" x14ac:dyDescent="0.2">
      <c r="B152" s="130" t="s">
        <v>780</v>
      </c>
      <c r="C152" s="118">
        <v>0</v>
      </c>
      <c r="D152" s="118">
        <v>0</v>
      </c>
      <c r="E152" s="118">
        <v>0</v>
      </c>
      <c r="F152" s="118">
        <v>0</v>
      </c>
      <c r="G152" s="118">
        <v>0</v>
      </c>
      <c r="H152" s="118">
        <v>0</v>
      </c>
      <c r="I152" s="118">
        <v>0</v>
      </c>
      <c r="J152" s="118"/>
      <c r="K152" s="318" t="s">
        <v>47</v>
      </c>
      <c r="L152" s="318">
        <v>0</v>
      </c>
      <c r="M152" s="318">
        <v>0</v>
      </c>
      <c r="N152" s="318">
        <v>0</v>
      </c>
      <c r="O152" s="318">
        <v>0</v>
      </c>
      <c r="P152" s="318" t="s">
        <v>47</v>
      </c>
      <c r="Q152" s="318" t="s">
        <v>47</v>
      </c>
      <c r="R152" s="118">
        <f t="shared" si="17"/>
        <v>0</v>
      </c>
    </row>
    <row r="153" spans="2:18" x14ac:dyDescent="0.2">
      <c r="B153" s="130" t="s">
        <v>907</v>
      </c>
      <c r="C153" s="118">
        <v>0</v>
      </c>
      <c r="D153" s="118">
        <v>0</v>
      </c>
      <c r="E153" s="118">
        <v>0</v>
      </c>
      <c r="F153" s="118">
        <v>0</v>
      </c>
      <c r="G153" s="118">
        <v>0</v>
      </c>
      <c r="H153" s="118">
        <v>0</v>
      </c>
      <c r="I153" s="118">
        <v>0</v>
      </c>
      <c r="J153" s="118"/>
      <c r="K153" s="318" t="s">
        <v>47</v>
      </c>
      <c r="L153" s="318">
        <v>0</v>
      </c>
      <c r="M153" s="318">
        <v>0</v>
      </c>
      <c r="N153" s="318">
        <v>0</v>
      </c>
      <c r="O153" s="318">
        <v>0</v>
      </c>
      <c r="P153" s="318" t="s">
        <v>47</v>
      </c>
      <c r="Q153" s="318" t="s">
        <v>47</v>
      </c>
      <c r="R153" s="118">
        <f t="shared" si="17"/>
        <v>0</v>
      </c>
    </row>
    <row r="154" spans="2:18" ht="14.25" customHeight="1" x14ac:dyDescent="0.2">
      <c r="B154" s="130" t="s">
        <v>175</v>
      </c>
      <c r="C154" s="118">
        <v>0</v>
      </c>
      <c r="D154" s="118">
        <v>0</v>
      </c>
      <c r="E154" s="118">
        <v>0</v>
      </c>
      <c r="F154" s="118">
        <v>0</v>
      </c>
      <c r="G154" s="118">
        <v>0</v>
      </c>
      <c r="H154" s="118">
        <v>0</v>
      </c>
      <c r="I154" s="118">
        <v>0</v>
      </c>
      <c r="J154" s="118"/>
      <c r="K154" s="318" t="s">
        <v>47</v>
      </c>
      <c r="L154" s="318">
        <v>0</v>
      </c>
      <c r="M154" s="318">
        <v>0</v>
      </c>
      <c r="N154" s="318">
        <v>0</v>
      </c>
      <c r="O154" s="318">
        <v>0</v>
      </c>
      <c r="P154" s="318" t="s">
        <v>47</v>
      </c>
      <c r="Q154" s="318" t="s">
        <v>47</v>
      </c>
      <c r="R154" s="118">
        <f t="shared" si="17"/>
        <v>0</v>
      </c>
    </row>
    <row r="155" spans="2:18" ht="14.25" customHeight="1" x14ac:dyDescent="0.2">
      <c r="B155" s="130" t="s">
        <v>858</v>
      </c>
      <c r="C155" s="118">
        <v>6364</v>
      </c>
      <c r="D155" s="118">
        <v>0</v>
      </c>
      <c r="E155" s="118">
        <v>0</v>
      </c>
      <c r="F155" s="118">
        <v>0</v>
      </c>
      <c r="G155" s="118">
        <v>0</v>
      </c>
      <c r="H155" s="118">
        <v>16693</v>
      </c>
      <c r="I155" s="118">
        <v>0</v>
      </c>
      <c r="J155" s="118"/>
      <c r="K155" s="318" t="s">
        <v>47</v>
      </c>
      <c r="L155" s="318">
        <v>0</v>
      </c>
      <c r="M155" s="318">
        <v>0</v>
      </c>
      <c r="N155" s="318">
        <v>0</v>
      </c>
      <c r="O155" s="318" t="s">
        <v>47</v>
      </c>
      <c r="P155" s="318" t="s">
        <v>47</v>
      </c>
      <c r="Q155" s="318" t="s">
        <v>47</v>
      </c>
      <c r="R155" s="118">
        <f t="shared" si="17"/>
        <v>23057</v>
      </c>
    </row>
    <row r="156" spans="2:18" x14ac:dyDescent="0.2">
      <c r="B156" s="127" t="s">
        <v>912</v>
      </c>
      <c r="C156" s="120">
        <f t="shared" ref="C156:R156" si="18">SUM(C147:C155)</f>
        <v>39897</v>
      </c>
      <c r="D156" s="120">
        <f t="shared" si="18"/>
        <v>26099</v>
      </c>
      <c r="E156" s="120">
        <f t="shared" si="18"/>
        <v>76452</v>
      </c>
      <c r="F156" s="120">
        <f t="shared" si="18"/>
        <v>1448</v>
      </c>
      <c r="G156" s="120">
        <f>SUM(G147:G155)</f>
        <v>1413</v>
      </c>
      <c r="H156" s="120">
        <f>SUM(H147:H155)</f>
        <v>34531</v>
      </c>
      <c r="I156" s="120">
        <f>SUM(I147:I155)</f>
        <v>15248</v>
      </c>
      <c r="J156" s="120"/>
      <c r="K156" s="120">
        <f t="shared" si="18"/>
        <v>0</v>
      </c>
      <c r="L156" s="120">
        <f>SUM(L147:L155)</f>
        <v>2640</v>
      </c>
      <c r="M156" s="120">
        <f>SUM(M147:M155)</f>
        <v>0</v>
      </c>
      <c r="N156" s="120">
        <f>SUM(N147:N155)</f>
        <v>0</v>
      </c>
      <c r="O156" s="120">
        <f>SUM(O147:O155)</f>
        <v>0</v>
      </c>
      <c r="P156" s="120">
        <f t="shared" si="18"/>
        <v>0</v>
      </c>
      <c r="Q156" s="120">
        <f t="shared" si="18"/>
        <v>0</v>
      </c>
      <c r="R156" s="120">
        <f t="shared" si="18"/>
        <v>197728</v>
      </c>
    </row>
    <row r="158" spans="2:18" x14ac:dyDescent="0.2">
      <c r="B158" s="130" t="s">
        <v>286</v>
      </c>
      <c r="C158" s="118">
        <v>2832</v>
      </c>
      <c r="D158" s="118">
        <v>-569</v>
      </c>
      <c r="E158" s="118">
        <v>454</v>
      </c>
      <c r="F158" s="118">
        <v>-22</v>
      </c>
      <c r="G158" s="118">
        <v>-99</v>
      </c>
      <c r="H158" s="118">
        <v>-430</v>
      </c>
      <c r="I158" s="118">
        <v>-222</v>
      </c>
      <c r="J158" s="118"/>
      <c r="K158" s="318" t="s">
        <v>47</v>
      </c>
      <c r="L158" s="318">
        <v>29</v>
      </c>
      <c r="M158" s="318">
        <v>0</v>
      </c>
      <c r="N158" s="318">
        <v>0</v>
      </c>
      <c r="O158" s="318">
        <v>0</v>
      </c>
      <c r="P158" s="318" t="s">
        <v>47</v>
      </c>
      <c r="Q158" s="318" t="s">
        <v>47</v>
      </c>
      <c r="R158" s="118">
        <f t="shared" ref="R158:R164" si="19">SUM(C158:Q158)</f>
        <v>1973</v>
      </c>
    </row>
    <row r="159" spans="2:18" x14ac:dyDescent="0.2">
      <c r="B159" s="130" t="s">
        <v>697</v>
      </c>
      <c r="C159" s="118">
        <v>0</v>
      </c>
      <c r="D159" s="118">
        <v>0</v>
      </c>
      <c r="E159" s="118">
        <v>0</v>
      </c>
      <c r="F159" s="118">
        <v>0</v>
      </c>
      <c r="G159" s="118">
        <v>0</v>
      </c>
      <c r="H159" s="118">
        <v>0</v>
      </c>
      <c r="I159" s="118">
        <v>0</v>
      </c>
      <c r="J159" s="118"/>
      <c r="K159" s="318" t="s">
        <v>47</v>
      </c>
      <c r="L159" s="318">
        <v>0</v>
      </c>
      <c r="M159" s="318">
        <v>0</v>
      </c>
      <c r="N159" s="318">
        <v>0</v>
      </c>
      <c r="O159" s="318">
        <v>0</v>
      </c>
      <c r="P159" s="318" t="s">
        <v>47</v>
      </c>
      <c r="Q159" s="318" t="s">
        <v>47</v>
      </c>
      <c r="R159" s="118">
        <f t="shared" si="19"/>
        <v>0</v>
      </c>
    </row>
    <row r="160" spans="2:18" x14ac:dyDescent="0.2">
      <c r="B160" s="130" t="s">
        <v>778</v>
      </c>
      <c r="C160" s="118">
        <v>0</v>
      </c>
      <c r="D160" s="118">
        <v>0</v>
      </c>
      <c r="E160" s="118">
        <v>4000</v>
      </c>
      <c r="F160" s="118">
        <v>0</v>
      </c>
      <c r="G160" s="118">
        <v>0</v>
      </c>
      <c r="H160" s="118">
        <v>0</v>
      </c>
      <c r="I160" s="118">
        <v>0</v>
      </c>
      <c r="J160" s="118"/>
      <c r="K160" s="318" t="s">
        <v>47</v>
      </c>
      <c r="L160" s="318">
        <v>0</v>
      </c>
      <c r="M160" s="318">
        <v>0</v>
      </c>
      <c r="N160" s="318">
        <v>0</v>
      </c>
      <c r="O160" s="318">
        <v>0</v>
      </c>
      <c r="P160" s="318" t="s">
        <v>47</v>
      </c>
      <c r="Q160" s="318" t="s">
        <v>47</v>
      </c>
      <c r="R160" s="118">
        <f t="shared" si="19"/>
        <v>4000</v>
      </c>
    </row>
    <row r="161" spans="2:18" x14ac:dyDescent="0.2">
      <c r="B161" s="130" t="s">
        <v>780</v>
      </c>
      <c r="C161" s="118">
        <v>0</v>
      </c>
      <c r="D161" s="118">
        <v>0</v>
      </c>
      <c r="E161" s="118">
        <v>0</v>
      </c>
      <c r="F161" s="118">
        <v>0</v>
      </c>
      <c r="G161" s="118">
        <v>0</v>
      </c>
      <c r="H161" s="118">
        <v>0</v>
      </c>
      <c r="I161" s="118">
        <v>0</v>
      </c>
      <c r="J161" s="118"/>
      <c r="K161" s="318" t="s">
        <v>47</v>
      </c>
      <c r="L161" s="318">
        <v>0</v>
      </c>
      <c r="M161" s="318">
        <v>1</v>
      </c>
      <c r="N161" s="318">
        <v>0</v>
      </c>
      <c r="O161" s="318">
        <v>0</v>
      </c>
      <c r="P161" s="318" t="s">
        <v>47</v>
      </c>
      <c r="Q161" s="318" t="s">
        <v>47</v>
      </c>
      <c r="R161" s="118">
        <f t="shared" si="19"/>
        <v>1</v>
      </c>
    </row>
    <row r="162" spans="2:18" x14ac:dyDescent="0.2">
      <c r="B162" s="130" t="s">
        <v>907</v>
      </c>
      <c r="C162" s="118">
        <v>0</v>
      </c>
      <c r="D162" s="118">
        <v>0</v>
      </c>
      <c r="E162" s="118">
        <v>0</v>
      </c>
      <c r="F162" s="118">
        <v>0</v>
      </c>
      <c r="G162" s="118">
        <v>0</v>
      </c>
      <c r="H162" s="118">
        <v>0</v>
      </c>
      <c r="I162" s="118">
        <v>0</v>
      </c>
      <c r="J162" s="118"/>
      <c r="K162" s="318" t="s">
        <v>47</v>
      </c>
      <c r="L162" s="318">
        <v>0</v>
      </c>
      <c r="M162" s="318">
        <v>0</v>
      </c>
      <c r="N162" s="318">
        <v>0</v>
      </c>
      <c r="O162" s="318">
        <v>0</v>
      </c>
      <c r="P162" s="318" t="s">
        <v>47</v>
      </c>
      <c r="Q162" s="318" t="s">
        <v>47</v>
      </c>
      <c r="R162" s="118">
        <f t="shared" si="19"/>
        <v>0</v>
      </c>
    </row>
    <row r="163" spans="2:18" ht="14.25" customHeight="1" x14ac:dyDescent="0.2">
      <c r="B163" s="130" t="s">
        <v>175</v>
      </c>
      <c r="C163" s="118">
        <v>0</v>
      </c>
      <c r="D163" s="118">
        <v>0</v>
      </c>
      <c r="E163" s="118">
        <v>0</v>
      </c>
      <c r="F163" s="118">
        <v>0</v>
      </c>
      <c r="G163" s="118">
        <v>-85</v>
      </c>
      <c r="H163" s="118">
        <v>0</v>
      </c>
      <c r="I163" s="118">
        <v>0</v>
      </c>
      <c r="J163" s="118"/>
      <c r="K163" s="318" t="s">
        <v>47</v>
      </c>
      <c r="L163" s="318">
        <v>0</v>
      </c>
      <c r="M163" s="318">
        <v>0</v>
      </c>
      <c r="N163" s="318">
        <v>0</v>
      </c>
      <c r="O163" s="318">
        <v>0</v>
      </c>
      <c r="P163" s="318" t="s">
        <v>47</v>
      </c>
      <c r="Q163" s="318" t="s">
        <v>47</v>
      </c>
      <c r="R163" s="118">
        <f t="shared" si="19"/>
        <v>-85</v>
      </c>
    </row>
    <row r="164" spans="2:18" ht="14.25" customHeight="1" x14ac:dyDescent="0.2">
      <c r="B164" s="130" t="s">
        <v>858</v>
      </c>
      <c r="C164" s="118">
        <v>0</v>
      </c>
      <c r="D164" s="118">
        <v>0</v>
      </c>
      <c r="E164" s="118">
        <v>0</v>
      </c>
      <c r="F164" s="118">
        <v>0</v>
      </c>
      <c r="G164" s="118">
        <v>0</v>
      </c>
      <c r="H164" s="118">
        <v>0</v>
      </c>
      <c r="I164" s="118">
        <v>0</v>
      </c>
      <c r="J164" s="118"/>
      <c r="K164" s="318" t="s">
        <v>47</v>
      </c>
      <c r="L164" s="318">
        <v>0</v>
      </c>
      <c r="M164" s="318">
        <v>0</v>
      </c>
      <c r="N164" s="318">
        <v>0</v>
      </c>
      <c r="O164" s="318">
        <v>0</v>
      </c>
      <c r="P164" s="318" t="s">
        <v>47</v>
      </c>
      <c r="Q164" s="318" t="s">
        <v>47</v>
      </c>
      <c r="R164" s="118">
        <f t="shared" si="19"/>
        <v>0</v>
      </c>
    </row>
    <row r="165" spans="2:18" x14ac:dyDescent="0.2">
      <c r="B165" s="127" t="s">
        <v>864</v>
      </c>
      <c r="C165" s="120">
        <f t="shared" ref="C165:I165" si="20">SUM(C156:C164)</f>
        <v>42729</v>
      </c>
      <c r="D165" s="120">
        <f t="shared" si="20"/>
        <v>25530</v>
      </c>
      <c r="E165" s="120">
        <f t="shared" si="20"/>
        <v>80906</v>
      </c>
      <c r="F165" s="120">
        <f t="shared" si="20"/>
        <v>1426</v>
      </c>
      <c r="G165" s="120">
        <f t="shared" si="20"/>
        <v>1229</v>
      </c>
      <c r="H165" s="120">
        <f t="shared" si="20"/>
        <v>34101</v>
      </c>
      <c r="I165" s="120">
        <f t="shared" si="20"/>
        <v>15026</v>
      </c>
      <c r="J165" s="120"/>
      <c r="K165" s="120">
        <f>SUM(K147:K164)</f>
        <v>0</v>
      </c>
      <c r="L165" s="120">
        <f>SUM(L156:L164)</f>
        <v>2669</v>
      </c>
      <c r="M165" s="120">
        <f>SUM(M156:M164)</f>
        <v>1</v>
      </c>
      <c r="N165" s="120">
        <f>SUM(N156:N164)</f>
        <v>0</v>
      </c>
      <c r="O165" s="120">
        <f>SUM(O156:O164)</f>
        <v>0</v>
      </c>
      <c r="P165" s="120">
        <f>SUM(P147:P164)</f>
        <v>0</v>
      </c>
      <c r="Q165" s="120">
        <f>SUM(Q147:Q164)</f>
        <v>0</v>
      </c>
      <c r="R165" s="120">
        <f>SUM(R156:R164)</f>
        <v>203617</v>
      </c>
    </row>
    <row r="167" spans="2:18" x14ac:dyDescent="0.2">
      <c r="B167" s="130" t="s">
        <v>286</v>
      </c>
      <c r="C167" s="118">
        <v>2414</v>
      </c>
      <c r="D167" s="118">
        <v>-673</v>
      </c>
      <c r="E167" s="118">
        <v>855</v>
      </c>
      <c r="F167" s="118">
        <v>4</v>
      </c>
      <c r="G167" s="118">
        <v>-201</v>
      </c>
      <c r="H167" s="118">
        <v>523</v>
      </c>
      <c r="I167" s="118">
        <v>974</v>
      </c>
      <c r="J167" s="118"/>
      <c r="K167" s="318">
        <v>0</v>
      </c>
      <c r="L167" s="318">
        <v>17</v>
      </c>
      <c r="M167" s="318">
        <v>0</v>
      </c>
      <c r="N167" s="318">
        <v>0</v>
      </c>
      <c r="O167" s="318">
        <v>0</v>
      </c>
      <c r="P167" s="318">
        <v>0</v>
      </c>
      <c r="Q167" s="318">
        <v>0</v>
      </c>
      <c r="R167" s="118">
        <f t="shared" ref="R167:R173" si="21">SUM(C167:Q167)</f>
        <v>3913</v>
      </c>
    </row>
    <row r="168" spans="2:18" x14ac:dyDescent="0.2">
      <c r="B168" s="130" t="s">
        <v>697</v>
      </c>
      <c r="C168" s="118">
        <v>0</v>
      </c>
      <c r="D168" s="118">
        <v>0</v>
      </c>
      <c r="E168" s="118">
        <v>0</v>
      </c>
      <c r="F168" s="118">
        <v>0</v>
      </c>
      <c r="G168" s="118">
        <v>0</v>
      </c>
      <c r="H168" s="118">
        <v>0</v>
      </c>
      <c r="I168" s="118">
        <v>0</v>
      </c>
      <c r="J168" s="118"/>
      <c r="K168" s="318">
        <v>0</v>
      </c>
      <c r="L168" s="318">
        <v>0</v>
      </c>
      <c r="M168" s="318">
        <v>0</v>
      </c>
      <c r="N168" s="318">
        <v>0</v>
      </c>
      <c r="O168" s="318">
        <v>0</v>
      </c>
      <c r="P168" s="318">
        <v>0</v>
      </c>
      <c r="Q168" s="318">
        <v>0</v>
      </c>
      <c r="R168" s="118">
        <f t="shared" si="21"/>
        <v>0</v>
      </c>
    </row>
    <row r="169" spans="2:18" x14ac:dyDescent="0.2">
      <c r="B169" s="130" t="s">
        <v>778</v>
      </c>
      <c r="C169" s="118">
        <v>0</v>
      </c>
      <c r="D169" s="118">
        <v>0</v>
      </c>
      <c r="E169" s="118">
        <v>2500</v>
      </c>
      <c r="F169" s="118">
        <v>0</v>
      </c>
      <c r="G169" s="118">
        <v>0</v>
      </c>
      <c r="H169" s="118">
        <v>0</v>
      </c>
      <c r="I169" s="118">
        <v>0</v>
      </c>
      <c r="J169" s="118"/>
      <c r="K169" s="318">
        <v>0</v>
      </c>
      <c r="L169" s="318">
        <v>0</v>
      </c>
      <c r="M169" s="318">
        <v>0</v>
      </c>
      <c r="N169" s="318">
        <v>0</v>
      </c>
      <c r="O169" s="318">
        <v>0</v>
      </c>
      <c r="P169" s="318">
        <v>0</v>
      </c>
      <c r="Q169" s="318">
        <v>0</v>
      </c>
      <c r="R169" s="118">
        <f t="shared" si="21"/>
        <v>2500</v>
      </c>
    </row>
    <row r="170" spans="2:18" x14ac:dyDescent="0.2">
      <c r="B170" s="130" t="s">
        <v>780</v>
      </c>
      <c r="C170" s="118">
        <v>0</v>
      </c>
      <c r="D170" s="118">
        <v>0</v>
      </c>
      <c r="E170" s="118">
        <v>0</v>
      </c>
      <c r="F170" s="118">
        <v>0</v>
      </c>
      <c r="G170" s="118">
        <v>0</v>
      </c>
      <c r="H170" s="118">
        <v>0</v>
      </c>
      <c r="I170" s="118">
        <v>0</v>
      </c>
      <c r="J170" s="118"/>
      <c r="K170" s="318">
        <v>0</v>
      </c>
      <c r="L170" s="318">
        <v>0</v>
      </c>
      <c r="M170" s="318">
        <v>0</v>
      </c>
      <c r="N170" s="318">
        <v>0</v>
      </c>
      <c r="O170" s="318">
        <v>0</v>
      </c>
      <c r="P170" s="318">
        <v>0</v>
      </c>
      <c r="Q170" s="318">
        <v>0</v>
      </c>
      <c r="R170" s="118">
        <f t="shared" si="21"/>
        <v>0</v>
      </c>
    </row>
    <row r="171" spans="2:18" x14ac:dyDescent="0.2">
      <c r="B171" s="130" t="s">
        <v>907</v>
      </c>
      <c r="C171" s="118">
        <v>0</v>
      </c>
      <c r="D171" s="118">
        <v>0</v>
      </c>
      <c r="E171" s="118">
        <v>0</v>
      </c>
      <c r="F171" s="118">
        <v>0</v>
      </c>
      <c r="G171" s="118">
        <v>0</v>
      </c>
      <c r="H171" s="118">
        <v>0</v>
      </c>
      <c r="I171" s="118">
        <v>0</v>
      </c>
      <c r="J171" s="118"/>
      <c r="K171" s="318">
        <v>0</v>
      </c>
      <c r="L171" s="318">
        <v>0</v>
      </c>
      <c r="M171" s="318">
        <v>0</v>
      </c>
      <c r="N171" s="318">
        <v>0</v>
      </c>
      <c r="O171" s="318">
        <v>0</v>
      </c>
      <c r="P171" s="318">
        <v>0</v>
      </c>
      <c r="Q171" s="318">
        <v>0</v>
      </c>
      <c r="R171" s="118">
        <f t="shared" si="21"/>
        <v>0</v>
      </c>
    </row>
    <row r="172" spans="2:18" ht="14.25" customHeight="1" x14ac:dyDescent="0.2">
      <c r="B172" s="130" t="s">
        <v>175</v>
      </c>
      <c r="C172" s="118">
        <v>0</v>
      </c>
      <c r="D172" s="118">
        <v>0</v>
      </c>
      <c r="E172" s="118">
        <v>0</v>
      </c>
      <c r="F172" s="118">
        <v>0</v>
      </c>
      <c r="G172" s="118">
        <v>-182</v>
      </c>
      <c r="H172" s="118">
        <v>0</v>
      </c>
      <c r="I172" s="118">
        <v>0</v>
      </c>
      <c r="J172" s="118"/>
      <c r="K172" s="318">
        <v>0</v>
      </c>
      <c r="L172" s="318">
        <v>0</v>
      </c>
      <c r="M172" s="318">
        <v>0</v>
      </c>
      <c r="N172" s="318">
        <v>0</v>
      </c>
      <c r="O172" s="318">
        <v>0</v>
      </c>
      <c r="P172" s="318">
        <v>0</v>
      </c>
      <c r="Q172" s="318">
        <v>0</v>
      </c>
      <c r="R172" s="118">
        <f t="shared" si="21"/>
        <v>-182</v>
      </c>
    </row>
    <row r="173" spans="2:18" ht="14.25" customHeight="1" x14ac:dyDescent="0.2">
      <c r="B173" s="130" t="s">
        <v>858</v>
      </c>
      <c r="C173" s="118">
        <v>0</v>
      </c>
      <c r="D173" s="118">
        <v>0</v>
      </c>
      <c r="E173" s="118">
        <v>0</v>
      </c>
      <c r="F173" s="118">
        <v>0</v>
      </c>
      <c r="G173" s="118">
        <v>0</v>
      </c>
      <c r="H173" s="118">
        <v>0</v>
      </c>
      <c r="I173" s="118">
        <v>0</v>
      </c>
      <c r="J173" s="118"/>
      <c r="K173" s="318">
        <v>0</v>
      </c>
      <c r="L173" s="318">
        <v>0</v>
      </c>
      <c r="M173" s="318">
        <v>0</v>
      </c>
      <c r="N173" s="318">
        <v>0</v>
      </c>
      <c r="O173" s="318">
        <v>0</v>
      </c>
      <c r="P173" s="318">
        <v>0</v>
      </c>
      <c r="Q173" s="318">
        <v>0</v>
      </c>
      <c r="R173" s="118">
        <f t="shared" si="21"/>
        <v>0</v>
      </c>
    </row>
    <row r="174" spans="2:18" x14ac:dyDescent="0.2">
      <c r="B174" s="127" t="s">
        <v>925</v>
      </c>
      <c r="C174" s="120">
        <f t="shared" ref="C174:H174" si="22">SUM(C165:C173)</f>
        <v>45143</v>
      </c>
      <c r="D174" s="120">
        <f t="shared" si="22"/>
        <v>24857</v>
      </c>
      <c r="E174" s="120">
        <f t="shared" si="22"/>
        <v>84261</v>
      </c>
      <c r="F174" s="120">
        <f t="shared" si="22"/>
        <v>1430</v>
      </c>
      <c r="G174" s="120">
        <f t="shared" si="22"/>
        <v>846</v>
      </c>
      <c r="H174" s="120">
        <f t="shared" si="22"/>
        <v>34624</v>
      </c>
      <c r="I174" s="120">
        <f>SUM(I165:I173)</f>
        <v>16000</v>
      </c>
      <c r="J174" s="120"/>
      <c r="K174" s="120">
        <f>SUM(K147:K173)</f>
        <v>0</v>
      </c>
      <c r="L174" s="120">
        <f>SUM(L165:L173)</f>
        <v>2686</v>
      </c>
      <c r="M174" s="120">
        <f>SUM(M165:M173)</f>
        <v>1</v>
      </c>
      <c r="N174" s="120">
        <f>SUM(N165:N173)</f>
        <v>0</v>
      </c>
      <c r="O174" s="120">
        <f>SUM(O165:O173)</f>
        <v>0</v>
      </c>
      <c r="P174" s="120">
        <f>SUM(P147:P173)</f>
        <v>0</v>
      </c>
      <c r="Q174" s="120">
        <f>SUM(Q147:Q173)</f>
        <v>0</v>
      </c>
      <c r="R174" s="120">
        <f>SUM(R165:R173)</f>
        <v>209848</v>
      </c>
    </row>
    <row r="176" spans="2:18" x14ac:dyDescent="0.2">
      <c r="B176" s="130" t="s">
        <v>68</v>
      </c>
      <c r="C176" s="118">
        <v>3476</v>
      </c>
      <c r="D176" s="118">
        <v>-331</v>
      </c>
      <c r="E176" s="118">
        <v>620</v>
      </c>
      <c r="F176" s="118">
        <v>-95</v>
      </c>
      <c r="G176" s="118">
        <v>-2</v>
      </c>
      <c r="H176" s="118">
        <v>846</v>
      </c>
      <c r="I176" s="118">
        <v>817</v>
      </c>
      <c r="J176" s="118"/>
      <c r="K176" s="318" t="s">
        <v>47</v>
      </c>
      <c r="L176" s="318">
        <v>-40</v>
      </c>
      <c r="M176" s="318">
        <v>0</v>
      </c>
      <c r="N176" s="318">
        <v>0</v>
      </c>
      <c r="O176" s="318">
        <v>0</v>
      </c>
      <c r="P176" s="318" t="s">
        <v>47</v>
      </c>
      <c r="Q176" s="318" t="s">
        <v>47</v>
      </c>
      <c r="R176" s="118">
        <f t="shared" ref="R176:R182" si="23">SUM(C176:Q176)</f>
        <v>5291</v>
      </c>
    </row>
    <row r="177" spans="2:18" x14ac:dyDescent="0.2">
      <c r="B177" s="130" t="s">
        <v>696</v>
      </c>
      <c r="C177" s="118">
        <v>0</v>
      </c>
      <c r="D177" s="118">
        <v>0</v>
      </c>
      <c r="E177" s="118">
        <v>0</v>
      </c>
      <c r="F177" s="118">
        <v>0</v>
      </c>
      <c r="G177" s="118">
        <v>0</v>
      </c>
      <c r="H177" s="118">
        <v>0</v>
      </c>
      <c r="I177" s="118">
        <v>0</v>
      </c>
      <c r="J177" s="118"/>
      <c r="K177" s="318" t="s">
        <v>47</v>
      </c>
      <c r="L177" s="318">
        <v>0</v>
      </c>
      <c r="M177" s="318">
        <v>0</v>
      </c>
      <c r="N177" s="318">
        <v>0</v>
      </c>
      <c r="O177" s="318">
        <v>0</v>
      </c>
      <c r="P177" s="318" t="s">
        <v>47</v>
      </c>
      <c r="Q177" s="318" t="s">
        <v>47</v>
      </c>
      <c r="R177" s="118">
        <f t="shared" si="23"/>
        <v>0</v>
      </c>
    </row>
    <row r="178" spans="2:18" x14ac:dyDescent="0.2">
      <c r="B178" s="130" t="s">
        <v>779</v>
      </c>
      <c r="C178" s="118">
        <v>1020</v>
      </c>
      <c r="D178" s="118">
        <v>0</v>
      </c>
      <c r="E178" s="118">
        <v>0</v>
      </c>
      <c r="F178" s="262">
        <v>3202</v>
      </c>
      <c r="G178" s="118">
        <v>-320</v>
      </c>
      <c r="H178" s="118">
        <v>0</v>
      </c>
      <c r="I178" s="118">
        <v>0</v>
      </c>
      <c r="J178" s="118"/>
      <c r="K178" s="318" t="s">
        <v>47</v>
      </c>
      <c r="L178" s="318">
        <v>0</v>
      </c>
      <c r="M178" s="318">
        <v>0</v>
      </c>
      <c r="N178" s="318">
        <v>0</v>
      </c>
      <c r="O178" s="318">
        <v>0</v>
      </c>
      <c r="P178" s="318" t="s">
        <v>47</v>
      </c>
      <c r="Q178" s="318" t="s">
        <v>47</v>
      </c>
      <c r="R178" s="118">
        <f t="shared" si="23"/>
        <v>3902</v>
      </c>
    </row>
    <row r="179" spans="2:18" x14ac:dyDescent="0.2">
      <c r="B179" s="130" t="s">
        <v>90</v>
      </c>
      <c r="C179" s="118">
        <v>0</v>
      </c>
      <c r="D179" s="118">
        <v>0</v>
      </c>
      <c r="E179" s="118">
        <v>0</v>
      </c>
      <c r="F179" s="118">
        <v>0</v>
      </c>
      <c r="G179" s="118">
        <v>0</v>
      </c>
      <c r="H179" s="118">
        <v>0</v>
      </c>
      <c r="I179" s="118">
        <v>0</v>
      </c>
      <c r="J179" s="118"/>
      <c r="K179" s="318" t="s">
        <v>47</v>
      </c>
      <c r="L179" s="318">
        <v>0</v>
      </c>
      <c r="M179" s="318">
        <v>0</v>
      </c>
      <c r="N179" s="318">
        <v>0</v>
      </c>
      <c r="O179" s="318">
        <v>0</v>
      </c>
      <c r="P179" s="318" t="s">
        <v>47</v>
      </c>
      <c r="Q179" s="318" t="s">
        <v>47</v>
      </c>
      <c r="R179" s="118">
        <f t="shared" si="23"/>
        <v>0</v>
      </c>
    </row>
    <row r="180" spans="2:18" x14ac:dyDescent="0.2">
      <c r="B180" s="130" t="s">
        <v>770</v>
      </c>
      <c r="C180" s="118">
        <v>0</v>
      </c>
      <c r="D180" s="118">
        <v>0</v>
      </c>
      <c r="E180" s="118">
        <v>0</v>
      </c>
      <c r="F180" s="118">
        <v>0</v>
      </c>
      <c r="G180" s="118">
        <v>0</v>
      </c>
      <c r="H180" s="118">
        <v>0</v>
      </c>
      <c r="I180" s="118">
        <v>0</v>
      </c>
      <c r="J180" s="118"/>
      <c r="K180" s="318" t="s">
        <v>47</v>
      </c>
      <c r="L180" s="318">
        <v>0</v>
      </c>
      <c r="M180" s="318">
        <v>0</v>
      </c>
      <c r="N180" s="318">
        <v>0</v>
      </c>
      <c r="O180" s="318">
        <v>0</v>
      </c>
      <c r="P180" s="318" t="s">
        <v>47</v>
      </c>
      <c r="Q180" s="318" t="s">
        <v>47</v>
      </c>
      <c r="R180" s="118">
        <f t="shared" si="23"/>
        <v>0</v>
      </c>
    </row>
    <row r="181" spans="2:18" ht="14.25" customHeight="1" x14ac:dyDescent="0.2">
      <c r="B181" s="130" t="s">
        <v>93</v>
      </c>
      <c r="C181" s="118">
        <v>0</v>
      </c>
      <c r="D181" s="118">
        <v>0</v>
      </c>
      <c r="E181" s="118">
        <v>0</v>
      </c>
      <c r="F181" s="118">
        <v>0</v>
      </c>
      <c r="G181" s="118">
        <v>0</v>
      </c>
      <c r="H181" s="118">
        <v>0</v>
      </c>
      <c r="I181" s="118">
        <v>0</v>
      </c>
      <c r="J181" s="118"/>
      <c r="K181" s="318" t="s">
        <v>47</v>
      </c>
      <c r="L181" s="318">
        <v>0</v>
      </c>
      <c r="M181" s="318">
        <v>0</v>
      </c>
      <c r="N181" s="318">
        <v>0</v>
      </c>
      <c r="O181" s="318">
        <v>0</v>
      </c>
      <c r="P181" s="318" t="s">
        <v>47</v>
      </c>
      <c r="Q181" s="318" t="s">
        <v>47</v>
      </c>
      <c r="R181" s="118">
        <f t="shared" si="23"/>
        <v>0</v>
      </c>
    </row>
    <row r="182" spans="2:18" ht="14.25" customHeight="1" x14ac:dyDescent="0.2">
      <c r="B182" s="130" t="s">
        <v>857</v>
      </c>
      <c r="C182" s="118">
        <v>0</v>
      </c>
      <c r="D182" s="118">
        <v>0</v>
      </c>
      <c r="E182" s="118">
        <v>0</v>
      </c>
      <c r="F182" s="118">
        <v>0</v>
      </c>
      <c r="G182" s="118">
        <v>0</v>
      </c>
      <c r="H182" s="118">
        <v>0</v>
      </c>
      <c r="I182" s="118">
        <v>0</v>
      </c>
      <c r="J182" s="118"/>
      <c r="K182" s="318" t="s">
        <v>47</v>
      </c>
      <c r="L182" s="318">
        <v>0</v>
      </c>
      <c r="M182" s="318">
        <v>0</v>
      </c>
      <c r="N182" s="318">
        <v>0</v>
      </c>
      <c r="O182" s="318">
        <v>0</v>
      </c>
      <c r="P182" s="318" t="s">
        <v>47</v>
      </c>
      <c r="Q182" s="318" t="s">
        <v>47</v>
      </c>
      <c r="R182" s="118">
        <f t="shared" si="23"/>
        <v>0</v>
      </c>
    </row>
    <row r="183" spans="2:18" x14ac:dyDescent="0.2">
      <c r="B183" s="127" t="s">
        <v>943</v>
      </c>
      <c r="C183" s="120">
        <f>SUM(C174:C182)</f>
        <v>49639</v>
      </c>
      <c r="D183" s="120">
        <f t="shared" ref="D183:R183" si="24">SUM(D174:D182)</f>
        <v>24526</v>
      </c>
      <c r="E183" s="120">
        <f t="shared" si="24"/>
        <v>84881</v>
      </c>
      <c r="F183" s="120">
        <f t="shared" si="24"/>
        <v>4537</v>
      </c>
      <c r="G183" s="120">
        <f t="shared" si="24"/>
        <v>524</v>
      </c>
      <c r="H183" s="120">
        <f t="shared" si="24"/>
        <v>35470</v>
      </c>
      <c r="I183" s="120">
        <f>SUM(I174:I182)</f>
        <v>16817</v>
      </c>
      <c r="J183" s="120"/>
      <c r="K183" s="120">
        <f t="shared" si="24"/>
        <v>0</v>
      </c>
      <c r="L183" s="120">
        <f>SUM(L174:L182)</f>
        <v>2646</v>
      </c>
      <c r="M183" s="120">
        <f>SUM(M174:M182)</f>
        <v>1</v>
      </c>
      <c r="N183" s="120">
        <f>SUM(N174:N182)</f>
        <v>0</v>
      </c>
      <c r="O183" s="120">
        <f>SUM(O174:O182)</f>
        <v>0</v>
      </c>
      <c r="P183" s="120">
        <f t="shared" si="24"/>
        <v>0</v>
      </c>
      <c r="Q183" s="120">
        <f t="shared" si="24"/>
        <v>0</v>
      </c>
      <c r="R183" s="120">
        <f t="shared" si="24"/>
        <v>219041</v>
      </c>
    </row>
    <row r="185" spans="2:18" customFormat="1" x14ac:dyDescent="0.2">
      <c r="B185" s="130" t="s">
        <v>286</v>
      </c>
      <c r="C185" s="118">
        <v>9982</v>
      </c>
      <c r="D185" s="118">
        <v>-1103</v>
      </c>
      <c r="E185" s="118">
        <v>667</v>
      </c>
      <c r="F185" s="118">
        <v>-20</v>
      </c>
      <c r="G185" s="118">
        <v>-31</v>
      </c>
      <c r="H185" s="118">
        <v>2380</v>
      </c>
      <c r="I185" s="118">
        <v>-2065</v>
      </c>
      <c r="J185" s="118"/>
      <c r="K185" s="318">
        <v>0</v>
      </c>
      <c r="L185" s="318">
        <v>18</v>
      </c>
      <c r="M185" s="318">
        <v>0</v>
      </c>
      <c r="N185" s="318">
        <v>0</v>
      </c>
      <c r="O185" s="318">
        <v>0</v>
      </c>
      <c r="P185" s="318">
        <v>0</v>
      </c>
      <c r="Q185" s="318">
        <v>0</v>
      </c>
      <c r="R185" s="118">
        <f t="shared" ref="R185:R191" si="25">SUM(C185:Q185)</f>
        <v>9828</v>
      </c>
    </row>
    <row r="186" spans="2:18" customFormat="1" x14ac:dyDescent="0.2">
      <c r="B186" s="130" t="s">
        <v>697</v>
      </c>
      <c r="C186" s="118">
        <v>0</v>
      </c>
      <c r="D186" s="118">
        <v>0</v>
      </c>
      <c r="E186" s="118">
        <v>0</v>
      </c>
      <c r="F186" s="118">
        <v>0</v>
      </c>
      <c r="G186" s="118">
        <v>0</v>
      </c>
      <c r="H186" s="118">
        <v>0</v>
      </c>
      <c r="I186" s="118">
        <v>0</v>
      </c>
      <c r="J186" s="118"/>
      <c r="K186" s="318">
        <v>0</v>
      </c>
      <c r="L186" s="318">
        <v>0</v>
      </c>
      <c r="M186" s="318">
        <v>0</v>
      </c>
      <c r="N186" s="318">
        <v>0</v>
      </c>
      <c r="O186" s="318">
        <v>0</v>
      </c>
      <c r="P186" s="318">
        <v>0</v>
      </c>
      <c r="Q186" s="318">
        <v>0</v>
      </c>
      <c r="R186" s="118">
        <f t="shared" si="25"/>
        <v>0</v>
      </c>
    </row>
    <row r="187" spans="2:18" customFormat="1" x14ac:dyDescent="0.2">
      <c r="B187" s="130" t="s">
        <v>778</v>
      </c>
      <c r="C187" s="118">
        <v>0</v>
      </c>
      <c r="D187" s="118">
        <v>0</v>
      </c>
      <c r="E187" s="118">
        <v>22031</v>
      </c>
      <c r="F187" s="118">
        <v>0</v>
      </c>
      <c r="G187" s="118">
        <v>0</v>
      </c>
      <c r="H187" s="118">
        <v>0</v>
      </c>
      <c r="I187" s="118">
        <v>0</v>
      </c>
      <c r="J187" s="118"/>
      <c r="K187" s="318">
        <v>0</v>
      </c>
      <c r="L187" s="318">
        <v>0</v>
      </c>
      <c r="M187" s="318">
        <v>0</v>
      </c>
      <c r="N187" s="318">
        <v>0</v>
      </c>
      <c r="O187" s="318">
        <v>0</v>
      </c>
      <c r="P187" s="318">
        <v>0</v>
      </c>
      <c r="Q187" s="318">
        <v>0</v>
      </c>
      <c r="R187" s="118">
        <f t="shared" si="25"/>
        <v>22031</v>
      </c>
    </row>
    <row r="188" spans="2:18" customFormat="1" x14ac:dyDescent="0.2">
      <c r="B188" s="130" t="s">
        <v>780</v>
      </c>
      <c r="C188" s="118">
        <v>0</v>
      </c>
      <c r="D188" s="118">
        <v>0</v>
      </c>
      <c r="E188" s="118">
        <v>0</v>
      </c>
      <c r="F188" s="118">
        <v>0</v>
      </c>
      <c r="G188" s="118">
        <v>0</v>
      </c>
      <c r="H188" s="118">
        <v>0</v>
      </c>
      <c r="I188" s="118">
        <v>0</v>
      </c>
      <c r="J188" s="118"/>
      <c r="K188" s="318">
        <v>0</v>
      </c>
      <c r="L188" s="318">
        <v>0</v>
      </c>
      <c r="M188" s="318">
        <v>0</v>
      </c>
      <c r="N188" s="318">
        <v>0</v>
      </c>
      <c r="O188" s="318">
        <v>0</v>
      </c>
      <c r="P188" s="318">
        <v>0</v>
      </c>
      <c r="Q188" s="318">
        <v>0</v>
      </c>
      <c r="R188" s="118">
        <f t="shared" si="25"/>
        <v>0</v>
      </c>
    </row>
    <row r="189" spans="2:18" customFormat="1" x14ac:dyDescent="0.2">
      <c r="B189" s="130" t="s">
        <v>907</v>
      </c>
      <c r="C189" s="118">
        <v>0</v>
      </c>
      <c r="D189" s="118">
        <v>0</v>
      </c>
      <c r="E189" s="118">
        <v>0</v>
      </c>
      <c r="F189" s="118">
        <v>0</v>
      </c>
      <c r="G189" s="118">
        <v>0</v>
      </c>
      <c r="H189" s="118">
        <v>0</v>
      </c>
      <c r="I189" s="118">
        <v>0</v>
      </c>
      <c r="J189" s="118"/>
      <c r="K189" s="318">
        <v>0</v>
      </c>
      <c r="L189" s="318">
        <v>0</v>
      </c>
      <c r="M189" s="318">
        <v>0</v>
      </c>
      <c r="N189" s="318">
        <v>0</v>
      </c>
      <c r="O189" s="318">
        <v>0</v>
      </c>
      <c r="P189" s="318">
        <v>0</v>
      </c>
      <c r="Q189" s="318">
        <v>0</v>
      </c>
      <c r="R189" s="118">
        <f t="shared" si="25"/>
        <v>0</v>
      </c>
    </row>
    <row r="190" spans="2:18" customFormat="1" ht="14.25" customHeight="1" x14ac:dyDescent="0.2">
      <c r="B190" s="130" t="s">
        <v>175</v>
      </c>
      <c r="C190" s="118">
        <v>0</v>
      </c>
      <c r="D190" s="118">
        <v>0</v>
      </c>
      <c r="E190" s="118">
        <v>0</v>
      </c>
      <c r="F190" s="118">
        <v>0</v>
      </c>
      <c r="G190" s="118">
        <v>0</v>
      </c>
      <c r="H190" s="118">
        <v>0</v>
      </c>
      <c r="I190" s="118">
        <v>0</v>
      </c>
      <c r="J190" s="118"/>
      <c r="K190" s="318">
        <v>0</v>
      </c>
      <c r="L190" s="318">
        <v>0</v>
      </c>
      <c r="M190" s="318">
        <v>0</v>
      </c>
      <c r="N190" s="318">
        <v>0</v>
      </c>
      <c r="O190" s="318">
        <v>0</v>
      </c>
      <c r="P190" s="318">
        <v>0</v>
      </c>
      <c r="Q190" s="318">
        <v>0</v>
      </c>
      <c r="R190" s="118">
        <f t="shared" si="25"/>
        <v>0</v>
      </c>
    </row>
    <row r="191" spans="2:18" customFormat="1" ht="14.25" customHeight="1" x14ac:dyDescent="0.2">
      <c r="B191" s="130" t="s">
        <v>858</v>
      </c>
      <c r="C191" s="118">
        <v>0</v>
      </c>
      <c r="D191" s="118">
        <v>0</v>
      </c>
      <c r="E191" s="118">
        <v>0</v>
      </c>
      <c r="F191" s="118">
        <v>0</v>
      </c>
      <c r="G191" s="118">
        <v>0</v>
      </c>
      <c r="H191" s="118">
        <v>0</v>
      </c>
      <c r="I191" s="118">
        <v>0</v>
      </c>
      <c r="J191" s="118"/>
      <c r="K191" s="318">
        <v>0</v>
      </c>
      <c r="L191" s="318">
        <v>0</v>
      </c>
      <c r="M191" s="318">
        <v>0</v>
      </c>
      <c r="N191" s="318">
        <v>0</v>
      </c>
      <c r="O191" s="318">
        <v>0</v>
      </c>
      <c r="P191" s="318">
        <v>0</v>
      </c>
      <c r="Q191" s="318">
        <v>0</v>
      </c>
      <c r="R191" s="118">
        <f t="shared" si="25"/>
        <v>0</v>
      </c>
    </row>
    <row r="192" spans="2:18" customFormat="1" x14ac:dyDescent="0.2">
      <c r="B192" s="127" t="s">
        <v>973</v>
      </c>
      <c r="C192" s="120">
        <f>SUM(C183:C191)</f>
        <v>59621</v>
      </c>
      <c r="D192" s="120">
        <f t="shared" ref="D192:R192" si="26">SUM(D183:D191)</f>
        <v>23423</v>
      </c>
      <c r="E192" s="120">
        <f t="shared" si="26"/>
        <v>107579</v>
      </c>
      <c r="F192" s="120">
        <f t="shared" si="26"/>
        <v>4517</v>
      </c>
      <c r="G192" s="120">
        <f t="shared" si="26"/>
        <v>493</v>
      </c>
      <c r="H192" s="120">
        <f t="shared" si="26"/>
        <v>37850</v>
      </c>
      <c r="I192" s="120">
        <f>SUM(I183:I191)</f>
        <v>14752</v>
      </c>
      <c r="J192" s="120"/>
      <c r="K192" s="120">
        <f t="shared" si="26"/>
        <v>0</v>
      </c>
      <c r="L192" s="120">
        <f>SUM(L183:L191)</f>
        <v>2664</v>
      </c>
      <c r="M192" s="120">
        <f>SUM(M183:M191)</f>
        <v>1</v>
      </c>
      <c r="N192" s="120">
        <f>SUM(N183:N191)</f>
        <v>0</v>
      </c>
      <c r="O192" s="120">
        <f>SUM(O183:O191)</f>
        <v>0</v>
      </c>
      <c r="P192" s="120">
        <f t="shared" si="26"/>
        <v>0</v>
      </c>
      <c r="Q192" s="120">
        <f t="shared" si="26"/>
        <v>0</v>
      </c>
      <c r="R192" s="120">
        <f t="shared" si="26"/>
        <v>250900</v>
      </c>
    </row>
    <row r="193" spans="1:18" customFormat="1" x14ac:dyDescent="0.2"/>
    <row r="194" spans="1:18" customFormat="1" x14ac:dyDescent="0.2">
      <c r="A194" t="s">
        <v>1029</v>
      </c>
      <c r="B194" s="130" t="s">
        <v>286</v>
      </c>
      <c r="C194" s="118">
        <v>3433</v>
      </c>
      <c r="D194" s="118">
        <v>104</v>
      </c>
      <c r="E194" s="118">
        <v>582</v>
      </c>
      <c r="F194" s="118">
        <v>-21</v>
      </c>
      <c r="G194" s="118">
        <v>-70</v>
      </c>
      <c r="H194" s="118">
        <v>1464</v>
      </c>
      <c r="I194" s="118">
        <v>3331</v>
      </c>
      <c r="J194" s="118"/>
      <c r="K194" s="318">
        <v>0</v>
      </c>
      <c r="L194" s="318">
        <v>12</v>
      </c>
      <c r="M194" s="318">
        <v>0</v>
      </c>
      <c r="N194" s="318" t="s">
        <v>47</v>
      </c>
      <c r="O194" s="318">
        <v>0</v>
      </c>
      <c r="P194" s="318">
        <v>0</v>
      </c>
      <c r="Q194" s="318">
        <v>0</v>
      </c>
      <c r="R194" s="118">
        <v>8835</v>
      </c>
    </row>
    <row r="195" spans="1:18" customFormat="1" x14ac:dyDescent="0.2">
      <c r="B195" s="130" t="s">
        <v>697</v>
      </c>
      <c r="C195" s="118">
        <v>0</v>
      </c>
      <c r="D195" s="118">
        <v>0</v>
      </c>
      <c r="E195" s="118">
        <v>0</v>
      </c>
      <c r="F195" s="118">
        <v>0</v>
      </c>
      <c r="G195" s="118">
        <v>0</v>
      </c>
      <c r="H195" s="118">
        <v>0</v>
      </c>
      <c r="I195" s="118">
        <v>0</v>
      </c>
      <c r="J195" s="118"/>
      <c r="K195" s="318">
        <v>0</v>
      </c>
      <c r="L195" s="318">
        <v>0</v>
      </c>
      <c r="M195" s="318">
        <v>0</v>
      </c>
      <c r="N195" s="318" t="s">
        <v>47</v>
      </c>
      <c r="O195" s="318">
        <v>1</v>
      </c>
      <c r="P195" s="318">
        <v>0</v>
      </c>
      <c r="Q195" s="318">
        <v>0</v>
      </c>
      <c r="R195" s="118">
        <v>1</v>
      </c>
    </row>
    <row r="196" spans="1:18" customFormat="1" x14ac:dyDescent="0.2">
      <c r="B196" s="130" t="s">
        <v>778</v>
      </c>
      <c r="C196" s="118">
        <v>8726</v>
      </c>
      <c r="D196" s="118">
        <v>-5746</v>
      </c>
      <c r="E196" s="118">
        <v>0</v>
      </c>
      <c r="F196" s="118">
        <v>0</v>
      </c>
      <c r="G196" s="118">
        <v>0</v>
      </c>
      <c r="H196" s="118">
        <v>0</v>
      </c>
      <c r="I196" s="118">
        <v>0</v>
      </c>
      <c r="J196" s="118"/>
      <c r="K196" s="318">
        <v>0</v>
      </c>
      <c r="L196" s="318">
        <v>0</v>
      </c>
      <c r="M196" s="318">
        <v>0</v>
      </c>
      <c r="N196" s="318" t="s">
        <v>47</v>
      </c>
      <c r="O196" s="318">
        <v>0</v>
      </c>
      <c r="P196" s="318">
        <v>0</v>
      </c>
      <c r="Q196" s="318">
        <v>0</v>
      </c>
      <c r="R196" s="118">
        <v>2980</v>
      </c>
    </row>
    <row r="197" spans="1:18" customFormat="1" x14ac:dyDescent="0.2">
      <c r="B197" s="130" t="s">
        <v>780</v>
      </c>
      <c r="C197" s="118">
        <v>0</v>
      </c>
      <c r="D197" s="118">
        <v>0</v>
      </c>
      <c r="E197" s="118">
        <v>0</v>
      </c>
      <c r="F197" s="118">
        <v>0</v>
      </c>
      <c r="G197" s="118">
        <v>0</v>
      </c>
      <c r="H197" s="118">
        <v>0</v>
      </c>
      <c r="I197" s="118">
        <v>0</v>
      </c>
      <c r="J197" s="118"/>
      <c r="K197" s="318">
        <v>0</v>
      </c>
      <c r="L197" s="318">
        <v>0</v>
      </c>
      <c r="M197" s="318">
        <v>0</v>
      </c>
      <c r="N197" s="318" t="s">
        <v>47</v>
      </c>
      <c r="O197" s="318">
        <v>0</v>
      </c>
      <c r="P197" s="318">
        <v>0</v>
      </c>
      <c r="Q197" s="318">
        <v>0</v>
      </c>
      <c r="R197" s="118">
        <v>0</v>
      </c>
    </row>
    <row r="198" spans="1:18" customFormat="1" x14ac:dyDescent="0.2">
      <c r="B198" s="130" t="s">
        <v>907</v>
      </c>
      <c r="C198" s="118">
        <v>0</v>
      </c>
      <c r="D198" s="118">
        <v>0</v>
      </c>
      <c r="E198" s="118">
        <v>0</v>
      </c>
      <c r="F198" s="118">
        <v>0</v>
      </c>
      <c r="G198" s="118">
        <v>0</v>
      </c>
      <c r="H198" s="118">
        <v>0</v>
      </c>
      <c r="I198" s="118">
        <v>0</v>
      </c>
      <c r="J198" s="118"/>
      <c r="K198" s="318">
        <v>0</v>
      </c>
      <c r="L198" s="318">
        <v>0</v>
      </c>
      <c r="M198" s="318">
        <v>0</v>
      </c>
      <c r="N198" s="318" t="s">
        <v>47</v>
      </c>
      <c r="O198" s="318">
        <v>0</v>
      </c>
      <c r="P198" s="318">
        <v>0</v>
      </c>
      <c r="Q198" s="318">
        <v>0</v>
      </c>
      <c r="R198" s="118">
        <v>0</v>
      </c>
    </row>
    <row r="199" spans="1:18" customFormat="1" ht="14.25" customHeight="1" x14ac:dyDescent="0.2">
      <c r="B199" s="130" t="s">
        <v>175</v>
      </c>
      <c r="C199" s="118">
        <v>0</v>
      </c>
      <c r="D199" s="118">
        <v>0</v>
      </c>
      <c r="E199" s="118">
        <v>0</v>
      </c>
      <c r="F199" s="118">
        <v>0</v>
      </c>
      <c r="G199" s="118">
        <v>0</v>
      </c>
      <c r="H199" s="118">
        <v>0</v>
      </c>
      <c r="I199" s="118">
        <v>0</v>
      </c>
      <c r="J199" s="118"/>
      <c r="K199" s="318">
        <v>0</v>
      </c>
      <c r="L199" s="318">
        <v>0</v>
      </c>
      <c r="M199" s="318">
        <v>0</v>
      </c>
      <c r="N199" s="318" t="s">
        <v>47</v>
      </c>
      <c r="O199" s="318">
        <v>0</v>
      </c>
      <c r="P199" s="318">
        <v>0</v>
      </c>
      <c r="Q199" s="318">
        <v>0</v>
      </c>
      <c r="R199" s="118">
        <v>0</v>
      </c>
    </row>
    <row r="200" spans="1:18" customFormat="1" ht="14.25" customHeight="1" x14ac:dyDescent="0.2">
      <c r="B200" s="130" t="s">
        <v>858</v>
      </c>
      <c r="C200" s="118">
        <v>0</v>
      </c>
      <c r="D200" s="118">
        <v>0</v>
      </c>
      <c r="E200" s="118">
        <v>0</v>
      </c>
      <c r="F200" s="118">
        <v>0</v>
      </c>
      <c r="G200" s="118">
        <v>0</v>
      </c>
      <c r="H200" s="118">
        <v>0</v>
      </c>
      <c r="I200" s="118">
        <v>0</v>
      </c>
      <c r="J200" s="118"/>
      <c r="K200" s="318">
        <v>0</v>
      </c>
      <c r="L200" s="318">
        <v>0</v>
      </c>
      <c r="M200" s="318">
        <v>0</v>
      </c>
      <c r="N200" s="318" t="s">
        <v>47</v>
      </c>
      <c r="O200" s="318">
        <v>0</v>
      </c>
      <c r="P200" s="318">
        <v>0</v>
      </c>
      <c r="Q200" s="318">
        <v>0</v>
      </c>
      <c r="R200" s="118">
        <v>0</v>
      </c>
    </row>
    <row r="201" spans="1:18" customFormat="1" x14ac:dyDescent="0.2">
      <c r="B201" s="127" t="s">
        <v>997</v>
      </c>
      <c r="C201" s="120">
        <f>SUM(C192:C200)</f>
        <v>71780</v>
      </c>
      <c r="D201" s="120">
        <f t="shared" ref="D201:R201" si="27">SUM(D192:D200)</f>
        <v>17781</v>
      </c>
      <c r="E201" s="120">
        <f t="shared" si="27"/>
        <v>108161</v>
      </c>
      <c r="F201" s="120">
        <f t="shared" si="27"/>
        <v>4496</v>
      </c>
      <c r="G201" s="120">
        <f t="shared" si="27"/>
        <v>423</v>
      </c>
      <c r="H201" s="120">
        <f t="shared" si="27"/>
        <v>39314</v>
      </c>
      <c r="I201" s="120">
        <f>SUM(I192:I200)</f>
        <v>18083</v>
      </c>
      <c r="J201" s="120"/>
      <c r="K201" s="120">
        <f t="shared" si="27"/>
        <v>0</v>
      </c>
      <c r="L201" s="120">
        <f>SUM(L192:L200)</f>
        <v>2676</v>
      </c>
      <c r="M201" s="120">
        <f>SUM(M192:M200)</f>
        <v>1</v>
      </c>
      <c r="N201" s="120">
        <f>SUM(N192:N200)</f>
        <v>0</v>
      </c>
      <c r="O201" s="120">
        <f>SUM(O192:O200)</f>
        <v>1</v>
      </c>
      <c r="P201" s="120">
        <f t="shared" si="27"/>
        <v>0</v>
      </c>
      <c r="Q201" s="120">
        <f t="shared" si="27"/>
        <v>0</v>
      </c>
      <c r="R201" s="120">
        <f t="shared" si="27"/>
        <v>262716</v>
      </c>
    </row>
    <row r="203" spans="1:18" customFormat="1" x14ac:dyDescent="0.2">
      <c r="A203" t="s">
        <v>1029</v>
      </c>
      <c r="B203" s="130" t="s">
        <v>286</v>
      </c>
      <c r="C203" s="118">
        <v>4704</v>
      </c>
      <c r="D203" s="118">
        <v>1368</v>
      </c>
      <c r="E203" s="118">
        <v>582</v>
      </c>
      <c r="F203" s="118">
        <v>-6</v>
      </c>
      <c r="G203" s="118">
        <v>-65</v>
      </c>
      <c r="H203" s="118">
        <v>2477</v>
      </c>
      <c r="I203" s="118">
        <v>1766</v>
      </c>
      <c r="J203" s="118"/>
      <c r="K203" s="318">
        <v>0</v>
      </c>
      <c r="L203" s="318">
        <v>7</v>
      </c>
      <c r="M203" s="318">
        <v>0</v>
      </c>
      <c r="N203" s="318" t="s">
        <v>47</v>
      </c>
      <c r="O203" s="318">
        <v>0</v>
      </c>
      <c r="P203" s="318">
        <v>0</v>
      </c>
      <c r="Q203" s="318">
        <v>0</v>
      </c>
      <c r="R203" s="118">
        <f t="shared" ref="R203:R209" si="28">SUM(C203:Q203)</f>
        <v>10833</v>
      </c>
    </row>
    <row r="204" spans="1:18" customFormat="1" x14ac:dyDescent="0.2">
      <c r="B204" s="130" t="s">
        <v>697</v>
      </c>
      <c r="C204" s="118">
        <v>0</v>
      </c>
      <c r="D204" s="118">
        <v>0</v>
      </c>
      <c r="E204" s="118">
        <v>0</v>
      </c>
      <c r="F204" s="118">
        <v>0</v>
      </c>
      <c r="G204" s="118">
        <v>0</v>
      </c>
      <c r="H204" s="118">
        <v>0</v>
      </c>
      <c r="I204" s="118">
        <v>0</v>
      </c>
      <c r="J204" s="118"/>
      <c r="K204" s="318">
        <v>0</v>
      </c>
      <c r="L204" s="318">
        <v>0</v>
      </c>
      <c r="M204" s="318">
        <v>0</v>
      </c>
      <c r="N204" s="318" t="s">
        <v>47</v>
      </c>
      <c r="O204" s="318">
        <v>0</v>
      </c>
      <c r="P204" s="318">
        <v>0</v>
      </c>
      <c r="Q204" s="318">
        <v>0</v>
      </c>
      <c r="R204" s="118">
        <f t="shared" si="28"/>
        <v>0</v>
      </c>
    </row>
    <row r="205" spans="1:18" customFormat="1" x14ac:dyDescent="0.2">
      <c r="B205" s="130" t="s">
        <v>778</v>
      </c>
      <c r="C205" s="118">
        <v>0</v>
      </c>
      <c r="D205" s="118">
        <v>0</v>
      </c>
      <c r="E205" s="118">
        <v>0</v>
      </c>
      <c r="F205" s="118">
        <v>134</v>
      </c>
      <c r="G205" s="118">
        <v>0</v>
      </c>
      <c r="H205" s="118">
        <v>0</v>
      </c>
      <c r="I205" s="118">
        <v>0</v>
      </c>
      <c r="J205" s="118"/>
      <c r="K205" s="318">
        <v>0</v>
      </c>
      <c r="L205" s="318">
        <v>0</v>
      </c>
      <c r="M205" s="318">
        <v>0</v>
      </c>
      <c r="N205" s="318" t="s">
        <v>47</v>
      </c>
      <c r="O205" s="318">
        <v>0</v>
      </c>
      <c r="P205" s="318">
        <v>0</v>
      </c>
      <c r="Q205" s="318">
        <v>0</v>
      </c>
      <c r="R205" s="118">
        <f t="shared" si="28"/>
        <v>134</v>
      </c>
    </row>
    <row r="206" spans="1:18" customFormat="1" x14ac:dyDescent="0.2">
      <c r="B206" s="130" t="s">
        <v>780</v>
      </c>
      <c r="C206" s="118">
        <v>0</v>
      </c>
      <c r="D206" s="118">
        <v>0</v>
      </c>
      <c r="E206" s="118">
        <v>0</v>
      </c>
      <c r="F206" s="118">
        <v>0</v>
      </c>
      <c r="G206" s="118">
        <v>0</v>
      </c>
      <c r="H206" s="118">
        <v>0</v>
      </c>
      <c r="I206" s="118">
        <v>0</v>
      </c>
      <c r="J206" s="118"/>
      <c r="K206" s="318">
        <v>0</v>
      </c>
      <c r="L206" s="318">
        <v>0</v>
      </c>
      <c r="M206" s="318">
        <v>0</v>
      </c>
      <c r="N206" s="318" t="s">
        <v>47</v>
      </c>
      <c r="O206" s="318">
        <v>0</v>
      </c>
      <c r="P206" s="318">
        <v>0</v>
      </c>
      <c r="Q206" s="318">
        <v>0</v>
      </c>
      <c r="R206" s="118">
        <f t="shared" si="28"/>
        <v>0</v>
      </c>
    </row>
    <row r="207" spans="1:18" customFormat="1" x14ac:dyDescent="0.2">
      <c r="B207" s="130" t="s">
        <v>907</v>
      </c>
      <c r="C207" s="118">
        <v>0</v>
      </c>
      <c r="D207" s="118">
        <v>0</v>
      </c>
      <c r="E207" s="118">
        <v>0</v>
      </c>
      <c r="F207" s="118">
        <v>0</v>
      </c>
      <c r="G207" s="118">
        <v>0</v>
      </c>
      <c r="H207" s="118">
        <v>0</v>
      </c>
      <c r="I207" s="118">
        <v>0</v>
      </c>
      <c r="J207" s="118"/>
      <c r="K207" s="318">
        <v>0</v>
      </c>
      <c r="L207" s="318">
        <v>0</v>
      </c>
      <c r="M207" s="318">
        <v>0</v>
      </c>
      <c r="N207" s="318" t="s">
        <v>47</v>
      </c>
      <c r="O207" s="318">
        <v>0</v>
      </c>
      <c r="P207" s="318">
        <v>0</v>
      </c>
      <c r="Q207" s="318">
        <v>0</v>
      </c>
      <c r="R207" s="118">
        <f t="shared" si="28"/>
        <v>0</v>
      </c>
    </row>
    <row r="208" spans="1:18" customFormat="1" ht="14.25" customHeight="1" x14ac:dyDescent="0.2">
      <c r="B208" s="130" t="s">
        <v>175</v>
      </c>
      <c r="C208" s="118">
        <v>-21317</v>
      </c>
      <c r="D208" s="118">
        <v>0</v>
      </c>
      <c r="E208" s="118">
        <v>-1878</v>
      </c>
      <c r="F208" s="118">
        <v>0</v>
      </c>
      <c r="G208" s="118">
        <v>0</v>
      </c>
      <c r="H208" s="118">
        <v>-1567</v>
      </c>
      <c r="I208" s="118">
        <v>0</v>
      </c>
      <c r="J208" s="118"/>
      <c r="K208" s="318">
        <v>0</v>
      </c>
      <c r="L208" s="318">
        <v>-150</v>
      </c>
      <c r="M208" s="318">
        <v>0</v>
      </c>
      <c r="N208" s="318" t="s">
        <v>47</v>
      </c>
      <c r="O208" s="318">
        <v>0</v>
      </c>
      <c r="P208" s="318">
        <v>0</v>
      </c>
      <c r="Q208" s="318">
        <v>0</v>
      </c>
      <c r="R208" s="118">
        <f t="shared" si="28"/>
        <v>-24912</v>
      </c>
    </row>
    <row r="209" spans="1:18" customFormat="1" ht="14.25" customHeight="1" x14ac:dyDescent="0.2">
      <c r="B209" s="130" t="s">
        <v>858</v>
      </c>
      <c r="C209" s="118">
        <v>0</v>
      </c>
      <c r="D209" s="118">
        <v>0</v>
      </c>
      <c r="E209" s="118">
        <v>0</v>
      </c>
      <c r="F209" s="118">
        <v>0</v>
      </c>
      <c r="G209" s="118">
        <v>0</v>
      </c>
      <c r="H209" s="118">
        <v>0</v>
      </c>
      <c r="I209" s="118">
        <v>0</v>
      </c>
      <c r="J209" s="118"/>
      <c r="K209" s="318">
        <v>0</v>
      </c>
      <c r="L209" s="318">
        <v>0</v>
      </c>
      <c r="M209" s="318">
        <v>0</v>
      </c>
      <c r="N209" s="318" t="s">
        <v>47</v>
      </c>
      <c r="O209" s="318">
        <v>0</v>
      </c>
      <c r="P209" s="318">
        <v>0</v>
      </c>
      <c r="Q209" s="318">
        <v>0</v>
      </c>
      <c r="R209" s="118">
        <f t="shared" si="28"/>
        <v>0</v>
      </c>
    </row>
    <row r="210" spans="1:18" customFormat="1" x14ac:dyDescent="0.2">
      <c r="B210" s="127" t="s">
        <v>1030</v>
      </c>
      <c r="C210" s="120">
        <f>SUM(C201:C209)</f>
        <v>55167</v>
      </c>
      <c r="D210" s="120">
        <f t="shared" ref="D210:R210" si="29">SUM(D201:D209)</f>
        <v>19149</v>
      </c>
      <c r="E210" s="120">
        <f t="shared" si="29"/>
        <v>106865</v>
      </c>
      <c r="F210" s="120">
        <f t="shared" si="29"/>
        <v>4624</v>
      </c>
      <c r="G210" s="120">
        <f t="shared" si="29"/>
        <v>358</v>
      </c>
      <c r="H210" s="120">
        <f t="shared" si="29"/>
        <v>40224</v>
      </c>
      <c r="I210" s="120">
        <f>SUM(I201:I209)</f>
        <v>19849</v>
      </c>
      <c r="J210" s="120"/>
      <c r="K210" s="120">
        <f t="shared" si="29"/>
        <v>0</v>
      </c>
      <c r="L210" s="120">
        <f>SUM(L201:L209)</f>
        <v>2533</v>
      </c>
      <c r="M210" s="120">
        <f>SUM(M201:M209)</f>
        <v>1</v>
      </c>
      <c r="N210" s="120">
        <f>SUM(N201:N209)</f>
        <v>0</v>
      </c>
      <c r="O210" s="120">
        <f>SUM(O201:O209)</f>
        <v>1</v>
      </c>
      <c r="P210" s="120">
        <f t="shared" si="29"/>
        <v>0</v>
      </c>
      <c r="Q210" s="120">
        <f t="shared" si="29"/>
        <v>0</v>
      </c>
      <c r="R210" s="120">
        <f t="shared" si="29"/>
        <v>248771</v>
      </c>
    </row>
    <row r="212" spans="1:18" customFormat="1" x14ac:dyDescent="0.2">
      <c r="A212" t="s">
        <v>1029</v>
      </c>
      <c r="B212" s="130" t="s">
        <v>286</v>
      </c>
      <c r="C212" s="118">
        <v>4443</v>
      </c>
      <c r="D212" s="118">
        <v>479</v>
      </c>
      <c r="E212" s="118">
        <v>568</v>
      </c>
      <c r="F212" s="118">
        <v>-13</v>
      </c>
      <c r="G212" s="118">
        <v>71</v>
      </c>
      <c r="H212" s="118">
        <v>2561</v>
      </c>
      <c r="I212" s="118">
        <v>2468</v>
      </c>
      <c r="J212" s="118"/>
      <c r="K212" s="318">
        <v>0</v>
      </c>
      <c r="L212" s="318">
        <v>3</v>
      </c>
      <c r="M212" s="318">
        <v>0</v>
      </c>
      <c r="N212" s="318" t="s">
        <v>47</v>
      </c>
      <c r="O212" s="318">
        <v>0</v>
      </c>
      <c r="P212" s="318">
        <v>0</v>
      </c>
      <c r="Q212" s="318">
        <v>0</v>
      </c>
      <c r="R212" s="118">
        <f t="shared" ref="R212:R218" si="30">SUM(C212:Q212)</f>
        <v>10580</v>
      </c>
    </row>
    <row r="213" spans="1:18" customFormat="1" x14ac:dyDescent="0.2">
      <c r="B213" s="130" t="s">
        <v>697</v>
      </c>
      <c r="C213" s="118">
        <v>0</v>
      </c>
      <c r="D213" s="118">
        <v>0</v>
      </c>
      <c r="E213" s="118">
        <v>0</v>
      </c>
      <c r="F213" s="118">
        <v>0</v>
      </c>
      <c r="G213" s="118">
        <v>0</v>
      </c>
      <c r="H213" s="118">
        <v>0</v>
      </c>
      <c r="I213" s="118">
        <v>0</v>
      </c>
      <c r="J213" s="118"/>
      <c r="K213" s="318">
        <v>0</v>
      </c>
      <c r="L213" s="318">
        <v>0</v>
      </c>
      <c r="M213" s="318">
        <v>0</v>
      </c>
      <c r="N213" s="318" t="s">
        <v>47</v>
      </c>
      <c r="O213" s="318">
        <v>0</v>
      </c>
      <c r="P213" s="318">
        <v>0</v>
      </c>
      <c r="Q213" s="318">
        <v>0</v>
      </c>
      <c r="R213" s="118">
        <f t="shared" si="30"/>
        <v>0</v>
      </c>
    </row>
    <row r="214" spans="1:18" customFormat="1" x14ac:dyDescent="0.2">
      <c r="B214" s="130" t="s">
        <v>778</v>
      </c>
      <c r="C214" s="118">
        <v>0</v>
      </c>
      <c r="D214" s="118">
        <v>0</v>
      </c>
      <c r="E214" s="118">
        <v>0</v>
      </c>
      <c r="F214" s="118">
        <v>30</v>
      </c>
      <c r="G214" s="118">
        <v>0</v>
      </c>
      <c r="H214" s="118">
        <v>0</v>
      </c>
      <c r="I214" s="118">
        <v>0</v>
      </c>
      <c r="J214" s="118"/>
      <c r="K214" s="318">
        <v>0</v>
      </c>
      <c r="L214" s="318">
        <v>0</v>
      </c>
      <c r="M214" s="318">
        <v>0</v>
      </c>
      <c r="N214" s="318" t="s">
        <v>47</v>
      </c>
      <c r="O214" s="318">
        <v>0</v>
      </c>
      <c r="P214" s="318">
        <v>0</v>
      </c>
      <c r="Q214" s="318">
        <v>0</v>
      </c>
      <c r="R214" s="118">
        <f t="shared" si="30"/>
        <v>30</v>
      </c>
    </row>
    <row r="215" spans="1:18" customFormat="1" x14ac:dyDescent="0.2">
      <c r="B215" s="130" t="s">
        <v>780</v>
      </c>
      <c r="C215" s="118">
        <v>0</v>
      </c>
      <c r="D215" s="118">
        <v>0</v>
      </c>
      <c r="E215" s="118">
        <v>0</v>
      </c>
      <c r="F215" s="118">
        <v>0</v>
      </c>
      <c r="G215" s="118">
        <v>0</v>
      </c>
      <c r="H215" s="118">
        <v>0</v>
      </c>
      <c r="I215" s="118">
        <v>0</v>
      </c>
      <c r="J215" s="118"/>
      <c r="K215" s="318">
        <v>0</v>
      </c>
      <c r="L215" s="318">
        <v>0</v>
      </c>
      <c r="M215" s="318">
        <v>0</v>
      </c>
      <c r="N215" s="318" t="s">
        <v>47</v>
      </c>
      <c r="O215" s="318">
        <v>0</v>
      </c>
      <c r="P215" s="318">
        <v>0</v>
      </c>
      <c r="Q215" s="318">
        <v>0</v>
      </c>
      <c r="R215" s="118">
        <f t="shared" si="30"/>
        <v>0</v>
      </c>
    </row>
    <row r="216" spans="1:18" customFormat="1" x14ac:dyDescent="0.2">
      <c r="B216" s="130" t="s">
        <v>907</v>
      </c>
      <c r="C216" s="118">
        <v>0</v>
      </c>
      <c r="D216" s="118">
        <v>0</v>
      </c>
      <c r="E216" s="118">
        <v>0</v>
      </c>
      <c r="F216" s="118">
        <v>0</v>
      </c>
      <c r="G216" s="118">
        <v>0</v>
      </c>
      <c r="H216" s="118">
        <v>0</v>
      </c>
      <c r="I216" s="118">
        <v>0</v>
      </c>
      <c r="J216" s="118"/>
      <c r="K216" s="318">
        <v>0</v>
      </c>
      <c r="L216" s="318">
        <v>0</v>
      </c>
      <c r="M216" s="318">
        <v>0</v>
      </c>
      <c r="N216" s="318" t="s">
        <v>47</v>
      </c>
      <c r="O216" s="318">
        <v>0</v>
      </c>
      <c r="P216" s="318">
        <v>0</v>
      </c>
      <c r="Q216" s="318">
        <v>0</v>
      </c>
      <c r="R216" s="118">
        <f t="shared" si="30"/>
        <v>0</v>
      </c>
    </row>
    <row r="217" spans="1:18" customFormat="1" ht="14.25" customHeight="1" x14ac:dyDescent="0.2">
      <c r="B217" s="130" t="s">
        <v>175</v>
      </c>
      <c r="C217" s="118">
        <v>0</v>
      </c>
      <c r="D217" s="118">
        <v>0</v>
      </c>
      <c r="E217" s="118">
        <v>0</v>
      </c>
      <c r="F217" s="118">
        <v>0</v>
      </c>
      <c r="G217" s="118">
        <v>0</v>
      </c>
      <c r="H217" s="118">
        <v>-3775</v>
      </c>
      <c r="I217" s="118">
        <v>0</v>
      </c>
      <c r="J217" s="118"/>
      <c r="K217" s="318">
        <v>0</v>
      </c>
      <c r="L217" s="318">
        <v>0</v>
      </c>
      <c r="M217" s="318">
        <v>0</v>
      </c>
      <c r="N217" s="318" t="s">
        <v>47</v>
      </c>
      <c r="O217" s="318">
        <v>0</v>
      </c>
      <c r="P217" s="318">
        <v>0</v>
      </c>
      <c r="Q217" s="318">
        <v>0</v>
      </c>
      <c r="R217" s="118">
        <f t="shared" si="30"/>
        <v>-3775</v>
      </c>
    </row>
    <row r="218" spans="1:18" customFormat="1" ht="14.25" customHeight="1" x14ac:dyDescent="0.2">
      <c r="B218" s="130" t="s">
        <v>858</v>
      </c>
      <c r="C218" s="118">
        <v>0</v>
      </c>
      <c r="D218" s="118">
        <v>0</v>
      </c>
      <c r="E218" s="118">
        <v>0</v>
      </c>
      <c r="F218" s="118">
        <v>0</v>
      </c>
      <c r="G218" s="118">
        <v>0</v>
      </c>
      <c r="H218" s="118">
        <v>0</v>
      </c>
      <c r="I218" s="118">
        <v>0</v>
      </c>
      <c r="J218" s="118"/>
      <c r="K218" s="318">
        <v>0</v>
      </c>
      <c r="L218" s="318">
        <v>0</v>
      </c>
      <c r="M218" s="318">
        <v>0</v>
      </c>
      <c r="N218" s="318" t="s">
        <v>47</v>
      </c>
      <c r="O218" s="318">
        <v>0</v>
      </c>
      <c r="P218" s="318">
        <v>0</v>
      </c>
      <c r="Q218" s="318">
        <v>0</v>
      </c>
      <c r="R218" s="118">
        <f t="shared" si="30"/>
        <v>0</v>
      </c>
    </row>
    <row r="219" spans="1:18" customFormat="1" x14ac:dyDescent="0.2">
      <c r="B219" s="127" t="s">
        <v>1094</v>
      </c>
      <c r="C219" s="120">
        <f>SUM(C210:C218)</f>
        <v>59610</v>
      </c>
      <c r="D219" s="120">
        <f t="shared" ref="D219:R219" si="31">SUM(D210:D218)</f>
        <v>19628</v>
      </c>
      <c r="E219" s="120">
        <f t="shared" si="31"/>
        <v>107433</v>
      </c>
      <c r="F219" s="120">
        <f t="shared" si="31"/>
        <v>4641</v>
      </c>
      <c r="G219" s="120">
        <f t="shared" si="31"/>
        <v>429</v>
      </c>
      <c r="H219" s="120">
        <f t="shared" si="31"/>
        <v>39010</v>
      </c>
      <c r="I219" s="120">
        <f>SUM(I210:I218)</f>
        <v>22317</v>
      </c>
      <c r="J219" s="120"/>
      <c r="K219" s="120">
        <f t="shared" si="31"/>
        <v>0</v>
      </c>
      <c r="L219" s="120">
        <f>SUM(L210:L218)</f>
        <v>2536</v>
      </c>
      <c r="M219" s="120">
        <f>SUM(M210:M218)</f>
        <v>1</v>
      </c>
      <c r="N219" s="120">
        <f>SUM(N210:N218)</f>
        <v>0</v>
      </c>
      <c r="O219" s="120">
        <f>SUM(O210:O218)</f>
        <v>1</v>
      </c>
      <c r="P219" s="120">
        <f t="shared" si="31"/>
        <v>0</v>
      </c>
      <c r="Q219" s="120">
        <f t="shared" si="31"/>
        <v>0</v>
      </c>
      <c r="R219" s="120">
        <f t="shared" si="31"/>
        <v>255606</v>
      </c>
    </row>
    <row r="221" spans="1:18" customFormat="1" x14ac:dyDescent="0.2">
      <c r="A221" t="s">
        <v>1029</v>
      </c>
      <c r="B221" s="130" t="s">
        <v>286</v>
      </c>
      <c r="C221" s="118">
        <v>4383</v>
      </c>
      <c r="D221" s="118">
        <v>-3653</v>
      </c>
      <c r="E221" s="118">
        <v>1095</v>
      </c>
      <c r="F221" s="118">
        <v>31</v>
      </c>
      <c r="G221" s="118">
        <v>-19</v>
      </c>
      <c r="H221" s="118">
        <v>-143</v>
      </c>
      <c r="I221" s="118">
        <v>3009</v>
      </c>
      <c r="J221" s="118"/>
      <c r="K221" s="318">
        <v>0</v>
      </c>
      <c r="L221" s="318">
        <v>11</v>
      </c>
      <c r="M221" s="318">
        <v>0</v>
      </c>
      <c r="N221" s="318" t="s">
        <v>47</v>
      </c>
      <c r="O221" s="318">
        <v>0</v>
      </c>
      <c r="P221" s="318">
        <v>0</v>
      </c>
      <c r="Q221" s="318">
        <v>0</v>
      </c>
      <c r="R221" s="118">
        <f t="shared" ref="R221:R226" si="32">SUM(C221:Q221)</f>
        <v>4714</v>
      </c>
    </row>
    <row r="222" spans="1:18" customFormat="1" x14ac:dyDescent="0.2">
      <c r="B222" s="130" t="s">
        <v>1131</v>
      </c>
      <c r="C222" s="118">
        <v>0</v>
      </c>
      <c r="D222" s="118">
        <v>0</v>
      </c>
      <c r="E222" s="118">
        <v>0</v>
      </c>
      <c r="F222" s="118">
        <v>0</v>
      </c>
      <c r="G222" s="118">
        <v>0</v>
      </c>
      <c r="H222" s="118">
        <v>0</v>
      </c>
      <c r="I222" s="118">
        <v>0</v>
      </c>
      <c r="J222" s="118"/>
      <c r="K222" s="318">
        <v>0</v>
      </c>
      <c r="L222" s="318">
        <v>0</v>
      </c>
      <c r="M222" s="318">
        <v>0</v>
      </c>
      <c r="N222" s="318" t="s">
        <v>47</v>
      </c>
      <c r="O222" s="318">
        <v>-1</v>
      </c>
      <c r="P222" s="318">
        <v>0</v>
      </c>
      <c r="Q222" s="318">
        <v>0</v>
      </c>
      <c r="R222" s="118">
        <f t="shared" si="32"/>
        <v>-1</v>
      </c>
    </row>
    <row r="223" spans="1:18" customFormat="1" x14ac:dyDescent="0.2">
      <c r="B223" s="130" t="s">
        <v>1129</v>
      </c>
      <c r="C223" s="118">
        <v>1</v>
      </c>
      <c r="D223" s="118">
        <v>0</v>
      </c>
      <c r="E223" s="118">
        <v>0</v>
      </c>
      <c r="F223" s="118">
        <v>235</v>
      </c>
      <c r="G223" s="118">
        <v>0</v>
      </c>
      <c r="H223" s="118">
        <v>0</v>
      </c>
      <c r="I223" s="118">
        <v>0</v>
      </c>
      <c r="J223" s="118"/>
      <c r="K223" s="318">
        <v>0</v>
      </c>
      <c r="L223" s="318">
        <v>-1170</v>
      </c>
      <c r="M223" s="318">
        <v>0</v>
      </c>
      <c r="N223" s="318" t="s">
        <v>47</v>
      </c>
      <c r="O223" s="318">
        <v>0</v>
      </c>
      <c r="P223" s="318">
        <v>0</v>
      </c>
      <c r="Q223" s="318">
        <v>0</v>
      </c>
      <c r="R223" s="118">
        <f t="shared" si="32"/>
        <v>-934</v>
      </c>
    </row>
    <row r="224" spans="1:18" customFormat="1" x14ac:dyDescent="0.2">
      <c r="B224" s="130" t="s">
        <v>907</v>
      </c>
      <c r="C224" s="118">
        <v>0</v>
      </c>
      <c r="D224" s="118">
        <v>0</v>
      </c>
      <c r="E224" s="118">
        <v>0</v>
      </c>
      <c r="F224" s="118">
        <v>0</v>
      </c>
      <c r="G224" s="118">
        <v>0</v>
      </c>
      <c r="H224" s="118">
        <v>0</v>
      </c>
      <c r="I224" s="118">
        <v>0</v>
      </c>
      <c r="J224" s="118"/>
      <c r="K224" s="318">
        <v>0</v>
      </c>
      <c r="L224" s="318">
        <v>0</v>
      </c>
      <c r="M224" s="318">
        <v>0</v>
      </c>
      <c r="N224" s="318" t="s">
        <v>47</v>
      </c>
      <c r="O224" s="318">
        <v>0</v>
      </c>
      <c r="P224" s="318">
        <v>0</v>
      </c>
      <c r="Q224" s="318">
        <v>0</v>
      </c>
      <c r="R224" s="118">
        <f t="shared" si="32"/>
        <v>0</v>
      </c>
    </row>
    <row r="225" spans="1:18" customFormat="1" ht="14.25" customHeight="1" x14ac:dyDescent="0.2">
      <c r="B225" s="130" t="s">
        <v>175</v>
      </c>
      <c r="C225" s="118">
        <v>0</v>
      </c>
      <c r="D225" s="118">
        <v>0</v>
      </c>
      <c r="E225" s="118">
        <v>0</v>
      </c>
      <c r="F225" s="118">
        <v>0</v>
      </c>
      <c r="G225" s="118">
        <v>0</v>
      </c>
      <c r="H225" s="118">
        <v>-2000</v>
      </c>
      <c r="I225" s="118">
        <v>0</v>
      </c>
      <c r="J225" s="118"/>
      <c r="K225" s="318">
        <v>0</v>
      </c>
      <c r="L225" s="318">
        <v>0</v>
      </c>
      <c r="M225" s="318">
        <v>0</v>
      </c>
      <c r="N225" s="318" t="s">
        <v>47</v>
      </c>
      <c r="O225" s="318">
        <v>0</v>
      </c>
      <c r="P225" s="318">
        <v>0</v>
      </c>
      <c r="Q225" s="318">
        <v>0</v>
      </c>
      <c r="R225" s="118">
        <f t="shared" si="32"/>
        <v>-2000</v>
      </c>
    </row>
    <row r="226" spans="1:18" customFormat="1" ht="14.25" customHeight="1" x14ac:dyDescent="0.2">
      <c r="B226" s="130" t="s">
        <v>858</v>
      </c>
      <c r="C226" s="118">
        <v>0</v>
      </c>
      <c r="D226" s="118">
        <v>0</v>
      </c>
      <c r="E226" s="118">
        <v>0</v>
      </c>
      <c r="F226" s="118">
        <v>0</v>
      </c>
      <c r="G226" s="118">
        <v>0</v>
      </c>
      <c r="H226" s="118">
        <v>0</v>
      </c>
      <c r="I226" s="118">
        <v>0</v>
      </c>
      <c r="J226" s="118"/>
      <c r="K226" s="318">
        <v>0</v>
      </c>
      <c r="L226" s="318">
        <v>0</v>
      </c>
      <c r="M226" s="318">
        <v>0</v>
      </c>
      <c r="N226" s="318" t="s">
        <v>47</v>
      </c>
      <c r="O226" s="318">
        <v>0</v>
      </c>
      <c r="P226" s="318">
        <v>0</v>
      </c>
      <c r="Q226" s="318">
        <v>0</v>
      </c>
      <c r="R226" s="118">
        <f t="shared" si="32"/>
        <v>0</v>
      </c>
    </row>
    <row r="227" spans="1:18" customFormat="1" x14ac:dyDescent="0.2">
      <c r="B227" s="127" t="s">
        <v>1119</v>
      </c>
      <c r="C227" s="120">
        <f>SUM(C219:C226)</f>
        <v>63994</v>
      </c>
      <c r="D227" s="120">
        <f t="shared" ref="D227:R227" si="33">SUM(D219:D226)</f>
        <v>15975</v>
      </c>
      <c r="E227" s="120">
        <f t="shared" si="33"/>
        <v>108528</v>
      </c>
      <c r="F227" s="120">
        <f t="shared" si="33"/>
        <v>4907</v>
      </c>
      <c r="G227" s="120">
        <f t="shared" si="33"/>
        <v>410</v>
      </c>
      <c r="H227" s="120">
        <f t="shared" si="33"/>
        <v>36867</v>
      </c>
      <c r="I227" s="120">
        <f>SUM(I219:I226)</f>
        <v>25326</v>
      </c>
      <c r="J227" s="120"/>
      <c r="K227" s="120">
        <f t="shared" si="33"/>
        <v>0</v>
      </c>
      <c r="L227" s="120">
        <f>SUM(L219:L226)</f>
        <v>1377</v>
      </c>
      <c r="M227" s="120">
        <f>SUM(M219:M226)</f>
        <v>1</v>
      </c>
      <c r="N227" s="120">
        <f>SUM(N219:N226)</f>
        <v>0</v>
      </c>
      <c r="O227" s="120">
        <f>SUM(O219:O226)</f>
        <v>0</v>
      </c>
      <c r="P227" s="120">
        <f t="shared" si="33"/>
        <v>0</v>
      </c>
      <c r="Q227" s="120">
        <f t="shared" si="33"/>
        <v>0</v>
      </c>
      <c r="R227" s="120">
        <f t="shared" si="33"/>
        <v>257385</v>
      </c>
    </row>
    <row r="229" spans="1:18" customFormat="1" x14ac:dyDescent="0.2">
      <c r="A229" t="s">
        <v>1029</v>
      </c>
      <c r="B229" s="130" t="s">
        <v>286</v>
      </c>
      <c r="C229" s="118">
        <v>2185</v>
      </c>
      <c r="D229" s="118">
        <v>-439</v>
      </c>
      <c r="E229" s="118">
        <v>1069</v>
      </c>
      <c r="F229" s="118">
        <v>-18</v>
      </c>
      <c r="G229" s="118">
        <v>-7</v>
      </c>
      <c r="H229" s="118">
        <v>818</v>
      </c>
      <c r="I229" s="118">
        <v>1624</v>
      </c>
      <c r="J229" s="118"/>
      <c r="K229" s="318">
        <v>0</v>
      </c>
      <c r="L229" s="318">
        <v>1</v>
      </c>
      <c r="M229" s="318">
        <v>0</v>
      </c>
      <c r="N229" s="318">
        <v>0</v>
      </c>
      <c r="O229" s="318">
        <v>0</v>
      </c>
      <c r="P229" s="318">
        <v>0</v>
      </c>
      <c r="Q229" s="318">
        <v>0</v>
      </c>
      <c r="R229" s="118">
        <f t="shared" ref="R229:R234" si="34">SUM(C229:Q229)</f>
        <v>5233</v>
      </c>
    </row>
    <row r="230" spans="1:18" customFormat="1" x14ac:dyDescent="0.2">
      <c r="B230" s="130" t="s">
        <v>1131</v>
      </c>
      <c r="C230" s="118">
        <v>0</v>
      </c>
      <c r="D230" s="118">
        <v>0</v>
      </c>
      <c r="E230" s="118">
        <v>0</v>
      </c>
      <c r="F230" s="118">
        <v>0</v>
      </c>
      <c r="G230" s="118">
        <v>0</v>
      </c>
      <c r="H230" s="118">
        <v>0</v>
      </c>
      <c r="I230" s="118">
        <v>0</v>
      </c>
      <c r="J230" s="118"/>
      <c r="K230" s="318">
        <v>0</v>
      </c>
      <c r="L230" s="318">
        <v>0</v>
      </c>
      <c r="M230" s="318">
        <v>0</v>
      </c>
      <c r="N230" s="318" t="s">
        <v>47</v>
      </c>
      <c r="O230" s="318">
        <v>0</v>
      </c>
      <c r="P230" s="318">
        <v>0</v>
      </c>
      <c r="Q230" s="318">
        <v>0</v>
      </c>
      <c r="R230" s="118">
        <f t="shared" si="34"/>
        <v>0</v>
      </c>
    </row>
    <row r="231" spans="1:18" customFormat="1" x14ac:dyDescent="0.2">
      <c r="B231" s="130" t="s">
        <v>1129</v>
      </c>
      <c r="C231" s="118">
        <v>0</v>
      </c>
      <c r="D231" s="118">
        <v>0</v>
      </c>
      <c r="E231" s="118">
        <v>0</v>
      </c>
      <c r="F231" s="118">
        <v>0</v>
      </c>
      <c r="G231" s="118">
        <v>0</v>
      </c>
      <c r="H231" s="118">
        <v>0</v>
      </c>
      <c r="I231" s="118">
        <v>0</v>
      </c>
      <c r="J231" s="118"/>
      <c r="K231" s="318">
        <v>0</v>
      </c>
      <c r="L231" s="318">
        <v>0</v>
      </c>
      <c r="M231" s="318">
        <v>0</v>
      </c>
      <c r="N231" s="318" t="s">
        <v>47</v>
      </c>
      <c r="O231" s="318">
        <v>0</v>
      </c>
      <c r="P231" s="318">
        <v>0</v>
      </c>
      <c r="Q231" s="318">
        <v>0</v>
      </c>
      <c r="R231" s="118">
        <f t="shared" si="34"/>
        <v>0</v>
      </c>
    </row>
    <row r="232" spans="1:18" customFormat="1" x14ac:dyDescent="0.2">
      <c r="B232" s="130" t="s">
        <v>907</v>
      </c>
      <c r="C232" s="118">
        <v>0</v>
      </c>
      <c r="D232" s="118">
        <v>0</v>
      </c>
      <c r="E232" s="118">
        <v>0</v>
      </c>
      <c r="F232" s="118">
        <v>0</v>
      </c>
      <c r="G232" s="118">
        <v>0</v>
      </c>
      <c r="H232" s="118">
        <v>0</v>
      </c>
      <c r="I232" s="118">
        <v>0</v>
      </c>
      <c r="J232" s="118"/>
      <c r="K232" s="318">
        <v>0</v>
      </c>
      <c r="L232" s="318">
        <v>0</v>
      </c>
      <c r="M232" s="318">
        <v>0</v>
      </c>
      <c r="N232" s="318" t="s">
        <v>47</v>
      </c>
      <c r="O232" s="318">
        <v>0</v>
      </c>
      <c r="P232" s="318">
        <v>0</v>
      </c>
      <c r="Q232" s="318">
        <v>0</v>
      </c>
      <c r="R232" s="118">
        <f t="shared" si="34"/>
        <v>0</v>
      </c>
    </row>
    <row r="233" spans="1:18" customFormat="1" ht="14.25" customHeight="1" x14ac:dyDescent="0.2">
      <c r="B233" s="130" t="s">
        <v>175</v>
      </c>
      <c r="C233" s="118">
        <v>0</v>
      </c>
      <c r="D233" s="118">
        <v>0</v>
      </c>
      <c r="E233" s="118">
        <v>0</v>
      </c>
      <c r="F233" s="118">
        <v>0</v>
      </c>
      <c r="G233" s="118">
        <v>0</v>
      </c>
      <c r="H233" s="118">
        <v>0</v>
      </c>
      <c r="I233" s="118">
        <v>0</v>
      </c>
      <c r="J233" s="118"/>
      <c r="K233" s="318">
        <v>0</v>
      </c>
      <c r="L233" s="318">
        <v>0</v>
      </c>
      <c r="M233" s="318">
        <v>0</v>
      </c>
      <c r="N233" s="318">
        <v>0</v>
      </c>
      <c r="O233" s="318">
        <v>0</v>
      </c>
      <c r="P233" s="318">
        <v>0</v>
      </c>
      <c r="Q233" s="318">
        <v>0</v>
      </c>
      <c r="R233" s="118">
        <f t="shared" si="34"/>
        <v>0</v>
      </c>
    </row>
    <row r="234" spans="1:18" customFormat="1" ht="14.25" customHeight="1" x14ac:dyDescent="0.2">
      <c r="B234" s="130" t="s">
        <v>858</v>
      </c>
      <c r="C234" s="118">
        <v>0</v>
      </c>
      <c r="D234" s="118">
        <v>0</v>
      </c>
      <c r="E234" s="118">
        <v>0</v>
      </c>
      <c r="F234" s="118">
        <v>0</v>
      </c>
      <c r="G234" s="118">
        <v>0</v>
      </c>
      <c r="H234" s="118">
        <v>0</v>
      </c>
      <c r="I234" s="118">
        <v>0</v>
      </c>
      <c r="J234" s="118"/>
      <c r="K234" s="318">
        <v>0</v>
      </c>
      <c r="L234" s="318">
        <v>0</v>
      </c>
      <c r="M234" s="318">
        <v>0</v>
      </c>
      <c r="N234" s="318" t="s">
        <v>47</v>
      </c>
      <c r="O234" s="318">
        <v>0</v>
      </c>
      <c r="P234" s="318">
        <v>0</v>
      </c>
      <c r="Q234" s="318">
        <v>0</v>
      </c>
      <c r="R234" s="118">
        <f t="shared" si="34"/>
        <v>0</v>
      </c>
    </row>
    <row r="235" spans="1:18" customFormat="1" x14ac:dyDescent="0.2">
      <c r="B235" s="127" t="s">
        <v>1138</v>
      </c>
      <c r="C235" s="120">
        <f>SUM(C227:C234)</f>
        <v>66179</v>
      </c>
      <c r="D235" s="120">
        <f t="shared" ref="D235:Q235" si="35">SUM(D227:D234)</f>
        <v>15536</v>
      </c>
      <c r="E235" s="120">
        <f t="shared" si="35"/>
        <v>109597</v>
      </c>
      <c r="F235" s="120">
        <f t="shared" si="35"/>
        <v>4889</v>
      </c>
      <c r="G235" s="120">
        <f t="shared" si="35"/>
        <v>403</v>
      </c>
      <c r="H235" s="120">
        <f t="shared" si="35"/>
        <v>37685</v>
      </c>
      <c r="I235" s="120">
        <f>SUM(I227:I234)</f>
        <v>26950</v>
      </c>
      <c r="J235" s="120"/>
      <c r="K235" s="120">
        <f t="shared" si="35"/>
        <v>0</v>
      </c>
      <c r="L235" s="120">
        <f>SUM(L227:L234)</f>
        <v>1378</v>
      </c>
      <c r="M235" s="120">
        <f>SUM(M227:M234)</f>
        <v>1</v>
      </c>
      <c r="N235" s="120">
        <f>SUM(N227:N234)</f>
        <v>0</v>
      </c>
      <c r="O235" s="120">
        <f>SUM(O227:O234)</f>
        <v>0</v>
      </c>
      <c r="P235" s="120">
        <f t="shared" si="35"/>
        <v>0</v>
      </c>
      <c r="Q235" s="120">
        <f t="shared" si="35"/>
        <v>0</v>
      </c>
      <c r="R235" s="120">
        <f>SUM(R227:R234)</f>
        <v>262618</v>
      </c>
    </row>
    <row r="237" spans="1:18" customFormat="1" x14ac:dyDescent="0.2">
      <c r="A237" t="s">
        <v>1029</v>
      </c>
      <c r="B237" s="130" t="s">
        <v>286</v>
      </c>
      <c r="C237" s="118">
        <v>9166</v>
      </c>
      <c r="D237" s="118">
        <v>-880</v>
      </c>
      <c r="E237" s="118">
        <v>-213</v>
      </c>
      <c r="F237" s="118">
        <v>208</v>
      </c>
      <c r="G237" s="118">
        <v>-5</v>
      </c>
      <c r="H237" s="118">
        <v>2395</v>
      </c>
      <c r="I237" s="118">
        <v>2321</v>
      </c>
      <c r="J237" s="118"/>
      <c r="K237" s="118">
        <v>0</v>
      </c>
      <c r="L237" s="118">
        <v>-17</v>
      </c>
      <c r="M237" s="118">
        <v>0</v>
      </c>
      <c r="N237" s="118">
        <v>0</v>
      </c>
      <c r="O237" s="118">
        <v>0</v>
      </c>
      <c r="P237" s="118">
        <v>0</v>
      </c>
      <c r="Q237" s="118">
        <v>0</v>
      </c>
      <c r="R237" s="118">
        <f t="shared" ref="R237:R242" si="36">SUM(C237:Q237)</f>
        <v>12975</v>
      </c>
    </row>
    <row r="238" spans="1:18" customFormat="1" x14ac:dyDescent="0.2">
      <c r="B238" s="130" t="s">
        <v>1131</v>
      </c>
      <c r="C238" s="118">
        <v>0</v>
      </c>
      <c r="D238" s="118">
        <v>0</v>
      </c>
      <c r="E238" s="118">
        <v>0</v>
      </c>
      <c r="F238" s="118">
        <v>0</v>
      </c>
      <c r="G238" s="118">
        <v>0</v>
      </c>
      <c r="H238" s="118">
        <v>0</v>
      </c>
      <c r="I238" s="118">
        <v>0</v>
      </c>
      <c r="J238" s="118"/>
      <c r="K238" s="118">
        <v>0</v>
      </c>
      <c r="L238" s="118">
        <v>0</v>
      </c>
      <c r="M238" s="118">
        <v>0</v>
      </c>
      <c r="N238" s="118">
        <v>0</v>
      </c>
      <c r="O238" s="118">
        <v>0</v>
      </c>
      <c r="P238" s="118">
        <v>0</v>
      </c>
      <c r="Q238" s="118">
        <v>0</v>
      </c>
      <c r="R238" s="118">
        <f t="shared" si="36"/>
        <v>0</v>
      </c>
    </row>
    <row r="239" spans="1:18" customFormat="1" x14ac:dyDescent="0.2">
      <c r="B239" s="130" t="s">
        <v>1129</v>
      </c>
      <c r="C239" s="118">
        <v>0</v>
      </c>
      <c r="D239" s="118">
        <v>0</v>
      </c>
      <c r="E239" s="118">
        <v>0</v>
      </c>
      <c r="F239" s="118">
        <v>0</v>
      </c>
      <c r="G239" s="118">
        <v>0</v>
      </c>
      <c r="H239" s="118">
        <v>0</v>
      </c>
      <c r="I239" s="118">
        <v>0</v>
      </c>
      <c r="J239" s="118"/>
      <c r="K239" s="118">
        <v>0</v>
      </c>
      <c r="L239" s="118">
        <v>0</v>
      </c>
      <c r="M239" s="118">
        <v>0</v>
      </c>
      <c r="N239" s="118">
        <v>0</v>
      </c>
      <c r="O239" s="118">
        <v>0</v>
      </c>
      <c r="P239" s="118">
        <v>0</v>
      </c>
      <c r="Q239" s="118">
        <v>0</v>
      </c>
      <c r="R239" s="118">
        <f t="shared" si="36"/>
        <v>0</v>
      </c>
    </row>
    <row r="240" spans="1:18" customFormat="1" x14ac:dyDescent="0.2">
      <c r="B240" s="130" t="s">
        <v>907</v>
      </c>
      <c r="C240" s="118">
        <v>0</v>
      </c>
      <c r="D240" s="118">
        <v>0</v>
      </c>
      <c r="E240" s="118">
        <v>0</v>
      </c>
      <c r="F240" s="118">
        <v>0</v>
      </c>
      <c r="G240" s="118">
        <v>0</v>
      </c>
      <c r="H240" s="118">
        <v>0</v>
      </c>
      <c r="I240" s="118">
        <v>0</v>
      </c>
      <c r="J240" s="118"/>
      <c r="K240" s="118">
        <v>0</v>
      </c>
      <c r="L240" s="118">
        <v>0</v>
      </c>
      <c r="M240" s="118">
        <v>0</v>
      </c>
      <c r="N240" s="118">
        <v>0</v>
      </c>
      <c r="O240" s="118">
        <v>0</v>
      </c>
      <c r="P240" s="118">
        <v>0</v>
      </c>
      <c r="Q240" s="118">
        <v>0</v>
      </c>
      <c r="R240" s="118">
        <f t="shared" si="36"/>
        <v>0</v>
      </c>
    </row>
    <row r="241" spans="1:18" customFormat="1" ht="14.25" customHeight="1" x14ac:dyDescent="0.2">
      <c r="B241" s="130" t="s">
        <v>175</v>
      </c>
      <c r="C241" s="118">
        <v>-10000</v>
      </c>
      <c r="D241" s="118">
        <v>0</v>
      </c>
      <c r="E241" s="118">
        <v>-2685</v>
      </c>
      <c r="F241" s="118">
        <v>0</v>
      </c>
      <c r="G241" s="118">
        <v>0</v>
      </c>
      <c r="H241" s="118">
        <v>-1811</v>
      </c>
      <c r="I241" s="118">
        <v>-662</v>
      </c>
      <c r="J241" s="118"/>
      <c r="K241" s="118">
        <v>0</v>
      </c>
      <c r="L241" s="118">
        <v>-33</v>
      </c>
      <c r="M241" s="118">
        <v>0</v>
      </c>
      <c r="N241" s="118">
        <v>0</v>
      </c>
      <c r="O241" s="118">
        <v>0</v>
      </c>
      <c r="P241" s="118">
        <v>0</v>
      </c>
      <c r="Q241" s="118">
        <v>0</v>
      </c>
      <c r="R241" s="118">
        <f t="shared" si="36"/>
        <v>-15191</v>
      </c>
    </row>
    <row r="242" spans="1:18" customFormat="1" ht="14.25" customHeight="1" x14ac:dyDescent="0.2">
      <c r="B242" s="130" t="s">
        <v>858</v>
      </c>
      <c r="C242" s="118">
        <v>0</v>
      </c>
      <c r="D242" s="118">
        <v>0</v>
      </c>
      <c r="E242" s="118">
        <v>0</v>
      </c>
      <c r="F242" s="118">
        <v>0</v>
      </c>
      <c r="G242" s="118">
        <v>0</v>
      </c>
      <c r="H242" s="118">
        <v>0</v>
      </c>
      <c r="I242" s="118">
        <v>0</v>
      </c>
      <c r="J242" s="118"/>
      <c r="K242" s="118">
        <v>0</v>
      </c>
      <c r="L242" s="118">
        <v>0</v>
      </c>
      <c r="M242" s="118">
        <v>0</v>
      </c>
      <c r="N242" s="118">
        <v>0</v>
      </c>
      <c r="O242" s="118">
        <v>0</v>
      </c>
      <c r="P242" s="118">
        <v>0</v>
      </c>
      <c r="Q242" s="118">
        <v>0</v>
      </c>
      <c r="R242" s="118">
        <f t="shared" si="36"/>
        <v>0</v>
      </c>
    </row>
    <row r="243" spans="1:18" customFormat="1" x14ac:dyDescent="0.2">
      <c r="B243" s="127" t="s">
        <v>1143</v>
      </c>
      <c r="C243" s="120">
        <f>SUM(C235:C242)</f>
        <v>65345</v>
      </c>
      <c r="D243" s="120">
        <f t="shared" ref="D243:Q243" si="37">SUM(D235:D242)</f>
        <v>14656</v>
      </c>
      <c r="E243" s="120">
        <f t="shared" si="37"/>
        <v>106699</v>
      </c>
      <c r="F243" s="120">
        <f t="shared" si="37"/>
        <v>5097</v>
      </c>
      <c r="G243" s="120">
        <f t="shared" si="37"/>
        <v>398</v>
      </c>
      <c r="H243" s="120">
        <f t="shared" si="37"/>
        <v>38269</v>
      </c>
      <c r="I243" s="120">
        <f>SUM(I235:I242)</f>
        <v>28609</v>
      </c>
      <c r="J243" s="120"/>
      <c r="K243" s="120">
        <f t="shared" si="37"/>
        <v>0</v>
      </c>
      <c r="L243" s="120">
        <f>SUM(L235:L242)</f>
        <v>1328</v>
      </c>
      <c r="M243" s="120">
        <f>SUM(M235:M242)</f>
        <v>1</v>
      </c>
      <c r="N243" s="120">
        <f>SUM(N235:N242)</f>
        <v>0</v>
      </c>
      <c r="O243" s="120">
        <f>SUM(O235:O242)</f>
        <v>0</v>
      </c>
      <c r="P243" s="120">
        <f t="shared" si="37"/>
        <v>0</v>
      </c>
      <c r="Q243" s="120">
        <f t="shared" si="37"/>
        <v>0</v>
      </c>
      <c r="R243" s="120">
        <f>SUM(R235:R242)</f>
        <v>260402</v>
      </c>
    </row>
    <row r="245" spans="1:18" customFormat="1" x14ac:dyDescent="0.2">
      <c r="A245" t="s">
        <v>1029</v>
      </c>
      <c r="B245" s="130" t="s">
        <v>68</v>
      </c>
      <c r="C245" s="118">
        <v>4498</v>
      </c>
      <c r="D245" s="118">
        <v>-10</v>
      </c>
      <c r="E245" s="118">
        <v>1379</v>
      </c>
      <c r="F245" s="118">
        <v>58</v>
      </c>
      <c r="G245" s="118">
        <v>-72</v>
      </c>
      <c r="H245" s="118">
        <v>1857</v>
      </c>
      <c r="I245" s="118">
        <v>2118</v>
      </c>
      <c r="J245" s="118"/>
      <c r="K245" s="118">
        <v>0</v>
      </c>
      <c r="L245" s="118">
        <v>21</v>
      </c>
      <c r="M245" s="118">
        <v>0</v>
      </c>
      <c r="N245" s="118">
        <v>0</v>
      </c>
      <c r="O245" s="118">
        <v>0</v>
      </c>
      <c r="P245" s="118">
        <v>0</v>
      </c>
      <c r="Q245" s="118">
        <v>0</v>
      </c>
      <c r="R245" s="118">
        <f t="shared" ref="R245:R250" si="38">SUM(C245:Q245)</f>
        <v>9849</v>
      </c>
    </row>
    <row r="246" spans="1:18" customFormat="1" ht="16.5" customHeight="1" x14ac:dyDescent="0.2">
      <c r="B246" s="130" t="s">
        <v>1130</v>
      </c>
      <c r="C246" s="118">
        <v>0</v>
      </c>
      <c r="D246" s="118">
        <v>0</v>
      </c>
      <c r="E246" s="118">
        <v>0</v>
      </c>
      <c r="F246" s="118">
        <v>0</v>
      </c>
      <c r="G246" s="118">
        <v>0</v>
      </c>
      <c r="H246" s="118">
        <v>0</v>
      </c>
      <c r="I246" s="118">
        <v>0</v>
      </c>
      <c r="J246" s="118"/>
      <c r="K246" s="118">
        <v>0</v>
      </c>
      <c r="L246" s="118">
        <v>0</v>
      </c>
      <c r="M246" s="118">
        <v>0</v>
      </c>
      <c r="N246" s="118">
        <v>0</v>
      </c>
      <c r="O246" s="118">
        <v>0</v>
      </c>
      <c r="P246" s="118">
        <v>0</v>
      </c>
      <c r="Q246" s="118">
        <v>0</v>
      </c>
      <c r="R246" s="118">
        <f t="shared" si="38"/>
        <v>0</v>
      </c>
    </row>
    <row r="247" spans="1:18" customFormat="1" x14ac:dyDescent="0.2">
      <c r="B247" s="130" t="s">
        <v>1128</v>
      </c>
      <c r="C247" s="118">
        <v>0</v>
      </c>
      <c r="D247" s="118">
        <v>0</v>
      </c>
      <c r="E247" s="118">
        <v>0</v>
      </c>
      <c r="F247" s="118">
        <v>0</v>
      </c>
      <c r="G247" s="118">
        <v>0</v>
      </c>
      <c r="H247" s="118">
        <v>0</v>
      </c>
      <c r="I247" s="118">
        <v>12008</v>
      </c>
      <c r="J247" s="118"/>
      <c r="K247" s="118">
        <v>0</v>
      </c>
      <c r="L247" s="118">
        <v>0</v>
      </c>
      <c r="M247" s="118">
        <v>0</v>
      </c>
      <c r="N247" s="118">
        <v>0</v>
      </c>
      <c r="O247" s="118">
        <v>0</v>
      </c>
      <c r="P247" s="118">
        <v>0</v>
      </c>
      <c r="Q247" s="118">
        <v>0</v>
      </c>
      <c r="R247" s="118">
        <f t="shared" si="38"/>
        <v>12008</v>
      </c>
    </row>
    <row r="248" spans="1:18" customFormat="1" x14ac:dyDescent="0.2">
      <c r="B248" s="130" t="s">
        <v>770</v>
      </c>
      <c r="C248" s="118">
        <v>0</v>
      </c>
      <c r="D248" s="118">
        <v>0</v>
      </c>
      <c r="E248" s="118">
        <v>0</v>
      </c>
      <c r="F248" s="118">
        <v>0</v>
      </c>
      <c r="G248" s="118">
        <v>0</v>
      </c>
      <c r="H248" s="118">
        <v>0</v>
      </c>
      <c r="I248" s="118">
        <v>0</v>
      </c>
      <c r="J248" s="118"/>
      <c r="K248" s="118">
        <v>0</v>
      </c>
      <c r="L248" s="118">
        <v>0</v>
      </c>
      <c r="M248" s="118">
        <v>0</v>
      </c>
      <c r="N248" s="118">
        <v>0</v>
      </c>
      <c r="O248" s="118">
        <v>0</v>
      </c>
      <c r="P248" s="118">
        <v>0</v>
      </c>
      <c r="Q248" s="118">
        <v>0</v>
      </c>
      <c r="R248" s="118">
        <f t="shared" si="38"/>
        <v>0</v>
      </c>
    </row>
    <row r="249" spans="1:18" customFormat="1" ht="14.25" customHeight="1" x14ac:dyDescent="0.2">
      <c r="B249" s="130" t="s">
        <v>93</v>
      </c>
      <c r="C249" s="118">
        <v>0</v>
      </c>
      <c r="D249" s="118">
        <v>0</v>
      </c>
      <c r="E249" s="118">
        <v>-1</v>
      </c>
      <c r="F249" s="118">
        <v>0</v>
      </c>
      <c r="G249" s="118">
        <v>0</v>
      </c>
      <c r="H249" s="118">
        <v>-2627</v>
      </c>
      <c r="I249" s="118">
        <v>0</v>
      </c>
      <c r="J249" s="118"/>
      <c r="K249" s="118">
        <v>0</v>
      </c>
      <c r="L249" s="118">
        <v>0</v>
      </c>
      <c r="M249" s="118">
        <v>0</v>
      </c>
      <c r="N249" s="118">
        <v>0</v>
      </c>
      <c r="O249" s="118">
        <v>0</v>
      </c>
      <c r="P249" s="118">
        <v>0</v>
      </c>
      <c r="Q249" s="118">
        <v>0</v>
      </c>
      <c r="R249" s="118">
        <f t="shared" si="38"/>
        <v>-2628</v>
      </c>
    </row>
    <row r="250" spans="1:18" customFormat="1" ht="14.25" customHeight="1" x14ac:dyDescent="0.2">
      <c r="B250" s="130" t="s">
        <v>857</v>
      </c>
      <c r="C250" s="118">
        <v>0</v>
      </c>
      <c r="D250" s="118">
        <v>0</v>
      </c>
      <c r="E250" s="118">
        <v>0</v>
      </c>
      <c r="F250" s="118">
        <v>0</v>
      </c>
      <c r="G250" s="118">
        <v>0</v>
      </c>
      <c r="H250" s="118">
        <v>0</v>
      </c>
      <c r="I250" s="118">
        <v>0</v>
      </c>
      <c r="J250" s="118"/>
      <c r="K250" s="118">
        <v>0</v>
      </c>
      <c r="L250" s="118">
        <v>0</v>
      </c>
      <c r="M250" s="118">
        <v>0</v>
      </c>
      <c r="N250" s="118">
        <v>0</v>
      </c>
      <c r="O250" s="118">
        <v>0</v>
      </c>
      <c r="P250" s="118">
        <v>0</v>
      </c>
      <c r="Q250" s="118">
        <v>0</v>
      </c>
      <c r="R250" s="118">
        <f t="shared" si="38"/>
        <v>0</v>
      </c>
    </row>
    <row r="251" spans="1:18" customFormat="1" x14ac:dyDescent="0.2">
      <c r="B251" s="127" t="s">
        <v>1165</v>
      </c>
      <c r="C251" s="120">
        <f>SUM(C243:C250)</f>
        <v>69843</v>
      </c>
      <c r="D251" s="120">
        <f t="shared" ref="D251:Q251" si="39">SUM(D243:D250)</f>
        <v>14646</v>
      </c>
      <c r="E251" s="120">
        <f t="shared" si="39"/>
        <v>108077</v>
      </c>
      <c r="F251" s="120">
        <f t="shared" si="39"/>
        <v>5155</v>
      </c>
      <c r="G251" s="120">
        <f t="shared" si="39"/>
        <v>326</v>
      </c>
      <c r="H251" s="120">
        <f t="shared" si="39"/>
        <v>37499</v>
      </c>
      <c r="I251" s="120">
        <f>SUM(I243:I250)</f>
        <v>42735</v>
      </c>
      <c r="J251" s="120"/>
      <c r="K251" s="120">
        <f t="shared" si="39"/>
        <v>0</v>
      </c>
      <c r="L251" s="120">
        <f>SUM(L243:L250)</f>
        <v>1349</v>
      </c>
      <c r="M251" s="120">
        <f>SUM(M243:M250)</f>
        <v>1</v>
      </c>
      <c r="N251" s="120">
        <f>SUM(N243:N250)</f>
        <v>0</v>
      </c>
      <c r="O251" s="120">
        <f>SUM(O243:O250)</f>
        <v>0</v>
      </c>
      <c r="P251" s="120">
        <f t="shared" si="39"/>
        <v>0</v>
      </c>
      <c r="Q251" s="120">
        <f t="shared" si="39"/>
        <v>0</v>
      </c>
      <c r="R251" s="120">
        <f>SUM(R243:R250)</f>
        <v>279631</v>
      </c>
    </row>
    <row r="253" spans="1:18" customFormat="1" x14ac:dyDescent="0.2">
      <c r="B253" s="130" t="s">
        <v>286</v>
      </c>
      <c r="C253" s="118">
        <v>2733</v>
      </c>
      <c r="D253" s="118">
        <v>4</v>
      </c>
      <c r="E253" s="118">
        <v>1339</v>
      </c>
      <c r="F253" s="118">
        <v>1543</v>
      </c>
      <c r="G253" s="118">
        <v>2789</v>
      </c>
      <c r="H253" s="118">
        <v>1609</v>
      </c>
      <c r="I253" s="118">
        <v>2594</v>
      </c>
      <c r="J253" s="118"/>
      <c r="K253" s="118">
        <v>0</v>
      </c>
      <c r="L253" s="118">
        <v>-6</v>
      </c>
      <c r="M253" s="118">
        <v>0</v>
      </c>
      <c r="N253" s="118">
        <v>0</v>
      </c>
      <c r="O253" s="118">
        <v>0</v>
      </c>
      <c r="P253" s="118">
        <v>0</v>
      </c>
      <c r="Q253" s="118">
        <v>0</v>
      </c>
      <c r="R253" s="118">
        <f t="shared" ref="R253:R258" si="40">SUM(C253:Q253)</f>
        <v>12605</v>
      </c>
    </row>
    <row r="254" spans="1:18" customFormat="1" ht="16.5" customHeight="1" x14ac:dyDescent="0.2">
      <c r="B254" s="130" t="s">
        <v>1131</v>
      </c>
      <c r="C254" s="118">
        <v>0</v>
      </c>
      <c r="D254" s="118">
        <v>0</v>
      </c>
      <c r="E254" s="118">
        <v>0</v>
      </c>
      <c r="F254" s="118">
        <v>0</v>
      </c>
      <c r="G254" s="118">
        <v>0</v>
      </c>
      <c r="H254" s="118">
        <v>0</v>
      </c>
      <c r="I254" s="118">
        <v>0</v>
      </c>
      <c r="J254" s="118"/>
      <c r="K254" s="118">
        <v>0</v>
      </c>
      <c r="L254" s="118">
        <v>0</v>
      </c>
      <c r="M254" s="118">
        <v>0</v>
      </c>
      <c r="N254" s="118">
        <v>0</v>
      </c>
      <c r="O254" s="118">
        <v>0</v>
      </c>
      <c r="P254" s="118">
        <v>0</v>
      </c>
      <c r="Q254" s="118">
        <v>0</v>
      </c>
      <c r="R254" s="118">
        <f t="shared" si="40"/>
        <v>0</v>
      </c>
    </row>
    <row r="255" spans="1:18" customFormat="1" x14ac:dyDescent="0.2">
      <c r="B255" s="130" t="s">
        <v>1129</v>
      </c>
      <c r="C255" s="118">
        <v>0</v>
      </c>
      <c r="D255" s="118">
        <v>0</v>
      </c>
      <c r="E255" s="118">
        <v>0</v>
      </c>
      <c r="F255" s="118">
        <v>0</v>
      </c>
      <c r="G255" s="118">
        <v>0</v>
      </c>
      <c r="H255" s="118">
        <v>0</v>
      </c>
      <c r="I255" s="118">
        <v>17712</v>
      </c>
      <c r="J255" s="118"/>
      <c r="K255" s="118">
        <v>0</v>
      </c>
      <c r="L255" s="118">
        <v>0</v>
      </c>
      <c r="M255" s="118">
        <v>0</v>
      </c>
      <c r="N255" s="118">
        <v>0</v>
      </c>
      <c r="O255" s="118">
        <v>0</v>
      </c>
      <c r="P255" s="118">
        <v>0</v>
      </c>
      <c r="Q255" s="118">
        <v>0</v>
      </c>
      <c r="R255" s="118">
        <f t="shared" si="40"/>
        <v>17712</v>
      </c>
    </row>
    <row r="256" spans="1:18" customFormat="1" x14ac:dyDescent="0.2">
      <c r="B256" s="130" t="s">
        <v>907</v>
      </c>
      <c r="C256" s="118">
        <v>0</v>
      </c>
      <c r="D256" s="118">
        <v>0</v>
      </c>
      <c r="E256" s="118">
        <v>0</v>
      </c>
      <c r="F256" s="118">
        <v>0</v>
      </c>
      <c r="G256" s="118">
        <v>0</v>
      </c>
      <c r="H256" s="118">
        <v>0</v>
      </c>
      <c r="I256" s="118">
        <v>0</v>
      </c>
      <c r="J256" s="118"/>
      <c r="K256" s="118">
        <v>0</v>
      </c>
      <c r="L256" s="118">
        <v>0</v>
      </c>
      <c r="M256" s="118">
        <v>0</v>
      </c>
      <c r="N256" s="118">
        <v>0</v>
      </c>
      <c r="O256" s="118">
        <v>0</v>
      </c>
      <c r="P256" s="118">
        <v>0</v>
      </c>
      <c r="Q256" s="118">
        <v>0</v>
      </c>
      <c r="R256" s="118">
        <f t="shared" si="40"/>
        <v>0</v>
      </c>
    </row>
    <row r="257" spans="2:18" customFormat="1" ht="14.25" customHeight="1" x14ac:dyDescent="0.2">
      <c r="B257" s="130" t="s">
        <v>175</v>
      </c>
      <c r="C257" s="118">
        <v>0</v>
      </c>
      <c r="D257" s="118">
        <v>0</v>
      </c>
      <c r="E257" s="118">
        <v>0</v>
      </c>
      <c r="F257" s="118">
        <v>0</v>
      </c>
      <c r="G257" s="118">
        <v>0</v>
      </c>
      <c r="H257" s="118">
        <v>-2150</v>
      </c>
      <c r="I257" s="118">
        <v>0</v>
      </c>
      <c r="J257" s="118"/>
      <c r="K257" s="118">
        <v>0</v>
      </c>
      <c r="L257" s="118">
        <v>0</v>
      </c>
      <c r="M257" s="118">
        <v>0</v>
      </c>
      <c r="N257" s="118">
        <v>0</v>
      </c>
      <c r="O257" s="118">
        <v>0</v>
      </c>
      <c r="P257" s="118">
        <v>0</v>
      </c>
      <c r="Q257" s="118">
        <v>0</v>
      </c>
      <c r="R257" s="118">
        <f t="shared" si="40"/>
        <v>-2150</v>
      </c>
    </row>
    <row r="258" spans="2:18" customFormat="1" ht="14.25" customHeight="1" x14ac:dyDescent="0.2">
      <c r="B258" s="130" t="s">
        <v>858</v>
      </c>
      <c r="C258" s="118">
        <v>0</v>
      </c>
      <c r="D258" s="118">
        <v>0</v>
      </c>
      <c r="E258" s="118">
        <v>0</v>
      </c>
      <c r="F258" s="118">
        <v>0</v>
      </c>
      <c r="G258" s="118">
        <v>0</v>
      </c>
      <c r="H258" s="118">
        <v>0</v>
      </c>
      <c r="I258" s="118">
        <v>101</v>
      </c>
      <c r="J258" s="118"/>
      <c r="K258" s="118">
        <v>0</v>
      </c>
      <c r="L258" s="118">
        <v>0</v>
      </c>
      <c r="M258" s="118">
        <v>0</v>
      </c>
      <c r="N258" s="118">
        <v>0</v>
      </c>
      <c r="O258" s="118">
        <v>0</v>
      </c>
      <c r="P258" s="118">
        <v>0</v>
      </c>
      <c r="Q258" s="118">
        <v>0</v>
      </c>
      <c r="R258" s="118">
        <f t="shared" si="40"/>
        <v>101</v>
      </c>
    </row>
    <row r="259" spans="2:18" customFormat="1" x14ac:dyDescent="0.2">
      <c r="B259" s="127" t="s">
        <v>1173</v>
      </c>
      <c r="C259" s="120">
        <f>SUM(C251:C258)</f>
        <v>72576</v>
      </c>
      <c r="D259" s="120">
        <f t="shared" ref="D259:R259" si="41">SUM(D251:D258)</f>
        <v>14650</v>
      </c>
      <c r="E259" s="120">
        <f t="shared" si="41"/>
        <v>109416</v>
      </c>
      <c r="F259" s="120">
        <f t="shared" si="41"/>
        <v>6698</v>
      </c>
      <c r="G259" s="120">
        <f t="shared" si="41"/>
        <v>3115</v>
      </c>
      <c r="H259" s="120">
        <f t="shared" si="41"/>
        <v>36958</v>
      </c>
      <c r="I259" s="120">
        <f>SUM(I251:I258)</f>
        <v>63142</v>
      </c>
      <c r="J259" s="120"/>
      <c r="K259" s="120">
        <f t="shared" si="41"/>
        <v>0</v>
      </c>
      <c r="L259" s="120">
        <f>SUM(L251:L258)</f>
        <v>1343</v>
      </c>
      <c r="M259" s="120">
        <f>SUM(M251:M258)</f>
        <v>1</v>
      </c>
      <c r="N259" s="120">
        <f>SUM(N251:N258)</f>
        <v>0</v>
      </c>
      <c r="O259" s="120">
        <f>SUM(O251:O258)</f>
        <v>0</v>
      </c>
      <c r="P259" s="120">
        <f t="shared" si="41"/>
        <v>0</v>
      </c>
      <c r="Q259" s="120">
        <f t="shared" si="41"/>
        <v>0</v>
      </c>
      <c r="R259" s="120">
        <f t="shared" si="41"/>
        <v>307899</v>
      </c>
    </row>
    <row r="261" spans="2:18" customFormat="1" x14ac:dyDescent="0.2">
      <c r="B261" s="130" t="s">
        <v>286</v>
      </c>
      <c r="C261" s="118">
        <v>5624</v>
      </c>
      <c r="D261" s="118">
        <v>229</v>
      </c>
      <c r="E261" s="118">
        <v>1562</v>
      </c>
      <c r="F261" s="118">
        <v>133</v>
      </c>
      <c r="G261" s="118">
        <v>26</v>
      </c>
      <c r="H261" s="118">
        <v>2987</v>
      </c>
      <c r="I261" s="118">
        <v>2983</v>
      </c>
      <c r="J261" s="118"/>
      <c r="K261" s="118">
        <v>0</v>
      </c>
      <c r="L261" s="118">
        <v>6</v>
      </c>
      <c r="M261" s="118">
        <v>0</v>
      </c>
      <c r="N261" s="118">
        <v>0</v>
      </c>
      <c r="O261" s="118">
        <v>0</v>
      </c>
      <c r="P261" s="118">
        <v>0</v>
      </c>
      <c r="Q261" s="118">
        <v>0</v>
      </c>
      <c r="R261" s="118">
        <f t="shared" ref="R261:R266" si="42">SUM(C261:Q261)</f>
        <v>13550</v>
      </c>
    </row>
    <row r="262" spans="2:18" customFormat="1" ht="16.5" customHeight="1" x14ac:dyDescent="0.2">
      <c r="B262" s="130" t="s">
        <v>1131</v>
      </c>
      <c r="C262" s="118" t="s">
        <v>47</v>
      </c>
      <c r="D262" s="118">
        <v>0</v>
      </c>
      <c r="E262" s="118">
        <v>0</v>
      </c>
      <c r="F262" s="118">
        <v>0</v>
      </c>
      <c r="G262" s="118">
        <v>0</v>
      </c>
      <c r="H262" s="118">
        <v>0</v>
      </c>
      <c r="I262" s="118">
        <v>0</v>
      </c>
      <c r="J262" s="118"/>
      <c r="K262" s="118">
        <v>0</v>
      </c>
      <c r="L262" s="118">
        <v>0</v>
      </c>
      <c r="M262" s="118">
        <v>0</v>
      </c>
      <c r="N262" s="118">
        <v>0</v>
      </c>
      <c r="O262" s="118">
        <v>0</v>
      </c>
      <c r="P262" s="118">
        <v>0</v>
      </c>
      <c r="Q262" s="118">
        <v>0</v>
      </c>
      <c r="R262" s="118">
        <f t="shared" si="42"/>
        <v>0</v>
      </c>
    </row>
    <row r="263" spans="2:18" customFormat="1" x14ac:dyDescent="0.2">
      <c r="B263" s="130" t="s">
        <v>1129</v>
      </c>
      <c r="C263" s="118">
        <v>0</v>
      </c>
      <c r="D263" s="118">
        <v>0</v>
      </c>
      <c r="E263" s="118">
        <v>0</v>
      </c>
      <c r="F263" s="118">
        <v>0</v>
      </c>
      <c r="G263" s="118">
        <v>0</v>
      </c>
      <c r="H263" s="118">
        <v>0</v>
      </c>
      <c r="I263" s="118">
        <v>11235</v>
      </c>
      <c r="J263" s="118"/>
      <c r="K263" s="118">
        <v>0</v>
      </c>
      <c r="L263" s="118">
        <v>0</v>
      </c>
      <c r="M263" s="118">
        <v>0</v>
      </c>
      <c r="N263" s="118">
        <v>0</v>
      </c>
      <c r="O263" s="118">
        <v>0</v>
      </c>
      <c r="P263" s="118">
        <v>0</v>
      </c>
      <c r="Q263" s="118">
        <v>0</v>
      </c>
      <c r="R263" s="118">
        <f t="shared" si="42"/>
        <v>11235</v>
      </c>
    </row>
    <row r="264" spans="2:18" customFormat="1" x14ac:dyDescent="0.2">
      <c r="B264" s="130" t="s">
        <v>907</v>
      </c>
      <c r="C264" s="118">
        <v>0</v>
      </c>
      <c r="D264" s="118">
        <v>0</v>
      </c>
      <c r="E264" s="118">
        <v>0</v>
      </c>
      <c r="F264" s="118">
        <v>0</v>
      </c>
      <c r="G264" s="118">
        <v>0</v>
      </c>
      <c r="H264" s="118">
        <v>0</v>
      </c>
      <c r="I264" s="118">
        <v>0</v>
      </c>
      <c r="J264" s="118"/>
      <c r="K264" s="118">
        <v>0</v>
      </c>
      <c r="L264" s="118">
        <v>0</v>
      </c>
      <c r="M264" s="118">
        <v>0</v>
      </c>
      <c r="N264" s="118">
        <v>0</v>
      </c>
      <c r="O264" s="118">
        <v>0</v>
      </c>
      <c r="P264" s="118">
        <v>0</v>
      </c>
      <c r="Q264" s="118">
        <v>0</v>
      </c>
      <c r="R264" s="118">
        <f t="shared" si="42"/>
        <v>0</v>
      </c>
    </row>
    <row r="265" spans="2:18" customFormat="1" ht="14.25" customHeight="1" x14ac:dyDescent="0.2">
      <c r="B265" s="130" t="s">
        <v>175</v>
      </c>
      <c r="C265" s="118">
        <v>0</v>
      </c>
      <c r="D265" s="118">
        <v>0</v>
      </c>
      <c r="E265" s="118">
        <v>0</v>
      </c>
      <c r="F265" s="118">
        <v>0</v>
      </c>
      <c r="G265" s="118">
        <v>0</v>
      </c>
      <c r="H265" s="118">
        <v>-1144</v>
      </c>
      <c r="I265" s="118">
        <v>0</v>
      </c>
      <c r="J265" s="118"/>
      <c r="K265" s="118">
        <v>0</v>
      </c>
      <c r="L265" s="118">
        <v>0</v>
      </c>
      <c r="M265" s="118">
        <v>0</v>
      </c>
      <c r="N265" s="118">
        <v>0</v>
      </c>
      <c r="O265" s="118">
        <v>0</v>
      </c>
      <c r="P265" s="118">
        <v>0</v>
      </c>
      <c r="Q265" s="118">
        <v>0</v>
      </c>
      <c r="R265" s="118">
        <f t="shared" si="42"/>
        <v>-1144</v>
      </c>
    </row>
    <row r="266" spans="2:18" customFormat="1" ht="14.25" customHeight="1" x14ac:dyDescent="0.2">
      <c r="B266" s="130" t="s">
        <v>858</v>
      </c>
      <c r="C266" s="118">
        <v>0</v>
      </c>
      <c r="D266" s="118">
        <v>0</v>
      </c>
      <c r="E266" s="118">
        <v>0</v>
      </c>
      <c r="F266" s="118">
        <v>0</v>
      </c>
      <c r="G266" s="118">
        <v>0</v>
      </c>
      <c r="H266" s="118">
        <v>0</v>
      </c>
      <c r="I266" s="118">
        <v>0</v>
      </c>
      <c r="J266" s="118"/>
      <c r="K266" s="118">
        <v>0</v>
      </c>
      <c r="L266" s="118">
        <v>0</v>
      </c>
      <c r="M266" s="118">
        <v>0</v>
      </c>
      <c r="N266" s="118">
        <v>0</v>
      </c>
      <c r="O266" s="118">
        <v>0</v>
      </c>
      <c r="P266" s="118">
        <v>0</v>
      </c>
      <c r="Q266" s="118">
        <v>0</v>
      </c>
      <c r="R266" s="118">
        <f t="shared" si="42"/>
        <v>0</v>
      </c>
    </row>
    <row r="267" spans="2:18" customFormat="1" x14ac:dyDescent="0.2">
      <c r="B267" s="127" t="s">
        <v>1198</v>
      </c>
      <c r="C267" s="120">
        <f t="shared" ref="C267:I267" si="43">SUM(C259:C266)</f>
        <v>78200</v>
      </c>
      <c r="D267" s="120">
        <f t="shared" si="43"/>
        <v>14879</v>
      </c>
      <c r="E267" s="120">
        <f t="shared" si="43"/>
        <v>110978</v>
      </c>
      <c r="F267" s="120">
        <f t="shared" si="43"/>
        <v>6831</v>
      </c>
      <c r="G267" s="120">
        <f t="shared" si="43"/>
        <v>3141</v>
      </c>
      <c r="H267" s="120">
        <f t="shared" si="43"/>
        <v>38801</v>
      </c>
      <c r="I267" s="120">
        <f t="shared" si="43"/>
        <v>77360</v>
      </c>
      <c r="J267" s="120"/>
      <c r="K267" s="120">
        <f>SUM(K251:K266)</f>
        <v>0</v>
      </c>
      <c r="L267" s="120">
        <f>SUM(L259:L266)</f>
        <v>1349</v>
      </c>
      <c r="M267" s="120">
        <f>SUM(M259:M266)</f>
        <v>1</v>
      </c>
      <c r="N267" s="120">
        <f>SUM(N251:N266)</f>
        <v>0</v>
      </c>
      <c r="O267" s="120">
        <f>SUM(O251:O266)</f>
        <v>0</v>
      </c>
      <c r="P267" s="120">
        <f>SUM(P251:P266)</f>
        <v>0</v>
      </c>
      <c r="Q267" s="120">
        <f>SUM(Q251:Q266)</f>
        <v>0</v>
      </c>
      <c r="R267" s="120">
        <f>SUM(R259:R266)</f>
        <v>331540</v>
      </c>
    </row>
    <row r="269" spans="2:18" customFormat="1" x14ac:dyDescent="0.2">
      <c r="B269" s="130" t="s">
        <v>286</v>
      </c>
      <c r="C269" s="118">
        <v>3773</v>
      </c>
      <c r="D269" s="118">
        <v>362</v>
      </c>
      <c r="E269" s="118">
        <v>1662</v>
      </c>
      <c r="F269" s="118">
        <v>-570</v>
      </c>
      <c r="G269" s="118">
        <v>29</v>
      </c>
      <c r="H269" s="118">
        <v>2977</v>
      </c>
      <c r="I269" s="118">
        <v>3234</v>
      </c>
      <c r="J269" s="118"/>
      <c r="K269" s="118">
        <v>0</v>
      </c>
      <c r="L269" s="118">
        <v>17</v>
      </c>
      <c r="M269" s="118">
        <v>0</v>
      </c>
      <c r="N269" s="118">
        <v>0</v>
      </c>
      <c r="O269" s="118">
        <v>0</v>
      </c>
      <c r="P269" s="118">
        <v>0</v>
      </c>
      <c r="Q269" s="118">
        <v>0</v>
      </c>
      <c r="R269" s="118">
        <f t="shared" ref="R269:R276" si="44">SUM(C269:Q269)</f>
        <v>11484</v>
      </c>
    </row>
    <row r="270" spans="2:18" customFormat="1" ht="16.5" customHeight="1" x14ac:dyDescent="0.2">
      <c r="B270" s="130" t="s">
        <v>1131</v>
      </c>
      <c r="C270" s="118" t="s">
        <v>47</v>
      </c>
      <c r="D270" s="118">
        <v>0</v>
      </c>
      <c r="E270" s="118">
        <v>0</v>
      </c>
      <c r="F270" s="118">
        <v>0</v>
      </c>
      <c r="G270" s="118">
        <v>0</v>
      </c>
      <c r="H270" s="118">
        <v>0</v>
      </c>
      <c r="I270" s="118">
        <v>0</v>
      </c>
      <c r="J270" s="118"/>
      <c r="K270" s="118">
        <v>0</v>
      </c>
      <c r="L270" s="118">
        <v>0</v>
      </c>
      <c r="M270" s="118">
        <v>0</v>
      </c>
      <c r="N270" s="118">
        <v>0</v>
      </c>
      <c r="O270" s="118">
        <v>0</v>
      </c>
      <c r="P270" s="118">
        <v>0</v>
      </c>
      <c r="Q270" s="118">
        <v>0</v>
      </c>
      <c r="R270" s="118">
        <f t="shared" si="44"/>
        <v>0</v>
      </c>
    </row>
    <row r="271" spans="2:18" customFormat="1" x14ac:dyDescent="0.2">
      <c r="B271" s="130" t="s">
        <v>1129</v>
      </c>
      <c r="C271" s="118">
        <v>0</v>
      </c>
      <c r="D271" s="118">
        <v>0</v>
      </c>
      <c r="E271" s="118">
        <v>0</v>
      </c>
      <c r="F271" s="118">
        <v>1100</v>
      </c>
      <c r="G271" s="118">
        <v>0</v>
      </c>
      <c r="H271" s="118">
        <v>0</v>
      </c>
      <c r="I271" s="118">
        <v>-28947</v>
      </c>
      <c r="J271" s="118"/>
      <c r="K271" s="118">
        <v>0</v>
      </c>
      <c r="L271" s="118">
        <v>0</v>
      </c>
      <c r="M271" s="118">
        <v>0</v>
      </c>
      <c r="N271" s="118">
        <v>0</v>
      </c>
      <c r="O271" s="118">
        <v>0</v>
      </c>
      <c r="P271" s="118">
        <v>0</v>
      </c>
      <c r="Q271" s="118">
        <v>0</v>
      </c>
      <c r="R271" s="118">
        <f t="shared" si="44"/>
        <v>-27847</v>
      </c>
    </row>
    <row r="272" spans="2:18" customFormat="1" x14ac:dyDescent="0.2">
      <c r="B272" s="130">
        <v>0</v>
      </c>
      <c r="C272" s="118">
        <v>0</v>
      </c>
      <c r="D272" s="118">
        <v>0</v>
      </c>
      <c r="E272" s="118">
        <v>0</v>
      </c>
      <c r="F272" s="118">
        <v>0</v>
      </c>
      <c r="G272" s="118">
        <v>0</v>
      </c>
      <c r="H272" s="118">
        <v>0</v>
      </c>
      <c r="I272" s="118">
        <v>0</v>
      </c>
      <c r="J272" s="118"/>
      <c r="K272" s="118">
        <v>0</v>
      </c>
      <c r="L272" s="118">
        <v>0</v>
      </c>
      <c r="M272" s="118">
        <v>0</v>
      </c>
      <c r="N272" s="118">
        <v>0</v>
      </c>
      <c r="O272" s="118">
        <v>0</v>
      </c>
      <c r="P272" s="118">
        <v>0</v>
      </c>
      <c r="Q272" s="118">
        <v>0</v>
      </c>
      <c r="R272" s="118">
        <f t="shared" si="44"/>
        <v>0</v>
      </c>
    </row>
    <row r="273" spans="2:18" customFormat="1" x14ac:dyDescent="0.2">
      <c r="B273" s="130" t="s">
        <v>907</v>
      </c>
      <c r="C273" s="118">
        <v>0</v>
      </c>
      <c r="D273" s="118">
        <v>0</v>
      </c>
      <c r="E273" s="118">
        <v>0</v>
      </c>
      <c r="F273" s="118">
        <v>0</v>
      </c>
      <c r="G273" s="118">
        <v>0</v>
      </c>
      <c r="H273" s="118">
        <v>0</v>
      </c>
      <c r="I273" s="118">
        <v>0</v>
      </c>
      <c r="J273" s="118"/>
      <c r="K273" s="118">
        <v>0</v>
      </c>
      <c r="L273" s="118">
        <v>0</v>
      </c>
      <c r="M273" s="118">
        <v>0</v>
      </c>
      <c r="N273" s="118">
        <v>0</v>
      </c>
      <c r="O273" s="118">
        <v>0</v>
      </c>
      <c r="P273" s="118">
        <v>0</v>
      </c>
      <c r="Q273" s="118">
        <v>0</v>
      </c>
      <c r="R273" s="118">
        <f t="shared" si="44"/>
        <v>0</v>
      </c>
    </row>
    <row r="274" spans="2:18" customFormat="1" ht="14.25" customHeight="1" x14ac:dyDescent="0.2">
      <c r="B274" s="130" t="s">
        <v>175</v>
      </c>
      <c r="C274" s="118">
        <v>-10000</v>
      </c>
      <c r="D274" s="118">
        <v>0</v>
      </c>
      <c r="E274" s="118">
        <v>-5915</v>
      </c>
      <c r="F274" s="118">
        <v>0</v>
      </c>
      <c r="G274" s="118">
        <v>0</v>
      </c>
      <c r="H274" s="118">
        <v>-2195</v>
      </c>
      <c r="I274" s="118">
        <v>0</v>
      </c>
      <c r="J274" s="118"/>
      <c r="K274" s="118">
        <v>0</v>
      </c>
      <c r="L274" s="118">
        <v>0</v>
      </c>
      <c r="M274" s="118">
        <v>0</v>
      </c>
      <c r="N274" s="118">
        <v>0</v>
      </c>
      <c r="O274" s="118">
        <v>0</v>
      </c>
      <c r="P274" s="118">
        <v>0</v>
      </c>
      <c r="Q274" s="118">
        <v>0</v>
      </c>
      <c r="R274" s="118">
        <f t="shared" si="44"/>
        <v>-18110</v>
      </c>
    </row>
    <row r="275" spans="2:18" customFormat="1" ht="14.25" customHeight="1" x14ac:dyDescent="0.2">
      <c r="B275" s="130" t="s">
        <v>858</v>
      </c>
      <c r="C275" s="118">
        <v>0</v>
      </c>
      <c r="D275" s="118">
        <v>0</v>
      </c>
      <c r="E275" s="118">
        <v>0</v>
      </c>
      <c r="F275" s="118">
        <v>0</v>
      </c>
      <c r="G275" s="118">
        <v>0</v>
      </c>
      <c r="H275" s="118">
        <v>0</v>
      </c>
      <c r="I275" s="118">
        <v>0</v>
      </c>
      <c r="J275" s="118"/>
      <c r="K275" s="118">
        <v>0</v>
      </c>
      <c r="L275" s="118">
        <v>0</v>
      </c>
      <c r="M275" s="118">
        <v>0</v>
      </c>
      <c r="N275" s="118">
        <v>0</v>
      </c>
      <c r="O275" s="118">
        <v>0</v>
      </c>
      <c r="P275" s="118">
        <v>0</v>
      </c>
      <c r="Q275" s="118">
        <v>0</v>
      </c>
      <c r="R275" s="118">
        <f t="shared" si="44"/>
        <v>0</v>
      </c>
    </row>
    <row r="276" spans="2:18" customFormat="1" ht="14.25" customHeight="1" x14ac:dyDescent="0.2">
      <c r="B276" s="130" t="s">
        <v>256</v>
      </c>
      <c r="C276" s="118">
        <v>-1</v>
      </c>
      <c r="D276" s="118" t="s">
        <v>47</v>
      </c>
      <c r="E276" s="118" t="s">
        <v>47</v>
      </c>
      <c r="F276" s="118" t="s">
        <v>47</v>
      </c>
      <c r="G276" s="118">
        <v>0</v>
      </c>
      <c r="H276" s="118">
        <v>0</v>
      </c>
      <c r="I276" s="118">
        <v>0</v>
      </c>
      <c r="J276" s="118"/>
      <c r="K276" s="118" t="s">
        <v>47</v>
      </c>
      <c r="L276" s="118" t="s">
        <v>47</v>
      </c>
      <c r="M276" s="118" t="s">
        <v>47</v>
      </c>
      <c r="N276" s="118" t="s">
        <v>47</v>
      </c>
      <c r="O276" s="118" t="s">
        <v>47</v>
      </c>
      <c r="P276" s="118" t="s">
        <v>47</v>
      </c>
      <c r="Q276" s="118" t="s">
        <v>47</v>
      </c>
      <c r="R276" s="118">
        <f t="shared" si="44"/>
        <v>-1</v>
      </c>
    </row>
    <row r="277" spans="2:18" customFormat="1" x14ac:dyDescent="0.2">
      <c r="B277" s="127" t="s">
        <v>1205</v>
      </c>
      <c r="C277" s="120">
        <f>SUM(C267:C276)</f>
        <v>71972</v>
      </c>
      <c r="D277" s="120">
        <f t="shared" ref="D277:R277" si="45">SUM(D267:D276)</f>
        <v>15241</v>
      </c>
      <c r="E277" s="120">
        <f t="shared" si="45"/>
        <v>106725</v>
      </c>
      <c r="F277" s="120">
        <f t="shared" si="45"/>
        <v>7361</v>
      </c>
      <c r="G277" s="120">
        <f t="shared" si="45"/>
        <v>3170</v>
      </c>
      <c r="H277" s="120">
        <f t="shared" si="45"/>
        <v>39583</v>
      </c>
      <c r="I277" s="120">
        <f>SUM(I267:I276)</f>
        <v>51647</v>
      </c>
      <c r="J277" s="120"/>
      <c r="K277" s="120">
        <f t="shared" si="45"/>
        <v>0</v>
      </c>
      <c r="L277" s="120">
        <f>SUM(L267:L276)</f>
        <v>1366</v>
      </c>
      <c r="M277" s="120">
        <f>SUM(M267:M276)</f>
        <v>1</v>
      </c>
      <c r="N277" s="120">
        <f t="shared" si="45"/>
        <v>0</v>
      </c>
      <c r="O277" s="120">
        <f t="shared" si="45"/>
        <v>0</v>
      </c>
      <c r="P277" s="120">
        <f t="shared" si="45"/>
        <v>0</v>
      </c>
      <c r="Q277" s="120">
        <f t="shared" si="45"/>
        <v>0</v>
      </c>
      <c r="R277" s="120">
        <f t="shared" si="45"/>
        <v>297066</v>
      </c>
    </row>
    <row r="279" spans="2:18" customFormat="1" x14ac:dyDescent="0.2">
      <c r="B279" s="130" t="s">
        <v>286</v>
      </c>
      <c r="C279" s="118">
        <v>4833</v>
      </c>
      <c r="D279" s="118">
        <v>385</v>
      </c>
      <c r="E279" s="118">
        <v>1123</v>
      </c>
      <c r="F279" s="118">
        <v>231</v>
      </c>
      <c r="G279" s="118">
        <v>84</v>
      </c>
      <c r="H279" s="118">
        <v>2344</v>
      </c>
      <c r="I279" s="118">
        <v>4071</v>
      </c>
      <c r="J279" s="118"/>
      <c r="K279" s="118">
        <v>0</v>
      </c>
      <c r="L279" s="118">
        <v>19</v>
      </c>
      <c r="M279" s="118">
        <v>0</v>
      </c>
      <c r="N279" s="118">
        <v>0</v>
      </c>
      <c r="O279" s="118">
        <v>0</v>
      </c>
      <c r="P279" s="118">
        <v>0</v>
      </c>
      <c r="Q279" s="118">
        <v>0</v>
      </c>
      <c r="R279" s="118">
        <f t="shared" ref="R279:R286" si="46">SUM(C279:Q279)</f>
        <v>13090</v>
      </c>
    </row>
    <row r="280" spans="2:18" customFormat="1" ht="16.5" customHeight="1" x14ac:dyDescent="0.2">
      <c r="B280" s="130" t="s">
        <v>1131</v>
      </c>
      <c r="C280" s="118" t="s">
        <v>47</v>
      </c>
      <c r="D280" s="118">
        <v>0</v>
      </c>
      <c r="E280" s="118">
        <v>0</v>
      </c>
      <c r="F280" s="118">
        <v>0</v>
      </c>
      <c r="G280" s="118">
        <v>0</v>
      </c>
      <c r="H280" s="118">
        <v>0</v>
      </c>
      <c r="I280" s="118">
        <v>0</v>
      </c>
      <c r="J280" s="118"/>
      <c r="K280" s="118">
        <v>0</v>
      </c>
      <c r="L280" s="118">
        <v>0</v>
      </c>
      <c r="M280" s="118">
        <v>0</v>
      </c>
      <c r="N280" s="118">
        <v>0</v>
      </c>
      <c r="O280" s="118">
        <v>0</v>
      </c>
      <c r="P280" s="118">
        <v>0</v>
      </c>
      <c r="Q280" s="118">
        <v>0</v>
      </c>
      <c r="R280" s="118">
        <f t="shared" si="46"/>
        <v>0</v>
      </c>
    </row>
    <row r="281" spans="2:18" customFormat="1" x14ac:dyDescent="0.2">
      <c r="B281" s="130" t="s">
        <v>1129</v>
      </c>
      <c r="C281" s="118">
        <v>0</v>
      </c>
      <c r="D281" s="118">
        <v>0</v>
      </c>
      <c r="E281" s="118">
        <v>0</v>
      </c>
      <c r="F281" s="118">
        <v>300</v>
      </c>
      <c r="G281" s="118">
        <v>0</v>
      </c>
      <c r="H281" s="118">
        <v>0</v>
      </c>
      <c r="I281" s="118">
        <v>0</v>
      </c>
      <c r="J281" s="118"/>
      <c r="K281" s="118">
        <v>0</v>
      </c>
      <c r="L281" s="118">
        <v>0</v>
      </c>
      <c r="M281" s="118">
        <v>0</v>
      </c>
      <c r="N281" s="118">
        <v>0</v>
      </c>
      <c r="O281" s="118">
        <v>0</v>
      </c>
      <c r="P281" s="118">
        <v>0</v>
      </c>
      <c r="Q281" s="118">
        <v>0</v>
      </c>
      <c r="R281" s="118">
        <f t="shared" si="46"/>
        <v>300</v>
      </c>
    </row>
    <row r="282" spans="2:18" customFormat="1" x14ac:dyDescent="0.2">
      <c r="B282" s="130">
        <v>0</v>
      </c>
      <c r="C282" s="118">
        <v>0</v>
      </c>
      <c r="D282" s="118">
        <v>0</v>
      </c>
      <c r="E282" s="118">
        <v>0</v>
      </c>
      <c r="F282" s="118">
        <v>0</v>
      </c>
      <c r="G282" s="118">
        <v>0</v>
      </c>
      <c r="H282" s="118">
        <v>0</v>
      </c>
      <c r="I282" s="118">
        <v>0</v>
      </c>
      <c r="J282" s="118"/>
      <c r="K282" s="118">
        <v>0</v>
      </c>
      <c r="L282" s="118">
        <v>0</v>
      </c>
      <c r="M282" s="118">
        <v>0</v>
      </c>
      <c r="N282" s="118">
        <v>0</v>
      </c>
      <c r="O282" s="118">
        <v>0</v>
      </c>
      <c r="P282" s="118">
        <v>0</v>
      </c>
      <c r="Q282" s="118">
        <v>0</v>
      </c>
      <c r="R282" s="118">
        <f t="shared" si="46"/>
        <v>0</v>
      </c>
    </row>
    <row r="283" spans="2:18" customFormat="1" x14ac:dyDescent="0.2">
      <c r="B283" s="130" t="s">
        <v>907</v>
      </c>
      <c r="C283" s="118">
        <v>0</v>
      </c>
      <c r="D283" s="118">
        <v>0</v>
      </c>
      <c r="E283" s="118">
        <v>0</v>
      </c>
      <c r="F283" s="118">
        <v>0</v>
      </c>
      <c r="G283" s="118">
        <v>0</v>
      </c>
      <c r="H283" s="118">
        <v>0</v>
      </c>
      <c r="I283" s="118">
        <v>0</v>
      </c>
      <c r="J283" s="118"/>
      <c r="K283" s="118">
        <v>0</v>
      </c>
      <c r="L283" s="118">
        <v>0</v>
      </c>
      <c r="M283" s="118">
        <v>0</v>
      </c>
      <c r="N283" s="118">
        <v>0</v>
      </c>
      <c r="O283" s="118">
        <v>0</v>
      </c>
      <c r="P283" s="118">
        <v>0</v>
      </c>
      <c r="Q283" s="118">
        <v>0</v>
      </c>
      <c r="R283" s="118">
        <f t="shared" si="46"/>
        <v>0</v>
      </c>
    </row>
    <row r="284" spans="2:18" customFormat="1" ht="14.25" customHeight="1" x14ac:dyDescent="0.2">
      <c r="B284" s="130" t="s">
        <v>175</v>
      </c>
      <c r="C284" s="118">
        <v>-10600</v>
      </c>
      <c r="D284" s="118">
        <v>0</v>
      </c>
      <c r="E284" s="118">
        <v>-3225</v>
      </c>
      <c r="F284" s="118">
        <v>0</v>
      </c>
      <c r="G284" s="118">
        <v>0</v>
      </c>
      <c r="H284" s="118">
        <v>-2043</v>
      </c>
      <c r="I284" s="118">
        <v>-14895</v>
      </c>
      <c r="J284" s="118"/>
      <c r="K284" s="118">
        <v>0</v>
      </c>
      <c r="L284" s="118">
        <v>0</v>
      </c>
      <c r="M284" s="118">
        <v>0</v>
      </c>
      <c r="N284" s="118">
        <v>0</v>
      </c>
      <c r="O284" s="118">
        <v>0</v>
      </c>
      <c r="P284" s="118">
        <v>0</v>
      </c>
      <c r="Q284" s="118">
        <v>0</v>
      </c>
      <c r="R284" s="118">
        <f t="shared" si="46"/>
        <v>-30763</v>
      </c>
    </row>
    <row r="285" spans="2:18" customFormat="1" ht="14.25" customHeight="1" x14ac:dyDescent="0.2">
      <c r="B285" s="130" t="s">
        <v>858</v>
      </c>
      <c r="C285" s="118">
        <v>0</v>
      </c>
      <c r="D285" s="118">
        <v>0</v>
      </c>
      <c r="E285" s="118">
        <v>0</v>
      </c>
      <c r="F285" s="118">
        <v>0</v>
      </c>
      <c r="G285" s="118">
        <v>0</v>
      </c>
      <c r="H285" s="118">
        <v>0</v>
      </c>
      <c r="I285" s="118">
        <v>0</v>
      </c>
      <c r="J285" s="118"/>
      <c r="K285" s="118">
        <v>0</v>
      </c>
      <c r="L285" s="118">
        <v>0</v>
      </c>
      <c r="M285" s="118">
        <v>0</v>
      </c>
      <c r="N285" s="118">
        <v>0</v>
      </c>
      <c r="O285" s="118">
        <v>0</v>
      </c>
      <c r="P285" s="118">
        <v>0</v>
      </c>
      <c r="Q285" s="118">
        <v>0</v>
      </c>
      <c r="R285" s="118">
        <f t="shared" si="46"/>
        <v>0</v>
      </c>
    </row>
    <row r="286" spans="2:18" customFormat="1" ht="14.25" customHeight="1" x14ac:dyDescent="0.2">
      <c r="B286" s="130" t="s">
        <v>256</v>
      </c>
      <c r="C286" s="118">
        <v>0</v>
      </c>
      <c r="D286" s="118" t="s">
        <v>47</v>
      </c>
      <c r="E286" s="118" t="s">
        <v>47</v>
      </c>
      <c r="F286" s="118" t="s">
        <v>47</v>
      </c>
      <c r="G286" s="118">
        <v>3345</v>
      </c>
      <c r="H286" s="118" t="s">
        <v>47</v>
      </c>
      <c r="I286" s="118">
        <v>-3</v>
      </c>
      <c r="J286" s="118"/>
      <c r="K286" s="118" t="s">
        <v>47</v>
      </c>
      <c r="L286" s="118" t="s">
        <v>47</v>
      </c>
      <c r="M286" s="118" t="s">
        <v>47</v>
      </c>
      <c r="N286" s="118" t="s">
        <v>47</v>
      </c>
      <c r="O286" s="118" t="s">
        <v>47</v>
      </c>
      <c r="P286" s="118" t="s">
        <v>47</v>
      </c>
      <c r="Q286" s="118" t="s">
        <v>47</v>
      </c>
      <c r="R286" s="118">
        <f t="shared" si="46"/>
        <v>3342</v>
      </c>
    </row>
    <row r="287" spans="2:18" customFormat="1" x14ac:dyDescent="0.2">
      <c r="B287" s="127" t="s">
        <v>1219</v>
      </c>
      <c r="C287" s="120">
        <f>SUM(C277:C286)</f>
        <v>66205</v>
      </c>
      <c r="D287" s="120">
        <f t="shared" ref="D287:R287" si="47">SUM(D277:D286)</f>
        <v>15626</v>
      </c>
      <c r="E287" s="120">
        <f t="shared" si="47"/>
        <v>104623</v>
      </c>
      <c r="F287" s="120">
        <f t="shared" si="47"/>
        <v>7892</v>
      </c>
      <c r="G287" s="120">
        <f t="shared" si="47"/>
        <v>6599</v>
      </c>
      <c r="H287" s="120">
        <f t="shared" si="47"/>
        <v>39884</v>
      </c>
      <c r="I287" s="120">
        <f>SUM(I277:I286)</f>
        <v>40820</v>
      </c>
      <c r="J287" s="120"/>
      <c r="K287" s="120">
        <f t="shared" si="47"/>
        <v>0</v>
      </c>
      <c r="L287" s="120">
        <f>SUM(L277:L286)</f>
        <v>1385</v>
      </c>
      <c r="M287" s="120">
        <f>SUM(M277:M286)</f>
        <v>1</v>
      </c>
      <c r="N287" s="120">
        <f t="shared" si="47"/>
        <v>0</v>
      </c>
      <c r="O287" s="120">
        <f t="shared" si="47"/>
        <v>0</v>
      </c>
      <c r="P287" s="120">
        <f t="shared" si="47"/>
        <v>0</v>
      </c>
      <c r="Q287" s="120">
        <f t="shared" si="47"/>
        <v>0</v>
      </c>
      <c r="R287" s="120">
        <f t="shared" si="47"/>
        <v>283035</v>
      </c>
    </row>
    <row r="289" spans="2:23" x14ac:dyDescent="0.2">
      <c r="B289" s="130" t="s">
        <v>286</v>
      </c>
      <c r="C289" s="118">
        <v>3135</v>
      </c>
      <c r="D289" s="118">
        <v>82</v>
      </c>
      <c r="E289" s="118">
        <v>1036</v>
      </c>
      <c r="F289" s="118">
        <v>-350</v>
      </c>
      <c r="G289" s="118">
        <v>8886</v>
      </c>
      <c r="H289" s="118">
        <v>2477</v>
      </c>
      <c r="I289" s="118">
        <v>3052</v>
      </c>
      <c r="J289" s="118"/>
      <c r="K289" s="118">
        <v>0</v>
      </c>
      <c r="L289" s="118">
        <v>-11</v>
      </c>
      <c r="M289" s="118">
        <v>0</v>
      </c>
      <c r="N289" s="118">
        <v>0</v>
      </c>
      <c r="O289" s="118">
        <v>0</v>
      </c>
      <c r="P289" s="118">
        <v>0</v>
      </c>
      <c r="Q289" s="118">
        <v>0</v>
      </c>
      <c r="R289" s="118">
        <f t="shared" ref="R289:R296" si="48">SUM(C289:Q289)</f>
        <v>18307</v>
      </c>
    </row>
    <row r="290" spans="2:23" x14ac:dyDescent="0.2">
      <c r="B290" s="130" t="s">
        <v>1131</v>
      </c>
      <c r="C290" s="118" t="s">
        <v>47</v>
      </c>
      <c r="D290" s="118">
        <v>0</v>
      </c>
      <c r="E290" s="118">
        <v>0</v>
      </c>
      <c r="F290" s="118">
        <v>0</v>
      </c>
      <c r="G290" s="118">
        <v>0</v>
      </c>
      <c r="H290" s="118">
        <v>0</v>
      </c>
      <c r="I290" s="118">
        <v>0</v>
      </c>
      <c r="J290" s="118"/>
      <c r="K290" s="118">
        <v>0</v>
      </c>
      <c r="L290" s="118">
        <v>0</v>
      </c>
      <c r="M290" s="118">
        <v>0</v>
      </c>
      <c r="N290" s="118">
        <v>0</v>
      </c>
      <c r="O290" s="118">
        <v>0</v>
      </c>
      <c r="P290" s="118">
        <v>0</v>
      </c>
      <c r="Q290" s="118">
        <v>0</v>
      </c>
      <c r="R290" s="118">
        <f t="shared" si="48"/>
        <v>0</v>
      </c>
    </row>
    <row r="291" spans="2:23" x14ac:dyDescent="0.2">
      <c r="B291" s="130" t="s">
        <v>1129</v>
      </c>
      <c r="C291" s="118">
        <v>0</v>
      </c>
      <c r="D291" s="118">
        <v>0</v>
      </c>
      <c r="E291" s="118">
        <v>0</v>
      </c>
      <c r="F291" s="118">
        <v>0</v>
      </c>
      <c r="G291" s="118">
        <v>0</v>
      </c>
      <c r="H291" s="118">
        <v>0</v>
      </c>
      <c r="I291" s="118">
        <v>-2</v>
      </c>
      <c r="J291" s="118"/>
      <c r="K291" s="118">
        <v>0</v>
      </c>
      <c r="L291" s="118">
        <v>0</v>
      </c>
      <c r="M291" s="118">
        <v>0</v>
      </c>
      <c r="N291" s="118">
        <v>0</v>
      </c>
      <c r="O291" s="118">
        <v>0</v>
      </c>
      <c r="P291" s="118">
        <v>0</v>
      </c>
      <c r="Q291" s="118">
        <v>0</v>
      </c>
      <c r="R291" s="118">
        <f t="shared" si="48"/>
        <v>-2</v>
      </c>
    </row>
    <row r="292" spans="2:23" x14ac:dyDescent="0.2">
      <c r="B292" s="130">
        <v>0</v>
      </c>
      <c r="C292" s="118">
        <v>0</v>
      </c>
      <c r="D292" s="118">
        <v>0</v>
      </c>
      <c r="E292" s="118">
        <v>0</v>
      </c>
      <c r="F292" s="118">
        <v>0</v>
      </c>
      <c r="G292" s="118">
        <v>0</v>
      </c>
      <c r="H292" s="118">
        <v>0</v>
      </c>
      <c r="I292" s="118">
        <v>0</v>
      </c>
      <c r="J292" s="118"/>
      <c r="K292" s="118">
        <v>0</v>
      </c>
      <c r="L292" s="118">
        <v>0</v>
      </c>
      <c r="M292" s="118">
        <v>0</v>
      </c>
      <c r="N292" s="118">
        <v>0</v>
      </c>
      <c r="O292" s="118">
        <v>0</v>
      </c>
      <c r="P292" s="118">
        <v>0</v>
      </c>
      <c r="Q292" s="118">
        <v>0</v>
      </c>
      <c r="R292" s="118">
        <f t="shared" si="48"/>
        <v>0</v>
      </c>
    </row>
    <row r="293" spans="2:23" x14ac:dyDescent="0.2">
      <c r="B293" s="130" t="s">
        <v>907</v>
      </c>
      <c r="C293" s="118">
        <v>0</v>
      </c>
      <c r="D293" s="118">
        <v>0</v>
      </c>
      <c r="E293" s="118">
        <v>0</v>
      </c>
      <c r="F293" s="118">
        <v>0</v>
      </c>
      <c r="G293" s="118">
        <v>0</v>
      </c>
      <c r="H293" s="118">
        <v>0</v>
      </c>
      <c r="I293" s="118">
        <v>0</v>
      </c>
      <c r="J293" s="118"/>
      <c r="K293" s="118">
        <v>0</v>
      </c>
      <c r="L293" s="118">
        <v>0</v>
      </c>
      <c r="M293" s="118">
        <v>0</v>
      </c>
      <c r="N293" s="118">
        <v>0</v>
      </c>
      <c r="O293" s="118">
        <v>0</v>
      </c>
      <c r="P293" s="118">
        <v>0</v>
      </c>
      <c r="Q293" s="118">
        <v>0</v>
      </c>
      <c r="R293" s="118">
        <f t="shared" si="48"/>
        <v>0</v>
      </c>
    </row>
    <row r="294" spans="2:23" x14ac:dyDescent="0.2">
      <c r="B294" s="130" t="s">
        <v>175</v>
      </c>
      <c r="C294" s="118">
        <v>0</v>
      </c>
      <c r="D294" s="118">
        <v>0</v>
      </c>
      <c r="E294" s="118">
        <v>0</v>
      </c>
      <c r="F294" s="118">
        <v>0</v>
      </c>
      <c r="G294" s="118">
        <v>0</v>
      </c>
      <c r="H294" s="118">
        <v>-1300</v>
      </c>
      <c r="I294" s="118">
        <v>0</v>
      </c>
      <c r="J294" s="118"/>
      <c r="K294" s="118">
        <v>0</v>
      </c>
      <c r="L294" s="118">
        <v>0</v>
      </c>
      <c r="M294" s="118">
        <v>0</v>
      </c>
      <c r="N294" s="118">
        <v>0</v>
      </c>
      <c r="O294" s="118">
        <v>0</v>
      </c>
      <c r="P294" s="118">
        <v>0</v>
      </c>
      <c r="Q294" s="118">
        <v>0</v>
      </c>
      <c r="R294" s="118">
        <f t="shared" si="48"/>
        <v>-1300</v>
      </c>
    </row>
    <row r="295" spans="2:23" x14ac:dyDescent="0.2">
      <c r="B295" s="130" t="s">
        <v>858</v>
      </c>
      <c r="C295" s="118">
        <v>0</v>
      </c>
      <c r="D295" s="118">
        <v>0</v>
      </c>
      <c r="E295" s="118">
        <v>0</v>
      </c>
      <c r="F295" s="118">
        <v>0</v>
      </c>
      <c r="G295" s="118">
        <v>0</v>
      </c>
      <c r="H295" s="118">
        <v>0</v>
      </c>
      <c r="I295" s="118">
        <v>0</v>
      </c>
      <c r="J295" s="118"/>
      <c r="K295" s="118">
        <v>0</v>
      </c>
      <c r="L295" s="118">
        <v>0</v>
      </c>
      <c r="M295" s="118">
        <v>0</v>
      </c>
      <c r="N295" s="118">
        <v>0</v>
      </c>
      <c r="O295" s="118">
        <v>0</v>
      </c>
      <c r="P295" s="118">
        <v>0</v>
      </c>
      <c r="Q295" s="118">
        <v>0</v>
      </c>
      <c r="R295" s="118">
        <f t="shared" si="48"/>
        <v>0</v>
      </c>
    </row>
    <row r="296" spans="2:23" x14ac:dyDescent="0.2">
      <c r="B296" s="130" t="s">
        <v>256</v>
      </c>
      <c r="C296" s="118">
        <v>0</v>
      </c>
      <c r="D296" s="118" t="s">
        <v>47</v>
      </c>
      <c r="E296" s="118" t="s">
        <v>47</v>
      </c>
      <c r="F296" s="118" t="s">
        <v>47</v>
      </c>
      <c r="G296" s="118">
        <v>0</v>
      </c>
      <c r="H296" s="118" t="s">
        <v>47</v>
      </c>
      <c r="I296" s="118">
        <v>664</v>
      </c>
      <c r="J296" s="118"/>
      <c r="K296" s="118" t="s">
        <v>47</v>
      </c>
      <c r="L296" s="118" t="s">
        <v>47</v>
      </c>
      <c r="M296" s="118" t="s">
        <v>47</v>
      </c>
      <c r="N296" s="118" t="s">
        <v>47</v>
      </c>
      <c r="O296" s="118" t="s">
        <v>47</v>
      </c>
      <c r="P296" s="118" t="s">
        <v>47</v>
      </c>
      <c r="Q296" s="118" t="s">
        <v>47</v>
      </c>
      <c r="R296" s="118">
        <f t="shared" si="48"/>
        <v>664</v>
      </c>
    </row>
    <row r="297" spans="2:23" x14ac:dyDescent="0.2">
      <c r="B297" s="127" t="s">
        <v>1228</v>
      </c>
      <c r="C297" s="120">
        <f>SUM(C287:C296)</f>
        <v>69340</v>
      </c>
      <c r="D297" s="120">
        <f t="shared" ref="D297:R297" si="49">SUM(D287:D296)</f>
        <v>15708</v>
      </c>
      <c r="E297" s="120">
        <f t="shared" si="49"/>
        <v>105659</v>
      </c>
      <c r="F297" s="120">
        <f t="shared" si="49"/>
        <v>7542</v>
      </c>
      <c r="G297" s="120">
        <f t="shared" si="49"/>
        <v>15485</v>
      </c>
      <c r="H297" s="120">
        <f t="shared" si="49"/>
        <v>41061</v>
      </c>
      <c r="I297" s="120">
        <f>SUM(I287:I296)</f>
        <v>44534</v>
      </c>
      <c r="J297" s="120"/>
      <c r="K297" s="120">
        <f t="shared" si="49"/>
        <v>0</v>
      </c>
      <c r="L297" s="120">
        <f>SUM(L287:L296)</f>
        <v>1374</v>
      </c>
      <c r="M297" s="120">
        <f>SUM(M287:M296)</f>
        <v>1</v>
      </c>
      <c r="N297" s="120">
        <f t="shared" si="49"/>
        <v>0</v>
      </c>
      <c r="O297" s="120">
        <f t="shared" si="49"/>
        <v>0</v>
      </c>
      <c r="P297" s="120">
        <f t="shared" si="49"/>
        <v>0</v>
      </c>
      <c r="Q297" s="120">
        <f t="shared" si="49"/>
        <v>0</v>
      </c>
      <c r="R297" s="120">
        <f t="shared" si="49"/>
        <v>300704</v>
      </c>
      <c r="T297" s="127" t="s">
        <v>1228</v>
      </c>
      <c r="U297" s="120">
        <v>41061</v>
      </c>
      <c r="V297" s="120">
        <v>6889</v>
      </c>
      <c r="W297" s="120">
        <v>47950</v>
      </c>
    </row>
    <row r="299" spans="2:23" x14ac:dyDescent="0.2">
      <c r="B299" s="130" t="s">
        <v>286</v>
      </c>
      <c r="C299" s="118">
        <v>2799</v>
      </c>
      <c r="D299" s="118">
        <v>1751</v>
      </c>
      <c r="E299" s="118">
        <v>932</v>
      </c>
      <c r="F299" s="118">
        <v>-142</v>
      </c>
      <c r="G299" s="118">
        <v>4701</v>
      </c>
      <c r="H299" s="118">
        <v>3987</v>
      </c>
      <c r="I299" s="118">
        <v>257</v>
      </c>
      <c r="J299" s="118"/>
      <c r="K299" s="118">
        <v>0</v>
      </c>
      <c r="L299" s="118">
        <v>17</v>
      </c>
      <c r="M299" s="118">
        <v>0</v>
      </c>
      <c r="N299" s="118">
        <v>0</v>
      </c>
      <c r="O299" s="118">
        <v>0</v>
      </c>
      <c r="P299" s="118">
        <v>0</v>
      </c>
      <c r="Q299" s="118">
        <v>0</v>
      </c>
      <c r="R299" s="118">
        <f>SUM(C299:Q299)</f>
        <v>14302</v>
      </c>
      <c r="S299" s="612" t="s">
        <v>1326</v>
      </c>
      <c r="T299" s="130" t="s">
        <v>286</v>
      </c>
      <c r="U299" s="118">
        <v>3987</v>
      </c>
      <c r="V299" s="118">
        <v>-149</v>
      </c>
      <c r="W299" s="118">
        <f>SUM(U299:V299)</f>
        <v>3838</v>
      </c>
    </row>
    <row r="300" spans="2:23" x14ac:dyDescent="0.2">
      <c r="B300" s="130" t="s">
        <v>1131</v>
      </c>
      <c r="C300" s="118">
        <v>0</v>
      </c>
      <c r="D300" s="118">
        <v>0</v>
      </c>
      <c r="E300" s="118">
        <v>0</v>
      </c>
      <c r="F300" s="118">
        <v>0</v>
      </c>
      <c r="G300" s="118">
        <v>0</v>
      </c>
      <c r="H300" s="118">
        <v>0</v>
      </c>
      <c r="I300" s="118">
        <v>0</v>
      </c>
      <c r="J300" s="118"/>
      <c r="K300" s="118">
        <v>0</v>
      </c>
      <c r="L300" s="118">
        <v>0</v>
      </c>
      <c r="M300" s="118">
        <v>0</v>
      </c>
      <c r="N300" s="118">
        <v>0</v>
      </c>
      <c r="O300" s="118">
        <v>0</v>
      </c>
      <c r="P300" s="118">
        <v>0</v>
      </c>
      <c r="Q300" s="118">
        <v>0</v>
      </c>
      <c r="R300" s="118">
        <f>SUM(C300:Q300)</f>
        <v>0</v>
      </c>
      <c r="T300" s="130" t="s">
        <v>1131</v>
      </c>
      <c r="U300" s="118">
        <v>0</v>
      </c>
      <c r="V300" s="118"/>
      <c r="W300" s="118">
        <f t="shared" ref="W300:W306" si="50">SUM(U300:V300)</f>
        <v>0</v>
      </c>
    </row>
    <row r="301" spans="2:23" x14ac:dyDescent="0.2">
      <c r="B301" s="130" t="s">
        <v>1129</v>
      </c>
      <c r="C301" s="118">
        <v>253</v>
      </c>
      <c r="D301" s="118">
        <v>-253</v>
      </c>
      <c r="E301" s="118">
        <v>27468</v>
      </c>
      <c r="F301" s="118"/>
      <c r="G301" s="118">
        <v>0</v>
      </c>
      <c r="H301" s="118">
        <v>0</v>
      </c>
      <c r="I301" s="118">
        <v>0</v>
      </c>
      <c r="J301" s="118"/>
      <c r="K301" s="118">
        <v>0</v>
      </c>
      <c r="L301" s="118">
        <v>0</v>
      </c>
      <c r="M301" s="118">
        <v>0</v>
      </c>
      <c r="N301" s="118">
        <v>0</v>
      </c>
      <c r="O301" s="118">
        <v>0</v>
      </c>
      <c r="P301" s="118">
        <v>0</v>
      </c>
      <c r="Q301" s="118">
        <v>0</v>
      </c>
      <c r="R301" s="118">
        <f>SUM(C301:M301)</f>
        <v>27468</v>
      </c>
      <c r="T301" s="130" t="s">
        <v>1129</v>
      </c>
      <c r="U301" s="118">
        <v>0</v>
      </c>
      <c r="V301" s="118"/>
      <c r="W301" s="118">
        <f t="shared" si="50"/>
        <v>0</v>
      </c>
    </row>
    <row r="302" spans="2:23" x14ac:dyDescent="0.2">
      <c r="B302" s="130">
        <v>0</v>
      </c>
      <c r="C302" s="118">
        <v>0</v>
      </c>
      <c r="D302" s="118">
        <v>0</v>
      </c>
      <c r="E302" s="118">
        <v>0</v>
      </c>
      <c r="F302" s="118">
        <v>0</v>
      </c>
      <c r="G302" s="118">
        <v>0</v>
      </c>
      <c r="H302" s="118">
        <v>0</v>
      </c>
      <c r="I302" s="118">
        <v>0</v>
      </c>
      <c r="J302" s="118"/>
      <c r="K302" s="118">
        <v>0</v>
      </c>
      <c r="L302" s="118">
        <v>0</v>
      </c>
      <c r="M302" s="118">
        <v>0</v>
      </c>
      <c r="N302" s="118">
        <v>0</v>
      </c>
      <c r="O302" s="118">
        <v>0</v>
      </c>
      <c r="P302" s="118">
        <v>0</v>
      </c>
      <c r="Q302" s="118">
        <v>0</v>
      </c>
      <c r="R302" s="118">
        <f>SUM(C302:Q302)</f>
        <v>0</v>
      </c>
      <c r="T302" s="130">
        <v>0</v>
      </c>
      <c r="U302" s="118">
        <v>0</v>
      </c>
      <c r="V302" s="118"/>
      <c r="W302" s="118">
        <f t="shared" si="50"/>
        <v>0</v>
      </c>
    </row>
    <row r="303" spans="2:23" x14ac:dyDescent="0.2">
      <c r="B303" s="130" t="s">
        <v>907</v>
      </c>
      <c r="C303" s="118">
        <v>0</v>
      </c>
      <c r="D303" s="118">
        <v>0</v>
      </c>
      <c r="E303" s="118">
        <v>0</v>
      </c>
      <c r="F303" s="118">
        <v>0</v>
      </c>
      <c r="G303" s="118">
        <v>0</v>
      </c>
      <c r="H303" s="118">
        <v>0</v>
      </c>
      <c r="I303" s="118">
        <v>0</v>
      </c>
      <c r="J303" s="118"/>
      <c r="K303" s="118">
        <v>0</v>
      </c>
      <c r="L303" s="118">
        <v>0</v>
      </c>
      <c r="M303" s="118">
        <v>0</v>
      </c>
      <c r="N303" s="118">
        <v>0</v>
      </c>
      <c r="O303" s="118">
        <v>0</v>
      </c>
      <c r="P303" s="118">
        <v>0</v>
      </c>
      <c r="Q303" s="118">
        <v>0</v>
      </c>
      <c r="R303" s="118">
        <f>SUM(C303:Q303)</f>
        <v>0</v>
      </c>
      <c r="T303" s="130" t="s">
        <v>907</v>
      </c>
      <c r="U303" s="118">
        <v>0</v>
      </c>
      <c r="V303" s="118"/>
      <c r="W303" s="118">
        <f t="shared" si="50"/>
        <v>0</v>
      </c>
    </row>
    <row r="304" spans="2:23" x14ac:dyDescent="0.2">
      <c r="B304" s="130" t="s">
        <v>175</v>
      </c>
      <c r="C304" s="118">
        <v>0</v>
      </c>
      <c r="D304" s="118">
        <v>0</v>
      </c>
      <c r="E304" s="118">
        <v>0</v>
      </c>
      <c r="F304" s="118">
        <v>0</v>
      </c>
      <c r="G304" s="118">
        <v>0</v>
      </c>
      <c r="H304" s="118">
        <v>-2100</v>
      </c>
      <c r="I304" s="118">
        <v>0</v>
      </c>
      <c r="J304" s="118"/>
      <c r="K304" s="118">
        <v>0</v>
      </c>
      <c r="L304" s="118">
        <v>0</v>
      </c>
      <c r="M304" s="118">
        <v>0</v>
      </c>
      <c r="N304" s="118">
        <v>0</v>
      </c>
      <c r="O304" s="118">
        <v>0</v>
      </c>
      <c r="P304" s="118">
        <v>0</v>
      </c>
      <c r="Q304" s="118">
        <v>0</v>
      </c>
      <c r="R304" s="118">
        <f>SUM(C304:M304)</f>
        <v>-2100</v>
      </c>
      <c r="T304" s="130" t="s">
        <v>175</v>
      </c>
      <c r="U304" s="118">
        <v>-2100</v>
      </c>
      <c r="V304" s="118"/>
      <c r="W304" s="118">
        <f t="shared" si="50"/>
        <v>-2100</v>
      </c>
    </row>
    <row r="305" spans="2:23" x14ac:dyDescent="0.2">
      <c r="B305" s="130" t="s">
        <v>858</v>
      </c>
      <c r="C305" s="118">
        <v>0</v>
      </c>
      <c r="D305" s="118">
        <v>0</v>
      </c>
      <c r="E305" s="118">
        <v>0</v>
      </c>
      <c r="F305" s="118">
        <v>0</v>
      </c>
      <c r="G305" s="118">
        <v>0</v>
      </c>
      <c r="H305" s="118">
        <v>0</v>
      </c>
      <c r="I305" s="118">
        <v>0</v>
      </c>
      <c r="J305" s="118"/>
      <c r="K305" s="118">
        <v>0</v>
      </c>
      <c r="L305" s="118">
        <v>0</v>
      </c>
      <c r="M305" s="118">
        <v>0</v>
      </c>
      <c r="N305" s="118">
        <v>0</v>
      </c>
      <c r="O305" s="118">
        <v>0</v>
      </c>
      <c r="P305" s="118">
        <v>0</v>
      </c>
      <c r="Q305" s="118">
        <v>0</v>
      </c>
      <c r="R305" s="118">
        <f>SUM(C305:Q305)</f>
        <v>0</v>
      </c>
      <c r="T305" s="130" t="s">
        <v>858</v>
      </c>
      <c r="U305" s="118">
        <v>0</v>
      </c>
      <c r="V305" s="118"/>
      <c r="W305" s="118">
        <f t="shared" si="50"/>
        <v>0</v>
      </c>
    </row>
    <row r="306" spans="2:23" x14ac:dyDescent="0.2">
      <c r="B306" s="130" t="s">
        <v>256</v>
      </c>
      <c r="C306" s="118">
        <v>0</v>
      </c>
      <c r="D306" s="118">
        <v>0</v>
      </c>
      <c r="E306" s="118">
        <v>0</v>
      </c>
      <c r="F306" s="118">
        <v>0</v>
      </c>
      <c r="G306" s="118">
        <v>44791</v>
      </c>
      <c r="H306" s="118">
        <v>-156</v>
      </c>
      <c r="I306" s="118">
        <v>-44791</v>
      </c>
      <c r="J306" s="118"/>
      <c r="K306" s="118" t="s">
        <v>47</v>
      </c>
      <c r="L306" s="118">
        <v>0</v>
      </c>
      <c r="M306" s="118" t="s">
        <v>47</v>
      </c>
      <c r="N306" s="118" t="s">
        <v>47</v>
      </c>
      <c r="O306" s="118" t="s">
        <v>47</v>
      </c>
      <c r="P306" s="118" t="s">
        <v>47</v>
      </c>
      <c r="Q306" s="118" t="s">
        <v>47</v>
      </c>
      <c r="R306" s="118">
        <f>SUM(C306:Q306)</f>
        <v>-156</v>
      </c>
      <c r="T306" s="130" t="s">
        <v>256</v>
      </c>
      <c r="U306" s="118">
        <v>-156</v>
      </c>
      <c r="V306" s="118"/>
      <c r="W306" s="118">
        <f t="shared" si="50"/>
        <v>-156</v>
      </c>
    </row>
    <row r="307" spans="2:23" x14ac:dyDescent="0.2">
      <c r="B307" s="127" t="s">
        <v>1251</v>
      </c>
      <c r="C307" s="120">
        <f>SUM(C297:C306)</f>
        <v>72392</v>
      </c>
      <c r="D307" s="120">
        <f t="shared" ref="D307:R307" si="51">SUM(D297:D306)</f>
        <v>17206</v>
      </c>
      <c r="E307" s="120">
        <f t="shared" si="51"/>
        <v>134059</v>
      </c>
      <c r="F307" s="120">
        <f t="shared" si="51"/>
        <v>7400</v>
      </c>
      <c r="G307" s="120">
        <f t="shared" si="51"/>
        <v>64977</v>
      </c>
      <c r="H307" s="120">
        <f t="shared" si="51"/>
        <v>42792</v>
      </c>
      <c r="I307" s="120">
        <f>SUM(I297:I306)</f>
        <v>0</v>
      </c>
      <c r="J307" s="120"/>
      <c r="K307" s="120">
        <f t="shared" si="51"/>
        <v>0</v>
      </c>
      <c r="L307" s="120">
        <f>SUM(L297:L306)</f>
        <v>1391</v>
      </c>
      <c r="M307" s="120">
        <f>SUM(M297:M306)</f>
        <v>1</v>
      </c>
      <c r="N307" s="120">
        <f t="shared" si="51"/>
        <v>0</v>
      </c>
      <c r="O307" s="120">
        <f t="shared" si="51"/>
        <v>0</v>
      </c>
      <c r="P307" s="120">
        <f t="shared" si="51"/>
        <v>0</v>
      </c>
      <c r="Q307" s="120">
        <f t="shared" si="51"/>
        <v>0</v>
      </c>
      <c r="R307" s="120">
        <f t="shared" si="51"/>
        <v>340218</v>
      </c>
      <c r="T307" s="127" t="s">
        <v>1251</v>
      </c>
      <c r="U307" s="120">
        <f>SUM(U297:U306)</f>
        <v>42792</v>
      </c>
      <c r="V307" s="120">
        <f>SUM(V297:V306)</f>
        <v>6740</v>
      </c>
      <c r="W307" s="120">
        <f>SUM(W297:W306)</f>
        <v>49532</v>
      </c>
    </row>
    <row r="308" spans="2:23" x14ac:dyDescent="0.2">
      <c r="S308" s="612"/>
    </row>
    <row r="309" spans="2:23" x14ac:dyDescent="0.2">
      <c r="B309" s="130" t="s">
        <v>286</v>
      </c>
      <c r="C309" s="118">
        <v>3168</v>
      </c>
      <c r="D309" s="118">
        <v>1776</v>
      </c>
      <c r="E309" s="118">
        <v>731</v>
      </c>
      <c r="F309" s="118">
        <v>-426</v>
      </c>
      <c r="G309" s="118">
        <v>4515</v>
      </c>
      <c r="H309" s="118">
        <v>3318</v>
      </c>
      <c r="I309" s="118">
        <v>0</v>
      </c>
      <c r="J309" s="118"/>
      <c r="K309" s="118">
        <v>0</v>
      </c>
      <c r="L309" s="118">
        <v>20</v>
      </c>
      <c r="M309" s="118">
        <v>0</v>
      </c>
      <c r="N309" s="118">
        <v>0</v>
      </c>
      <c r="O309" s="118">
        <v>0</v>
      </c>
      <c r="P309" s="118">
        <v>0</v>
      </c>
      <c r="Q309" s="118">
        <v>0</v>
      </c>
      <c r="R309" s="118">
        <f t="shared" ref="R309:R316" si="52">SUM(C309:Q309)</f>
        <v>13102</v>
      </c>
      <c r="S309" s="612" t="s">
        <v>1244</v>
      </c>
      <c r="T309" s="130" t="s">
        <v>286</v>
      </c>
      <c r="U309" s="118">
        <v>3318</v>
      </c>
      <c r="V309" s="118">
        <f>-584-V299</f>
        <v>-435</v>
      </c>
      <c r="W309" s="118">
        <f>SUM(U309:V309)</f>
        <v>2883</v>
      </c>
    </row>
    <row r="310" spans="2:23" x14ac:dyDescent="0.2">
      <c r="B310" s="130" t="s">
        <v>1131</v>
      </c>
      <c r="C310" s="118">
        <v>0</v>
      </c>
      <c r="D310" s="118">
        <v>0</v>
      </c>
      <c r="E310" s="118">
        <v>0</v>
      </c>
      <c r="F310" s="118">
        <v>0</v>
      </c>
      <c r="G310" s="118">
        <v>0</v>
      </c>
      <c r="H310" s="118">
        <v>0</v>
      </c>
      <c r="I310" s="118">
        <v>0</v>
      </c>
      <c r="J310" s="118"/>
      <c r="K310" s="118">
        <v>0</v>
      </c>
      <c r="L310" s="118">
        <v>0</v>
      </c>
      <c r="M310" s="118">
        <v>0</v>
      </c>
      <c r="N310" s="118">
        <v>0</v>
      </c>
      <c r="O310" s="118">
        <v>0</v>
      </c>
      <c r="P310" s="118">
        <v>0</v>
      </c>
      <c r="Q310" s="118">
        <v>0</v>
      </c>
      <c r="R310" s="118">
        <f t="shared" si="52"/>
        <v>0</v>
      </c>
      <c r="S310" s="612"/>
      <c r="T310" s="130" t="s">
        <v>1131</v>
      </c>
      <c r="U310" s="118">
        <v>0</v>
      </c>
      <c r="V310" s="118"/>
      <c r="W310" s="118">
        <f t="shared" ref="W310:W316" si="53">SUM(U310:V310)</f>
        <v>0</v>
      </c>
    </row>
    <row r="311" spans="2:23" x14ac:dyDescent="0.2">
      <c r="B311" s="130" t="s">
        <v>1129</v>
      </c>
      <c r="C311" s="118">
        <v>0</v>
      </c>
      <c r="D311" s="118">
        <f>248-D301</f>
        <v>501</v>
      </c>
      <c r="E311" s="118">
        <v>0</v>
      </c>
      <c r="F311" s="118">
        <v>0</v>
      </c>
      <c r="G311" s="118">
        <v>0</v>
      </c>
      <c r="H311" s="118">
        <v>0</v>
      </c>
      <c r="I311" s="118">
        <v>0</v>
      </c>
      <c r="J311" s="118"/>
      <c r="K311" s="118">
        <v>0</v>
      </c>
      <c r="L311" s="118">
        <v>0</v>
      </c>
      <c r="M311" s="118">
        <v>0</v>
      </c>
      <c r="N311" s="118">
        <v>0</v>
      </c>
      <c r="O311" s="118">
        <v>0</v>
      </c>
      <c r="P311" s="118">
        <v>0</v>
      </c>
      <c r="Q311" s="118">
        <v>0</v>
      </c>
      <c r="R311" s="118">
        <f t="shared" si="52"/>
        <v>501</v>
      </c>
      <c r="S311" s="612"/>
      <c r="T311" s="130" t="s">
        <v>1129</v>
      </c>
      <c r="U311" s="118">
        <v>0</v>
      </c>
      <c r="V311" s="118"/>
      <c r="W311" s="118">
        <f t="shared" si="53"/>
        <v>0</v>
      </c>
    </row>
    <row r="312" spans="2:23" x14ac:dyDescent="0.2">
      <c r="B312" s="130">
        <v>0</v>
      </c>
      <c r="C312" s="118">
        <v>0</v>
      </c>
      <c r="D312" s="118">
        <v>0</v>
      </c>
      <c r="E312" s="118">
        <v>0</v>
      </c>
      <c r="F312" s="118">
        <v>0</v>
      </c>
      <c r="G312" s="118">
        <v>0</v>
      </c>
      <c r="H312" s="118">
        <v>0</v>
      </c>
      <c r="I312" s="118">
        <v>0</v>
      </c>
      <c r="J312" s="118"/>
      <c r="K312" s="118">
        <v>0</v>
      </c>
      <c r="L312" s="118">
        <v>0</v>
      </c>
      <c r="M312" s="118">
        <v>0</v>
      </c>
      <c r="N312" s="118">
        <v>0</v>
      </c>
      <c r="O312" s="118">
        <v>0</v>
      </c>
      <c r="P312" s="118">
        <v>0</v>
      </c>
      <c r="Q312" s="118">
        <v>0</v>
      </c>
      <c r="R312" s="118">
        <f t="shared" si="52"/>
        <v>0</v>
      </c>
      <c r="S312" s="612"/>
      <c r="T312" s="130">
        <v>0</v>
      </c>
      <c r="U312" s="118">
        <v>0</v>
      </c>
      <c r="V312" s="118"/>
      <c r="W312" s="118">
        <f t="shared" si="53"/>
        <v>0</v>
      </c>
    </row>
    <row r="313" spans="2:23" x14ac:dyDescent="0.2">
      <c r="B313" s="130" t="s">
        <v>907</v>
      </c>
      <c r="C313" s="118">
        <v>0</v>
      </c>
      <c r="D313" s="118">
        <v>0</v>
      </c>
      <c r="E313" s="118">
        <v>0</v>
      </c>
      <c r="F313" s="118">
        <v>0</v>
      </c>
      <c r="G313" s="118">
        <v>0</v>
      </c>
      <c r="H313" s="118">
        <v>0</v>
      </c>
      <c r="I313" s="118">
        <v>0</v>
      </c>
      <c r="J313" s="118"/>
      <c r="K313" s="118">
        <v>0</v>
      </c>
      <c r="L313" s="118">
        <v>0</v>
      </c>
      <c r="M313" s="118">
        <v>0</v>
      </c>
      <c r="N313" s="118">
        <v>0</v>
      </c>
      <c r="O313" s="118">
        <v>0</v>
      </c>
      <c r="P313" s="118">
        <v>0</v>
      </c>
      <c r="Q313" s="118">
        <v>0</v>
      </c>
      <c r="R313" s="118">
        <f t="shared" si="52"/>
        <v>0</v>
      </c>
      <c r="S313" s="612"/>
      <c r="T313" s="130" t="s">
        <v>907</v>
      </c>
      <c r="U313" s="118">
        <v>0</v>
      </c>
      <c r="V313" s="118"/>
      <c r="W313" s="118">
        <f t="shared" si="53"/>
        <v>0</v>
      </c>
    </row>
    <row r="314" spans="2:23" ht="12.75" customHeight="1" x14ac:dyDescent="0.2">
      <c r="B314" s="130" t="s">
        <v>175</v>
      </c>
      <c r="C314" s="118">
        <v>0</v>
      </c>
      <c r="D314" s="118">
        <v>0</v>
      </c>
      <c r="E314" s="118">
        <v>-1890</v>
      </c>
      <c r="F314" s="118">
        <v>0</v>
      </c>
      <c r="G314" s="118">
        <v>-9129</v>
      </c>
      <c r="H314" s="118">
        <f>-5202-H304</f>
        <v>-3102</v>
      </c>
      <c r="I314" s="118">
        <v>0</v>
      </c>
      <c r="J314" s="118"/>
      <c r="K314" s="118">
        <v>0</v>
      </c>
      <c r="L314" s="118">
        <v>-31</v>
      </c>
      <c r="M314" s="118">
        <v>0</v>
      </c>
      <c r="N314" s="118">
        <v>0</v>
      </c>
      <c r="O314" s="118">
        <v>0</v>
      </c>
      <c r="P314" s="118">
        <v>0</v>
      </c>
      <c r="Q314" s="118">
        <v>0</v>
      </c>
      <c r="R314" s="118">
        <f t="shared" si="52"/>
        <v>-14152</v>
      </c>
      <c r="S314" s="612"/>
      <c r="T314" s="130" t="s">
        <v>175</v>
      </c>
      <c r="U314" s="118">
        <v>-3102</v>
      </c>
      <c r="V314" s="118"/>
      <c r="W314" s="118">
        <f t="shared" si="53"/>
        <v>-3102</v>
      </c>
    </row>
    <row r="315" spans="2:23" x14ac:dyDescent="0.2">
      <c r="B315" s="130" t="s">
        <v>858</v>
      </c>
      <c r="C315" s="118">
        <v>0</v>
      </c>
      <c r="D315" s="118">
        <v>0</v>
      </c>
      <c r="E315" s="118">
        <v>0</v>
      </c>
      <c r="F315" s="118">
        <v>0</v>
      </c>
      <c r="G315" s="118">
        <v>0</v>
      </c>
      <c r="H315" s="118">
        <v>0</v>
      </c>
      <c r="I315" s="118">
        <v>0</v>
      </c>
      <c r="J315" s="118"/>
      <c r="K315" s="118">
        <v>0</v>
      </c>
      <c r="L315" s="118">
        <v>0</v>
      </c>
      <c r="M315" s="118">
        <v>0</v>
      </c>
      <c r="N315" s="118">
        <v>0</v>
      </c>
      <c r="O315" s="118">
        <v>0</v>
      </c>
      <c r="P315" s="118">
        <v>0</v>
      </c>
      <c r="Q315" s="118">
        <v>0</v>
      </c>
      <c r="R315" s="118">
        <f t="shared" si="52"/>
        <v>0</v>
      </c>
      <c r="S315" s="612"/>
      <c r="T315" s="130" t="s">
        <v>858</v>
      </c>
      <c r="U315" s="118">
        <v>0</v>
      </c>
      <c r="V315" s="118"/>
      <c r="W315" s="118">
        <f t="shared" si="53"/>
        <v>0</v>
      </c>
    </row>
    <row r="316" spans="2:23" x14ac:dyDescent="0.2">
      <c r="B316" s="130" t="s">
        <v>256</v>
      </c>
      <c r="C316" s="118">
        <v>0</v>
      </c>
      <c r="D316" s="118">
        <v>0</v>
      </c>
      <c r="E316" s="118">
        <v>0</v>
      </c>
      <c r="F316" s="118">
        <v>0</v>
      </c>
      <c r="G316" s="118">
        <v>0</v>
      </c>
      <c r="H316" s="118"/>
      <c r="I316" s="118">
        <v>0</v>
      </c>
      <c r="J316" s="118"/>
      <c r="K316" s="118" t="s">
        <v>47</v>
      </c>
      <c r="L316" s="118">
        <v>0</v>
      </c>
      <c r="M316" s="118" t="s">
        <v>47</v>
      </c>
      <c r="N316" s="118" t="s">
        <v>47</v>
      </c>
      <c r="O316" s="118" t="s">
        <v>47</v>
      </c>
      <c r="P316" s="118" t="s">
        <v>47</v>
      </c>
      <c r="Q316" s="118" t="s">
        <v>47</v>
      </c>
      <c r="R316" s="118">
        <f t="shared" si="52"/>
        <v>0</v>
      </c>
      <c r="S316" s="612"/>
      <c r="T316" s="130" t="s">
        <v>256</v>
      </c>
      <c r="U316" s="118">
        <v>0</v>
      </c>
      <c r="V316" s="118"/>
      <c r="W316" s="118">
        <f t="shared" si="53"/>
        <v>0</v>
      </c>
    </row>
    <row r="317" spans="2:23" x14ac:dyDescent="0.2">
      <c r="B317" s="127" t="s">
        <v>1273</v>
      </c>
      <c r="C317" s="120">
        <f>SUM(C307:C316)</f>
        <v>75560</v>
      </c>
      <c r="D317" s="120">
        <f t="shared" ref="D317:R317" si="54">SUM(D307:D316)</f>
        <v>19483</v>
      </c>
      <c r="E317" s="120">
        <f t="shared" si="54"/>
        <v>132900</v>
      </c>
      <c r="F317" s="120">
        <f t="shared" si="54"/>
        <v>6974</v>
      </c>
      <c r="G317" s="120">
        <f t="shared" si="54"/>
        <v>60363</v>
      </c>
      <c r="H317" s="120">
        <f t="shared" si="54"/>
        <v>43008</v>
      </c>
      <c r="I317" s="120">
        <f>SUM(I307:I316)</f>
        <v>0</v>
      </c>
      <c r="J317" s="120"/>
      <c r="K317" s="120">
        <f t="shared" si="54"/>
        <v>0</v>
      </c>
      <c r="L317" s="120">
        <f>SUM(L307:L316)</f>
        <v>1380</v>
      </c>
      <c r="M317" s="120">
        <f>SUM(M307:M316)</f>
        <v>1</v>
      </c>
      <c r="N317" s="120">
        <f t="shared" si="54"/>
        <v>0</v>
      </c>
      <c r="O317" s="120">
        <f t="shared" si="54"/>
        <v>0</v>
      </c>
      <c r="P317" s="120">
        <f t="shared" si="54"/>
        <v>0</v>
      </c>
      <c r="Q317" s="120">
        <f t="shared" si="54"/>
        <v>0</v>
      </c>
      <c r="R317" s="120">
        <f t="shared" si="54"/>
        <v>339669</v>
      </c>
      <c r="T317" s="127" t="s">
        <v>1273</v>
      </c>
      <c r="U317" s="120">
        <f>SUM(U307:U316)</f>
        <v>43008</v>
      </c>
      <c r="V317" s="120">
        <f>SUM(V307:V316)</f>
        <v>6305</v>
      </c>
      <c r="W317" s="120">
        <f>SUM(W307:W316)</f>
        <v>49313</v>
      </c>
    </row>
    <row r="318" spans="2:23" x14ac:dyDescent="0.2">
      <c r="S318" s="612"/>
    </row>
    <row r="319" spans="2:23" x14ac:dyDescent="0.2">
      <c r="B319" s="130" t="s">
        <v>286</v>
      </c>
      <c r="C319" s="118">
        <v>3538</v>
      </c>
      <c r="D319" s="118">
        <v>1942</v>
      </c>
      <c r="E319" s="118">
        <v>824</v>
      </c>
      <c r="F319" s="118">
        <v>-87</v>
      </c>
      <c r="G319" s="118">
        <v>4493</v>
      </c>
      <c r="H319" s="118">
        <f>12496-H309-H299</f>
        <v>5191</v>
      </c>
      <c r="I319" s="118">
        <v>0</v>
      </c>
      <c r="J319" s="118"/>
      <c r="K319" s="118">
        <v>0</v>
      </c>
      <c r="L319" s="118">
        <v>18</v>
      </c>
      <c r="M319" s="118">
        <v>0</v>
      </c>
      <c r="N319" s="118">
        <v>0</v>
      </c>
      <c r="O319" s="118">
        <v>0</v>
      </c>
      <c r="P319" s="118">
        <v>0</v>
      </c>
      <c r="Q319" s="118">
        <v>0</v>
      </c>
      <c r="R319" s="118">
        <f t="shared" ref="R319:R326" si="55">SUM(C319:M319)</f>
        <v>15919</v>
      </c>
      <c r="S319" s="612" t="s">
        <v>1246</v>
      </c>
      <c r="T319" s="130" t="s">
        <v>286</v>
      </c>
      <c r="U319" s="118">
        <f>12496-U309-U299</f>
        <v>5191</v>
      </c>
      <c r="V319" s="118">
        <f>-680-V309-V299</f>
        <v>-96</v>
      </c>
      <c r="W319" s="118">
        <f>SUM(U319:V319)</f>
        <v>5095</v>
      </c>
    </row>
    <row r="320" spans="2:23" x14ac:dyDescent="0.2">
      <c r="B320" s="130" t="s">
        <v>1131</v>
      </c>
      <c r="C320" s="118">
        <v>0</v>
      </c>
      <c r="D320" s="118">
        <v>0</v>
      </c>
      <c r="E320" s="118">
        <v>0</v>
      </c>
      <c r="F320" s="118">
        <v>0</v>
      </c>
      <c r="G320" s="118">
        <v>0</v>
      </c>
      <c r="H320" s="118">
        <v>0</v>
      </c>
      <c r="I320" s="118">
        <v>0</v>
      </c>
      <c r="J320" s="118"/>
      <c r="K320" s="118">
        <v>0</v>
      </c>
      <c r="L320" s="118">
        <v>0</v>
      </c>
      <c r="M320" s="118">
        <v>0</v>
      </c>
      <c r="N320" s="118">
        <v>0</v>
      </c>
      <c r="O320" s="118">
        <v>0</v>
      </c>
      <c r="P320" s="118">
        <v>0</v>
      </c>
      <c r="Q320" s="118">
        <v>0</v>
      </c>
      <c r="R320" s="118">
        <f t="shared" si="55"/>
        <v>0</v>
      </c>
      <c r="S320" s="612"/>
      <c r="T320" s="130" t="s">
        <v>1131</v>
      </c>
      <c r="U320" s="118">
        <v>0</v>
      </c>
      <c r="V320" s="118"/>
      <c r="W320" s="118">
        <f t="shared" ref="W320:W326" si="56">SUM(U320:V320)</f>
        <v>0</v>
      </c>
    </row>
    <row r="321" spans="2:26" x14ac:dyDescent="0.2">
      <c r="B321" s="130" t="s">
        <v>1129</v>
      </c>
      <c r="C321" s="118">
        <v>0</v>
      </c>
      <c r="D321" s="118">
        <f>-253-D311-D301</f>
        <v>-501</v>
      </c>
      <c r="E321" s="118">
        <v>0</v>
      </c>
      <c r="F321" s="118"/>
      <c r="G321" s="118">
        <v>0</v>
      </c>
      <c r="H321" s="118">
        <v>0</v>
      </c>
      <c r="I321" s="118">
        <v>17714</v>
      </c>
      <c r="J321" s="118"/>
      <c r="K321" s="118">
        <v>0</v>
      </c>
      <c r="L321" s="118">
        <v>0</v>
      </c>
      <c r="M321" s="118">
        <v>0</v>
      </c>
      <c r="N321" s="118">
        <v>0</v>
      </c>
      <c r="O321" s="118">
        <v>0</v>
      </c>
      <c r="P321" s="118">
        <v>0</v>
      </c>
      <c r="Q321" s="118">
        <v>0</v>
      </c>
      <c r="R321" s="118">
        <f t="shared" si="55"/>
        <v>17213</v>
      </c>
      <c r="S321" s="612"/>
      <c r="T321" s="130" t="s">
        <v>1129</v>
      </c>
      <c r="U321" s="118">
        <v>0</v>
      </c>
      <c r="V321" s="118"/>
      <c r="W321" s="118">
        <f t="shared" si="56"/>
        <v>0</v>
      </c>
    </row>
    <row r="322" spans="2:26" x14ac:dyDescent="0.2">
      <c r="B322" s="130">
        <v>0</v>
      </c>
      <c r="C322" s="118">
        <v>0</v>
      </c>
      <c r="D322" s="118">
        <v>0</v>
      </c>
      <c r="E322" s="118">
        <v>0</v>
      </c>
      <c r="F322" s="118">
        <v>0</v>
      </c>
      <c r="G322" s="118">
        <v>0</v>
      </c>
      <c r="H322" s="118">
        <v>0</v>
      </c>
      <c r="I322" s="118">
        <v>0</v>
      </c>
      <c r="J322" s="118"/>
      <c r="K322" s="118">
        <v>0</v>
      </c>
      <c r="L322" s="118">
        <v>0</v>
      </c>
      <c r="M322" s="118">
        <v>0</v>
      </c>
      <c r="N322" s="118">
        <v>0</v>
      </c>
      <c r="O322" s="118">
        <v>0</v>
      </c>
      <c r="P322" s="118">
        <v>0</v>
      </c>
      <c r="Q322" s="118">
        <v>0</v>
      </c>
      <c r="R322" s="118">
        <f t="shared" si="55"/>
        <v>0</v>
      </c>
      <c r="S322" s="612"/>
      <c r="T322" s="130">
        <v>0</v>
      </c>
      <c r="U322" s="118">
        <v>0</v>
      </c>
      <c r="V322" s="118"/>
      <c r="W322" s="118">
        <f t="shared" si="56"/>
        <v>0</v>
      </c>
    </row>
    <row r="323" spans="2:26" x14ac:dyDescent="0.2">
      <c r="B323" s="130" t="s">
        <v>907</v>
      </c>
      <c r="C323" s="118">
        <v>0</v>
      </c>
      <c r="D323" s="118">
        <v>0</v>
      </c>
      <c r="E323" s="118">
        <v>0</v>
      </c>
      <c r="F323" s="118">
        <v>0</v>
      </c>
      <c r="G323" s="118">
        <v>0</v>
      </c>
      <c r="H323" s="118">
        <v>0</v>
      </c>
      <c r="I323" s="118">
        <v>0</v>
      </c>
      <c r="J323" s="118"/>
      <c r="K323" s="118">
        <v>0</v>
      </c>
      <c r="L323" s="118">
        <v>0</v>
      </c>
      <c r="M323" s="118">
        <v>0</v>
      </c>
      <c r="N323" s="118">
        <v>0</v>
      </c>
      <c r="O323" s="118">
        <v>0</v>
      </c>
      <c r="P323" s="118">
        <v>0</v>
      </c>
      <c r="Q323" s="118">
        <v>0</v>
      </c>
      <c r="R323" s="118">
        <f t="shared" si="55"/>
        <v>0</v>
      </c>
      <c r="S323" s="612"/>
      <c r="T323" s="130" t="s">
        <v>907</v>
      </c>
      <c r="U323" s="118">
        <v>0</v>
      </c>
      <c r="V323" s="118"/>
      <c r="W323" s="118">
        <f t="shared" si="56"/>
        <v>0</v>
      </c>
    </row>
    <row r="324" spans="2:26" x14ac:dyDescent="0.2">
      <c r="B324" s="130" t="s">
        <v>175</v>
      </c>
      <c r="C324" s="118">
        <v>0</v>
      </c>
      <c r="D324" s="118">
        <v>0</v>
      </c>
      <c r="E324" s="118">
        <v>0</v>
      </c>
      <c r="F324" s="118">
        <v>0</v>
      </c>
      <c r="G324" s="118">
        <f>-15586-G314</f>
        <v>-6457</v>
      </c>
      <c r="H324" s="118">
        <f>-9202-H314-H304</f>
        <v>-4000</v>
      </c>
      <c r="I324" s="118">
        <v>14895</v>
      </c>
      <c r="J324" s="118"/>
      <c r="K324" s="118">
        <v>0</v>
      </c>
      <c r="L324" s="118">
        <v>0</v>
      </c>
      <c r="M324" s="118">
        <v>0</v>
      </c>
      <c r="N324" s="118">
        <v>0</v>
      </c>
      <c r="O324" s="118">
        <v>0</v>
      </c>
      <c r="P324" s="118">
        <v>0</v>
      </c>
      <c r="Q324" s="118">
        <v>0</v>
      </c>
      <c r="R324" s="118">
        <f t="shared" si="55"/>
        <v>4438</v>
      </c>
      <c r="S324" s="612"/>
      <c r="T324" s="130" t="s">
        <v>175</v>
      </c>
      <c r="U324" s="118">
        <f>-9202-U314-U304</f>
        <v>-4000</v>
      </c>
      <c r="V324" s="118"/>
      <c r="W324" s="118">
        <f t="shared" si="56"/>
        <v>-4000</v>
      </c>
    </row>
    <row r="325" spans="2:26" x14ac:dyDescent="0.2">
      <c r="B325" s="130" t="s">
        <v>858</v>
      </c>
      <c r="C325" s="118">
        <v>0</v>
      </c>
      <c r="D325" s="118">
        <v>0</v>
      </c>
      <c r="E325" s="118">
        <v>0</v>
      </c>
      <c r="F325" s="118">
        <v>0</v>
      </c>
      <c r="G325" s="118">
        <v>0</v>
      </c>
      <c r="H325" s="118">
        <v>0</v>
      </c>
      <c r="I325" s="118">
        <v>0</v>
      </c>
      <c r="J325" s="118"/>
      <c r="K325" s="118">
        <v>0</v>
      </c>
      <c r="L325" s="118">
        <v>0</v>
      </c>
      <c r="M325" s="118">
        <v>0</v>
      </c>
      <c r="N325" s="118">
        <v>0</v>
      </c>
      <c r="O325" s="118">
        <v>0</v>
      </c>
      <c r="P325" s="118">
        <v>0</v>
      </c>
      <c r="Q325" s="118">
        <v>0</v>
      </c>
      <c r="R325" s="118">
        <f t="shared" si="55"/>
        <v>0</v>
      </c>
      <c r="S325" s="612"/>
      <c r="T325" s="130" t="s">
        <v>858</v>
      </c>
      <c r="U325" s="118">
        <v>0</v>
      </c>
      <c r="V325" s="118"/>
      <c r="W325" s="118">
        <f t="shared" si="56"/>
        <v>0</v>
      </c>
      <c r="Y325" s="1179"/>
      <c r="Z325" s="1178"/>
    </row>
    <row r="326" spans="2:26" x14ac:dyDescent="0.2">
      <c r="B326" s="130" t="s">
        <v>256</v>
      </c>
      <c r="C326" s="118">
        <v>0</v>
      </c>
      <c r="D326" s="118">
        <v>0</v>
      </c>
      <c r="E326" s="118">
        <v>0</v>
      </c>
      <c r="F326" s="118">
        <v>0</v>
      </c>
      <c r="G326" s="118">
        <v>0</v>
      </c>
      <c r="H326" s="118">
        <v>-1</v>
      </c>
      <c r="I326" s="118">
        <v>-45452</v>
      </c>
      <c r="J326" s="118"/>
      <c r="K326" s="118">
        <v>0</v>
      </c>
      <c r="L326" s="118">
        <v>0</v>
      </c>
      <c r="M326" s="118">
        <v>0</v>
      </c>
      <c r="N326" s="118">
        <v>0</v>
      </c>
      <c r="O326" s="118">
        <v>0</v>
      </c>
      <c r="P326" s="118">
        <v>0</v>
      </c>
      <c r="Q326" s="118">
        <v>0</v>
      </c>
      <c r="R326" s="118">
        <f t="shared" si="55"/>
        <v>-45453</v>
      </c>
      <c r="S326" s="612"/>
      <c r="T326" s="130" t="s">
        <v>256</v>
      </c>
      <c r="U326" s="118">
        <v>-1</v>
      </c>
      <c r="V326" s="118"/>
      <c r="W326" s="118">
        <f t="shared" si="56"/>
        <v>-1</v>
      </c>
      <c r="Y326" s="1179"/>
    </row>
    <row r="327" spans="2:26" x14ac:dyDescent="0.2">
      <c r="B327" s="127" t="s">
        <v>1284</v>
      </c>
      <c r="C327" s="120">
        <f>SUM(C317:C326)</f>
        <v>79098</v>
      </c>
      <c r="D327" s="120">
        <f t="shared" ref="D327:R327" si="57">SUM(D317:D326)</f>
        <v>20924</v>
      </c>
      <c r="E327" s="120">
        <f t="shared" si="57"/>
        <v>133724</v>
      </c>
      <c r="F327" s="120">
        <f t="shared" si="57"/>
        <v>6887</v>
      </c>
      <c r="G327" s="120">
        <f t="shared" si="57"/>
        <v>58399</v>
      </c>
      <c r="H327" s="120">
        <f t="shared" si="57"/>
        <v>44198</v>
      </c>
      <c r="I327" s="120">
        <f>SUM(I317:I326)</f>
        <v>-12843</v>
      </c>
      <c r="J327" s="120"/>
      <c r="K327" s="120">
        <f t="shared" si="57"/>
        <v>0</v>
      </c>
      <c r="L327" s="120">
        <f>SUM(L317:L326)</f>
        <v>1398</v>
      </c>
      <c r="M327" s="120">
        <f>SUM(M317:M326)</f>
        <v>1</v>
      </c>
      <c r="N327" s="120">
        <f t="shared" si="57"/>
        <v>0</v>
      </c>
      <c r="O327" s="120">
        <f t="shared" si="57"/>
        <v>0</v>
      </c>
      <c r="P327" s="120">
        <f t="shared" si="57"/>
        <v>0</v>
      </c>
      <c r="Q327" s="120">
        <f t="shared" si="57"/>
        <v>0</v>
      </c>
      <c r="R327" s="120">
        <f t="shared" si="57"/>
        <v>331786</v>
      </c>
      <c r="T327" s="127" t="s">
        <v>1284</v>
      </c>
      <c r="U327" s="120">
        <f>SUM(U317:U326)</f>
        <v>44198</v>
      </c>
      <c r="V327" s="120">
        <f>SUM(V317:V326)</f>
        <v>6209</v>
      </c>
      <c r="W327" s="120">
        <f>SUM(W317:W326)</f>
        <v>50407</v>
      </c>
    </row>
    <row r="328" spans="2:26" x14ac:dyDescent="0.2">
      <c r="S328" s="612"/>
    </row>
    <row r="329" spans="2:26" x14ac:dyDescent="0.2">
      <c r="B329" s="130" t="s">
        <v>286</v>
      </c>
      <c r="C329" s="118">
        <v>2664</v>
      </c>
      <c r="D329" s="118">
        <v>1174</v>
      </c>
      <c r="E329" s="118">
        <v>881</v>
      </c>
      <c r="F329" s="118">
        <v>-54</v>
      </c>
      <c r="G329" s="118">
        <v>2970</v>
      </c>
      <c r="H329" s="118">
        <v>4503</v>
      </c>
      <c r="I329" s="118">
        <v>-257</v>
      </c>
      <c r="J329" s="118"/>
      <c r="K329" s="118">
        <v>0</v>
      </c>
      <c r="L329" s="118">
        <v>17</v>
      </c>
      <c r="M329" s="118">
        <v>0</v>
      </c>
      <c r="N329" s="118">
        <v>0</v>
      </c>
      <c r="O329" s="118">
        <v>0</v>
      </c>
      <c r="P329" s="118">
        <v>0</v>
      </c>
      <c r="Q329" s="118">
        <v>0</v>
      </c>
      <c r="R329" s="118">
        <f t="shared" ref="R329:R336" si="58">SUM(C329:M329)</f>
        <v>11898</v>
      </c>
      <c r="S329" s="612" t="s">
        <v>1248</v>
      </c>
      <c r="T329" s="130" t="s">
        <v>286</v>
      </c>
      <c r="U329" s="118">
        <v>4503</v>
      </c>
      <c r="V329" s="118">
        <v>-64</v>
      </c>
      <c r="W329" s="118">
        <f>SUM(U329:V329)</f>
        <v>4439</v>
      </c>
      <c r="X329" s="1179"/>
      <c r="Y329" s="1178"/>
    </row>
    <row r="330" spans="2:26" x14ac:dyDescent="0.2">
      <c r="B330" s="130" t="s">
        <v>1131</v>
      </c>
      <c r="C330" s="118">
        <v>0</v>
      </c>
      <c r="D330" s="118">
        <v>0</v>
      </c>
      <c r="E330" s="118">
        <v>0</v>
      </c>
      <c r="F330" s="118">
        <v>0</v>
      </c>
      <c r="G330" s="118">
        <v>0</v>
      </c>
      <c r="H330" s="118">
        <v>0</v>
      </c>
      <c r="I330" s="118">
        <v>0</v>
      </c>
      <c r="J330" s="118"/>
      <c r="K330" s="118">
        <v>0</v>
      </c>
      <c r="L330" s="118">
        <v>0</v>
      </c>
      <c r="M330" s="118">
        <v>0</v>
      </c>
      <c r="N330" s="118">
        <v>0</v>
      </c>
      <c r="O330" s="118">
        <v>0</v>
      </c>
      <c r="P330" s="118">
        <v>0</v>
      </c>
      <c r="Q330" s="118">
        <v>0</v>
      </c>
      <c r="R330" s="118">
        <f t="shared" si="58"/>
        <v>0</v>
      </c>
      <c r="S330" s="612"/>
      <c r="T330" s="130" t="s">
        <v>1131</v>
      </c>
      <c r="U330" s="118">
        <v>0</v>
      </c>
      <c r="V330" s="118">
        <v>0</v>
      </c>
      <c r="W330" s="118">
        <f t="shared" ref="W330:W336" si="59">SUM(U330:V330)</f>
        <v>0</v>
      </c>
      <c r="X330" s="1179"/>
    </row>
    <row r="331" spans="2:26" x14ac:dyDescent="0.2">
      <c r="B331" s="130" t="s">
        <v>1129</v>
      </c>
      <c r="C331" s="118">
        <v>0</v>
      </c>
      <c r="D331" s="118">
        <v>2980</v>
      </c>
      <c r="E331" s="118">
        <v>0</v>
      </c>
      <c r="F331" s="118"/>
      <c r="G331" s="118">
        <v>0</v>
      </c>
      <c r="H331" s="118">
        <v>0</v>
      </c>
      <c r="I331" s="118">
        <v>-17714</v>
      </c>
      <c r="J331" s="118"/>
      <c r="K331" s="118">
        <v>0</v>
      </c>
      <c r="L331" s="118">
        <v>0</v>
      </c>
      <c r="M331" s="118">
        <v>0</v>
      </c>
      <c r="N331" s="118">
        <v>0</v>
      </c>
      <c r="O331" s="118">
        <v>0</v>
      </c>
      <c r="P331" s="118">
        <v>0</v>
      </c>
      <c r="Q331" s="118">
        <v>0</v>
      </c>
      <c r="R331" s="118">
        <f t="shared" si="58"/>
        <v>-14734</v>
      </c>
      <c r="S331" s="612"/>
      <c r="T331" s="130" t="s">
        <v>1129</v>
      </c>
      <c r="U331" s="118">
        <v>0</v>
      </c>
      <c r="V331" s="118">
        <v>0</v>
      </c>
      <c r="W331" s="118">
        <f t="shared" si="59"/>
        <v>0</v>
      </c>
    </row>
    <row r="332" spans="2:26" x14ac:dyDescent="0.2">
      <c r="B332" s="130">
        <v>0</v>
      </c>
      <c r="C332" s="118">
        <v>0</v>
      </c>
      <c r="D332" s="118">
        <v>0</v>
      </c>
      <c r="E332" s="118">
        <v>0</v>
      </c>
      <c r="F332" s="118">
        <v>0</v>
      </c>
      <c r="G332" s="118">
        <v>0</v>
      </c>
      <c r="H332" s="118">
        <v>0</v>
      </c>
      <c r="I332" s="118">
        <v>0</v>
      </c>
      <c r="J332" s="118"/>
      <c r="K332" s="118">
        <v>0</v>
      </c>
      <c r="L332" s="118">
        <v>0</v>
      </c>
      <c r="M332" s="118">
        <v>0</v>
      </c>
      <c r="N332" s="118">
        <v>0</v>
      </c>
      <c r="O332" s="118">
        <v>0</v>
      </c>
      <c r="P332" s="118">
        <v>0</v>
      </c>
      <c r="Q332" s="118">
        <v>0</v>
      </c>
      <c r="R332" s="118">
        <f t="shared" si="58"/>
        <v>0</v>
      </c>
      <c r="S332" s="612"/>
      <c r="T332" s="130">
        <v>0</v>
      </c>
      <c r="U332" s="118">
        <v>0</v>
      </c>
      <c r="V332" s="118">
        <v>0</v>
      </c>
      <c r="W332" s="118">
        <f t="shared" si="59"/>
        <v>0</v>
      </c>
    </row>
    <row r="333" spans="2:26" x14ac:dyDescent="0.2">
      <c r="B333" s="130" t="s">
        <v>907</v>
      </c>
      <c r="C333" s="118">
        <v>0</v>
      </c>
      <c r="D333" s="118">
        <v>0</v>
      </c>
      <c r="E333" s="118">
        <v>0</v>
      </c>
      <c r="F333" s="118">
        <v>0</v>
      </c>
      <c r="G333" s="118">
        <v>0</v>
      </c>
      <c r="H333" s="118">
        <v>0</v>
      </c>
      <c r="I333" s="118">
        <v>0</v>
      </c>
      <c r="J333" s="118"/>
      <c r="K333" s="118">
        <v>0</v>
      </c>
      <c r="L333" s="118">
        <v>0</v>
      </c>
      <c r="M333" s="118">
        <v>0</v>
      </c>
      <c r="N333" s="118">
        <v>0</v>
      </c>
      <c r="O333" s="118">
        <v>0</v>
      </c>
      <c r="P333" s="118">
        <v>0</v>
      </c>
      <c r="Q333" s="118">
        <v>0</v>
      </c>
      <c r="R333" s="118">
        <f t="shared" si="58"/>
        <v>0</v>
      </c>
      <c r="S333" s="612"/>
      <c r="T333" s="130" t="s">
        <v>907</v>
      </c>
      <c r="U333" s="118">
        <v>0</v>
      </c>
      <c r="V333" s="118">
        <v>0</v>
      </c>
      <c r="W333" s="118">
        <f t="shared" si="59"/>
        <v>0</v>
      </c>
    </row>
    <row r="334" spans="2:26" x14ac:dyDescent="0.2">
      <c r="B334" s="130" t="s">
        <v>175</v>
      </c>
      <c r="C334" s="118">
        <v>0</v>
      </c>
      <c r="D334" s="118">
        <v>0</v>
      </c>
      <c r="E334" s="118">
        <v>0</v>
      </c>
      <c r="F334" s="118">
        <v>0</v>
      </c>
      <c r="G334" s="118">
        <v>0</v>
      </c>
      <c r="H334" s="118">
        <v>-5500</v>
      </c>
      <c r="I334" s="118">
        <v>-14895</v>
      </c>
      <c r="J334" s="118"/>
      <c r="K334" s="118">
        <v>0</v>
      </c>
      <c r="L334" s="118">
        <v>0</v>
      </c>
      <c r="M334" s="118">
        <v>0</v>
      </c>
      <c r="N334" s="118">
        <v>0</v>
      </c>
      <c r="O334" s="118">
        <v>0</v>
      </c>
      <c r="P334" s="118">
        <v>0</v>
      </c>
      <c r="Q334" s="118">
        <v>0</v>
      </c>
      <c r="R334" s="118">
        <f t="shared" si="58"/>
        <v>-20395</v>
      </c>
      <c r="S334" s="612"/>
      <c r="T334" s="130" t="s">
        <v>175</v>
      </c>
      <c r="U334" s="118">
        <v>-5500</v>
      </c>
      <c r="V334" s="118">
        <v>0</v>
      </c>
      <c r="W334" s="118">
        <f t="shared" si="59"/>
        <v>-5500</v>
      </c>
    </row>
    <row r="335" spans="2:26" x14ac:dyDescent="0.2">
      <c r="B335" s="130" t="s">
        <v>858</v>
      </c>
      <c r="C335" s="118">
        <v>0</v>
      </c>
      <c r="D335" s="118">
        <v>0</v>
      </c>
      <c r="E335" s="118">
        <v>0</v>
      </c>
      <c r="F335" s="118">
        <v>0</v>
      </c>
      <c r="G335" s="118">
        <v>0</v>
      </c>
      <c r="H335" s="118">
        <v>0</v>
      </c>
      <c r="I335" s="118">
        <v>0</v>
      </c>
      <c r="J335" s="118"/>
      <c r="K335" s="118">
        <v>0</v>
      </c>
      <c r="L335" s="118">
        <v>0</v>
      </c>
      <c r="M335" s="118">
        <v>0</v>
      </c>
      <c r="N335" s="118">
        <v>0</v>
      </c>
      <c r="O335" s="118">
        <v>0</v>
      </c>
      <c r="P335" s="118">
        <v>0</v>
      </c>
      <c r="Q335" s="118">
        <v>0</v>
      </c>
      <c r="R335" s="118">
        <f t="shared" si="58"/>
        <v>0</v>
      </c>
      <c r="S335" s="612"/>
      <c r="T335" s="130" t="s">
        <v>858</v>
      </c>
      <c r="U335" s="118">
        <v>0</v>
      </c>
      <c r="V335" s="118">
        <v>0</v>
      </c>
      <c r="W335" s="118">
        <f t="shared" si="59"/>
        <v>0</v>
      </c>
    </row>
    <row r="336" spans="2:26" x14ac:dyDescent="0.2">
      <c r="B336" s="130" t="s">
        <v>256</v>
      </c>
      <c r="C336" s="118">
        <v>0</v>
      </c>
      <c r="D336" s="118">
        <v>0</v>
      </c>
      <c r="E336" s="118">
        <v>0</v>
      </c>
      <c r="F336" s="118">
        <v>0</v>
      </c>
      <c r="G336" s="118">
        <v>0</v>
      </c>
      <c r="H336" s="118">
        <v>0</v>
      </c>
      <c r="I336" s="118">
        <v>90243</v>
      </c>
      <c r="J336" s="118"/>
      <c r="K336" s="118">
        <v>0</v>
      </c>
      <c r="L336" s="118">
        <v>0</v>
      </c>
      <c r="M336" s="118">
        <v>0</v>
      </c>
      <c r="N336" s="118">
        <v>0</v>
      </c>
      <c r="O336" s="118">
        <v>0</v>
      </c>
      <c r="P336" s="118">
        <v>0</v>
      </c>
      <c r="Q336" s="118">
        <v>0</v>
      </c>
      <c r="R336" s="118">
        <f t="shared" si="58"/>
        <v>90243</v>
      </c>
      <c r="S336" s="612"/>
      <c r="T336" s="130" t="s">
        <v>256</v>
      </c>
      <c r="U336" s="118">
        <v>0</v>
      </c>
      <c r="V336" s="118">
        <v>0</v>
      </c>
      <c r="W336" s="118">
        <f t="shared" si="59"/>
        <v>0</v>
      </c>
    </row>
    <row r="337" spans="2:23" x14ac:dyDescent="0.2">
      <c r="B337" s="127" t="s">
        <v>1309</v>
      </c>
      <c r="C337" s="120">
        <f>SUM(C327:C336)</f>
        <v>81762</v>
      </c>
      <c r="D337" s="120">
        <f t="shared" ref="D337:R337" si="60">SUM(D327:D336)</f>
        <v>25078</v>
      </c>
      <c r="E337" s="120">
        <f t="shared" si="60"/>
        <v>134605</v>
      </c>
      <c r="F337" s="120">
        <f t="shared" si="60"/>
        <v>6833</v>
      </c>
      <c r="G337" s="120">
        <f t="shared" si="60"/>
        <v>61369</v>
      </c>
      <c r="H337" s="120">
        <f t="shared" si="60"/>
        <v>43201</v>
      </c>
      <c r="I337" s="120">
        <f>SUM(I327:I336)</f>
        <v>44534</v>
      </c>
      <c r="J337" s="120">
        <v>1416</v>
      </c>
      <c r="K337" s="120">
        <f t="shared" si="60"/>
        <v>0</v>
      </c>
      <c r="L337" s="120">
        <f>SUM(L327:L336)</f>
        <v>1415</v>
      </c>
      <c r="M337" s="120">
        <f>SUM(M327:M336)</f>
        <v>1</v>
      </c>
      <c r="N337" s="120">
        <f t="shared" si="60"/>
        <v>0</v>
      </c>
      <c r="O337" s="120">
        <f t="shared" si="60"/>
        <v>0</v>
      </c>
      <c r="P337" s="120">
        <f t="shared" si="60"/>
        <v>0</v>
      </c>
      <c r="Q337" s="120">
        <f t="shared" si="60"/>
        <v>0</v>
      </c>
      <c r="R337" s="120">
        <f t="shared" si="60"/>
        <v>398798</v>
      </c>
      <c r="S337" s="612"/>
      <c r="T337" s="127" t="s">
        <v>1309</v>
      </c>
      <c r="U337" s="120">
        <f>SUM(U327:U336)</f>
        <v>43201</v>
      </c>
      <c r="V337" s="120">
        <f>SUM(V327:V336)</f>
        <v>6145</v>
      </c>
      <c r="W337" s="120">
        <f>SUM(W327:W336)</f>
        <v>49346</v>
      </c>
    </row>
    <row r="339" spans="2:23" x14ac:dyDescent="0.2">
      <c r="B339" s="130" t="s">
        <v>286</v>
      </c>
      <c r="C339" s="118">
        <v>1577</v>
      </c>
      <c r="D339" s="118">
        <v>1855</v>
      </c>
      <c r="E339" s="118">
        <v>846</v>
      </c>
      <c r="F339" s="118">
        <v>-30</v>
      </c>
      <c r="G339" s="118">
        <v>3688</v>
      </c>
      <c r="H339" s="118">
        <v>6641</v>
      </c>
      <c r="I339" s="118">
        <v>257</v>
      </c>
      <c r="J339" s="118" t="s">
        <v>47</v>
      </c>
      <c r="K339" s="118">
        <v>0</v>
      </c>
      <c r="L339" s="118">
        <v>4</v>
      </c>
      <c r="M339" s="118">
        <v>0</v>
      </c>
      <c r="N339" s="118">
        <v>0</v>
      </c>
      <c r="O339" s="118">
        <v>0</v>
      </c>
      <c r="P339" s="118">
        <v>0</v>
      </c>
      <c r="Q339" s="118">
        <v>0</v>
      </c>
      <c r="R339" s="118">
        <f t="shared" ref="R339:R346" si="61">SUM(C339:M339)</f>
        <v>14838</v>
      </c>
      <c r="S339" s="612" t="s">
        <v>1307</v>
      </c>
      <c r="T339" s="130" t="s">
        <v>286</v>
      </c>
      <c r="U339" s="118">
        <v>6641</v>
      </c>
      <c r="V339" s="118">
        <v>-38</v>
      </c>
      <c r="W339" s="118">
        <f>SUM(U339:V339)</f>
        <v>6603</v>
      </c>
    </row>
    <row r="340" spans="2:23" x14ac:dyDescent="0.2">
      <c r="B340" s="130" t="s">
        <v>1131</v>
      </c>
      <c r="C340" s="118">
        <v>0</v>
      </c>
      <c r="D340" s="118">
        <v>0</v>
      </c>
      <c r="E340" s="118">
        <v>0</v>
      </c>
      <c r="F340" s="118">
        <v>0</v>
      </c>
      <c r="G340" s="118">
        <v>0</v>
      </c>
      <c r="H340" s="118">
        <v>0</v>
      </c>
      <c r="I340" s="118">
        <v>0</v>
      </c>
      <c r="J340" s="118" t="s">
        <v>47</v>
      </c>
      <c r="K340" s="118">
        <v>0</v>
      </c>
      <c r="L340" s="118">
        <v>0</v>
      </c>
      <c r="M340" s="118">
        <v>0</v>
      </c>
      <c r="N340" s="118">
        <v>0</v>
      </c>
      <c r="O340" s="118">
        <v>0</v>
      </c>
      <c r="P340" s="118">
        <v>0</v>
      </c>
      <c r="Q340" s="118">
        <v>0</v>
      </c>
      <c r="R340" s="118">
        <f t="shared" si="61"/>
        <v>0</v>
      </c>
      <c r="S340" s="612"/>
      <c r="T340" s="130" t="s">
        <v>1131</v>
      </c>
      <c r="U340" s="118">
        <v>0</v>
      </c>
      <c r="V340" s="118">
        <v>0</v>
      </c>
      <c r="W340" s="118">
        <f t="shared" ref="W340:W346" si="62">SUM(U340:V340)</f>
        <v>0</v>
      </c>
    </row>
    <row r="341" spans="2:23" x14ac:dyDescent="0.2">
      <c r="B341" s="130" t="s">
        <v>1129</v>
      </c>
      <c r="C341" s="118">
        <v>0</v>
      </c>
      <c r="D341" s="118">
        <v>5038</v>
      </c>
      <c r="E341" s="118">
        <v>0</v>
      </c>
      <c r="F341" s="118"/>
      <c r="G341" s="118">
        <v>0</v>
      </c>
      <c r="H341" s="118">
        <v>0</v>
      </c>
      <c r="I341" s="118">
        <v>0</v>
      </c>
      <c r="J341" s="118" t="s">
        <v>47</v>
      </c>
      <c r="K341" s="118">
        <v>0</v>
      </c>
      <c r="L341" s="118">
        <v>0</v>
      </c>
      <c r="M341" s="118">
        <v>0</v>
      </c>
      <c r="N341" s="118">
        <v>0</v>
      </c>
      <c r="O341" s="118">
        <v>0</v>
      </c>
      <c r="P341" s="118">
        <v>0</v>
      </c>
      <c r="Q341" s="118">
        <v>0</v>
      </c>
      <c r="R341" s="118">
        <f t="shared" si="61"/>
        <v>5038</v>
      </c>
      <c r="S341" s="612"/>
      <c r="T341" s="130" t="s">
        <v>1129</v>
      </c>
      <c r="U341" s="118">
        <v>0</v>
      </c>
      <c r="V341" s="118">
        <v>0</v>
      </c>
      <c r="W341" s="118">
        <f t="shared" si="62"/>
        <v>0</v>
      </c>
    </row>
    <row r="342" spans="2:23" x14ac:dyDescent="0.2">
      <c r="B342" s="130">
        <v>0</v>
      </c>
      <c r="C342" s="118">
        <v>0</v>
      </c>
      <c r="D342" s="118">
        <v>0</v>
      </c>
      <c r="E342" s="118">
        <v>0</v>
      </c>
      <c r="F342" s="118">
        <v>0</v>
      </c>
      <c r="G342" s="118">
        <v>0</v>
      </c>
      <c r="H342" s="118">
        <v>0</v>
      </c>
      <c r="I342" s="118">
        <v>0</v>
      </c>
      <c r="J342" s="118" t="s">
        <v>47</v>
      </c>
      <c r="K342" s="118">
        <v>0</v>
      </c>
      <c r="L342" s="118">
        <v>0</v>
      </c>
      <c r="M342" s="118">
        <v>0</v>
      </c>
      <c r="N342" s="118">
        <v>0</v>
      </c>
      <c r="O342" s="118">
        <v>0</v>
      </c>
      <c r="P342" s="118">
        <v>0</v>
      </c>
      <c r="Q342" s="118">
        <v>0</v>
      </c>
      <c r="R342" s="118">
        <f t="shared" si="61"/>
        <v>0</v>
      </c>
      <c r="S342" s="612"/>
      <c r="T342" s="130">
        <v>0</v>
      </c>
      <c r="U342" s="118">
        <v>0</v>
      </c>
      <c r="V342" s="118">
        <v>0</v>
      </c>
      <c r="W342" s="118">
        <f t="shared" si="62"/>
        <v>0</v>
      </c>
    </row>
    <row r="343" spans="2:23" x14ac:dyDescent="0.2">
      <c r="B343" s="130" t="s">
        <v>907</v>
      </c>
      <c r="C343" s="118">
        <v>0</v>
      </c>
      <c r="D343" s="118">
        <v>0</v>
      </c>
      <c r="E343" s="118">
        <v>0</v>
      </c>
      <c r="F343" s="118">
        <v>0</v>
      </c>
      <c r="G343" s="118">
        <v>0</v>
      </c>
      <c r="H343" s="118">
        <v>0</v>
      </c>
      <c r="I343" s="118">
        <v>0</v>
      </c>
      <c r="J343" s="118" t="s">
        <v>47</v>
      </c>
      <c r="K343" s="118">
        <v>0</v>
      </c>
      <c r="L343" s="118">
        <v>0</v>
      </c>
      <c r="M343" s="118">
        <v>0</v>
      </c>
      <c r="N343" s="118">
        <v>0</v>
      </c>
      <c r="O343" s="118">
        <v>0</v>
      </c>
      <c r="P343" s="118">
        <v>0</v>
      </c>
      <c r="Q343" s="118">
        <v>0</v>
      </c>
      <c r="R343" s="118">
        <f t="shared" si="61"/>
        <v>0</v>
      </c>
      <c r="S343" s="612"/>
      <c r="T343" s="130" t="s">
        <v>907</v>
      </c>
      <c r="U343" s="118">
        <v>0</v>
      </c>
      <c r="V343" s="118">
        <v>0</v>
      </c>
      <c r="W343" s="118">
        <f t="shared" si="62"/>
        <v>0</v>
      </c>
    </row>
    <row r="344" spans="2:23" x14ac:dyDescent="0.2">
      <c r="B344" s="130" t="s">
        <v>175</v>
      </c>
      <c r="C344" s="118">
        <v>0</v>
      </c>
      <c r="D344" s="118">
        <v>0</v>
      </c>
      <c r="E344" s="118">
        <v>0</v>
      </c>
      <c r="F344" s="118">
        <v>0</v>
      </c>
      <c r="G344" s="118">
        <v>0</v>
      </c>
      <c r="H344" s="118">
        <v>0</v>
      </c>
      <c r="I344" s="118">
        <v>0</v>
      </c>
      <c r="J344" s="118" t="s">
        <v>47</v>
      </c>
      <c r="K344" s="118">
        <v>0</v>
      </c>
      <c r="L344" s="118">
        <v>0</v>
      </c>
      <c r="M344" s="118">
        <v>0</v>
      </c>
      <c r="N344" s="118">
        <v>0</v>
      </c>
      <c r="O344" s="118">
        <v>0</v>
      </c>
      <c r="P344" s="118">
        <v>0</v>
      </c>
      <c r="Q344" s="118">
        <v>0</v>
      </c>
      <c r="R344" s="118">
        <f t="shared" si="61"/>
        <v>0</v>
      </c>
      <c r="S344" s="612"/>
      <c r="T344" s="130" t="s">
        <v>175</v>
      </c>
      <c r="U344" s="118">
        <v>0</v>
      </c>
      <c r="V344" s="118">
        <v>0</v>
      </c>
      <c r="W344" s="118">
        <f t="shared" si="62"/>
        <v>0</v>
      </c>
    </row>
    <row r="345" spans="2:23" x14ac:dyDescent="0.2">
      <c r="B345" s="130" t="s">
        <v>858</v>
      </c>
      <c r="C345" s="118">
        <v>0</v>
      </c>
      <c r="D345" s="118">
        <v>0</v>
      </c>
      <c r="E345" s="118">
        <v>0</v>
      </c>
      <c r="F345" s="118">
        <v>0</v>
      </c>
      <c r="G345" s="118">
        <v>0</v>
      </c>
      <c r="H345" s="118">
        <v>0</v>
      </c>
      <c r="I345" s="118">
        <v>0</v>
      </c>
      <c r="J345" s="118" t="s">
        <v>47</v>
      </c>
      <c r="K345" s="118">
        <v>0</v>
      </c>
      <c r="L345" s="118">
        <v>0</v>
      </c>
      <c r="M345" s="118">
        <v>0</v>
      </c>
      <c r="N345" s="118">
        <v>0</v>
      </c>
      <c r="O345" s="118">
        <v>0</v>
      </c>
      <c r="P345" s="118">
        <v>0</v>
      </c>
      <c r="Q345" s="118">
        <v>0</v>
      </c>
      <c r="R345" s="118">
        <f t="shared" si="61"/>
        <v>0</v>
      </c>
      <c r="S345" s="612"/>
      <c r="T345" s="130" t="s">
        <v>858</v>
      </c>
      <c r="U345" s="118">
        <v>0</v>
      </c>
      <c r="V345" s="118">
        <v>0</v>
      </c>
      <c r="W345" s="118">
        <f t="shared" si="62"/>
        <v>0</v>
      </c>
    </row>
    <row r="346" spans="2:23" x14ac:dyDescent="0.2">
      <c r="B346" s="130" t="s">
        <v>256</v>
      </c>
      <c r="C346" s="118">
        <v>0</v>
      </c>
      <c r="D346" s="118">
        <v>0</v>
      </c>
      <c r="E346" s="118">
        <v>0</v>
      </c>
      <c r="F346" s="118">
        <v>0</v>
      </c>
      <c r="G346" s="118">
        <v>0</v>
      </c>
      <c r="H346" s="118">
        <v>0</v>
      </c>
      <c r="I346" s="118">
        <v>-44791</v>
      </c>
      <c r="J346" s="118" t="s">
        <v>47</v>
      </c>
      <c r="K346" s="118">
        <v>0</v>
      </c>
      <c r="L346" s="118">
        <v>0</v>
      </c>
      <c r="M346" s="118">
        <v>0</v>
      </c>
      <c r="N346" s="118">
        <v>0</v>
      </c>
      <c r="O346" s="118">
        <v>0</v>
      </c>
      <c r="P346" s="118">
        <v>0</v>
      </c>
      <c r="Q346" s="118">
        <v>0</v>
      </c>
      <c r="R346" s="118">
        <f t="shared" si="61"/>
        <v>-44791</v>
      </c>
      <c r="S346" s="612"/>
      <c r="T346" s="130" t="s">
        <v>256</v>
      </c>
      <c r="U346" s="118">
        <v>0</v>
      </c>
      <c r="V346" s="118">
        <v>0</v>
      </c>
      <c r="W346" s="118">
        <f t="shared" si="62"/>
        <v>0</v>
      </c>
    </row>
    <row r="347" spans="2:23" x14ac:dyDescent="0.2">
      <c r="B347" s="127" t="s">
        <v>1330</v>
      </c>
      <c r="C347" s="120">
        <f>SUM(C337:C346)</f>
        <v>83339</v>
      </c>
      <c r="D347" s="120">
        <f t="shared" ref="D347:R347" si="63">SUM(D337:D346)</f>
        <v>31971</v>
      </c>
      <c r="E347" s="120">
        <f t="shared" si="63"/>
        <v>135451</v>
      </c>
      <c r="F347" s="120">
        <f t="shared" si="63"/>
        <v>6803</v>
      </c>
      <c r="G347" s="120">
        <f t="shared" si="63"/>
        <v>65057</v>
      </c>
      <c r="H347" s="120">
        <f t="shared" si="63"/>
        <v>49842</v>
      </c>
      <c r="I347" s="120">
        <f t="shared" si="63"/>
        <v>0</v>
      </c>
      <c r="J347" s="120">
        <f t="shared" si="63"/>
        <v>1416</v>
      </c>
      <c r="K347" s="120">
        <f t="shared" si="63"/>
        <v>0</v>
      </c>
      <c r="L347" s="120">
        <v>2</v>
      </c>
      <c r="M347" s="120">
        <v>0</v>
      </c>
      <c r="N347" s="120">
        <f t="shared" si="63"/>
        <v>0</v>
      </c>
      <c r="O347" s="120">
        <f t="shared" si="63"/>
        <v>0</v>
      </c>
      <c r="P347" s="120">
        <f t="shared" si="63"/>
        <v>0</v>
      </c>
      <c r="Q347" s="120">
        <f t="shared" si="63"/>
        <v>0</v>
      </c>
      <c r="R347" s="120">
        <f t="shared" si="63"/>
        <v>373883</v>
      </c>
      <c r="S347" s="612"/>
      <c r="T347" s="127" t="s">
        <v>1330</v>
      </c>
      <c r="U347" s="120">
        <f>SUM(U337:U346)</f>
        <v>49842</v>
      </c>
      <c r="V347" s="120">
        <f>SUM(V337:V346)</f>
        <v>6107</v>
      </c>
      <c r="W347" s="120">
        <f>SUM(W337:W346)</f>
        <v>55949</v>
      </c>
    </row>
    <row r="349" spans="2:23" x14ac:dyDescent="0.2">
      <c r="B349" s="130" t="s">
        <v>286</v>
      </c>
      <c r="C349" s="118">
        <v>3013</v>
      </c>
      <c r="D349" s="118">
        <v>1309</v>
      </c>
      <c r="E349" s="118">
        <v>882</v>
      </c>
      <c r="F349" s="118">
        <v>-231</v>
      </c>
      <c r="G349" s="118">
        <v>1338</v>
      </c>
      <c r="H349" s="118">
        <v>9597</v>
      </c>
      <c r="I349" s="118">
        <v>0</v>
      </c>
      <c r="J349" s="118">
        <v>894</v>
      </c>
      <c r="K349" s="118">
        <v>0</v>
      </c>
      <c r="L349" s="118" t="s">
        <v>47</v>
      </c>
      <c r="M349" s="118">
        <v>0</v>
      </c>
      <c r="N349" s="118">
        <v>0</v>
      </c>
      <c r="O349" s="118">
        <v>0</v>
      </c>
      <c r="P349" s="118">
        <v>0</v>
      </c>
      <c r="Q349" s="118">
        <v>0</v>
      </c>
      <c r="R349" s="118">
        <f>SUM(C349:J349)</f>
        <v>16802</v>
      </c>
      <c r="S349" s="612"/>
      <c r="T349" s="130" t="s">
        <v>286</v>
      </c>
      <c r="U349" s="118">
        <v>9597</v>
      </c>
      <c r="V349" s="118">
        <v>-234</v>
      </c>
      <c r="W349" s="118">
        <f t="shared" ref="W349:W357" si="64">SUM(U349:V349)</f>
        <v>9363</v>
      </c>
    </row>
    <row r="350" spans="2:23" x14ac:dyDescent="0.2">
      <c r="B350" s="130" t="s">
        <v>1131</v>
      </c>
      <c r="C350" s="118">
        <v>0</v>
      </c>
      <c r="D350" s="118">
        <v>0</v>
      </c>
      <c r="E350" s="118">
        <v>0</v>
      </c>
      <c r="F350" s="118">
        <v>0</v>
      </c>
      <c r="G350" s="118">
        <v>0</v>
      </c>
      <c r="H350" s="118">
        <v>0</v>
      </c>
      <c r="I350" s="118">
        <v>0</v>
      </c>
      <c r="J350" s="118" t="s">
        <v>47</v>
      </c>
      <c r="K350" s="118">
        <v>0</v>
      </c>
      <c r="L350" s="118">
        <v>0</v>
      </c>
      <c r="M350" s="118">
        <v>0</v>
      </c>
      <c r="N350" s="118">
        <v>0</v>
      </c>
      <c r="O350" s="118">
        <v>0</v>
      </c>
      <c r="P350" s="118">
        <v>0</v>
      </c>
      <c r="Q350" s="118">
        <v>0</v>
      </c>
      <c r="R350" s="118">
        <f t="shared" ref="R350:R357" si="65">SUM(C350:J350)</f>
        <v>0</v>
      </c>
      <c r="S350" s="612"/>
      <c r="T350" s="130" t="s">
        <v>1131</v>
      </c>
      <c r="U350" s="118">
        <v>0</v>
      </c>
      <c r="V350" s="118">
        <v>0</v>
      </c>
      <c r="W350" s="118">
        <f t="shared" si="64"/>
        <v>0</v>
      </c>
    </row>
    <row r="351" spans="2:23" x14ac:dyDescent="0.2">
      <c r="B351" s="130" t="s">
        <v>1344</v>
      </c>
      <c r="C351" s="118" t="s">
        <v>47</v>
      </c>
      <c r="D351" s="118" t="s">
        <v>47</v>
      </c>
      <c r="E351" s="118" t="s">
        <v>47</v>
      </c>
      <c r="F351" s="118" t="s">
        <v>47</v>
      </c>
      <c r="G351" s="118">
        <v>-66395</v>
      </c>
      <c r="H351" s="118" t="s">
        <v>47</v>
      </c>
      <c r="I351" s="118" t="s">
        <v>47</v>
      </c>
      <c r="J351" s="118">
        <v>8254</v>
      </c>
      <c r="K351" s="118" t="s">
        <v>47</v>
      </c>
      <c r="L351" s="118" t="s">
        <v>47</v>
      </c>
      <c r="M351" s="118" t="s">
        <v>47</v>
      </c>
      <c r="N351" s="118" t="s">
        <v>47</v>
      </c>
      <c r="O351" s="118" t="s">
        <v>47</v>
      </c>
      <c r="P351" s="118"/>
      <c r="Q351" s="118"/>
      <c r="R351" s="118">
        <f t="shared" si="65"/>
        <v>-58141</v>
      </c>
      <c r="S351" s="612"/>
      <c r="T351" s="130" t="s">
        <v>1344</v>
      </c>
      <c r="U351" s="118"/>
      <c r="V351" s="118"/>
      <c r="W351" s="118">
        <f t="shared" si="64"/>
        <v>0</v>
      </c>
    </row>
    <row r="352" spans="2:23" x14ac:dyDescent="0.2">
      <c r="B352" s="130" t="s">
        <v>1129</v>
      </c>
      <c r="C352" s="118" t="s">
        <v>47</v>
      </c>
      <c r="D352" s="118" t="s">
        <v>47</v>
      </c>
      <c r="E352" s="118" t="s">
        <v>47</v>
      </c>
      <c r="F352" s="118"/>
      <c r="G352" s="118">
        <v>0</v>
      </c>
      <c r="H352" s="118">
        <v>0</v>
      </c>
      <c r="I352" s="118">
        <v>0</v>
      </c>
      <c r="J352" s="118" t="s">
        <v>47</v>
      </c>
      <c r="K352" s="118">
        <v>0</v>
      </c>
      <c r="L352" s="118">
        <v>0</v>
      </c>
      <c r="M352" s="118">
        <v>0</v>
      </c>
      <c r="N352" s="118">
        <v>0</v>
      </c>
      <c r="O352" s="118">
        <v>0</v>
      </c>
      <c r="P352" s="118">
        <v>0</v>
      </c>
      <c r="Q352" s="118">
        <v>0</v>
      </c>
      <c r="R352" s="118">
        <f t="shared" si="65"/>
        <v>0</v>
      </c>
      <c r="S352" s="612"/>
      <c r="T352" s="130" t="s">
        <v>1129</v>
      </c>
      <c r="U352" s="118">
        <v>0</v>
      </c>
      <c r="V352" s="118">
        <v>0</v>
      </c>
      <c r="W352" s="118">
        <f t="shared" si="64"/>
        <v>0</v>
      </c>
    </row>
    <row r="353" spans="2:23" x14ac:dyDescent="0.2">
      <c r="B353" s="130">
        <v>0</v>
      </c>
      <c r="C353" s="118">
        <v>0</v>
      </c>
      <c r="D353" s="118">
        <v>0</v>
      </c>
      <c r="E353" s="118">
        <v>0</v>
      </c>
      <c r="F353" s="118">
        <v>0</v>
      </c>
      <c r="G353" s="118">
        <v>0</v>
      </c>
      <c r="H353" s="118">
        <v>0</v>
      </c>
      <c r="I353" s="118">
        <v>0</v>
      </c>
      <c r="J353" s="118" t="s">
        <v>47</v>
      </c>
      <c r="K353" s="118">
        <v>0</v>
      </c>
      <c r="L353" s="118">
        <v>0</v>
      </c>
      <c r="M353" s="118">
        <v>0</v>
      </c>
      <c r="N353" s="118">
        <v>0</v>
      </c>
      <c r="O353" s="118">
        <v>0</v>
      </c>
      <c r="P353" s="118">
        <v>0</v>
      </c>
      <c r="Q353" s="118">
        <v>0</v>
      </c>
      <c r="R353" s="118">
        <f t="shared" si="65"/>
        <v>0</v>
      </c>
      <c r="S353" s="612"/>
      <c r="T353" s="130">
        <v>0</v>
      </c>
      <c r="U353" s="118">
        <v>0</v>
      </c>
      <c r="V353" s="118">
        <v>0</v>
      </c>
      <c r="W353" s="118">
        <f t="shared" si="64"/>
        <v>0</v>
      </c>
    </row>
    <row r="354" spans="2:23" x14ac:dyDescent="0.2">
      <c r="B354" s="130" t="s">
        <v>907</v>
      </c>
      <c r="C354" s="118">
        <v>0</v>
      </c>
      <c r="D354" s="118">
        <v>0</v>
      </c>
      <c r="E354" s="118">
        <v>0</v>
      </c>
      <c r="F354" s="118">
        <v>0</v>
      </c>
      <c r="G354" s="118">
        <v>0</v>
      </c>
      <c r="H354" s="118">
        <v>0</v>
      </c>
      <c r="I354" s="118">
        <v>0</v>
      </c>
      <c r="J354" s="118" t="s">
        <v>47</v>
      </c>
      <c r="K354" s="118">
        <v>0</v>
      </c>
      <c r="L354" s="118">
        <v>0</v>
      </c>
      <c r="M354" s="118">
        <v>0</v>
      </c>
      <c r="N354" s="118">
        <v>0</v>
      </c>
      <c r="O354" s="118">
        <v>0</v>
      </c>
      <c r="P354" s="118">
        <v>0</v>
      </c>
      <c r="Q354" s="118">
        <v>0</v>
      </c>
      <c r="R354" s="118">
        <f t="shared" si="65"/>
        <v>0</v>
      </c>
      <c r="S354" s="612"/>
      <c r="T354" s="130" t="s">
        <v>907</v>
      </c>
      <c r="U354" s="118">
        <v>0</v>
      </c>
      <c r="V354" s="118">
        <v>0</v>
      </c>
      <c r="W354" s="118">
        <f t="shared" si="64"/>
        <v>0</v>
      </c>
    </row>
    <row r="355" spans="2:23" x14ac:dyDescent="0.2">
      <c r="B355" s="130" t="s">
        <v>175</v>
      </c>
      <c r="C355" s="118">
        <v>-9829</v>
      </c>
      <c r="D355" s="118">
        <v>-1823</v>
      </c>
      <c r="E355" s="118">
        <v>-3199</v>
      </c>
      <c r="F355" s="118">
        <v>0</v>
      </c>
      <c r="G355" s="118">
        <v>0</v>
      </c>
      <c r="H355" s="118">
        <v>-3181</v>
      </c>
      <c r="I355" s="118">
        <v>0</v>
      </c>
      <c r="J355" s="118">
        <v>-1161</v>
      </c>
      <c r="K355" s="118">
        <v>0</v>
      </c>
      <c r="L355" s="118">
        <v>0</v>
      </c>
      <c r="M355" s="118">
        <v>0</v>
      </c>
      <c r="N355" s="118">
        <v>0</v>
      </c>
      <c r="O355" s="118">
        <v>0</v>
      </c>
      <c r="P355" s="118">
        <v>0</v>
      </c>
      <c r="Q355" s="118">
        <v>0</v>
      </c>
      <c r="R355" s="118">
        <f t="shared" si="65"/>
        <v>-19193</v>
      </c>
      <c r="S355" s="612"/>
      <c r="T355" s="130" t="s">
        <v>175</v>
      </c>
      <c r="U355" s="118">
        <v>0</v>
      </c>
      <c r="V355" s="118">
        <v>0</v>
      </c>
      <c r="W355" s="118">
        <f t="shared" si="64"/>
        <v>0</v>
      </c>
    </row>
    <row r="356" spans="2:23" x14ac:dyDescent="0.2">
      <c r="B356" s="130" t="s">
        <v>858</v>
      </c>
      <c r="C356" s="118">
        <v>0</v>
      </c>
      <c r="D356" s="118">
        <v>0</v>
      </c>
      <c r="E356" s="118">
        <v>0</v>
      </c>
      <c r="F356" s="118">
        <v>0</v>
      </c>
      <c r="G356" s="118">
        <v>0</v>
      </c>
      <c r="H356" s="118">
        <v>0</v>
      </c>
      <c r="I356" s="118">
        <v>0</v>
      </c>
      <c r="J356" s="118" t="s">
        <v>47</v>
      </c>
      <c r="K356" s="118">
        <v>0</v>
      </c>
      <c r="L356" s="118">
        <v>0</v>
      </c>
      <c r="M356" s="118">
        <v>0</v>
      </c>
      <c r="N356" s="118">
        <v>0</v>
      </c>
      <c r="O356" s="118">
        <v>0</v>
      </c>
      <c r="P356" s="118">
        <v>0</v>
      </c>
      <c r="Q356" s="118">
        <v>0</v>
      </c>
      <c r="R356" s="118">
        <f t="shared" si="65"/>
        <v>0</v>
      </c>
      <c r="S356" s="612"/>
      <c r="T356" s="130" t="s">
        <v>858</v>
      </c>
      <c r="U356" s="118">
        <v>0</v>
      </c>
      <c r="V356" s="118">
        <v>0</v>
      </c>
      <c r="W356" s="118">
        <f t="shared" si="64"/>
        <v>0</v>
      </c>
    </row>
    <row r="357" spans="2:23" x14ac:dyDescent="0.2">
      <c r="B357" s="130" t="s">
        <v>256</v>
      </c>
      <c r="C357" s="118">
        <v>0</v>
      </c>
      <c r="D357" s="118">
        <v>0</v>
      </c>
      <c r="E357" s="118">
        <v>0</v>
      </c>
      <c r="F357" s="118">
        <v>0</v>
      </c>
      <c r="G357" s="118">
        <v>0</v>
      </c>
      <c r="H357" s="118">
        <v>0</v>
      </c>
      <c r="I357" s="118">
        <v>0</v>
      </c>
      <c r="J357" s="118" t="s">
        <v>47</v>
      </c>
      <c r="K357" s="118">
        <v>0</v>
      </c>
      <c r="L357" s="118">
        <v>0</v>
      </c>
      <c r="M357" s="118">
        <v>0</v>
      </c>
      <c r="N357" s="118">
        <v>0</v>
      </c>
      <c r="O357" s="118">
        <v>0</v>
      </c>
      <c r="P357" s="118">
        <v>0</v>
      </c>
      <c r="Q357" s="118">
        <v>0</v>
      </c>
      <c r="R357" s="118">
        <f t="shared" si="65"/>
        <v>0</v>
      </c>
      <c r="S357" s="612"/>
      <c r="T357" s="130" t="s">
        <v>256</v>
      </c>
      <c r="U357" s="118">
        <v>0</v>
      </c>
      <c r="V357" s="118">
        <v>0</v>
      </c>
      <c r="W357" s="118">
        <f t="shared" si="64"/>
        <v>0</v>
      </c>
    </row>
    <row r="358" spans="2:23" x14ac:dyDescent="0.2">
      <c r="B358" s="127" t="s">
        <v>1340</v>
      </c>
      <c r="C358" s="120">
        <f>+SUM(C347:C357)</f>
        <v>76523</v>
      </c>
      <c r="D358" s="120">
        <f t="shared" ref="D358:Q358" si="66">+SUM(D347:D357)</f>
        <v>31457</v>
      </c>
      <c r="E358" s="120">
        <f t="shared" si="66"/>
        <v>133134</v>
      </c>
      <c r="F358" s="120">
        <f t="shared" si="66"/>
        <v>6572</v>
      </c>
      <c r="G358" s="120">
        <f t="shared" si="66"/>
        <v>0</v>
      </c>
      <c r="H358" s="120">
        <f t="shared" si="66"/>
        <v>56258</v>
      </c>
      <c r="I358" s="120">
        <f t="shared" si="66"/>
        <v>0</v>
      </c>
      <c r="J358" s="120">
        <f t="shared" si="66"/>
        <v>9403</v>
      </c>
      <c r="K358" s="120">
        <f t="shared" si="66"/>
        <v>0</v>
      </c>
      <c r="L358" s="120">
        <f t="shared" si="66"/>
        <v>2</v>
      </c>
      <c r="M358" s="120">
        <f t="shared" si="66"/>
        <v>0</v>
      </c>
      <c r="N358" s="120">
        <f t="shared" si="66"/>
        <v>0</v>
      </c>
      <c r="O358" s="120">
        <f t="shared" si="66"/>
        <v>0</v>
      </c>
      <c r="P358" s="120">
        <f t="shared" si="66"/>
        <v>0</v>
      </c>
      <c r="Q358" s="120">
        <f t="shared" si="66"/>
        <v>0</v>
      </c>
      <c r="R358" s="120">
        <f>+SUM(C358:Q358)</f>
        <v>313349</v>
      </c>
      <c r="S358" s="612"/>
      <c r="T358" s="127" t="s">
        <v>1340</v>
      </c>
      <c r="U358" s="120">
        <f>SUM(U347:U357)</f>
        <v>59439</v>
      </c>
      <c r="V358" s="120">
        <f>SUM(V347:V357)</f>
        <v>5873</v>
      </c>
      <c r="W358" s="120">
        <f>SUM(W347:W357)</f>
        <v>65312</v>
      </c>
    </row>
    <row r="360" spans="2:23" x14ac:dyDescent="0.2">
      <c r="B360" s="130" t="s">
        <v>286</v>
      </c>
      <c r="C360" s="118">
        <v>1612</v>
      </c>
      <c r="D360" s="118">
        <v>1283</v>
      </c>
      <c r="E360" s="118">
        <v>868</v>
      </c>
      <c r="F360" s="118">
        <v>-394</v>
      </c>
      <c r="G360" s="118">
        <v>0</v>
      </c>
      <c r="H360" s="118">
        <v>7809</v>
      </c>
      <c r="I360" s="118">
        <v>0</v>
      </c>
      <c r="J360" s="118">
        <v>1087</v>
      </c>
      <c r="K360" s="118">
        <v>0</v>
      </c>
      <c r="L360" s="118" t="s">
        <v>47</v>
      </c>
      <c r="M360" s="118">
        <v>0</v>
      </c>
      <c r="N360" s="118">
        <v>0</v>
      </c>
      <c r="O360" s="118">
        <v>0</v>
      </c>
      <c r="P360" s="118">
        <v>0</v>
      </c>
      <c r="Q360" s="118">
        <v>0</v>
      </c>
      <c r="R360" s="118">
        <f>SUM(C360:J360)</f>
        <v>12265</v>
      </c>
      <c r="S360" s="612"/>
      <c r="T360" s="130" t="s">
        <v>286</v>
      </c>
      <c r="U360" s="118">
        <v>7809</v>
      </c>
      <c r="V360" s="118">
        <v>-376</v>
      </c>
      <c r="W360" s="118">
        <f>SUM(U360:V360)</f>
        <v>7433</v>
      </c>
    </row>
    <row r="361" spans="2:23" x14ac:dyDescent="0.2">
      <c r="B361" s="130" t="s">
        <v>1131</v>
      </c>
      <c r="C361" s="118">
        <v>0</v>
      </c>
      <c r="D361" s="118">
        <v>0</v>
      </c>
      <c r="E361" s="118">
        <v>0</v>
      </c>
      <c r="F361" s="118">
        <v>0</v>
      </c>
      <c r="G361" s="118">
        <v>0</v>
      </c>
      <c r="H361" s="118">
        <v>0</v>
      </c>
      <c r="I361" s="118">
        <v>0</v>
      </c>
      <c r="J361" s="118" t="s">
        <v>47</v>
      </c>
      <c r="K361" s="118">
        <v>0</v>
      </c>
      <c r="L361" s="118">
        <v>0</v>
      </c>
      <c r="M361" s="118">
        <v>0</v>
      </c>
      <c r="N361" s="118">
        <v>0</v>
      </c>
      <c r="O361" s="118">
        <v>0</v>
      </c>
      <c r="P361" s="118">
        <v>0</v>
      </c>
      <c r="Q361" s="118">
        <v>0</v>
      </c>
      <c r="R361" s="118">
        <f t="shared" ref="R361:R369" si="67">SUM(C361:J361)</f>
        <v>0</v>
      </c>
      <c r="S361" s="612"/>
      <c r="T361" s="130" t="s">
        <v>1131</v>
      </c>
      <c r="U361" s="118">
        <v>0</v>
      </c>
      <c r="V361" s="118">
        <v>0</v>
      </c>
      <c r="W361" s="118">
        <f t="shared" ref="W361:W369" si="68">SUM(U361:V361)</f>
        <v>0</v>
      </c>
    </row>
    <row r="362" spans="2:23" x14ac:dyDescent="0.2">
      <c r="B362" s="130" t="s">
        <v>1344</v>
      </c>
      <c r="C362" s="118" t="s">
        <v>47</v>
      </c>
      <c r="D362" s="118" t="s">
        <v>47</v>
      </c>
      <c r="E362" s="118" t="s">
        <v>47</v>
      </c>
      <c r="F362" s="118" t="s">
        <v>47</v>
      </c>
      <c r="G362" s="118">
        <v>0</v>
      </c>
      <c r="H362" s="118" t="s">
        <v>47</v>
      </c>
      <c r="I362" s="118" t="s">
        <v>47</v>
      </c>
      <c r="J362" s="118">
        <v>1</v>
      </c>
      <c r="K362" s="118" t="s">
        <v>47</v>
      </c>
      <c r="L362" s="118" t="s">
        <v>47</v>
      </c>
      <c r="M362" s="118" t="s">
        <v>47</v>
      </c>
      <c r="N362" s="118" t="s">
        <v>47</v>
      </c>
      <c r="O362" s="118" t="s">
        <v>47</v>
      </c>
      <c r="P362" s="118" t="s">
        <v>47</v>
      </c>
      <c r="Q362" s="118" t="s">
        <v>47</v>
      </c>
      <c r="R362" s="118">
        <f t="shared" si="67"/>
        <v>1</v>
      </c>
      <c r="S362" s="612"/>
      <c r="T362" s="130" t="s">
        <v>1344</v>
      </c>
      <c r="U362" s="118"/>
      <c r="V362" s="118"/>
      <c r="W362" s="118"/>
    </row>
    <row r="363" spans="2:23" x14ac:dyDescent="0.2">
      <c r="B363" s="130" t="s">
        <v>1129</v>
      </c>
      <c r="C363" s="118" t="s">
        <v>47</v>
      </c>
      <c r="D363" s="118" t="s">
        <v>47</v>
      </c>
      <c r="E363" s="118" t="s">
        <v>47</v>
      </c>
      <c r="F363" s="118">
        <v>10000</v>
      </c>
      <c r="G363" s="118">
        <v>0</v>
      </c>
      <c r="H363" s="118">
        <v>0</v>
      </c>
      <c r="I363" s="118">
        <v>0</v>
      </c>
      <c r="J363" s="118" t="s">
        <v>47</v>
      </c>
      <c r="K363" s="118">
        <v>0</v>
      </c>
      <c r="L363" s="118">
        <v>0</v>
      </c>
      <c r="M363" s="118">
        <v>0</v>
      </c>
      <c r="N363" s="118">
        <v>0</v>
      </c>
      <c r="O363" s="118">
        <v>0</v>
      </c>
      <c r="P363" s="118">
        <v>0</v>
      </c>
      <c r="Q363" s="118">
        <v>0</v>
      </c>
      <c r="R363" s="118">
        <f t="shared" si="67"/>
        <v>10000</v>
      </c>
      <c r="S363" s="612"/>
      <c r="T363" s="130" t="s">
        <v>1129</v>
      </c>
      <c r="U363" s="118">
        <v>0</v>
      </c>
      <c r="V363" s="118">
        <v>0</v>
      </c>
      <c r="W363" s="118">
        <f t="shared" si="68"/>
        <v>0</v>
      </c>
    </row>
    <row r="364" spans="2:23" x14ac:dyDescent="0.2">
      <c r="B364" s="130" t="s">
        <v>1361</v>
      </c>
      <c r="C364" s="118" t="s">
        <v>47</v>
      </c>
      <c r="D364" s="118" t="s">
        <v>47</v>
      </c>
      <c r="E364" s="118" t="s">
        <v>47</v>
      </c>
      <c r="F364" s="118" t="s">
        <v>47</v>
      </c>
      <c r="G364" s="118" t="s">
        <v>47</v>
      </c>
      <c r="H364" s="118" t="s">
        <v>47</v>
      </c>
      <c r="I364" s="118" t="s">
        <v>47</v>
      </c>
      <c r="J364" s="118" t="s">
        <v>47</v>
      </c>
      <c r="K364" s="118" t="s">
        <v>47</v>
      </c>
      <c r="L364" s="118" t="s">
        <v>47</v>
      </c>
      <c r="M364" s="118" t="s">
        <v>47</v>
      </c>
      <c r="N364" s="118" t="s">
        <v>47</v>
      </c>
      <c r="O364" s="118" t="s">
        <v>47</v>
      </c>
      <c r="P364" s="118" t="s">
        <v>47</v>
      </c>
      <c r="Q364" s="118" t="s">
        <v>47</v>
      </c>
      <c r="R364" s="118">
        <f t="shared" si="67"/>
        <v>0</v>
      </c>
      <c r="S364" s="612"/>
      <c r="T364" s="130" t="s">
        <v>1361</v>
      </c>
      <c r="U364" s="118"/>
      <c r="V364" s="118">
        <v>10000</v>
      </c>
      <c r="W364" s="118">
        <f t="shared" si="68"/>
        <v>10000</v>
      </c>
    </row>
    <row r="365" spans="2:23" x14ac:dyDescent="0.2">
      <c r="B365" s="130">
        <v>0</v>
      </c>
      <c r="C365" s="118">
        <v>0</v>
      </c>
      <c r="D365" s="118">
        <v>0</v>
      </c>
      <c r="E365" s="118">
        <v>0</v>
      </c>
      <c r="F365" s="118">
        <v>0</v>
      </c>
      <c r="G365" s="118">
        <v>0</v>
      </c>
      <c r="H365" s="118">
        <v>0</v>
      </c>
      <c r="I365" s="118">
        <v>0</v>
      </c>
      <c r="J365" s="118" t="s">
        <v>47</v>
      </c>
      <c r="K365" s="118">
        <v>0</v>
      </c>
      <c r="L365" s="118">
        <v>0</v>
      </c>
      <c r="M365" s="118">
        <v>0</v>
      </c>
      <c r="N365" s="118">
        <v>0</v>
      </c>
      <c r="O365" s="118">
        <v>0</v>
      </c>
      <c r="P365" s="118">
        <v>0</v>
      </c>
      <c r="Q365" s="118">
        <v>0</v>
      </c>
      <c r="R365" s="118">
        <f t="shared" si="67"/>
        <v>0</v>
      </c>
      <c r="S365" s="612"/>
      <c r="T365" s="130">
        <v>0</v>
      </c>
      <c r="U365" s="118">
        <v>0</v>
      </c>
      <c r="V365" s="118">
        <v>0</v>
      </c>
      <c r="W365" s="118">
        <f t="shared" si="68"/>
        <v>0</v>
      </c>
    </row>
    <row r="366" spans="2:23" x14ac:dyDescent="0.2">
      <c r="B366" s="130" t="s">
        <v>907</v>
      </c>
      <c r="C366" s="118">
        <v>0</v>
      </c>
      <c r="D366" s="118">
        <v>0</v>
      </c>
      <c r="E366" s="118">
        <v>0</v>
      </c>
      <c r="F366" s="118">
        <v>0</v>
      </c>
      <c r="G366" s="118">
        <v>0</v>
      </c>
      <c r="H366" s="118">
        <v>0</v>
      </c>
      <c r="I366" s="118">
        <v>0</v>
      </c>
      <c r="J366" s="118" t="s">
        <v>47</v>
      </c>
      <c r="K366" s="118">
        <v>0</v>
      </c>
      <c r="L366" s="118">
        <v>0</v>
      </c>
      <c r="M366" s="118">
        <v>0</v>
      </c>
      <c r="N366" s="118">
        <v>0</v>
      </c>
      <c r="O366" s="118">
        <v>0</v>
      </c>
      <c r="P366" s="118">
        <v>0</v>
      </c>
      <c r="Q366" s="118">
        <v>0</v>
      </c>
      <c r="R366" s="118">
        <f t="shared" si="67"/>
        <v>0</v>
      </c>
      <c r="S366" s="612"/>
      <c r="T366" s="130" t="s">
        <v>907</v>
      </c>
      <c r="U366" s="118">
        <v>0</v>
      </c>
      <c r="V366" s="118">
        <v>0</v>
      </c>
      <c r="W366" s="118">
        <f t="shared" si="68"/>
        <v>0</v>
      </c>
    </row>
    <row r="367" spans="2:23" x14ac:dyDescent="0.2">
      <c r="B367" s="130" t="s">
        <v>175</v>
      </c>
      <c r="C367" s="118">
        <v>1</v>
      </c>
      <c r="D367" s="118">
        <v>0</v>
      </c>
      <c r="E367" s="118">
        <v>-1</v>
      </c>
      <c r="F367" s="118">
        <v>0</v>
      </c>
      <c r="G367" s="118">
        <v>0</v>
      </c>
      <c r="H367" s="118">
        <v>-17473</v>
      </c>
      <c r="I367" s="118">
        <v>0</v>
      </c>
      <c r="J367" s="118">
        <v>0</v>
      </c>
      <c r="K367" s="118">
        <v>0</v>
      </c>
      <c r="L367" s="118">
        <v>0</v>
      </c>
      <c r="M367" s="118">
        <v>0</v>
      </c>
      <c r="N367" s="118">
        <v>0</v>
      </c>
      <c r="O367" s="118">
        <v>0</v>
      </c>
      <c r="P367" s="118">
        <v>0</v>
      </c>
      <c r="Q367" s="118">
        <v>0</v>
      </c>
      <c r="R367" s="118">
        <f t="shared" si="67"/>
        <v>-17473</v>
      </c>
      <c r="S367" s="612"/>
      <c r="T367" s="130" t="s">
        <v>175</v>
      </c>
      <c r="U367" s="118">
        <v>-20654</v>
      </c>
      <c r="V367" s="118">
        <v>0</v>
      </c>
      <c r="W367" s="118">
        <f t="shared" si="68"/>
        <v>-20654</v>
      </c>
    </row>
    <row r="368" spans="2:23" x14ac:dyDescent="0.2">
      <c r="B368" s="130" t="s">
        <v>858</v>
      </c>
      <c r="C368" s="118">
        <v>0</v>
      </c>
      <c r="D368" s="118">
        <v>0</v>
      </c>
      <c r="E368" s="118">
        <v>0</v>
      </c>
      <c r="F368" s="118">
        <v>0</v>
      </c>
      <c r="G368" s="118">
        <v>0</v>
      </c>
      <c r="H368" s="118">
        <v>0</v>
      </c>
      <c r="I368" s="118">
        <v>0</v>
      </c>
      <c r="J368" s="118" t="s">
        <v>47</v>
      </c>
      <c r="K368" s="118">
        <v>0</v>
      </c>
      <c r="L368" s="118">
        <v>0</v>
      </c>
      <c r="M368" s="118">
        <v>0</v>
      </c>
      <c r="N368" s="118">
        <v>0</v>
      </c>
      <c r="O368" s="118">
        <v>0</v>
      </c>
      <c r="P368" s="118">
        <v>0</v>
      </c>
      <c r="Q368" s="118">
        <v>0</v>
      </c>
      <c r="R368" s="118">
        <f t="shared" si="67"/>
        <v>0</v>
      </c>
      <c r="S368" s="612"/>
      <c r="T368" s="130" t="s">
        <v>858</v>
      </c>
      <c r="U368" s="118">
        <v>0</v>
      </c>
      <c r="V368" s="118">
        <v>0</v>
      </c>
      <c r="W368" s="118">
        <f t="shared" si="68"/>
        <v>0</v>
      </c>
    </row>
    <row r="369" spans="2:23" x14ac:dyDescent="0.2">
      <c r="B369" s="130" t="s">
        <v>256</v>
      </c>
      <c r="C369" s="118">
        <v>0</v>
      </c>
      <c r="D369" s="118">
        <v>0</v>
      </c>
      <c r="E369" s="118">
        <v>0</v>
      </c>
      <c r="F369" s="118">
        <v>0</v>
      </c>
      <c r="G369" s="118">
        <v>0</v>
      </c>
      <c r="H369" s="118">
        <v>0</v>
      </c>
      <c r="I369" s="118">
        <v>0</v>
      </c>
      <c r="J369" s="118" t="s">
        <v>47</v>
      </c>
      <c r="K369" s="118">
        <v>0</v>
      </c>
      <c r="L369" s="118">
        <v>0</v>
      </c>
      <c r="M369" s="118">
        <v>0</v>
      </c>
      <c r="N369" s="118">
        <v>0</v>
      </c>
      <c r="O369" s="118">
        <v>0</v>
      </c>
      <c r="P369" s="118">
        <v>0</v>
      </c>
      <c r="Q369" s="118">
        <v>0</v>
      </c>
      <c r="R369" s="118">
        <f t="shared" si="67"/>
        <v>0</v>
      </c>
      <c r="S369" s="612"/>
      <c r="T369" s="130" t="s">
        <v>256</v>
      </c>
      <c r="U369" s="118">
        <v>0</v>
      </c>
      <c r="V369" s="118">
        <v>0</v>
      </c>
      <c r="W369" s="118">
        <f t="shared" si="68"/>
        <v>0</v>
      </c>
    </row>
    <row r="370" spans="2:23" x14ac:dyDescent="0.2">
      <c r="B370" s="127" t="s">
        <v>1357</v>
      </c>
      <c r="C370" s="120">
        <f>SUM(C358:C369)</f>
        <v>78136</v>
      </c>
      <c r="D370" s="120">
        <f t="shared" ref="D370:J370" si="69">SUM(D358:D369)</f>
        <v>32740</v>
      </c>
      <c r="E370" s="120">
        <f t="shared" si="69"/>
        <v>134001</v>
      </c>
      <c r="F370" s="120">
        <f t="shared" si="69"/>
        <v>16178</v>
      </c>
      <c r="G370" s="120">
        <f t="shared" si="69"/>
        <v>0</v>
      </c>
      <c r="H370" s="120">
        <f t="shared" si="69"/>
        <v>46594</v>
      </c>
      <c r="I370" s="120">
        <f t="shared" si="69"/>
        <v>0</v>
      </c>
      <c r="J370" s="120">
        <f t="shared" si="69"/>
        <v>10491</v>
      </c>
      <c r="K370" s="120">
        <f>SUM(K347:K369)</f>
        <v>0</v>
      </c>
      <c r="L370" s="120" t="s">
        <v>47</v>
      </c>
      <c r="M370" s="120">
        <v>0</v>
      </c>
      <c r="N370" s="120">
        <f>SUM(N347:N369)</f>
        <v>0</v>
      </c>
      <c r="O370" s="120">
        <f>SUM(O347:O369)</f>
        <v>0</v>
      </c>
      <c r="P370" s="120">
        <f>SUM(P347:P369)</f>
        <v>0</v>
      </c>
      <c r="Q370" s="120">
        <f>SUM(Q347:Q369)</f>
        <v>0</v>
      </c>
      <c r="R370" s="120">
        <f>+SUM(C370:Q370)</f>
        <v>318140</v>
      </c>
      <c r="S370" s="612"/>
      <c r="T370" s="127" t="s">
        <v>1357</v>
      </c>
      <c r="U370" s="120">
        <f>SUM(U358:U369)</f>
        <v>46594</v>
      </c>
      <c r="V370" s="120">
        <f>SUM(V358:V369)</f>
        <v>15497</v>
      </c>
      <c r="W370" s="120">
        <f>SUM(W358:W369)</f>
        <v>62091</v>
      </c>
    </row>
    <row r="372" spans="2:23" x14ac:dyDescent="0.2">
      <c r="B372" s="130" t="s">
        <v>286</v>
      </c>
      <c r="C372" s="118">
        <v>1013</v>
      </c>
      <c r="D372" s="118">
        <v>1058</v>
      </c>
      <c r="E372" s="118">
        <v>910</v>
      </c>
      <c r="F372" s="118">
        <v>-377</v>
      </c>
      <c r="G372" s="118">
        <v>0</v>
      </c>
      <c r="H372" s="118">
        <v>6251</v>
      </c>
      <c r="I372" s="118">
        <v>0</v>
      </c>
      <c r="J372" s="118">
        <v>668</v>
      </c>
      <c r="K372" s="118">
        <v>0</v>
      </c>
      <c r="L372" s="118" t="s">
        <v>47</v>
      </c>
      <c r="M372" s="118">
        <v>0</v>
      </c>
      <c r="N372" s="118">
        <v>0</v>
      </c>
      <c r="O372" s="118">
        <v>0</v>
      </c>
      <c r="P372" s="118">
        <v>0</v>
      </c>
      <c r="Q372" s="118">
        <v>0</v>
      </c>
      <c r="R372" s="118">
        <f>SUM(C372:J372)</f>
        <v>9523</v>
      </c>
      <c r="S372" s="612" t="s">
        <v>1313</v>
      </c>
      <c r="T372" s="130" t="s">
        <v>286</v>
      </c>
      <c r="U372" s="118">
        <v>6250</v>
      </c>
      <c r="V372" s="118">
        <v>-385</v>
      </c>
      <c r="W372" s="118">
        <f>SUM(U372:V372)</f>
        <v>5865</v>
      </c>
    </row>
    <row r="373" spans="2:23" x14ac:dyDescent="0.2">
      <c r="B373" s="130" t="s">
        <v>1131</v>
      </c>
      <c r="C373" s="118">
        <v>0</v>
      </c>
      <c r="D373" s="118">
        <v>0</v>
      </c>
      <c r="E373" s="118">
        <v>0</v>
      </c>
      <c r="F373" s="118">
        <v>0</v>
      </c>
      <c r="G373" s="118">
        <v>0</v>
      </c>
      <c r="H373" s="118">
        <v>0</v>
      </c>
      <c r="I373" s="118">
        <v>0</v>
      </c>
      <c r="J373" s="118" t="s">
        <v>47</v>
      </c>
      <c r="K373" s="118">
        <v>0</v>
      </c>
      <c r="L373" s="118">
        <v>0</v>
      </c>
      <c r="M373" s="118">
        <v>0</v>
      </c>
      <c r="N373" s="118">
        <v>0</v>
      </c>
      <c r="O373" s="118">
        <v>0</v>
      </c>
      <c r="P373" s="118">
        <v>0</v>
      </c>
      <c r="Q373" s="118">
        <v>0</v>
      </c>
      <c r="R373" s="118">
        <f t="shared" ref="R373:R381" si="70">SUM(C373:J373)</f>
        <v>0</v>
      </c>
      <c r="S373" s="612"/>
      <c r="T373" s="130" t="s">
        <v>1131</v>
      </c>
      <c r="U373" s="118">
        <v>0</v>
      </c>
      <c r="V373" s="118">
        <v>0</v>
      </c>
      <c r="W373" s="118">
        <f t="shared" ref="W373:W381" si="71">SUM(U373:V373)</f>
        <v>0</v>
      </c>
    </row>
    <row r="374" spans="2:23" x14ac:dyDescent="0.2">
      <c r="B374" s="130" t="s">
        <v>1344</v>
      </c>
      <c r="C374" s="118" t="s">
        <v>47</v>
      </c>
      <c r="D374" s="118" t="s">
        <v>47</v>
      </c>
      <c r="E374" s="118" t="s">
        <v>47</v>
      </c>
      <c r="F374" s="118" t="s">
        <v>47</v>
      </c>
      <c r="G374" s="118">
        <v>0</v>
      </c>
      <c r="H374" s="118" t="s">
        <v>47</v>
      </c>
      <c r="I374" s="118" t="s">
        <v>47</v>
      </c>
      <c r="J374" s="118">
        <v>704</v>
      </c>
      <c r="K374" s="118" t="s">
        <v>47</v>
      </c>
      <c r="L374" s="118" t="s">
        <v>47</v>
      </c>
      <c r="M374" s="118" t="s">
        <v>47</v>
      </c>
      <c r="N374" s="118" t="s">
        <v>47</v>
      </c>
      <c r="O374" s="118" t="s">
        <v>47</v>
      </c>
      <c r="P374" s="118" t="s">
        <v>47</v>
      </c>
      <c r="Q374" s="118" t="s">
        <v>47</v>
      </c>
      <c r="R374" s="118">
        <f t="shared" si="70"/>
        <v>704</v>
      </c>
      <c r="S374" s="612"/>
      <c r="T374" s="130" t="s">
        <v>1344</v>
      </c>
      <c r="U374" s="118"/>
      <c r="V374" s="118"/>
      <c r="W374" s="118"/>
    </row>
    <row r="375" spans="2:23" x14ac:dyDescent="0.2">
      <c r="B375" s="130" t="s">
        <v>1129</v>
      </c>
      <c r="C375" s="118" t="s">
        <v>47</v>
      </c>
      <c r="D375" s="118" t="s">
        <v>47</v>
      </c>
      <c r="E375" s="118" t="s">
        <v>47</v>
      </c>
      <c r="F375" s="118">
        <v>0</v>
      </c>
      <c r="G375" s="118">
        <v>0</v>
      </c>
      <c r="H375" s="118">
        <v>0</v>
      </c>
      <c r="I375" s="118">
        <v>0</v>
      </c>
      <c r="J375" s="118" t="s">
        <v>47</v>
      </c>
      <c r="K375" s="118">
        <v>0</v>
      </c>
      <c r="L375" s="118">
        <v>0</v>
      </c>
      <c r="M375" s="118">
        <v>0</v>
      </c>
      <c r="N375" s="118">
        <v>0</v>
      </c>
      <c r="O375" s="118">
        <v>0</v>
      </c>
      <c r="P375" s="118">
        <v>0</v>
      </c>
      <c r="Q375" s="118">
        <v>0</v>
      </c>
      <c r="R375" s="118">
        <f t="shared" si="70"/>
        <v>0</v>
      </c>
      <c r="S375" s="612"/>
      <c r="T375" s="130" t="s">
        <v>1129</v>
      </c>
      <c r="U375" s="118">
        <v>0</v>
      </c>
      <c r="V375" s="118">
        <v>0</v>
      </c>
      <c r="W375" s="118">
        <f t="shared" si="71"/>
        <v>0</v>
      </c>
    </row>
    <row r="376" spans="2:23" x14ac:dyDescent="0.2">
      <c r="B376" s="130" t="s">
        <v>1361</v>
      </c>
      <c r="C376" s="118" t="s">
        <v>47</v>
      </c>
      <c r="D376" s="118" t="s">
        <v>47</v>
      </c>
      <c r="E376" s="118" t="s">
        <v>47</v>
      </c>
      <c r="F376" s="118" t="s">
        <v>47</v>
      </c>
      <c r="G376" s="118" t="s">
        <v>47</v>
      </c>
      <c r="H376" s="118" t="s">
        <v>47</v>
      </c>
      <c r="I376" s="118" t="s">
        <v>47</v>
      </c>
      <c r="J376" s="118" t="s">
        <v>47</v>
      </c>
      <c r="K376" s="118" t="s">
        <v>47</v>
      </c>
      <c r="L376" s="118" t="s">
        <v>47</v>
      </c>
      <c r="M376" s="118" t="s">
        <v>47</v>
      </c>
      <c r="N376" s="118" t="s">
        <v>47</v>
      </c>
      <c r="O376" s="118" t="s">
        <v>47</v>
      </c>
      <c r="P376" s="118" t="s">
        <v>47</v>
      </c>
      <c r="Q376" s="118" t="s">
        <v>47</v>
      </c>
      <c r="R376" s="118">
        <f t="shared" si="70"/>
        <v>0</v>
      </c>
      <c r="S376" s="612"/>
      <c r="T376" s="130" t="s">
        <v>1361</v>
      </c>
      <c r="U376" s="118"/>
      <c r="V376" s="118">
        <v>0</v>
      </c>
      <c r="W376" s="118">
        <f t="shared" si="71"/>
        <v>0</v>
      </c>
    </row>
    <row r="377" spans="2:23" x14ac:dyDescent="0.2">
      <c r="B377" s="130">
        <v>0</v>
      </c>
      <c r="C377" s="118">
        <v>0</v>
      </c>
      <c r="D377" s="118">
        <v>0</v>
      </c>
      <c r="E377" s="118">
        <v>0</v>
      </c>
      <c r="F377" s="118">
        <v>0</v>
      </c>
      <c r="G377" s="118">
        <v>0</v>
      </c>
      <c r="H377" s="118">
        <v>0</v>
      </c>
      <c r="I377" s="118">
        <v>0</v>
      </c>
      <c r="J377" s="118" t="s">
        <v>47</v>
      </c>
      <c r="K377" s="118">
        <v>0</v>
      </c>
      <c r="L377" s="118">
        <v>0</v>
      </c>
      <c r="M377" s="118">
        <v>0</v>
      </c>
      <c r="N377" s="118">
        <v>0</v>
      </c>
      <c r="O377" s="118">
        <v>0</v>
      </c>
      <c r="P377" s="118">
        <v>0</v>
      </c>
      <c r="Q377" s="118">
        <v>0</v>
      </c>
      <c r="R377" s="118">
        <f t="shared" si="70"/>
        <v>0</v>
      </c>
      <c r="S377" s="612"/>
      <c r="T377" s="130">
        <v>0</v>
      </c>
      <c r="U377" s="118">
        <v>0</v>
      </c>
      <c r="V377" s="118">
        <v>0</v>
      </c>
      <c r="W377" s="118">
        <f t="shared" si="71"/>
        <v>0</v>
      </c>
    </row>
    <row r="378" spans="2:23" x14ac:dyDescent="0.2">
      <c r="B378" s="130" t="s">
        <v>907</v>
      </c>
      <c r="C378" s="118">
        <v>0</v>
      </c>
      <c r="D378" s="118">
        <v>0</v>
      </c>
      <c r="E378" s="118">
        <v>0</v>
      </c>
      <c r="F378" s="118">
        <v>0</v>
      </c>
      <c r="G378" s="118">
        <v>0</v>
      </c>
      <c r="H378" s="118">
        <v>0</v>
      </c>
      <c r="I378" s="118">
        <v>0</v>
      </c>
      <c r="J378" s="118" t="s">
        <v>47</v>
      </c>
      <c r="K378" s="118">
        <v>0</v>
      </c>
      <c r="L378" s="118">
        <v>0</v>
      </c>
      <c r="M378" s="118">
        <v>0</v>
      </c>
      <c r="N378" s="118">
        <v>0</v>
      </c>
      <c r="O378" s="118">
        <v>0</v>
      </c>
      <c r="P378" s="118">
        <v>0</v>
      </c>
      <c r="Q378" s="118">
        <v>0</v>
      </c>
      <c r="R378" s="118">
        <f t="shared" si="70"/>
        <v>0</v>
      </c>
      <c r="S378" s="612"/>
      <c r="T378" s="130" t="s">
        <v>907</v>
      </c>
      <c r="U378" s="118">
        <v>0</v>
      </c>
      <c r="V378" s="118">
        <v>0</v>
      </c>
      <c r="W378" s="118">
        <f t="shared" si="71"/>
        <v>0</v>
      </c>
    </row>
    <row r="379" spans="2:23" x14ac:dyDescent="0.2">
      <c r="B379" s="130" t="s">
        <v>175</v>
      </c>
      <c r="C379" s="118">
        <v>0</v>
      </c>
      <c r="D379" s="118">
        <v>1</v>
      </c>
      <c r="E379" s="118">
        <v>0</v>
      </c>
      <c r="F379" s="118">
        <v>0</v>
      </c>
      <c r="G379" s="118">
        <v>0</v>
      </c>
      <c r="H379" s="118">
        <v>-6500</v>
      </c>
      <c r="I379" s="118">
        <v>0</v>
      </c>
      <c r="J379" s="118">
        <v>0</v>
      </c>
      <c r="K379" s="118">
        <v>0</v>
      </c>
      <c r="L379" s="118">
        <v>0</v>
      </c>
      <c r="M379" s="118">
        <v>0</v>
      </c>
      <c r="N379" s="118">
        <v>0</v>
      </c>
      <c r="O379" s="118">
        <v>0</v>
      </c>
      <c r="P379" s="118">
        <v>0</v>
      </c>
      <c r="Q379" s="118">
        <v>0</v>
      </c>
      <c r="R379" s="118">
        <f t="shared" si="70"/>
        <v>-6499</v>
      </c>
      <c r="S379" s="612"/>
      <c r="T379" s="130" t="s">
        <v>175</v>
      </c>
      <c r="U379" s="118">
        <v>-6500</v>
      </c>
      <c r="V379" s="118">
        <v>0</v>
      </c>
      <c r="W379" s="118">
        <f t="shared" si="71"/>
        <v>-6500</v>
      </c>
    </row>
    <row r="380" spans="2:23" x14ac:dyDescent="0.2">
      <c r="B380" s="130" t="s">
        <v>858</v>
      </c>
      <c r="C380" s="118">
        <v>0</v>
      </c>
      <c r="D380" s="118">
        <v>0</v>
      </c>
      <c r="E380" s="118">
        <v>0</v>
      </c>
      <c r="F380" s="118">
        <v>0</v>
      </c>
      <c r="G380" s="118">
        <v>0</v>
      </c>
      <c r="H380" s="118">
        <v>0</v>
      </c>
      <c r="I380" s="118">
        <v>0</v>
      </c>
      <c r="J380" s="118" t="s">
        <v>47</v>
      </c>
      <c r="K380" s="118">
        <v>0</v>
      </c>
      <c r="L380" s="118">
        <v>0</v>
      </c>
      <c r="M380" s="118">
        <v>0</v>
      </c>
      <c r="N380" s="118">
        <v>0</v>
      </c>
      <c r="O380" s="118">
        <v>0</v>
      </c>
      <c r="P380" s="118">
        <v>0</v>
      </c>
      <c r="Q380" s="118">
        <v>0</v>
      </c>
      <c r="R380" s="118">
        <f t="shared" si="70"/>
        <v>0</v>
      </c>
      <c r="S380" s="612"/>
      <c r="T380" s="130" t="s">
        <v>858</v>
      </c>
      <c r="U380" s="118">
        <v>0</v>
      </c>
      <c r="V380" s="118">
        <v>0</v>
      </c>
      <c r="W380" s="118">
        <f t="shared" si="71"/>
        <v>0</v>
      </c>
    </row>
    <row r="381" spans="2:23" x14ac:dyDescent="0.2">
      <c r="B381" s="130" t="s">
        <v>256</v>
      </c>
      <c r="C381" s="118">
        <v>0</v>
      </c>
      <c r="D381" s="118">
        <v>0</v>
      </c>
      <c r="E381" s="118">
        <v>0</v>
      </c>
      <c r="F381" s="118">
        <v>0</v>
      </c>
      <c r="G381" s="118">
        <v>0</v>
      </c>
      <c r="H381" s="118">
        <v>0</v>
      </c>
      <c r="I381" s="118">
        <v>0</v>
      </c>
      <c r="J381" s="118" t="s">
        <v>47</v>
      </c>
      <c r="K381" s="118">
        <v>0</v>
      </c>
      <c r="L381" s="118">
        <v>0</v>
      </c>
      <c r="M381" s="118">
        <v>0</v>
      </c>
      <c r="N381" s="118">
        <v>0</v>
      </c>
      <c r="O381" s="118">
        <v>0</v>
      </c>
      <c r="P381" s="118">
        <v>0</v>
      </c>
      <c r="Q381" s="118">
        <v>0</v>
      </c>
      <c r="R381" s="118">
        <f t="shared" si="70"/>
        <v>0</v>
      </c>
      <c r="S381" s="612"/>
      <c r="T381" s="130" t="s">
        <v>256</v>
      </c>
      <c r="U381" s="118">
        <v>0</v>
      </c>
      <c r="V381" s="118">
        <v>0</v>
      </c>
      <c r="W381" s="118">
        <f t="shared" si="71"/>
        <v>0</v>
      </c>
    </row>
    <row r="382" spans="2:23" x14ac:dyDescent="0.2">
      <c r="B382" s="127" t="s">
        <v>1370</v>
      </c>
      <c r="C382" s="120">
        <f>SUM(C370:C381)</f>
        <v>79149</v>
      </c>
      <c r="D382" s="120">
        <f t="shared" ref="D382:J382" si="72">SUM(D370:D381)</f>
        <v>33799</v>
      </c>
      <c r="E382" s="120">
        <f t="shared" si="72"/>
        <v>134911</v>
      </c>
      <c r="F382" s="120">
        <f t="shared" si="72"/>
        <v>15801</v>
      </c>
      <c r="G382" s="120">
        <f t="shared" si="72"/>
        <v>0</v>
      </c>
      <c r="H382" s="120">
        <f t="shared" si="72"/>
        <v>46345</v>
      </c>
      <c r="I382" s="120">
        <f t="shared" si="72"/>
        <v>0</v>
      </c>
      <c r="J382" s="120">
        <f t="shared" si="72"/>
        <v>11863</v>
      </c>
      <c r="K382" s="120">
        <f>SUM(K347:K381)</f>
        <v>0</v>
      </c>
      <c r="L382" s="120" t="s">
        <v>47</v>
      </c>
      <c r="M382" s="120">
        <v>0</v>
      </c>
      <c r="N382" s="120">
        <f>SUM(N347:N381)</f>
        <v>0</v>
      </c>
      <c r="O382" s="120">
        <f>SUM(O347:O381)</f>
        <v>0</v>
      </c>
      <c r="P382" s="120">
        <f>SUM(P347:P381)</f>
        <v>0</v>
      </c>
      <c r="Q382" s="120">
        <f>SUM(Q347:Q381)</f>
        <v>0</v>
      </c>
      <c r="R382" s="120">
        <f>+SUM(C382:Q382)</f>
        <v>321868</v>
      </c>
      <c r="S382" s="612"/>
      <c r="T382" s="127" t="s">
        <v>1370</v>
      </c>
      <c r="U382" s="120">
        <f>SUM(U370:U381)</f>
        <v>46344</v>
      </c>
      <c r="V382" s="120">
        <f t="shared" ref="V382:W382" si="73">SUM(V370:V381)</f>
        <v>15112</v>
      </c>
      <c r="W382" s="120">
        <f t="shared" si="73"/>
        <v>61456</v>
      </c>
    </row>
    <row r="383" spans="2:23" x14ac:dyDescent="0.2">
      <c r="K383"/>
      <c r="L383"/>
      <c r="M383"/>
      <c r="N383"/>
      <c r="O383"/>
      <c r="P383"/>
      <c r="Q383"/>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34">
    <pageSetUpPr autoPageBreaks="0"/>
  </sheetPr>
  <dimension ref="A1:J389"/>
  <sheetViews>
    <sheetView showGridLines="0" zoomScale="92" workbookViewId="0">
      <pane ySplit="5" topLeftCell="A6" activePane="bottomLeft" state="frozen"/>
      <selection activeCell="EF37" sqref="EF37"/>
      <selection pane="bottomLeft" activeCell="E2" sqref="E2"/>
    </sheetView>
  </sheetViews>
  <sheetFormatPr defaultRowHeight="12.75" outlineLevelCol="1" x14ac:dyDescent="0.2"/>
  <cols>
    <col min="1" max="1" width="1.42578125" customWidth="1"/>
    <col min="2" max="2" width="21.42578125" customWidth="1"/>
    <col min="3" max="6" width="10.7109375" customWidth="1"/>
    <col min="7" max="8" width="10.7109375" customWidth="1" outlineLevel="1"/>
    <col min="9" max="9" width="10.7109375" customWidth="1"/>
    <col min="10" max="10" width="10.28515625" bestFit="1" customWidth="1"/>
    <col min="11" max="11" width="11.28515625" bestFit="1" customWidth="1"/>
    <col min="13" max="13" width="10.28515625" bestFit="1" customWidth="1"/>
  </cols>
  <sheetData>
    <row r="1" spans="1:9" ht="7.5" customHeight="1" x14ac:dyDescent="0.2"/>
    <row r="2" spans="1:9" ht="12.75" customHeight="1" x14ac:dyDescent="0.2"/>
    <row r="3" spans="1:9" ht="12.75" customHeight="1" x14ac:dyDescent="0.2"/>
    <row r="4" spans="1:9" ht="12.75" customHeight="1" x14ac:dyDescent="0.2"/>
    <row r="5" spans="1:9" ht="38.25" x14ac:dyDescent="0.2">
      <c r="B5" s="142" t="s">
        <v>26</v>
      </c>
      <c r="C5" s="140" t="s">
        <v>165</v>
      </c>
      <c r="D5" s="140" t="s">
        <v>1292</v>
      </c>
      <c r="E5" s="140" t="s">
        <v>233</v>
      </c>
      <c r="F5" s="140" t="s">
        <v>1559</v>
      </c>
      <c r="G5" s="140" t="s">
        <v>1560</v>
      </c>
      <c r="H5" s="140" t="s">
        <v>1561</v>
      </c>
      <c r="I5" s="140" t="s">
        <v>1562</v>
      </c>
    </row>
    <row r="6" spans="1:9" x14ac:dyDescent="0.2">
      <c r="B6" s="130" t="s">
        <v>59</v>
      </c>
      <c r="C6" s="118">
        <v>116601</v>
      </c>
      <c r="D6" s="118">
        <v>43815</v>
      </c>
      <c r="E6" s="118">
        <v>72786</v>
      </c>
      <c r="F6" s="118">
        <v>115261</v>
      </c>
      <c r="G6" s="118">
        <v>18577</v>
      </c>
      <c r="H6" s="118">
        <v>10047</v>
      </c>
      <c r="I6" s="118">
        <v>7215</v>
      </c>
    </row>
    <row r="7" spans="1:9" x14ac:dyDescent="0.2">
      <c r="B7" s="130" t="s">
        <v>148</v>
      </c>
      <c r="C7" s="118">
        <v>39462</v>
      </c>
      <c r="D7" s="118">
        <v>5663</v>
      </c>
      <c r="E7" s="118">
        <v>33799</v>
      </c>
      <c r="F7" s="118">
        <v>54905</v>
      </c>
      <c r="G7" s="118">
        <v>11067</v>
      </c>
      <c r="H7" s="118">
        <v>7811</v>
      </c>
      <c r="I7" s="118">
        <v>5506</v>
      </c>
    </row>
    <row r="8" spans="1:9" x14ac:dyDescent="0.2">
      <c r="B8" s="130" t="s">
        <v>61</v>
      </c>
      <c r="C8" s="118">
        <v>135206</v>
      </c>
      <c r="D8" s="118">
        <v>295</v>
      </c>
      <c r="E8" s="118">
        <v>134911</v>
      </c>
      <c r="F8" s="118">
        <v>6574</v>
      </c>
      <c r="G8" s="118">
        <v>3410</v>
      </c>
      <c r="H8" s="118">
        <v>3225</v>
      </c>
      <c r="I8" s="118">
        <v>3506</v>
      </c>
    </row>
    <row r="9" spans="1:9" x14ac:dyDescent="0.2">
      <c r="B9" s="130" t="s">
        <v>781</v>
      </c>
      <c r="C9" s="118">
        <v>15802</v>
      </c>
      <c r="D9" s="118">
        <v>1</v>
      </c>
      <c r="E9" s="118">
        <v>15801</v>
      </c>
      <c r="F9" s="118">
        <v>0</v>
      </c>
      <c r="G9" s="118">
        <v>-1</v>
      </c>
      <c r="H9" s="118">
        <v>-8</v>
      </c>
      <c r="I9" s="118">
        <v>-1032</v>
      </c>
    </row>
    <row r="10" spans="1:9" x14ac:dyDescent="0.2">
      <c r="B10" s="130" t="s">
        <v>63</v>
      </c>
      <c r="C10" s="118" t="s">
        <v>47</v>
      </c>
      <c r="D10" s="118" t="s">
        <v>47</v>
      </c>
      <c r="E10" s="118" t="s">
        <v>47</v>
      </c>
      <c r="F10" s="118">
        <v>32712</v>
      </c>
      <c r="G10" s="118">
        <v>4664</v>
      </c>
      <c r="H10" s="118">
        <v>3571</v>
      </c>
      <c r="I10" s="118">
        <v>5025</v>
      </c>
    </row>
    <row r="11" spans="1:9" x14ac:dyDescent="0.2">
      <c r="B11" s="130" t="s">
        <v>1352</v>
      </c>
      <c r="C11" s="118">
        <v>17240</v>
      </c>
      <c r="D11" s="118">
        <v>5377</v>
      </c>
      <c r="E11" s="118">
        <v>11863</v>
      </c>
      <c r="F11" s="118">
        <v>42747</v>
      </c>
      <c r="G11" s="118">
        <v>13733</v>
      </c>
      <c r="H11" s="118">
        <v>7161</v>
      </c>
      <c r="I11" s="118">
        <v>4984</v>
      </c>
    </row>
    <row r="12" spans="1:9" x14ac:dyDescent="0.2">
      <c r="B12" s="127" t="s">
        <v>1374</v>
      </c>
      <c r="C12" s="120">
        <f t="shared" ref="C12:I12" si="0">SUM(C6:C11)</f>
        <v>324311</v>
      </c>
      <c r="D12" s="120">
        <f t="shared" si="0"/>
        <v>55151</v>
      </c>
      <c r="E12" s="120">
        <f t="shared" si="0"/>
        <v>269160</v>
      </c>
      <c r="F12" s="120">
        <f t="shared" si="0"/>
        <v>252199</v>
      </c>
      <c r="G12" s="120">
        <f t="shared" si="0"/>
        <v>51450</v>
      </c>
      <c r="H12" s="120">
        <f t="shared" si="0"/>
        <v>31807</v>
      </c>
      <c r="I12" s="120">
        <f t="shared" si="0"/>
        <v>25204</v>
      </c>
    </row>
    <row r="13" spans="1:9" x14ac:dyDescent="0.2">
      <c r="A13" s="28"/>
      <c r="B13" s="1201" t="s">
        <v>1353</v>
      </c>
      <c r="C13" s="184"/>
      <c r="D13" s="184"/>
      <c r="E13" s="184"/>
      <c r="F13" s="184"/>
      <c r="G13" s="184"/>
      <c r="H13" s="184"/>
      <c r="I13" s="184"/>
    </row>
    <row r="14" spans="1:9" x14ac:dyDescent="0.2">
      <c r="B14" s="130" t="s">
        <v>59</v>
      </c>
      <c r="C14" s="118">
        <v>121288</v>
      </c>
      <c r="D14" s="118">
        <v>49515</v>
      </c>
      <c r="E14" s="118">
        <v>71773</v>
      </c>
      <c r="F14" s="118">
        <v>88783</v>
      </c>
      <c r="G14" s="118">
        <v>14744</v>
      </c>
      <c r="H14" s="118">
        <v>8783</v>
      </c>
      <c r="I14" s="118">
        <v>6204</v>
      </c>
    </row>
    <row r="15" spans="1:9" x14ac:dyDescent="0.2">
      <c r="B15" s="130" t="s">
        <v>148</v>
      </c>
      <c r="C15" s="118">
        <v>38539</v>
      </c>
      <c r="D15" s="118">
        <v>5799</v>
      </c>
      <c r="E15" s="118">
        <v>32740</v>
      </c>
      <c r="F15" s="118">
        <v>40365</v>
      </c>
      <c r="G15" s="118">
        <v>8745</v>
      </c>
      <c r="H15" s="118">
        <v>6374</v>
      </c>
      <c r="I15" s="118">
        <v>4447</v>
      </c>
    </row>
    <row r="16" spans="1:9" x14ac:dyDescent="0.2">
      <c r="B16" s="130" t="s">
        <v>61</v>
      </c>
      <c r="C16" s="118">
        <v>134339</v>
      </c>
      <c r="D16" s="118">
        <v>338</v>
      </c>
      <c r="E16" s="118">
        <v>134001</v>
      </c>
      <c r="F16" s="118">
        <v>4909</v>
      </c>
      <c r="G16" s="118">
        <v>2534</v>
      </c>
      <c r="H16" s="118">
        <v>2403</v>
      </c>
      <c r="I16" s="118">
        <v>2596</v>
      </c>
    </row>
    <row r="17" spans="1:9" x14ac:dyDescent="0.2">
      <c r="B17" s="130" t="s">
        <v>781</v>
      </c>
      <c r="C17" s="118">
        <v>16178</v>
      </c>
      <c r="D17" s="118">
        <v>0</v>
      </c>
      <c r="E17" s="118">
        <v>16178</v>
      </c>
      <c r="F17" s="118">
        <v>0</v>
      </c>
      <c r="G17" s="118">
        <v>-1</v>
      </c>
      <c r="H17" s="118">
        <v>-7</v>
      </c>
      <c r="I17" s="118">
        <v>-654</v>
      </c>
    </row>
    <row r="18" spans="1:9" x14ac:dyDescent="0.2">
      <c r="B18" s="130" t="s">
        <v>63</v>
      </c>
      <c r="C18" s="118" t="s">
        <v>47</v>
      </c>
      <c r="D18" s="118" t="s">
        <v>47</v>
      </c>
      <c r="E18" s="118" t="s">
        <v>47</v>
      </c>
      <c r="F18" s="118">
        <v>32712</v>
      </c>
      <c r="G18" s="118">
        <v>4664</v>
      </c>
      <c r="H18" s="118">
        <v>3571</v>
      </c>
      <c r="I18" s="118">
        <v>5025</v>
      </c>
    </row>
    <row r="19" spans="1:9" x14ac:dyDescent="0.2">
      <c r="B19" s="130" t="s">
        <v>1352</v>
      </c>
      <c r="C19" s="118">
        <v>18547</v>
      </c>
      <c r="D19" s="118">
        <v>6199</v>
      </c>
      <c r="E19" s="118">
        <v>12348</v>
      </c>
      <c r="F19" s="118">
        <v>33137</v>
      </c>
      <c r="G19" s="118">
        <v>10759</v>
      </c>
      <c r="H19" s="118">
        <v>6047</v>
      </c>
      <c r="I19" s="118">
        <v>4239</v>
      </c>
    </row>
    <row r="20" spans="1:9" x14ac:dyDescent="0.2">
      <c r="B20" s="127" t="s">
        <v>1358</v>
      </c>
      <c r="C20" s="120">
        <f t="shared" ref="C20:I20" si="1">SUM(C14:C19)</f>
        <v>328891</v>
      </c>
      <c r="D20" s="120">
        <f t="shared" si="1"/>
        <v>61851</v>
      </c>
      <c r="E20" s="120">
        <f t="shared" si="1"/>
        <v>267040</v>
      </c>
      <c r="F20" s="120">
        <f t="shared" si="1"/>
        <v>199906</v>
      </c>
      <c r="G20" s="120">
        <f t="shared" si="1"/>
        <v>41445</v>
      </c>
      <c r="H20" s="120">
        <f t="shared" si="1"/>
        <v>27171</v>
      </c>
      <c r="I20" s="120">
        <f t="shared" si="1"/>
        <v>21857</v>
      </c>
    </row>
    <row r="21" spans="1:9" x14ac:dyDescent="0.2">
      <c r="A21" s="28"/>
      <c r="B21" s="1201" t="s">
        <v>1353</v>
      </c>
      <c r="C21" s="184"/>
      <c r="D21" s="184"/>
      <c r="E21" s="184"/>
      <c r="F21" s="184"/>
      <c r="G21" s="184"/>
      <c r="H21" s="184"/>
      <c r="I21" s="184"/>
    </row>
    <row r="22" spans="1:9" x14ac:dyDescent="0.2">
      <c r="B22" s="130" t="s">
        <v>59</v>
      </c>
      <c r="C22" s="118">
        <v>124705</v>
      </c>
      <c r="D22" s="118">
        <v>54545</v>
      </c>
      <c r="E22" s="118">
        <v>70160</v>
      </c>
      <c r="F22" s="118">
        <v>61036</v>
      </c>
      <c r="G22" s="118">
        <v>10019</v>
      </c>
      <c r="H22" s="118">
        <v>6433</v>
      </c>
      <c r="I22" s="118">
        <v>4590</v>
      </c>
    </row>
    <row r="23" spans="1:9" x14ac:dyDescent="0.2">
      <c r="B23" s="130" t="s">
        <v>148</v>
      </c>
      <c r="C23" s="118">
        <v>38166</v>
      </c>
      <c r="D23" s="118">
        <v>6709</v>
      </c>
      <c r="E23" s="118">
        <v>31457</v>
      </c>
      <c r="F23" s="118">
        <v>26290</v>
      </c>
      <c r="G23" s="118">
        <v>6071</v>
      </c>
      <c r="H23" s="118">
        <v>4544</v>
      </c>
      <c r="I23" s="118">
        <v>3164</v>
      </c>
    </row>
    <row r="24" spans="1:9" x14ac:dyDescent="0.2">
      <c r="B24" s="130" t="s">
        <v>61</v>
      </c>
      <c r="C24" s="118">
        <v>133382</v>
      </c>
      <c r="D24" s="118">
        <v>248</v>
      </c>
      <c r="E24" s="118">
        <v>133134</v>
      </c>
      <c r="F24" s="118">
        <v>3259</v>
      </c>
      <c r="G24" s="118">
        <v>1676</v>
      </c>
      <c r="H24" s="118">
        <v>1593</v>
      </c>
      <c r="I24" s="118">
        <v>1728</v>
      </c>
    </row>
    <row r="25" spans="1:9" x14ac:dyDescent="0.2">
      <c r="B25" s="130" t="s">
        <v>781</v>
      </c>
      <c r="C25" s="118">
        <v>6576</v>
      </c>
      <c r="D25" s="118">
        <v>4</v>
      </c>
      <c r="E25" s="118">
        <v>6572</v>
      </c>
      <c r="F25" s="118">
        <v>0</v>
      </c>
      <c r="G25" s="118">
        <v>-1</v>
      </c>
      <c r="H25" s="118">
        <v>-6</v>
      </c>
      <c r="I25" s="118">
        <v>-260</v>
      </c>
    </row>
    <row r="26" spans="1:9" x14ac:dyDescent="0.2">
      <c r="B26" s="130" t="s">
        <v>63</v>
      </c>
      <c r="C26" s="118" t="s">
        <v>47</v>
      </c>
      <c r="D26" s="118" t="s">
        <v>47</v>
      </c>
      <c r="E26" s="118" t="s">
        <v>47</v>
      </c>
      <c r="F26" s="118">
        <v>32712</v>
      </c>
      <c r="G26" s="118">
        <v>4664</v>
      </c>
      <c r="H26" s="118">
        <v>3571</v>
      </c>
      <c r="I26" s="118">
        <v>5025</v>
      </c>
    </row>
    <row r="27" spans="1:9" x14ac:dyDescent="0.2">
      <c r="B27" s="130" t="s">
        <v>1352</v>
      </c>
      <c r="C27" s="118">
        <v>17521</v>
      </c>
      <c r="D27" s="118">
        <v>6485</v>
      </c>
      <c r="E27" s="118">
        <v>11036</v>
      </c>
      <c r="F27" s="118">
        <v>21409</v>
      </c>
      <c r="G27" s="118">
        <v>6964</v>
      </c>
      <c r="H27" s="118">
        <v>4181</v>
      </c>
      <c r="I27" s="118">
        <v>2928</v>
      </c>
    </row>
    <row r="28" spans="1:9" x14ac:dyDescent="0.2">
      <c r="B28" s="127" t="s">
        <v>1341</v>
      </c>
      <c r="C28" s="120">
        <f t="shared" ref="C28:I28" si="2">SUM(C22:C27)</f>
        <v>320350</v>
      </c>
      <c r="D28" s="120">
        <f t="shared" si="2"/>
        <v>67991</v>
      </c>
      <c r="E28" s="120">
        <f t="shared" si="2"/>
        <v>252359</v>
      </c>
      <c r="F28" s="120">
        <f t="shared" si="2"/>
        <v>144706</v>
      </c>
      <c r="G28" s="120">
        <f t="shared" si="2"/>
        <v>29393</v>
      </c>
      <c r="H28" s="120">
        <f t="shared" si="2"/>
        <v>20316</v>
      </c>
      <c r="I28" s="120">
        <f t="shared" si="2"/>
        <v>17175</v>
      </c>
    </row>
    <row r="29" spans="1:9" x14ac:dyDescent="0.2">
      <c r="A29" s="28"/>
      <c r="B29" s="1201" t="s">
        <v>1353</v>
      </c>
      <c r="C29" s="184"/>
      <c r="D29" s="184"/>
      <c r="E29" s="184"/>
      <c r="F29" s="184"/>
      <c r="G29" s="184"/>
      <c r="H29" s="184"/>
      <c r="I29" s="184"/>
    </row>
    <row r="30" spans="1:9" x14ac:dyDescent="0.2">
      <c r="B30" s="130" t="s">
        <v>59</v>
      </c>
      <c r="C30" s="118">
        <v>121485</v>
      </c>
      <c r="D30" s="118">
        <v>44509</v>
      </c>
      <c r="E30" s="118">
        <v>76976</v>
      </c>
      <c r="F30" s="118">
        <v>28913</v>
      </c>
      <c r="G30" s="118">
        <v>3365</v>
      </c>
      <c r="H30" s="118">
        <v>2140</v>
      </c>
      <c r="I30" s="118">
        <v>1577</v>
      </c>
    </row>
    <row r="31" spans="1:9" x14ac:dyDescent="0.2">
      <c r="B31" s="130" t="s">
        <v>63</v>
      </c>
      <c r="C31" s="118">
        <v>74306</v>
      </c>
      <c r="D31" s="118">
        <v>9247</v>
      </c>
      <c r="E31" s="118">
        <v>1417</v>
      </c>
      <c r="F31" s="118">
        <v>23712</v>
      </c>
      <c r="G31" s="118">
        <v>3365</v>
      </c>
      <c r="H31" s="118">
        <v>2519</v>
      </c>
      <c r="I31" s="118">
        <v>3688</v>
      </c>
    </row>
    <row r="32" spans="1:9" x14ac:dyDescent="0.2">
      <c r="B32" s="130" t="s">
        <v>148</v>
      </c>
      <c r="C32" s="118">
        <v>36974</v>
      </c>
      <c r="D32" s="118">
        <v>5003</v>
      </c>
      <c r="E32" s="118">
        <v>31971</v>
      </c>
      <c r="F32" s="118">
        <v>12746</v>
      </c>
      <c r="G32" s="118">
        <f>SUM(F32:F32)</f>
        <v>12746</v>
      </c>
      <c r="H32" s="118">
        <v>2675</v>
      </c>
      <c r="I32" s="118">
        <v>1856</v>
      </c>
    </row>
    <row r="33" spans="1:9" x14ac:dyDescent="0.2">
      <c r="B33" s="130" t="s">
        <v>61</v>
      </c>
      <c r="C33" s="118">
        <v>135717</v>
      </c>
      <c r="D33" s="118">
        <v>266</v>
      </c>
      <c r="E33" s="118">
        <v>135451</v>
      </c>
      <c r="F33" s="118">
        <v>1620</v>
      </c>
      <c r="G33" s="118">
        <f>SUM(F33:F33)</f>
        <v>1620</v>
      </c>
      <c r="H33" s="118">
        <v>786</v>
      </c>
      <c r="I33" s="118">
        <v>846</v>
      </c>
    </row>
    <row r="34" spans="1:9" x14ac:dyDescent="0.2">
      <c r="B34" s="130" t="s">
        <v>64</v>
      </c>
      <c r="C34" s="118">
        <v>1515</v>
      </c>
      <c r="D34" s="118">
        <v>98</v>
      </c>
      <c r="E34" s="118">
        <v>1417</v>
      </c>
      <c r="F34" s="118">
        <v>0</v>
      </c>
      <c r="G34" s="118">
        <f>SUM(F34:F34)</f>
        <v>0</v>
      </c>
      <c r="H34" s="118">
        <v>-15</v>
      </c>
      <c r="I34" s="118">
        <v>-3</v>
      </c>
    </row>
    <row r="35" spans="1:9" x14ac:dyDescent="0.2">
      <c r="B35" s="130" t="s">
        <v>870</v>
      </c>
      <c r="C35" s="118">
        <v>1</v>
      </c>
      <c r="D35" s="118">
        <v>0</v>
      </c>
      <c r="E35" s="118">
        <v>1</v>
      </c>
      <c r="F35" s="118">
        <v>0</v>
      </c>
      <c r="G35" s="118">
        <f>SUM(F35:F35)</f>
        <v>0</v>
      </c>
      <c r="H35" s="118" t="s">
        <v>47</v>
      </c>
      <c r="I35" s="118" t="s">
        <v>47</v>
      </c>
    </row>
    <row r="36" spans="1:9" x14ac:dyDescent="0.2">
      <c r="B36" s="130" t="s">
        <v>781</v>
      </c>
      <c r="C36" s="118">
        <v>6805</v>
      </c>
      <c r="D36" s="118">
        <v>2</v>
      </c>
      <c r="E36" s="118">
        <v>6803</v>
      </c>
      <c r="F36" s="118">
        <v>0</v>
      </c>
      <c r="G36" s="118">
        <v>-1</v>
      </c>
      <c r="H36" s="118">
        <v>-1</v>
      </c>
      <c r="I36" s="118">
        <v>-29</v>
      </c>
    </row>
    <row r="37" spans="1:9" x14ac:dyDescent="0.2">
      <c r="B37" s="127" t="s">
        <v>1329</v>
      </c>
      <c r="C37" s="120">
        <f t="shared" ref="C37:I37" si="3">SUM(C30:C36)</f>
        <v>376803</v>
      </c>
      <c r="D37" s="120">
        <f t="shared" si="3"/>
        <v>59125</v>
      </c>
      <c r="E37" s="120">
        <f t="shared" si="3"/>
        <v>254036</v>
      </c>
      <c r="F37" s="120">
        <f t="shared" si="3"/>
        <v>66991</v>
      </c>
      <c r="G37" s="120">
        <f t="shared" si="3"/>
        <v>21095</v>
      </c>
      <c r="H37" s="120">
        <f t="shared" si="3"/>
        <v>8104</v>
      </c>
      <c r="I37" s="120">
        <f t="shared" si="3"/>
        <v>7935</v>
      </c>
    </row>
    <row r="38" spans="1:9" x14ac:dyDescent="0.2">
      <c r="A38" s="28"/>
      <c r="B38" s="183"/>
      <c r="C38" s="184"/>
      <c r="D38" s="184"/>
      <c r="E38" s="184"/>
      <c r="F38" s="184"/>
      <c r="G38" s="184"/>
      <c r="H38" s="184"/>
      <c r="I38" s="184"/>
    </row>
    <row r="39" spans="1:9" x14ac:dyDescent="0.2">
      <c r="B39" s="130" t="s">
        <v>59</v>
      </c>
      <c r="C39" s="118">
        <v>118091</v>
      </c>
      <c r="D39" s="118">
        <v>42692</v>
      </c>
      <c r="E39" s="118">
        <v>75399</v>
      </c>
      <c r="F39" s="118">
        <v>102257</v>
      </c>
      <c r="G39" s="118">
        <v>18557</v>
      </c>
      <c r="H39" s="118">
        <v>16727</v>
      </c>
      <c r="I39" s="118">
        <v>12168</v>
      </c>
    </row>
    <row r="40" spans="1:9" x14ac:dyDescent="0.2">
      <c r="B40" s="130" t="s">
        <v>63</v>
      </c>
      <c r="C40" s="118">
        <v>74272</v>
      </c>
      <c r="D40" s="118">
        <v>12901</v>
      </c>
      <c r="E40" s="118">
        <v>61371</v>
      </c>
      <c r="F40" s="118">
        <v>103173</v>
      </c>
      <c r="G40" s="118">
        <v>12119</v>
      </c>
      <c r="H40" s="118">
        <v>15681</v>
      </c>
      <c r="I40" s="118">
        <v>16681</v>
      </c>
    </row>
    <row r="41" spans="1:9" x14ac:dyDescent="0.2">
      <c r="B41" s="130" t="s">
        <v>148</v>
      </c>
      <c r="C41" s="118">
        <v>27679</v>
      </c>
      <c r="D41" s="118">
        <v>2602</v>
      </c>
      <c r="E41" s="118">
        <v>25078</v>
      </c>
      <c r="F41" s="118">
        <v>34235</v>
      </c>
      <c r="G41" s="118">
        <v>9767</v>
      </c>
      <c r="H41" s="118">
        <v>9500</v>
      </c>
      <c r="I41" s="118">
        <v>6642</v>
      </c>
    </row>
    <row r="42" spans="1:9" x14ac:dyDescent="0.2">
      <c r="B42" s="130" t="s">
        <v>61</v>
      </c>
      <c r="C42" s="118">
        <v>134872</v>
      </c>
      <c r="D42" s="118">
        <v>267</v>
      </c>
      <c r="E42" s="118">
        <v>134605</v>
      </c>
      <c r="F42" s="118">
        <v>6532</v>
      </c>
      <c r="G42" s="118">
        <v>3545</v>
      </c>
      <c r="H42" s="118">
        <v>3205</v>
      </c>
      <c r="I42" s="118">
        <v>3368</v>
      </c>
    </row>
    <row r="43" spans="1:9" x14ac:dyDescent="0.2">
      <c r="B43" s="130" t="s">
        <v>64</v>
      </c>
      <c r="C43" s="118">
        <v>1516</v>
      </c>
      <c r="D43" s="118">
        <v>101</v>
      </c>
      <c r="E43" s="118">
        <v>1415</v>
      </c>
      <c r="F43" s="118">
        <v>0</v>
      </c>
      <c r="G43" s="118" t="s">
        <v>47</v>
      </c>
      <c r="H43" s="118">
        <v>-7</v>
      </c>
      <c r="I43" s="118">
        <v>72</v>
      </c>
    </row>
    <row r="44" spans="1:9" x14ac:dyDescent="0.2">
      <c r="B44" s="130" t="s">
        <v>870</v>
      </c>
      <c r="C44" s="118">
        <v>1</v>
      </c>
      <c r="D44" s="118">
        <v>0</v>
      </c>
      <c r="E44" s="118">
        <v>1</v>
      </c>
      <c r="F44" s="118">
        <v>0</v>
      </c>
      <c r="G44" s="118" t="s">
        <v>47</v>
      </c>
      <c r="H44" s="118" t="s">
        <v>47</v>
      </c>
      <c r="I44" s="118" t="s">
        <v>47</v>
      </c>
    </row>
    <row r="45" spans="1:9" x14ac:dyDescent="0.2">
      <c r="B45" s="130" t="s">
        <v>117</v>
      </c>
      <c r="C45" s="118">
        <v>0</v>
      </c>
      <c r="D45" s="118">
        <v>0</v>
      </c>
      <c r="E45" s="118">
        <v>0</v>
      </c>
      <c r="F45" s="118">
        <v>3041</v>
      </c>
      <c r="G45" s="118">
        <v>-60</v>
      </c>
      <c r="H45" s="118">
        <v>-61</v>
      </c>
      <c r="I45" s="118">
        <v>257</v>
      </c>
    </row>
    <row r="46" spans="1:9" x14ac:dyDescent="0.2">
      <c r="B46" s="130" t="s">
        <v>781</v>
      </c>
      <c r="C46" s="118">
        <v>6833</v>
      </c>
      <c r="D46" s="118">
        <v>0</v>
      </c>
      <c r="E46" s="118">
        <v>6833</v>
      </c>
      <c r="F46" s="118">
        <v>0</v>
      </c>
      <c r="G46" s="118">
        <v>-2</v>
      </c>
      <c r="H46" s="118">
        <v>-3</v>
      </c>
      <c r="I46" s="118">
        <v>-709</v>
      </c>
    </row>
    <row r="47" spans="1:9" x14ac:dyDescent="0.2">
      <c r="B47" s="127" t="s">
        <v>1310</v>
      </c>
      <c r="C47" s="120">
        <f t="shared" ref="C47:I47" si="4">SUM(C39:C46)</f>
        <v>363264</v>
      </c>
      <c r="D47" s="120">
        <f t="shared" si="4"/>
        <v>58563</v>
      </c>
      <c r="E47" s="120">
        <f t="shared" si="4"/>
        <v>304702</v>
      </c>
      <c r="F47" s="120">
        <f t="shared" si="4"/>
        <v>249238</v>
      </c>
      <c r="G47" s="120">
        <f t="shared" si="4"/>
        <v>43926</v>
      </c>
      <c r="H47" s="120">
        <f t="shared" si="4"/>
        <v>45042</v>
      </c>
      <c r="I47" s="120">
        <f t="shared" si="4"/>
        <v>38479</v>
      </c>
    </row>
    <row r="48" spans="1:9" x14ac:dyDescent="0.2">
      <c r="A48" s="28"/>
      <c r="B48" s="183"/>
      <c r="C48" s="184"/>
      <c r="D48" s="184"/>
      <c r="E48" s="184"/>
      <c r="F48" s="184"/>
      <c r="G48" s="184"/>
      <c r="H48" s="184"/>
      <c r="I48" s="184"/>
    </row>
    <row r="49" spans="1:10" x14ac:dyDescent="0.2">
      <c r="B49" s="130" t="s">
        <v>59</v>
      </c>
      <c r="C49" s="118">
        <v>111564</v>
      </c>
      <c r="D49" s="118">
        <v>38829</v>
      </c>
      <c r="E49" s="118">
        <v>72735</v>
      </c>
      <c r="F49" s="118">
        <v>75502</v>
      </c>
      <c r="G49" s="118" t="s">
        <v>47</v>
      </c>
      <c r="H49" s="118" t="s">
        <v>47</v>
      </c>
      <c r="I49" s="118" t="s">
        <v>47</v>
      </c>
    </row>
    <row r="50" spans="1:10" x14ac:dyDescent="0.2">
      <c r="B50" s="130" t="s">
        <v>63</v>
      </c>
      <c r="C50" s="118">
        <v>71122</v>
      </c>
      <c r="D50" s="118">
        <v>12723</v>
      </c>
      <c r="E50" s="118">
        <v>58399</v>
      </c>
      <c r="F50" s="118">
        <v>71974</v>
      </c>
      <c r="G50" s="118" t="s">
        <v>47</v>
      </c>
      <c r="H50" s="118" t="s">
        <v>47</v>
      </c>
      <c r="I50" s="118" t="s">
        <v>47</v>
      </c>
    </row>
    <row r="51" spans="1:10" x14ac:dyDescent="0.2">
      <c r="B51" s="130" t="s">
        <v>148</v>
      </c>
      <c r="C51" s="118">
        <v>25278</v>
      </c>
      <c r="D51" s="118">
        <v>4354</v>
      </c>
      <c r="E51" s="118">
        <v>20924</v>
      </c>
      <c r="F51" s="118">
        <v>25506</v>
      </c>
      <c r="G51" s="118" t="s">
        <v>47</v>
      </c>
      <c r="H51" s="118" t="s">
        <v>47</v>
      </c>
      <c r="I51" s="118" t="s">
        <v>47</v>
      </c>
    </row>
    <row r="52" spans="1:10" x14ac:dyDescent="0.2">
      <c r="B52" s="130" t="s">
        <v>61</v>
      </c>
      <c r="C52" s="118">
        <v>133921</v>
      </c>
      <c r="D52" s="118">
        <v>197</v>
      </c>
      <c r="E52" s="118">
        <v>133724</v>
      </c>
      <c r="F52" s="118">
        <v>4935</v>
      </c>
      <c r="G52" s="118" t="s">
        <v>47</v>
      </c>
      <c r="H52" s="118" t="s">
        <v>47</v>
      </c>
      <c r="I52" s="118" t="s">
        <v>47</v>
      </c>
    </row>
    <row r="53" spans="1:10" x14ac:dyDescent="0.2">
      <c r="B53" s="130" t="s">
        <v>64</v>
      </c>
      <c r="C53" s="118">
        <v>1499</v>
      </c>
      <c r="D53" s="118">
        <v>101</v>
      </c>
      <c r="E53" s="118">
        <v>1398</v>
      </c>
      <c r="F53" s="118">
        <v>0</v>
      </c>
      <c r="G53" s="118" t="s">
        <v>47</v>
      </c>
      <c r="H53" s="118" t="s">
        <v>47</v>
      </c>
      <c r="I53" s="118" t="s">
        <v>47</v>
      </c>
    </row>
    <row r="54" spans="1:10" x14ac:dyDescent="0.2">
      <c r="B54" s="130" t="s">
        <v>870</v>
      </c>
      <c r="C54" s="118">
        <v>1</v>
      </c>
      <c r="D54" s="118">
        <v>0</v>
      </c>
      <c r="E54" s="118">
        <v>1</v>
      </c>
      <c r="F54" s="118">
        <v>0</v>
      </c>
      <c r="G54" s="118" t="s">
        <v>47</v>
      </c>
      <c r="H54" s="118" t="s">
        <v>47</v>
      </c>
      <c r="I54" s="118" t="s">
        <v>47</v>
      </c>
    </row>
    <row r="55" spans="1:10" x14ac:dyDescent="0.2">
      <c r="B55" s="130" t="s">
        <v>117</v>
      </c>
      <c r="C55" s="118">
        <v>0</v>
      </c>
      <c r="D55" s="118">
        <v>0</v>
      </c>
      <c r="E55" s="118">
        <v>0</v>
      </c>
      <c r="F55" s="118">
        <v>3041</v>
      </c>
      <c r="G55" s="118" t="s">
        <v>47</v>
      </c>
      <c r="H55" s="118" t="s">
        <v>47</v>
      </c>
      <c r="I55" s="118" t="s">
        <v>47</v>
      </c>
    </row>
    <row r="56" spans="1:10" x14ac:dyDescent="0.2">
      <c r="B56" s="130" t="s">
        <v>781</v>
      </c>
      <c r="C56" s="118">
        <v>6888</v>
      </c>
      <c r="D56" s="118">
        <v>1</v>
      </c>
      <c r="E56" s="118">
        <v>6887</v>
      </c>
      <c r="F56" s="118">
        <v>0</v>
      </c>
      <c r="G56" s="118" t="s">
        <v>47</v>
      </c>
      <c r="H56" s="118" t="s">
        <v>47</v>
      </c>
      <c r="I56" s="118" t="s">
        <v>47</v>
      </c>
    </row>
    <row r="57" spans="1:10" x14ac:dyDescent="0.2">
      <c r="B57" s="127" t="s">
        <v>1285</v>
      </c>
      <c r="C57" s="120">
        <f t="shared" ref="C57:I57" si="5">SUM(C49:C56)</f>
        <v>350273</v>
      </c>
      <c r="D57" s="120">
        <f t="shared" si="5"/>
        <v>56205</v>
      </c>
      <c r="E57" s="120">
        <f t="shared" si="5"/>
        <v>294068</v>
      </c>
      <c r="F57" s="120">
        <f t="shared" si="5"/>
        <v>180958</v>
      </c>
      <c r="G57" s="120">
        <f t="shared" si="5"/>
        <v>0</v>
      </c>
      <c r="H57" s="120">
        <f t="shared" si="5"/>
        <v>0</v>
      </c>
      <c r="I57" s="120">
        <f t="shared" si="5"/>
        <v>0</v>
      </c>
    </row>
    <row r="58" spans="1:10" x14ac:dyDescent="0.2">
      <c r="A58" s="28"/>
      <c r="B58" s="183"/>
      <c r="C58" s="184"/>
      <c r="D58" s="184"/>
      <c r="E58" s="184"/>
      <c r="F58" s="184"/>
      <c r="G58" s="184"/>
      <c r="H58" s="184"/>
      <c r="I58" s="184"/>
      <c r="J58" s="28"/>
    </row>
    <row r="59" spans="1:10" x14ac:dyDescent="0.2">
      <c r="B59" s="130" t="s">
        <v>59</v>
      </c>
      <c r="C59" s="118">
        <v>100875</v>
      </c>
      <c r="D59" s="118">
        <v>31678</v>
      </c>
      <c r="E59" s="118">
        <v>69197</v>
      </c>
      <c r="F59" s="118">
        <v>48401</v>
      </c>
      <c r="G59" s="118" t="s">
        <v>47</v>
      </c>
      <c r="H59" s="118" t="s">
        <v>47</v>
      </c>
      <c r="I59" s="118" t="s">
        <v>47</v>
      </c>
    </row>
    <row r="60" spans="1:10" x14ac:dyDescent="0.2">
      <c r="B60" s="130" t="s">
        <v>63</v>
      </c>
      <c r="C60" s="118">
        <v>81005</v>
      </c>
      <c r="D60" s="118">
        <v>20641</v>
      </c>
      <c r="E60" s="118">
        <v>60364</v>
      </c>
      <c r="F60" s="118">
        <v>43411</v>
      </c>
      <c r="G60" s="118" t="s">
        <v>47</v>
      </c>
      <c r="H60" s="118" t="s">
        <v>47</v>
      </c>
      <c r="I60" s="118" t="s">
        <v>47</v>
      </c>
    </row>
    <row r="61" spans="1:10" x14ac:dyDescent="0.2">
      <c r="B61" s="130" t="s">
        <v>148</v>
      </c>
      <c r="C61" s="118">
        <v>23451</v>
      </c>
      <c r="D61" s="118">
        <v>3969</v>
      </c>
      <c r="E61" s="118">
        <v>19482</v>
      </c>
      <c r="F61" s="118">
        <v>16398</v>
      </c>
      <c r="G61" s="118" t="s">
        <v>47</v>
      </c>
      <c r="H61" s="118" t="s">
        <v>47</v>
      </c>
      <c r="I61" s="118" t="s">
        <v>47</v>
      </c>
    </row>
    <row r="62" spans="1:10" x14ac:dyDescent="0.2">
      <c r="B62" s="130" t="s">
        <v>61</v>
      </c>
      <c r="C62" s="118">
        <v>135064</v>
      </c>
      <c r="D62" s="118">
        <v>2164</v>
      </c>
      <c r="E62" s="118">
        <v>132900</v>
      </c>
      <c r="F62" s="118">
        <v>3353</v>
      </c>
      <c r="G62" s="118" t="s">
        <v>47</v>
      </c>
      <c r="H62" s="118" t="s">
        <v>47</v>
      </c>
      <c r="I62" s="118" t="s">
        <v>47</v>
      </c>
    </row>
    <row r="63" spans="1:10" x14ac:dyDescent="0.2">
      <c r="B63" s="130" t="s">
        <v>64</v>
      </c>
      <c r="C63" s="118">
        <v>1509</v>
      </c>
      <c r="D63" s="118">
        <v>129</v>
      </c>
      <c r="E63" s="118">
        <v>1380</v>
      </c>
      <c r="F63" s="118">
        <v>0</v>
      </c>
      <c r="G63" s="118" t="s">
        <v>47</v>
      </c>
      <c r="H63" s="118" t="s">
        <v>47</v>
      </c>
      <c r="I63" s="118" t="s">
        <v>47</v>
      </c>
    </row>
    <row r="64" spans="1:10" x14ac:dyDescent="0.2">
      <c r="B64" s="130" t="s">
        <v>870</v>
      </c>
      <c r="C64" s="118">
        <v>1</v>
      </c>
      <c r="D64" s="118">
        <v>0</v>
      </c>
      <c r="E64" s="118">
        <v>1</v>
      </c>
      <c r="F64" s="118">
        <v>0</v>
      </c>
      <c r="G64" s="118" t="s">
        <v>47</v>
      </c>
      <c r="H64" s="118" t="s">
        <v>47</v>
      </c>
      <c r="I64" s="118" t="s">
        <v>47</v>
      </c>
    </row>
    <row r="65" spans="1:10" x14ac:dyDescent="0.2">
      <c r="B65" s="130" t="s">
        <v>117</v>
      </c>
      <c r="C65" s="118">
        <v>0</v>
      </c>
      <c r="D65" s="118">
        <v>0</v>
      </c>
      <c r="E65" s="118">
        <v>0</v>
      </c>
      <c r="F65" s="118">
        <v>3041</v>
      </c>
      <c r="G65" s="118" t="s">
        <v>47</v>
      </c>
      <c r="H65" s="118" t="s">
        <v>47</v>
      </c>
      <c r="I65" s="118" t="s">
        <v>47</v>
      </c>
    </row>
    <row r="66" spans="1:10" x14ac:dyDescent="0.2">
      <c r="B66" s="130" t="s">
        <v>781</v>
      </c>
      <c r="C66" s="118">
        <v>6976</v>
      </c>
      <c r="D66" s="118">
        <v>2</v>
      </c>
      <c r="E66" s="118">
        <v>6974</v>
      </c>
      <c r="F66" s="118">
        <v>0</v>
      </c>
      <c r="G66" s="118" t="s">
        <v>47</v>
      </c>
      <c r="H66" s="118" t="s">
        <v>47</v>
      </c>
      <c r="I66" s="118" t="s">
        <v>47</v>
      </c>
    </row>
    <row r="67" spans="1:10" x14ac:dyDescent="0.2">
      <c r="B67" s="127" t="s">
        <v>1274</v>
      </c>
      <c r="C67" s="120">
        <f t="shared" ref="C67:I67" si="6">SUM(C59:C66)</f>
        <v>348881</v>
      </c>
      <c r="D67" s="120">
        <f t="shared" si="6"/>
        <v>58583</v>
      </c>
      <c r="E67" s="120">
        <f t="shared" si="6"/>
        <v>290298</v>
      </c>
      <c r="F67" s="120">
        <f t="shared" si="6"/>
        <v>114604</v>
      </c>
      <c r="G67" s="120">
        <f t="shared" si="6"/>
        <v>0</v>
      </c>
      <c r="H67" s="120">
        <f t="shared" si="6"/>
        <v>0</v>
      </c>
      <c r="I67" s="120">
        <f t="shared" si="6"/>
        <v>0</v>
      </c>
    </row>
    <row r="68" spans="1:10" x14ac:dyDescent="0.2">
      <c r="A68" s="28"/>
      <c r="B68" s="183"/>
      <c r="C68" s="184"/>
      <c r="D68" s="184"/>
      <c r="E68" s="184"/>
      <c r="F68" s="184"/>
      <c r="G68" s="184"/>
      <c r="H68" s="184"/>
      <c r="I68" s="184"/>
      <c r="J68" s="28"/>
    </row>
    <row r="69" spans="1:10" x14ac:dyDescent="0.2">
      <c r="B69" s="130" t="s">
        <v>59</v>
      </c>
      <c r="C69" s="118">
        <v>103292</v>
      </c>
      <c r="D69" s="118">
        <v>37263</v>
      </c>
      <c r="E69" s="118">
        <v>66029</v>
      </c>
      <c r="F69" s="118">
        <v>25742</v>
      </c>
      <c r="G69" s="118" t="s">
        <v>47</v>
      </c>
      <c r="H69" s="118" t="s">
        <v>47</v>
      </c>
      <c r="I69" s="118" t="s">
        <v>47</v>
      </c>
    </row>
    <row r="70" spans="1:10" x14ac:dyDescent="0.2">
      <c r="B70" s="130" t="s">
        <v>63</v>
      </c>
      <c r="C70" s="118">
        <v>81739</v>
      </c>
      <c r="D70" s="118">
        <v>16762</v>
      </c>
      <c r="E70" s="118">
        <v>64977</v>
      </c>
      <c r="F70" s="118">
        <v>20082</v>
      </c>
      <c r="G70" s="118" t="s">
        <v>47</v>
      </c>
      <c r="H70" s="118" t="s">
        <v>47</v>
      </c>
      <c r="I70" s="118" t="s">
        <v>47</v>
      </c>
    </row>
    <row r="71" spans="1:10" x14ac:dyDescent="0.2">
      <c r="B71" s="130" t="s">
        <v>148</v>
      </c>
      <c r="C71" s="118">
        <v>21015</v>
      </c>
      <c r="D71" s="118">
        <v>3810</v>
      </c>
      <c r="E71" s="118">
        <v>17205</v>
      </c>
      <c r="F71" s="118">
        <v>8226</v>
      </c>
      <c r="G71" s="118" t="s">
        <v>47</v>
      </c>
      <c r="H71" s="118" t="s">
        <v>47</v>
      </c>
      <c r="I71" s="118" t="s">
        <v>47</v>
      </c>
    </row>
    <row r="72" spans="1:10" x14ac:dyDescent="0.2">
      <c r="B72" s="130" t="s">
        <v>61</v>
      </c>
      <c r="C72" s="118">
        <v>134384</v>
      </c>
      <c r="D72" s="118">
        <v>325</v>
      </c>
      <c r="E72" s="118">
        <v>134059</v>
      </c>
      <c r="F72" s="118">
        <v>1895</v>
      </c>
      <c r="G72" s="118" t="s">
        <v>47</v>
      </c>
      <c r="H72" s="118" t="s">
        <v>47</v>
      </c>
      <c r="I72" s="118" t="s">
        <v>47</v>
      </c>
    </row>
    <row r="73" spans="1:10" x14ac:dyDescent="0.2">
      <c r="B73" s="130" t="s">
        <v>64</v>
      </c>
      <c r="C73" s="118">
        <v>1487</v>
      </c>
      <c r="D73" s="118">
        <v>96</v>
      </c>
      <c r="E73" s="118">
        <v>1391</v>
      </c>
      <c r="F73" s="118">
        <v>0</v>
      </c>
      <c r="G73" s="118" t="s">
        <v>47</v>
      </c>
      <c r="H73" s="118" t="s">
        <v>47</v>
      </c>
      <c r="I73" s="118" t="s">
        <v>47</v>
      </c>
    </row>
    <row r="74" spans="1:10" x14ac:dyDescent="0.2">
      <c r="B74" s="130" t="s">
        <v>870</v>
      </c>
      <c r="C74" s="118">
        <v>1</v>
      </c>
      <c r="D74" s="118">
        <v>0</v>
      </c>
      <c r="E74" s="118">
        <v>1</v>
      </c>
      <c r="F74" s="118">
        <v>0</v>
      </c>
      <c r="G74" s="118" t="s">
        <v>47</v>
      </c>
      <c r="H74" s="118" t="s">
        <v>47</v>
      </c>
      <c r="I74" s="118" t="s">
        <v>47</v>
      </c>
    </row>
    <row r="75" spans="1:10" x14ac:dyDescent="0.2">
      <c r="B75" s="130" t="s">
        <v>117</v>
      </c>
      <c r="C75" s="118">
        <v>0</v>
      </c>
      <c r="D75" s="118">
        <v>0</v>
      </c>
      <c r="E75" s="118">
        <v>0</v>
      </c>
      <c r="F75" s="118">
        <v>3041</v>
      </c>
      <c r="G75" s="118" t="s">
        <v>47</v>
      </c>
      <c r="H75" s="118" t="s">
        <v>47</v>
      </c>
      <c r="I75" s="118" t="s">
        <v>47</v>
      </c>
    </row>
    <row r="76" spans="1:10" x14ac:dyDescent="0.2">
      <c r="B76" s="130" t="s">
        <v>781</v>
      </c>
      <c r="C76" s="118">
        <v>7403</v>
      </c>
      <c r="D76" s="118">
        <v>3</v>
      </c>
      <c r="E76" s="118">
        <v>7400</v>
      </c>
      <c r="F76" s="118">
        <v>0</v>
      </c>
      <c r="G76" s="118" t="s">
        <v>47</v>
      </c>
      <c r="H76" s="118" t="s">
        <v>47</v>
      </c>
      <c r="I76" s="118" t="s">
        <v>47</v>
      </c>
    </row>
    <row r="77" spans="1:10" x14ac:dyDescent="0.2">
      <c r="B77" s="127" t="s">
        <v>1252</v>
      </c>
      <c r="C77" s="120">
        <f>SUM(C69:C76)</f>
        <v>349321</v>
      </c>
      <c r="D77" s="120">
        <f>SUM(D69:D76)</f>
        <v>58259</v>
      </c>
      <c r="E77" s="120">
        <f>SUM(E69:E76)</f>
        <v>291062</v>
      </c>
      <c r="F77" s="120">
        <f>SUM(F69:F76)</f>
        <v>58986</v>
      </c>
      <c r="G77" s="120"/>
      <c r="H77" s="120"/>
      <c r="I77" s="120">
        <f>SUM(I69:I76)</f>
        <v>0</v>
      </c>
    </row>
    <row r="78" spans="1:10" x14ac:dyDescent="0.2">
      <c r="B78" s="150"/>
      <c r="C78" s="151"/>
      <c r="D78" s="151"/>
      <c r="E78" s="151"/>
      <c r="F78" s="151"/>
      <c r="G78" s="151"/>
      <c r="H78" s="151"/>
      <c r="I78" s="151"/>
    </row>
    <row r="79" spans="1:10" x14ac:dyDescent="0.2">
      <c r="B79" s="130" t="s">
        <v>59</v>
      </c>
      <c r="C79" s="118">
        <v>85148</v>
      </c>
      <c r="D79" s="118">
        <v>22171</v>
      </c>
      <c r="E79" s="118">
        <v>62977</v>
      </c>
      <c r="F79" s="118">
        <v>109239</v>
      </c>
      <c r="G79" s="118">
        <v>0</v>
      </c>
      <c r="H79" s="118">
        <v>0</v>
      </c>
      <c r="I79" s="118">
        <v>17365</v>
      </c>
    </row>
    <row r="80" spans="1:10" x14ac:dyDescent="0.2">
      <c r="B80" s="130" t="s">
        <v>63</v>
      </c>
      <c r="C80" s="118">
        <v>24544</v>
      </c>
      <c r="D80" s="118">
        <v>9058</v>
      </c>
      <c r="E80" s="118">
        <v>15486</v>
      </c>
      <c r="F80" s="118">
        <v>0</v>
      </c>
      <c r="G80" s="118">
        <v>0</v>
      </c>
      <c r="H80" s="118">
        <v>0</v>
      </c>
      <c r="I80" s="118">
        <v>8927</v>
      </c>
    </row>
    <row r="81" spans="2:9" x14ac:dyDescent="0.2">
      <c r="B81" s="130" t="s">
        <v>148</v>
      </c>
      <c r="C81" s="118">
        <v>18883</v>
      </c>
      <c r="D81" s="118">
        <v>3175</v>
      </c>
      <c r="E81" s="118">
        <v>15708</v>
      </c>
      <c r="F81" s="118">
        <v>7703</v>
      </c>
      <c r="G81" s="118">
        <v>0</v>
      </c>
      <c r="H81" s="118">
        <v>0</v>
      </c>
      <c r="I81" s="118">
        <v>1060</v>
      </c>
    </row>
    <row r="82" spans="2:9" x14ac:dyDescent="0.2">
      <c r="B82" s="130" t="s">
        <v>61</v>
      </c>
      <c r="C82" s="118">
        <v>105945</v>
      </c>
      <c r="D82" s="118">
        <v>286</v>
      </c>
      <c r="E82" s="118">
        <v>105659</v>
      </c>
      <c r="F82" s="118">
        <v>8044</v>
      </c>
      <c r="G82" s="118">
        <v>0</v>
      </c>
      <c r="H82" s="118">
        <v>0</v>
      </c>
      <c r="I82" s="118">
        <v>5383</v>
      </c>
    </row>
    <row r="83" spans="2:9" x14ac:dyDescent="0.2">
      <c r="B83" s="130" t="s">
        <v>64</v>
      </c>
      <c r="C83" s="118">
        <v>1473</v>
      </c>
      <c r="D83" s="118">
        <v>99</v>
      </c>
      <c r="E83" s="118">
        <v>1374</v>
      </c>
      <c r="F83" s="118">
        <v>0</v>
      </c>
      <c r="G83" s="118">
        <v>0</v>
      </c>
      <c r="H83" s="118">
        <v>0</v>
      </c>
      <c r="I83" s="118">
        <v>31</v>
      </c>
    </row>
    <row r="84" spans="2:9" x14ac:dyDescent="0.2">
      <c r="B84" s="130" t="s">
        <v>870</v>
      </c>
      <c r="C84" s="118">
        <v>1</v>
      </c>
      <c r="D84" s="118">
        <v>0</v>
      </c>
      <c r="E84" s="118">
        <v>1</v>
      </c>
      <c r="F84" s="118">
        <v>0</v>
      </c>
      <c r="G84" s="118">
        <v>0</v>
      </c>
      <c r="H84" s="118">
        <v>0</v>
      </c>
      <c r="I84" s="118">
        <v>0</v>
      </c>
    </row>
    <row r="85" spans="2:9" x14ac:dyDescent="0.2">
      <c r="B85" s="130" t="s">
        <v>117</v>
      </c>
      <c r="C85" s="118">
        <v>55408</v>
      </c>
      <c r="D85" s="118">
        <v>10874</v>
      </c>
      <c r="E85" s="118">
        <v>44534</v>
      </c>
      <c r="F85" s="118">
        <v>105679</v>
      </c>
      <c r="G85" s="118">
        <v>0</v>
      </c>
      <c r="H85" s="118">
        <v>0</v>
      </c>
      <c r="I85" s="118">
        <v>13340</v>
      </c>
    </row>
    <row r="86" spans="2:9" x14ac:dyDescent="0.2">
      <c r="B86" s="130" t="s">
        <v>781</v>
      </c>
      <c r="C86" s="118">
        <v>7543</v>
      </c>
      <c r="D86" s="118">
        <v>1</v>
      </c>
      <c r="E86" s="118">
        <v>7542</v>
      </c>
      <c r="F86" s="118">
        <v>0</v>
      </c>
      <c r="G86" s="118">
        <v>0</v>
      </c>
      <c r="H86" s="118">
        <v>0</v>
      </c>
      <c r="I86" s="118">
        <v>-557</v>
      </c>
    </row>
    <row r="87" spans="2:9" x14ac:dyDescent="0.2">
      <c r="B87" s="127" t="s">
        <v>1230</v>
      </c>
      <c r="C87" s="120">
        <f>SUM(C79:C86)</f>
        <v>298945</v>
      </c>
      <c r="D87" s="120">
        <f>SUM(D79:D86)</f>
        <v>45664</v>
      </c>
      <c r="E87" s="120">
        <f>SUM(E79:E86)</f>
        <v>253281</v>
      </c>
      <c r="F87" s="120">
        <f>SUM(F79:F86)</f>
        <v>230665</v>
      </c>
      <c r="G87" s="120"/>
      <c r="H87" s="120"/>
      <c r="I87" s="120">
        <f>SUM(I79:I86)</f>
        <v>45549</v>
      </c>
    </row>
    <row r="88" spans="2:9" x14ac:dyDescent="0.2">
      <c r="B88" s="150"/>
      <c r="C88" s="151"/>
      <c r="D88" s="151"/>
      <c r="E88" s="151"/>
      <c r="F88" s="151"/>
      <c r="G88" s="151"/>
      <c r="H88" s="151"/>
      <c r="I88" s="151"/>
    </row>
    <row r="89" spans="2:9" x14ac:dyDescent="0.2">
      <c r="B89" s="130" t="s">
        <v>59</v>
      </c>
      <c r="C89" s="118">
        <v>86605</v>
      </c>
      <c r="D89" s="118">
        <v>26763</v>
      </c>
      <c r="E89" s="118">
        <v>59842</v>
      </c>
      <c r="F89" s="118">
        <v>84163</v>
      </c>
      <c r="G89" s="118">
        <v>0</v>
      </c>
      <c r="H89" s="118">
        <v>0</v>
      </c>
      <c r="I89" s="118">
        <v>14230</v>
      </c>
    </row>
    <row r="90" spans="2:9" x14ac:dyDescent="0.2">
      <c r="B90" s="130" t="s">
        <v>148</v>
      </c>
      <c r="C90" s="118">
        <v>18268</v>
      </c>
      <c r="D90" s="118">
        <v>2642</v>
      </c>
      <c r="E90" s="118">
        <v>15626</v>
      </c>
      <c r="F90" s="118">
        <v>2613</v>
      </c>
      <c r="G90" s="118">
        <v>0</v>
      </c>
      <c r="H90" s="118">
        <v>0</v>
      </c>
      <c r="I90" s="118">
        <v>976</v>
      </c>
    </row>
    <row r="91" spans="2:9" x14ac:dyDescent="0.2">
      <c r="B91" s="130" t="s">
        <v>61</v>
      </c>
      <c r="C91" s="118">
        <v>104873</v>
      </c>
      <c r="D91" s="118">
        <v>250</v>
      </c>
      <c r="E91" s="118">
        <v>104623</v>
      </c>
      <c r="F91" s="118">
        <v>6331</v>
      </c>
      <c r="G91" s="118">
        <v>0</v>
      </c>
      <c r="H91" s="118">
        <v>0</v>
      </c>
      <c r="I91" s="118">
        <v>4347</v>
      </c>
    </row>
    <row r="92" spans="2:9" x14ac:dyDescent="0.2">
      <c r="B92" s="130" t="s">
        <v>64</v>
      </c>
      <c r="C92" s="118">
        <v>1444</v>
      </c>
      <c r="D92" s="118">
        <v>59</v>
      </c>
      <c r="E92" s="118">
        <v>1385</v>
      </c>
      <c r="F92" s="118">
        <v>0</v>
      </c>
      <c r="G92" s="118">
        <v>0</v>
      </c>
      <c r="H92" s="118">
        <v>0</v>
      </c>
      <c r="I92" s="118">
        <v>42</v>
      </c>
    </row>
    <row r="93" spans="2:9" x14ac:dyDescent="0.2">
      <c r="B93" s="130" t="s">
        <v>870</v>
      </c>
      <c r="C93" s="118">
        <v>1</v>
      </c>
      <c r="D93" s="118">
        <v>0</v>
      </c>
      <c r="E93" s="118">
        <v>1</v>
      </c>
      <c r="F93" s="118">
        <v>0</v>
      </c>
      <c r="G93" s="118">
        <v>0</v>
      </c>
      <c r="H93" s="118">
        <v>0</v>
      </c>
      <c r="I93" s="118">
        <v>0</v>
      </c>
    </row>
    <row r="94" spans="2:9" x14ac:dyDescent="0.2">
      <c r="B94" s="130" t="s">
        <v>117</v>
      </c>
      <c r="C94" s="118">
        <v>55186</v>
      </c>
      <c r="D94" s="118">
        <v>14366</v>
      </c>
      <c r="E94" s="118">
        <v>40820</v>
      </c>
      <c r="F94" s="118">
        <v>77165</v>
      </c>
      <c r="G94" s="118">
        <v>0</v>
      </c>
      <c r="H94" s="118">
        <v>0</v>
      </c>
      <c r="I94" s="118">
        <v>10288</v>
      </c>
    </row>
    <row r="95" spans="2:9" x14ac:dyDescent="0.2">
      <c r="B95" s="130" t="s">
        <v>781</v>
      </c>
      <c r="C95" s="118">
        <v>7894</v>
      </c>
      <c r="D95" s="118">
        <v>2</v>
      </c>
      <c r="E95" s="118">
        <v>7892</v>
      </c>
      <c r="F95" s="118">
        <v>0</v>
      </c>
      <c r="G95" s="118">
        <v>0</v>
      </c>
      <c r="H95" s="118">
        <v>0</v>
      </c>
      <c r="I95" s="118">
        <v>-206</v>
      </c>
    </row>
    <row r="96" spans="2:9" x14ac:dyDescent="0.2">
      <c r="B96" s="127" t="s">
        <v>1220</v>
      </c>
      <c r="C96" s="120">
        <f>SUM(C89:C95)</f>
        <v>274271</v>
      </c>
      <c r="D96" s="120">
        <f>SUM(D89:D95)</f>
        <v>44082</v>
      </c>
      <c r="E96" s="120">
        <f>SUM(E89:E95)</f>
        <v>230189</v>
      </c>
      <c r="F96" s="120">
        <f>SUM(F89:F95)</f>
        <v>170272</v>
      </c>
      <c r="G96" s="120"/>
      <c r="H96" s="120"/>
      <c r="I96" s="120">
        <f>SUM(I89:I95)</f>
        <v>29677</v>
      </c>
    </row>
    <row r="97" spans="2:9" x14ac:dyDescent="0.2">
      <c r="B97" s="150"/>
      <c r="C97" s="151"/>
      <c r="D97" s="151"/>
      <c r="E97" s="151"/>
      <c r="F97" s="151"/>
      <c r="G97" s="151"/>
      <c r="H97" s="151"/>
      <c r="I97" s="151"/>
    </row>
    <row r="98" spans="2:9" x14ac:dyDescent="0.2">
      <c r="B98" s="130" t="s">
        <v>59</v>
      </c>
      <c r="C98" s="118">
        <v>95448</v>
      </c>
      <c r="D98" s="118">
        <v>29839</v>
      </c>
      <c r="E98" s="118">
        <v>65609</v>
      </c>
      <c r="F98" s="118">
        <v>54604</v>
      </c>
      <c r="G98" s="118">
        <v>0</v>
      </c>
      <c r="H98" s="118">
        <v>0</v>
      </c>
      <c r="I98" s="118">
        <v>9397</v>
      </c>
    </row>
    <row r="99" spans="2:9" x14ac:dyDescent="0.2">
      <c r="B99" s="130" t="s">
        <v>148</v>
      </c>
      <c r="C99" s="118">
        <v>18084</v>
      </c>
      <c r="D99" s="118">
        <v>2843</v>
      </c>
      <c r="E99" s="118">
        <v>15241</v>
      </c>
      <c r="F99" s="118">
        <v>1667</v>
      </c>
      <c r="G99" s="118">
        <v>0</v>
      </c>
      <c r="H99" s="118">
        <v>0</v>
      </c>
      <c r="I99" s="118">
        <v>591</v>
      </c>
    </row>
    <row r="100" spans="2:9" x14ac:dyDescent="0.2">
      <c r="B100" s="130" t="s">
        <v>61</v>
      </c>
      <c r="C100" s="118">
        <v>107041</v>
      </c>
      <c r="D100" s="118">
        <v>316</v>
      </c>
      <c r="E100" s="118">
        <v>106725</v>
      </c>
      <c r="F100" s="118">
        <v>4553</v>
      </c>
      <c r="G100" s="118">
        <v>0</v>
      </c>
      <c r="H100" s="118">
        <v>0</v>
      </c>
      <c r="I100" s="118">
        <v>3224</v>
      </c>
    </row>
    <row r="101" spans="2:9" x14ac:dyDescent="0.2">
      <c r="B101" s="130" t="s">
        <v>64</v>
      </c>
      <c r="C101" s="118">
        <v>1424</v>
      </c>
      <c r="D101" s="118">
        <v>58</v>
      </c>
      <c r="E101" s="118">
        <v>1366</v>
      </c>
      <c r="F101" s="118">
        <v>0</v>
      </c>
      <c r="G101" s="118">
        <v>0</v>
      </c>
      <c r="H101" s="118">
        <v>0</v>
      </c>
      <c r="I101" s="118">
        <v>23</v>
      </c>
    </row>
    <row r="102" spans="2:9" x14ac:dyDescent="0.2">
      <c r="B102" s="130" t="s">
        <v>870</v>
      </c>
      <c r="C102" s="118">
        <v>1</v>
      </c>
      <c r="D102" s="118">
        <v>0</v>
      </c>
      <c r="E102" s="118">
        <v>1</v>
      </c>
      <c r="F102" s="118">
        <v>0</v>
      </c>
      <c r="G102" s="118">
        <v>0</v>
      </c>
      <c r="H102" s="118">
        <v>0</v>
      </c>
      <c r="I102" s="118">
        <v>0</v>
      </c>
    </row>
    <row r="103" spans="2:9" x14ac:dyDescent="0.2">
      <c r="B103" s="130" t="s">
        <v>117</v>
      </c>
      <c r="C103" s="118">
        <v>67868</v>
      </c>
      <c r="D103" s="118">
        <v>16224</v>
      </c>
      <c r="E103" s="118">
        <v>51644</v>
      </c>
      <c r="F103" s="118">
        <v>47689</v>
      </c>
      <c r="G103" s="118">
        <v>0</v>
      </c>
      <c r="H103" s="118">
        <v>0</v>
      </c>
      <c r="I103" s="118">
        <v>6217</v>
      </c>
    </row>
    <row r="104" spans="2:9" x14ac:dyDescent="0.2">
      <c r="B104" s="130" t="s">
        <v>781</v>
      </c>
      <c r="C104" s="118">
        <v>7361</v>
      </c>
      <c r="D104" s="118">
        <v>0</v>
      </c>
      <c r="E104" s="118">
        <v>7361</v>
      </c>
      <c r="F104" s="118">
        <v>0</v>
      </c>
      <c r="G104" s="118">
        <v>0</v>
      </c>
      <c r="H104" s="118">
        <v>0</v>
      </c>
      <c r="I104" s="118">
        <v>-437</v>
      </c>
    </row>
    <row r="105" spans="2:9" x14ac:dyDescent="0.2">
      <c r="B105" s="127" t="s">
        <v>1206</v>
      </c>
      <c r="C105" s="120">
        <f>SUM(C98:C104)</f>
        <v>297227</v>
      </c>
      <c r="D105" s="120">
        <f>SUM(D98:D104)</f>
        <v>49280</v>
      </c>
      <c r="E105" s="120">
        <f>SUM(E98:E104)</f>
        <v>247947</v>
      </c>
      <c r="F105" s="120">
        <f>SUM(F98:F104)</f>
        <v>108513</v>
      </c>
      <c r="G105" s="120"/>
      <c r="H105" s="120"/>
      <c r="I105" s="120">
        <f>SUM(I98:I104)</f>
        <v>19015</v>
      </c>
    </row>
    <row r="107" spans="2:9" x14ac:dyDescent="0.2">
      <c r="B107" s="130" t="s">
        <v>59</v>
      </c>
      <c r="C107" s="118">
        <v>100409</v>
      </c>
      <c r="D107" s="118">
        <v>28573</v>
      </c>
      <c r="E107" s="118">
        <v>71836</v>
      </c>
      <c r="F107" s="118">
        <v>28155</v>
      </c>
      <c r="G107" s="118">
        <v>0</v>
      </c>
      <c r="H107" s="118">
        <v>0</v>
      </c>
      <c r="I107" s="118">
        <v>5624</v>
      </c>
    </row>
    <row r="108" spans="2:9" x14ac:dyDescent="0.2">
      <c r="B108" s="130" t="s">
        <v>148</v>
      </c>
      <c r="C108" s="118">
        <v>17795</v>
      </c>
      <c r="D108" s="118">
        <v>2916</v>
      </c>
      <c r="E108" s="118">
        <v>14879</v>
      </c>
      <c r="F108" s="118">
        <v>826</v>
      </c>
      <c r="G108" s="118">
        <v>0</v>
      </c>
      <c r="H108" s="118">
        <v>0</v>
      </c>
      <c r="I108" s="118">
        <v>229</v>
      </c>
    </row>
    <row r="109" spans="2:9" x14ac:dyDescent="0.2">
      <c r="B109" s="130" t="s">
        <v>61</v>
      </c>
      <c r="C109" s="118">
        <v>111340</v>
      </c>
      <c r="D109" s="118">
        <v>362</v>
      </c>
      <c r="E109" s="118">
        <v>110978</v>
      </c>
      <c r="F109" s="118">
        <v>2250</v>
      </c>
      <c r="G109" s="118">
        <v>0</v>
      </c>
      <c r="H109" s="118">
        <v>0</v>
      </c>
      <c r="I109" s="118">
        <v>1562</v>
      </c>
    </row>
    <row r="110" spans="2:9" x14ac:dyDescent="0.2">
      <c r="B110" s="130" t="s">
        <v>64</v>
      </c>
      <c r="C110" s="118">
        <v>1405</v>
      </c>
      <c r="D110" s="118">
        <v>56</v>
      </c>
      <c r="E110" s="118">
        <v>1349</v>
      </c>
      <c r="F110" s="118">
        <v>0</v>
      </c>
      <c r="G110" s="118">
        <v>0</v>
      </c>
      <c r="H110" s="118">
        <v>0</v>
      </c>
      <c r="I110" s="118">
        <v>6</v>
      </c>
    </row>
    <row r="111" spans="2:9" x14ac:dyDescent="0.2">
      <c r="B111" s="130" t="s">
        <v>870</v>
      </c>
      <c r="C111" s="118">
        <v>1</v>
      </c>
      <c r="D111" s="118">
        <v>0</v>
      </c>
      <c r="E111" s="118">
        <v>1</v>
      </c>
      <c r="F111" s="118">
        <v>0</v>
      </c>
      <c r="G111" s="118">
        <v>0</v>
      </c>
      <c r="H111" s="118">
        <v>0</v>
      </c>
      <c r="I111" s="118">
        <v>0</v>
      </c>
    </row>
    <row r="112" spans="2:9" x14ac:dyDescent="0.2">
      <c r="B112" s="130" t="s">
        <v>117</v>
      </c>
      <c r="C112" s="118">
        <v>87660</v>
      </c>
      <c r="D112" s="118">
        <v>10300</v>
      </c>
      <c r="E112" s="118">
        <v>77360</v>
      </c>
      <c r="F112" s="118">
        <v>20847</v>
      </c>
      <c r="G112" s="118">
        <v>0</v>
      </c>
      <c r="H112" s="118">
        <v>0</v>
      </c>
      <c r="I112" s="118">
        <v>2983</v>
      </c>
    </row>
    <row r="113" spans="2:9" x14ac:dyDescent="0.2">
      <c r="B113" s="130" t="s">
        <v>781</v>
      </c>
      <c r="C113" s="118">
        <v>6889</v>
      </c>
      <c r="D113" s="118">
        <v>58</v>
      </c>
      <c r="E113" s="118">
        <v>6831</v>
      </c>
      <c r="F113" s="118">
        <v>0</v>
      </c>
      <c r="G113" s="118">
        <v>0</v>
      </c>
      <c r="H113" s="118">
        <v>0</v>
      </c>
      <c r="I113" s="118">
        <v>133</v>
      </c>
    </row>
    <row r="114" spans="2:9" x14ac:dyDescent="0.2">
      <c r="B114" s="127" t="s">
        <v>1199</v>
      </c>
      <c r="C114" s="120">
        <f>SUM(C107:C113)</f>
        <v>325499</v>
      </c>
      <c r="D114" s="120">
        <f>SUM(D107:D113)</f>
        <v>42265</v>
      </c>
      <c r="E114" s="120">
        <f>SUM(E107:E113)</f>
        <v>283234</v>
      </c>
      <c r="F114" s="120">
        <f>SUM(F107:F113)</f>
        <v>52078</v>
      </c>
      <c r="G114" s="120"/>
      <c r="H114" s="120"/>
      <c r="I114" s="120">
        <f>SUM(I107:I113)</f>
        <v>10537</v>
      </c>
    </row>
    <row r="116" spans="2:9" x14ac:dyDescent="0.2">
      <c r="B116" s="130" t="s">
        <v>59</v>
      </c>
      <c r="C116" s="118">
        <v>93089</v>
      </c>
      <c r="D116" s="118">
        <v>26877</v>
      </c>
      <c r="E116" s="118">
        <v>66212</v>
      </c>
      <c r="F116" s="118">
        <v>91519</v>
      </c>
      <c r="G116" s="118">
        <v>0</v>
      </c>
      <c r="H116" s="118">
        <v>0</v>
      </c>
      <c r="I116" s="118">
        <v>18582</v>
      </c>
    </row>
    <row r="117" spans="2:9" x14ac:dyDescent="0.2">
      <c r="B117" s="130" t="s">
        <v>148</v>
      </c>
      <c r="C117" s="118">
        <v>17264</v>
      </c>
      <c r="D117" s="118">
        <v>2614</v>
      </c>
      <c r="E117" s="118">
        <v>14650</v>
      </c>
      <c r="F117" s="118">
        <v>2322</v>
      </c>
      <c r="G117" s="118">
        <v>0</v>
      </c>
      <c r="H117" s="118">
        <v>0</v>
      </c>
      <c r="I117" s="118">
        <v>-1325</v>
      </c>
    </row>
    <row r="118" spans="2:9" x14ac:dyDescent="0.2">
      <c r="B118" s="130" t="s">
        <v>61</v>
      </c>
      <c r="C118" s="118">
        <v>109757</v>
      </c>
      <c r="D118" s="118">
        <v>341</v>
      </c>
      <c r="E118" s="118">
        <v>109416</v>
      </c>
      <c r="F118" s="118">
        <v>8266</v>
      </c>
      <c r="G118" s="118">
        <v>0</v>
      </c>
      <c r="H118" s="118">
        <v>0</v>
      </c>
      <c r="I118" s="118">
        <v>3574</v>
      </c>
    </row>
    <row r="119" spans="2:9" x14ac:dyDescent="0.2">
      <c r="B119" s="130" t="s">
        <v>64</v>
      </c>
      <c r="C119" s="118">
        <v>1415</v>
      </c>
      <c r="D119" s="118">
        <v>72</v>
      </c>
      <c r="E119" s="118">
        <v>1343</v>
      </c>
      <c r="F119" s="118">
        <v>0</v>
      </c>
      <c r="G119" s="118">
        <v>0</v>
      </c>
      <c r="H119" s="118">
        <v>0</v>
      </c>
      <c r="I119" s="118">
        <v>-1</v>
      </c>
    </row>
    <row r="120" spans="2:9" x14ac:dyDescent="0.2">
      <c r="B120" s="130" t="s">
        <v>870</v>
      </c>
      <c r="C120" s="118">
        <v>1</v>
      </c>
      <c r="D120" s="118">
        <v>0</v>
      </c>
      <c r="E120" s="118">
        <v>1</v>
      </c>
      <c r="F120" s="118">
        <v>0</v>
      </c>
      <c r="G120" s="118">
        <v>0</v>
      </c>
      <c r="H120" s="118">
        <v>0</v>
      </c>
      <c r="I120" s="118">
        <v>0</v>
      </c>
    </row>
    <row r="121" spans="2:9" x14ac:dyDescent="0.2">
      <c r="B121" s="130" t="s">
        <v>117</v>
      </c>
      <c r="C121" s="118">
        <v>74126</v>
      </c>
      <c r="D121" s="118">
        <v>10984</v>
      </c>
      <c r="E121" s="118">
        <v>63142</v>
      </c>
      <c r="F121" s="118">
        <v>82168</v>
      </c>
      <c r="G121" s="118">
        <v>0</v>
      </c>
      <c r="H121" s="118">
        <v>0</v>
      </c>
      <c r="I121" s="118">
        <v>8657</v>
      </c>
    </row>
    <row r="122" spans="2:9" x14ac:dyDescent="0.2">
      <c r="B122" s="130" t="s">
        <v>781</v>
      </c>
      <c r="C122" s="118">
        <v>7674</v>
      </c>
      <c r="D122" s="118">
        <v>976</v>
      </c>
      <c r="E122" s="118">
        <v>6698</v>
      </c>
      <c r="F122" s="118">
        <v>17</v>
      </c>
      <c r="G122" s="118">
        <v>0</v>
      </c>
      <c r="H122" s="118">
        <v>0</v>
      </c>
      <c r="I122" s="118">
        <v>1791</v>
      </c>
    </row>
    <row r="123" spans="2:9" x14ac:dyDescent="0.2">
      <c r="B123" s="127" t="s">
        <v>1176</v>
      </c>
      <c r="C123" s="120">
        <v>303326</v>
      </c>
      <c r="D123" s="120">
        <v>41864</v>
      </c>
      <c r="E123" s="120">
        <v>261462</v>
      </c>
      <c r="F123" s="120">
        <v>184292</v>
      </c>
      <c r="G123" s="120"/>
      <c r="H123" s="120"/>
      <c r="I123" s="120">
        <v>31278</v>
      </c>
    </row>
    <row r="125" spans="2:9" x14ac:dyDescent="0.2">
      <c r="B125" s="130" t="s">
        <v>59</v>
      </c>
      <c r="C125" s="118">
        <v>104162</v>
      </c>
      <c r="D125" s="118">
        <v>40683</v>
      </c>
      <c r="E125" s="118">
        <v>63479</v>
      </c>
      <c r="F125" s="118">
        <v>69594</v>
      </c>
      <c r="G125" s="118">
        <v>0</v>
      </c>
      <c r="H125" s="118">
        <v>0</v>
      </c>
      <c r="I125" s="118">
        <v>15849</v>
      </c>
    </row>
    <row r="126" spans="2:9" x14ac:dyDescent="0.2">
      <c r="B126" s="130" t="s">
        <v>148</v>
      </c>
      <c r="C126" s="118">
        <v>17240</v>
      </c>
      <c r="D126" s="118">
        <v>2594</v>
      </c>
      <c r="E126" s="118">
        <v>14646</v>
      </c>
      <c r="F126" s="118">
        <v>1755</v>
      </c>
      <c r="G126" s="118">
        <v>0</v>
      </c>
      <c r="H126" s="118">
        <v>0</v>
      </c>
      <c r="I126" s="118">
        <v>-1329</v>
      </c>
    </row>
    <row r="127" spans="2:9" x14ac:dyDescent="0.2">
      <c r="B127" s="130" t="s">
        <v>61</v>
      </c>
      <c r="C127" s="118">
        <v>111071</v>
      </c>
      <c r="D127" s="118">
        <v>2994</v>
      </c>
      <c r="E127" s="118">
        <v>108077</v>
      </c>
      <c r="F127" s="118">
        <v>6085</v>
      </c>
      <c r="G127" s="118">
        <v>0</v>
      </c>
      <c r="H127" s="118">
        <v>0</v>
      </c>
      <c r="I127" s="118">
        <v>2235</v>
      </c>
    </row>
    <row r="128" spans="2:9" x14ac:dyDescent="0.2">
      <c r="B128" s="130" t="s">
        <v>64</v>
      </c>
      <c r="C128" s="118">
        <v>1433</v>
      </c>
      <c r="D128" s="118">
        <v>84</v>
      </c>
      <c r="E128" s="118">
        <v>1349</v>
      </c>
      <c r="F128" s="118">
        <v>0</v>
      </c>
      <c r="G128" s="118">
        <v>0</v>
      </c>
      <c r="H128" s="118">
        <v>0</v>
      </c>
      <c r="I128" s="118">
        <v>5</v>
      </c>
    </row>
    <row r="129" spans="2:9" x14ac:dyDescent="0.2">
      <c r="B129" s="130" t="s">
        <v>870</v>
      </c>
      <c r="C129" s="118">
        <v>1</v>
      </c>
      <c r="D129" s="118">
        <v>0</v>
      </c>
      <c r="E129" s="118">
        <v>1</v>
      </c>
      <c r="F129" s="118">
        <v>0</v>
      </c>
      <c r="G129" s="118">
        <v>0</v>
      </c>
      <c r="H129" s="118">
        <v>0</v>
      </c>
      <c r="I129" s="118">
        <v>0</v>
      </c>
    </row>
    <row r="130" spans="2:9" x14ac:dyDescent="0.2">
      <c r="B130" s="130" t="s">
        <v>117</v>
      </c>
      <c r="C130" s="118">
        <v>52387</v>
      </c>
      <c r="D130" s="118">
        <v>9652</v>
      </c>
      <c r="E130" s="118">
        <v>42735</v>
      </c>
      <c r="F130" s="118">
        <v>60123</v>
      </c>
      <c r="G130" s="118">
        <v>0</v>
      </c>
      <c r="H130" s="118">
        <v>0</v>
      </c>
      <c r="I130" s="118">
        <v>6063</v>
      </c>
    </row>
    <row r="131" spans="2:9" x14ac:dyDescent="0.2">
      <c r="B131" s="130" t="s">
        <v>781</v>
      </c>
      <c r="C131" s="118">
        <v>5193</v>
      </c>
      <c r="D131" s="118">
        <v>38</v>
      </c>
      <c r="E131" s="118">
        <v>5155</v>
      </c>
      <c r="F131" s="118">
        <v>13</v>
      </c>
      <c r="G131" s="118">
        <v>0</v>
      </c>
      <c r="H131" s="118">
        <v>0</v>
      </c>
      <c r="I131" s="118">
        <v>248</v>
      </c>
    </row>
    <row r="132" spans="2:9" x14ac:dyDescent="0.2">
      <c r="B132" s="127" t="s">
        <v>1166</v>
      </c>
      <c r="C132" s="120">
        <f>SUM(C125:C131)</f>
        <v>291487</v>
      </c>
      <c r="D132" s="120">
        <f>SUM(D125:D131)</f>
        <v>56045</v>
      </c>
      <c r="E132" s="120">
        <f>SUM(E125:E131)</f>
        <v>235442</v>
      </c>
      <c r="F132" s="120">
        <f>SUM(F125:F131)</f>
        <v>137570</v>
      </c>
      <c r="G132" s="120"/>
      <c r="H132" s="120"/>
      <c r="I132" s="120">
        <f>SUM(I125:I131)</f>
        <v>23071</v>
      </c>
    </row>
    <row r="134" spans="2:9" x14ac:dyDescent="0.2">
      <c r="B134" s="130" t="s">
        <v>59</v>
      </c>
      <c r="C134" s="118">
        <v>101480</v>
      </c>
      <c r="D134" s="118">
        <v>42499</v>
      </c>
      <c r="E134" s="118">
        <v>58981</v>
      </c>
      <c r="F134" s="118">
        <v>44990</v>
      </c>
      <c r="G134" s="118">
        <v>0</v>
      </c>
      <c r="H134" s="118">
        <v>0</v>
      </c>
      <c r="I134" s="118">
        <v>11351</v>
      </c>
    </row>
    <row r="135" spans="2:9" x14ac:dyDescent="0.2">
      <c r="B135" s="130" t="s">
        <v>148</v>
      </c>
      <c r="C135" s="118">
        <v>17846</v>
      </c>
      <c r="D135" s="118">
        <v>3190</v>
      </c>
      <c r="E135" s="118">
        <v>14656</v>
      </c>
      <c r="F135" s="118">
        <v>1382</v>
      </c>
      <c r="G135" s="118">
        <v>0</v>
      </c>
      <c r="H135" s="118">
        <v>0</v>
      </c>
      <c r="I135" s="118">
        <v>-1319</v>
      </c>
    </row>
    <row r="136" spans="2:9" x14ac:dyDescent="0.2">
      <c r="B136" s="130" t="s">
        <v>61</v>
      </c>
      <c r="C136" s="118">
        <v>109717</v>
      </c>
      <c r="D136" s="118">
        <v>3018</v>
      </c>
      <c r="E136" s="118">
        <v>106699</v>
      </c>
      <c r="F136" s="118">
        <v>3933</v>
      </c>
      <c r="G136" s="118">
        <v>0</v>
      </c>
      <c r="H136" s="118">
        <v>0</v>
      </c>
      <c r="I136" s="118">
        <v>856</v>
      </c>
    </row>
    <row r="137" spans="2:9" x14ac:dyDescent="0.2">
      <c r="B137" s="130" t="s">
        <v>64</v>
      </c>
      <c r="C137" s="118">
        <v>1556</v>
      </c>
      <c r="D137" s="118">
        <v>228</v>
      </c>
      <c r="E137" s="118">
        <v>1328</v>
      </c>
      <c r="F137" s="118">
        <v>0</v>
      </c>
      <c r="G137" s="118">
        <v>0</v>
      </c>
      <c r="H137" s="118">
        <v>0</v>
      </c>
      <c r="I137" s="118">
        <v>-16</v>
      </c>
    </row>
    <row r="138" spans="2:9" x14ac:dyDescent="0.2">
      <c r="B138" s="130" t="s">
        <v>870</v>
      </c>
      <c r="C138" s="118">
        <v>1</v>
      </c>
      <c r="D138" s="118">
        <v>0</v>
      </c>
      <c r="E138" s="118">
        <v>1</v>
      </c>
      <c r="F138" s="118">
        <v>0</v>
      </c>
      <c r="G138" s="118">
        <v>0</v>
      </c>
      <c r="H138" s="118">
        <v>0</v>
      </c>
      <c r="I138" s="118">
        <v>0</v>
      </c>
    </row>
    <row r="139" spans="2:9" x14ac:dyDescent="0.2">
      <c r="B139" s="130" t="s">
        <v>117</v>
      </c>
      <c r="C139" s="118">
        <v>38086</v>
      </c>
      <c r="D139" s="118">
        <v>9477</v>
      </c>
      <c r="E139" s="118">
        <v>28609</v>
      </c>
      <c r="F139" s="118">
        <v>40632</v>
      </c>
      <c r="G139" s="118">
        <v>0</v>
      </c>
      <c r="H139" s="118">
        <v>0</v>
      </c>
      <c r="I139" s="118">
        <v>3945</v>
      </c>
    </row>
    <row r="140" spans="2:9" x14ac:dyDescent="0.2">
      <c r="B140" s="130" t="s">
        <v>781</v>
      </c>
      <c r="C140" s="118">
        <v>5162</v>
      </c>
      <c r="D140" s="118">
        <v>65</v>
      </c>
      <c r="E140" s="118">
        <v>5097</v>
      </c>
      <c r="F140" s="118">
        <v>8</v>
      </c>
      <c r="G140" s="118">
        <v>0</v>
      </c>
      <c r="H140" s="118">
        <v>0</v>
      </c>
      <c r="I140" s="118">
        <v>190</v>
      </c>
    </row>
    <row r="141" spans="2:9" x14ac:dyDescent="0.2">
      <c r="B141" s="127" t="s">
        <v>1144</v>
      </c>
      <c r="C141" s="120">
        <f>SUM(C134:C140)</f>
        <v>273848</v>
      </c>
      <c r="D141" s="120">
        <f>SUM(D134:D140)</f>
        <v>58477</v>
      </c>
      <c r="E141" s="120">
        <f>SUM(E134:E140)</f>
        <v>215371</v>
      </c>
      <c r="F141" s="120">
        <f>SUM(F134:F140)</f>
        <v>90945</v>
      </c>
      <c r="G141" s="120"/>
      <c r="H141" s="120"/>
      <c r="I141" s="120">
        <f>SUM(I134:I140)</f>
        <v>15007</v>
      </c>
    </row>
    <row r="143" spans="2:9" x14ac:dyDescent="0.2">
      <c r="B143" s="130" t="s">
        <v>59</v>
      </c>
      <c r="C143" s="118">
        <v>91938</v>
      </c>
      <c r="D143" s="118">
        <v>32123</v>
      </c>
      <c r="E143" s="118">
        <v>59815</v>
      </c>
      <c r="F143" s="118">
        <v>20486</v>
      </c>
      <c r="G143" s="118">
        <v>0</v>
      </c>
      <c r="H143" s="118">
        <v>0</v>
      </c>
      <c r="I143" s="118">
        <v>2185</v>
      </c>
    </row>
    <row r="144" spans="2:9" x14ac:dyDescent="0.2">
      <c r="B144" s="130" t="s">
        <v>148</v>
      </c>
      <c r="C144" s="118">
        <v>19886</v>
      </c>
      <c r="D144" s="118">
        <v>4350</v>
      </c>
      <c r="E144" s="118">
        <v>15536</v>
      </c>
      <c r="F144" s="118">
        <v>1132</v>
      </c>
      <c r="G144" s="118">
        <v>0</v>
      </c>
      <c r="H144" s="118">
        <v>0</v>
      </c>
      <c r="I144" s="118">
        <v>-439</v>
      </c>
    </row>
    <row r="145" spans="2:9" x14ac:dyDescent="0.2">
      <c r="B145" s="130" t="s">
        <v>61</v>
      </c>
      <c r="C145" s="118">
        <v>109844</v>
      </c>
      <c r="D145" s="118">
        <v>247</v>
      </c>
      <c r="E145" s="118">
        <v>109597</v>
      </c>
      <c r="F145" s="118">
        <v>1860</v>
      </c>
      <c r="G145" s="118">
        <v>0</v>
      </c>
      <c r="H145" s="118">
        <v>0</v>
      </c>
      <c r="I145" s="118">
        <v>1069</v>
      </c>
    </row>
    <row r="146" spans="2:9" x14ac:dyDescent="0.2">
      <c r="B146" s="130" t="s">
        <v>64</v>
      </c>
      <c r="C146" s="118">
        <v>1548</v>
      </c>
      <c r="D146" s="118">
        <v>170</v>
      </c>
      <c r="E146" s="118">
        <v>1378</v>
      </c>
      <c r="F146" s="118">
        <v>0</v>
      </c>
      <c r="G146" s="118">
        <v>0</v>
      </c>
      <c r="H146" s="118">
        <v>0</v>
      </c>
      <c r="I146" s="118">
        <v>1</v>
      </c>
    </row>
    <row r="147" spans="2:9" x14ac:dyDescent="0.2">
      <c r="B147" s="130" t="s">
        <v>870</v>
      </c>
      <c r="C147" s="118">
        <v>1</v>
      </c>
      <c r="D147" s="118">
        <v>0</v>
      </c>
      <c r="E147" s="118">
        <v>1</v>
      </c>
      <c r="F147" s="118">
        <v>0</v>
      </c>
      <c r="G147" s="118">
        <v>0</v>
      </c>
      <c r="H147" s="118">
        <v>0</v>
      </c>
      <c r="I147" s="118">
        <v>0</v>
      </c>
    </row>
    <row r="148" spans="2:9" x14ac:dyDescent="0.2">
      <c r="B148" s="130" t="s">
        <v>117</v>
      </c>
      <c r="C148" s="118">
        <v>34389</v>
      </c>
      <c r="D148" s="118">
        <v>7439</v>
      </c>
      <c r="E148" s="118">
        <v>26950</v>
      </c>
      <c r="F148" s="118">
        <v>19148</v>
      </c>
      <c r="G148" s="118">
        <v>0</v>
      </c>
      <c r="H148" s="118">
        <v>0</v>
      </c>
      <c r="I148" s="118">
        <v>1624</v>
      </c>
    </row>
    <row r="149" spans="2:9" x14ac:dyDescent="0.2">
      <c r="B149" s="130" t="s">
        <v>781</v>
      </c>
      <c r="C149" s="118">
        <v>4892</v>
      </c>
      <c r="D149" s="118">
        <v>3</v>
      </c>
      <c r="E149" s="118">
        <v>4889</v>
      </c>
      <c r="F149" s="118">
        <v>4</v>
      </c>
      <c r="G149" s="118">
        <v>0</v>
      </c>
      <c r="H149" s="118">
        <v>0</v>
      </c>
      <c r="I149" s="118">
        <v>-18</v>
      </c>
    </row>
    <row r="150" spans="2:9" x14ac:dyDescent="0.2">
      <c r="B150" s="127" t="s">
        <v>1139</v>
      </c>
      <c r="C150" s="120">
        <f>SUM(C143:C149)</f>
        <v>262498</v>
      </c>
      <c r="D150" s="120">
        <f>SUM(D143:D149)</f>
        <v>44332</v>
      </c>
      <c r="E150" s="120">
        <f>SUM(E143:E149)</f>
        <v>218166</v>
      </c>
      <c r="F150" s="120">
        <f>SUM(F143:F149)</f>
        <v>42630</v>
      </c>
      <c r="G150" s="120"/>
      <c r="H150" s="120"/>
      <c r="I150" s="120">
        <f>SUM(I143:I149)</f>
        <v>4422</v>
      </c>
    </row>
    <row r="152" spans="2:9" x14ac:dyDescent="0.2">
      <c r="B152" s="130" t="s">
        <v>59</v>
      </c>
      <c r="C152" s="118">
        <v>76338</v>
      </c>
      <c r="D152" s="118">
        <v>18708</v>
      </c>
      <c r="E152" s="118">
        <v>57630</v>
      </c>
      <c r="F152" s="118">
        <v>92878</v>
      </c>
      <c r="G152" s="118">
        <v>0</v>
      </c>
      <c r="H152" s="118">
        <v>0</v>
      </c>
      <c r="I152" s="118">
        <v>16963</v>
      </c>
    </row>
    <row r="153" spans="2:9" x14ac:dyDescent="0.2">
      <c r="B153" s="130" t="s">
        <v>148</v>
      </c>
      <c r="C153" s="118">
        <v>22415</v>
      </c>
      <c r="D153" s="118">
        <v>6440</v>
      </c>
      <c r="E153" s="118">
        <v>15975</v>
      </c>
      <c r="F153" s="118">
        <v>30786</v>
      </c>
      <c r="G153" s="118">
        <v>0</v>
      </c>
      <c r="H153" s="118">
        <v>0</v>
      </c>
      <c r="I153" s="118">
        <v>-1702</v>
      </c>
    </row>
    <row r="154" spans="2:9" x14ac:dyDescent="0.2">
      <c r="B154" s="130" t="s">
        <v>61</v>
      </c>
      <c r="C154" s="118">
        <v>108783</v>
      </c>
      <c r="D154" s="118">
        <v>255</v>
      </c>
      <c r="E154" s="118">
        <v>108528</v>
      </c>
      <c r="F154" s="118">
        <v>5733</v>
      </c>
      <c r="G154" s="118">
        <v>0</v>
      </c>
      <c r="H154" s="118">
        <v>0</v>
      </c>
      <c r="I154" s="118">
        <v>2827</v>
      </c>
    </row>
    <row r="155" spans="2:9" x14ac:dyDescent="0.2">
      <c r="B155" s="130" t="s">
        <v>64</v>
      </c>
      <c r="C155" s="118">
        <v>1547</v>
      </c>
      <c r="D155" s="118">
        <v>170</v>
      </c>
      <c r="E155" s="118">
        <v>1377</v>
      </c>
      <c r="F155" s="118">
        <v>0</v>
      </c>
      <c r="G155" s="118">
        <v>0</v>
      </c>
      <c r="H155" s="118">
        <v>0</v>
      </c>
      <c r="I155" s="118">
        <v>33</v>
      </c>
    </row>
    <row r="156" spans="2:9" x14ac:dyDescent="0.2">
      <c r="B156" s="130" t="s">
        <v>870</v>
      </c>
      <c r="C156" s="118">
        <v>1</v>
      </c>
      <c r="D156" s="118">
        <v>0</v>
      </c>
      <c r="E156" s="118">
        <v>1</v>
      </c>
      <c r="F156" s="118">
        <v>0</v>
      </c>
      <c r="G156" s="118">
        <v>0</v>
      </c>
      <c r="H156" s="118">
        <v>0</v>
      </c>
      <c r="I156" s="118">
        <v>0</v>
      </c>
    </row>
    <row r="157" spans="2:9" x14ac:dyDescent="0.2">
      <c r="B157" s="130" t="s">
        <v>117</v>
      </c>
      <c r="C157" s="118">
        <v>33564</v>
      </c>
      <c r="D157" s="118">
        <v>8238</v>
      </c>
      <c r="E157" s="118">
        <v>25326</v>
      </c>
      <c r="F157" s="118">
        <v>60107</v>
      </c>
      <c r="G157" s="118">
        <v>0</v>
      </c>
      <c r="H157" s="118">
        <v>0</v>
      </c>
      <c r="I157" s="118">
        <v>10574</v>
      </c>
    </row>
    <row r="158" spans="2:9" x14ac:dyDescent="0.2">
      <c r="B158" s="130" t="s">
        <v>781</v>
      </c>
      <c r="C158" s="118">
        <v>4924</v>
      </c>
      <c r="D158" s="118">
        <v>17</v>
      </c>
      <c r="E158" s="118">
        <v>4907</v>
      </c>
      <c r="F158" s="118">
        <v>17</v>
      </c>
      <c r="G158" s="118">
        <v>0</v>
      </c>
      <c r="H158" s="118">
        <v>0</v>
      </c>
      <c r="I158" s="118">
        <v>-9</v>
      </c>
    </row>
    <row r="159" spans="2:9" x14ac:dyDescent="0.2">
      <c r="B159" s="127" t="s">
        <v>1120</v>
      </c>
      <c r="C159" s="120">
        <f>SUM(C152:C158)</f>
        <v>247572</v>
      </c>
      <c r="D159" s="120">
        <f>SUM(D152:D158)</f>
        <v>33828</v>
      </c>
      <c r="E159" s="120">
        <f>SUM(E152:E158)</f>
        <v>213744</v>
      </c>
      <c r="F159" s="120">
        <f>SUM(F152:F158)</f>
        <v>189521</v>
      </c>
      <c r="G159" s="120"/>
      <c r="H159" s="120"/>
      <c r="I159" s="120">
        <f>SUM(I152:I158)</f>
        <v>28686</v>
      </c>
    </row>
    <row r="161" spans="2:9" x14ac:dyDescent="0.2">
      <c r="B161" s="130" t="s">
        <v>59</v>
      </c>
      <c r="C161" s="118">
        <v>96972</v>
      </c>
      <c r="D161" s="118">
        <v>43726</v>
      </c>
      <c r="E161" s="118">
        <v>53246</v>
      </c>
      <c r="F161" s="118">
        <v>69777</v>
      </c>
      <c r="G161" s="118">
        <v>0</v>
      </c>
      <c r="H161" s="118">
        <v>0</v>
      </c>
      <c r="I161" s="118">
        <v>12580</v>
      </c>
    </row>
    <row r="162" spans="2:9" x14ac:dyDescent="0.2">
      <c r="B162" s="130" t="s">
        <v>1092</v>
      </c>
      <c r="C162" s="118">
        <v>1</v>
      </c>
      <c r="D162" s="118">
        <v>0</v>
      </c>
      <c r="E162" s="118">
        <v>1</v>
      </c>
      <c r="F162" s="118">
        <v>0</v>
      </c>
      <c r="G162" s="118">
        <v>0</v>
      </c>
      <c r="H162" s="118">
        <v>0</v>
      </c>
      <c r="I162" s="118">
        <v>0</v>
      </c>
    </row>
    <row r="163" spans="2:9" x14ac:dyDescent="0.2">
      <c r="B163" s="130" t="s">
        <v>148</v>
      </c>
      <c r="C163" s="118">
        <v>28195</v>
      </c>
      <c r="D163" s="118">
        <v>8567</v>
      </c>
      <c r="E163" s="118">
        <v>19628</v>
      </c>
      <c r="F163" s="118">
        <v>26242</v>
      </c>
      <c r="G163" s="118">
        <v>0</v>
      </c>
      <c r="H163" s="118">
        <v>0</v>
      </c>
      <c r="I163" s="118">
        <v>1951</v>
      </c>
    </row>
    <row r="164" spans="2:9" x14ac:dyDescent="0.2">
      <c r="B164" s="130" t="s">
        <v>61</v>
      </c>
      <c r="C164" s="118">
        <v>107650</v>
      </c>
      <c r="D164" s="118">
        <v>217</v>
      </c>
      <c r="E164" s="118">
        <v>107433</v>
      </c>
      <c r="F164" s="118">
        <v>3822</v>
      </c>
      <c r="G164" s="118">
        <v>0</v>
      </c>
      <c r="H164" s="118">
        <v>0</v>
      </c>
      <c r="I164" s="118">
        <v>1732</v>
      </c>
    </row>
    <row r="165" spans="2:9" x14ac:dyDescent="0.2">
      <c r="B165" s="130" t="s">
        <v>64</v>
      </c>
      <c r="C165" s="118">
        <v>2726</v>
      </c>
      <c r="D165" s="118">
        <v>190</v>
      </c>
      <c r="E165" s="118">
        <v>2536</v>
      </c>
      <c r="F165" s="118">
        <v>0</v>
      </c>
      <c r="G165" s="118">
        <v>0</v>
      </c>
      <c r="H165" s="118">
        <v>0</v>
      </c>
      <c r="I165" s="118">
        <v>22</v>
      </c>
    </row>
    <row r="166" spans="2:9" x14ac:dyDescent="0.2">
      <c r="B166" s="130" t="s">
        <v>870</v>
      </c>
      <c r="C166" s="118">
        <v>1</v>
      </c>
      <c r="D166" s="118">
        <v>0</v>
      </c>
      <c r="E166" s="118">
        <v>1</v>
      </c>
      <c r="F166" s="118">
        <v>0</v>
      </c>
      <c r="G166" s="118">
        <v>0</v>
      </c>
      <c r="H166" s="118">
        <v>0</v>
      </c>
      <c r="I166" s="118">
        <v>0</v>
      </c>
    </row>
    <row r="167" spans="2:9" x14ac:dyDescent="0.2">
      <c r="B167" s="130" t="s">
        <v>117</v>
      </c>
      <c r="C167" s="118">
        <v>31405</v>
      </c>
      <c r="D167" s="118">
        <v>9088</v>
      </c>
      <c r="E167" s="118">
        <v>22317</v>
      </c>
      <c r="F167" s="118">
        <v>40255</v>
      </c>
      <c r="G167" s="118">
        <v>0</v>
      </c>
      <c r="H167" s="118">
        <v>0</v>
      </c>
      <c r="I167" s="118">
        <v>7565</v>
      </c>
    </row>
    <row r="168" spans="2:9" x14ac:dyDescent="0.2">
      <c r="B168" s="130" t="s">
        <v>781</v>
      </c>
      <c r="C168" s="118">
        <v>4648</v>
      </c>
      <c r="D168" s="118">
        <v>7</v>
      </c>
      <c r="E168" s="118">
        <v>4641</v>
      </c>
      <c r="F168" s="118">
        <v>13</v>
      </c>
      <c r="G168" s="118">
        <v>0</v>
      </c>
      <c r="H168" s="118">
        <v>0</v>
      </c>
      <c r="I168" s="118">
        <v>-40</v>
      </c>
    </row>
    <row r="169" spans="2:9" x14ac:dyDescent="0.2">
      <c r="B169" s="127" t="s">
        <v>1095</v>
      </c>
      <c r="C169" s="120">
        <f>SUM(C161:C168)</f>
        <v>271598</v>
      </c>
      <c r="D169" s="120">
        <f>SUM(D161:D168)</f>
        <v>61795</v>
      </c>
      <c r="E169" s="120">
        <f>SUM(E161:E168)</f>
        <v>209803</v>
      </c>
      <c r="F169" s="120">
        <f>SUM(F161:F168)</f>
        <v>140109</v>
      </c>
      <c r="G169" s="120"/>
      <c r="H169" s="120"/>
      <c r="I169" s="120">
        <f>SUM(I161:I168)</f>
        <v>23810</v>
      </c>
    </row>
    <row r="171" spans="2:9" x14ac:dyDescent="0.2">
      <c r="B171" s="130" t="s">
        <v>59</v>
      </c>
      <c r="C171" s="118">
        <v>94901</v>
      </c>
      <c r="D171" s="118">
        <v>46098</v>
      </c>
      <c r="E171" s="118">
        <v>48803</v>
      </c>
      <c r="F171" s="118">
        <v>46230</v>
      </c>
      <c r="G171" s="118">
        <v>0</v>
      </c>
      <c r="H171" s="118">
        <v>0</v>
      </c>
      <c r="I171" s="118">
        <v>8137</v>
      </c>
    </row>
    <row r="172" spans="2:9" x14ac:dyDescent="0.2">
      <c r="B172" s="130" t="s">
        <v>1092</v>
      </c>
      <c r="C172" s="118">
        <v>1</v>
      </c>
      <c r="D172" s="118">
        <v>0</v>
      </c>
      <c r="E172" s="118">
        <v>1</v>
      </c>
      <c r="F172" s="118">
        <v>0</v>
      </c>
      <c r="G172" s="118">
        <v>0</v>
      </c>
      <c r="H172" s="118">
        <v>0</v>
      </c>
      <c r="I172" s="118">
        <v>0</v>
      </c>
    </row>
    <row r="173" spans="2:9" x14ac:dyDescent="0.2">
      <c r="B173" s="130" t="s">
        <v>148</v>
      </c>
      <c r="C173" s="118">
        <v>31201</v>
      </c>
      <c r="D173" s="118">
        <v>12052</v>
      </c>
      <c r="E173" s="118">
        <v>19149</v>
      </c>
      <c r="F173" s="118">
        <v>18045</v>
      </c>
      <c r="G173" s="118">
        <v>0</v>
      </c>
      <c r="H173" s="118">
        <v>0</v>
      </c>
      <c r="I173" s="118">
        <v>1472</v>
      </c>
    </row>
    <row r="174" spans="2:9" x14ac:dyDescent="0.2">
      <c r="B174" s="130" t="s">
        <v>61</v>
      </c>
      <c r="C174" s="118">
        <v>107101</v>
      </c>
      <c r="D174" s="118">
        <v>236</v>
      </c>
      <c r="E174" s="118">
        <v>106865</v>
      </c>
      <c r="F174" s="118">
        <v>2525</v>
      </c>
      <c r="G174" s="118">
        <v>0</v>
      </c>
      <c r="H174" s="118">
        <v>0</v>
      </c>
      <c r="I174" s="118">
        <v>1164</v>
      </c>
    </row>
    <row r="175" spans="2:9" x14ac:dyDescent="0.2">
      <c r="B175" s="130" t="s">
        <v>64</v>
      </c>
      <c r="C175" s="118">
        <v>2724</v>
      </c>
      <c r="D175" s="118">
        <v>191</v>
      </c>
      <c r="E175" s="118">
        <v>2533</v>
      </c>
      <c r="F175" s="118">
        <v>0</v>
      </c>
      <c r="G175" s="118">
        <v>0</v>
      </c>
      <c r="H175" s="118">
        <v>0</v>
      </c>
      <c r="I175" s="118">
        <v>19</v>
      </c>
    </row>
    <row r="176" spans="2:9" x14ac:dyDescent="0.2">
      <c r="B176" s="130" t="s">
        <v>870</v>
      </c>
      <c r="C176" s="118">
        <v>1</v>
      </c>
      <c r="D176" s="118">
        <v>0</v>
      </c>
      <c r="E176" s="118">
        <v>1</v>
      </c>
      <c r="F176" s="118">
        <v>0</v>
      </c>
      <c r="G176" s="118">
        <v>0</v>
      </c>
      <c r="H176" s="118">
        <v>0</v>
      </c>
      <c r="I176" s="118">
        <v>0</v>
      </c>
    </row>
    <row r="177" spans="1:9" x14ac:dyDescent="0.2">
      <c r="B177" s="130" t="s">
        <v>117</v>
      </c>
      <c r="C177" s="118">
        <v>27614</v>
      </c>
      <c r="D177" s="118">
        <v>7765</v>
      </c>
      <c r="E177" s="118">
        <v>19849</v>
      </c>
      <c r="F177" s="118">
        <v>23591</v>
      </c>
      <c r="G177" s="118">
        <v>0</v>
      </c>
      <c r="H177" s="118">
        <v>0</v>
      </c>
      <c r="I177" s="118">
        <v>5097</v>
      </c>
    </row>
    <row r="178" spans="1:9" x14ac:dyDescent="0.2">
      <c r="B178" s="130" t="s">
        <v>781</v>
      </c>
      <c r="C178" s="118">
        <v>4634</v>
      </c>
      <c r="D178" s="118">
        <v>10</v>
      </c>
      <c r="E178" s="118">
        <v>4624</v>
      </c>
      <c r="F178" s="118">
        <v>8</v>
      </c>
      <c r="G178" s="118">
        <v>0</v>
      </c>
      <c r="H178" s="118">
        <v>0</v>
      </c>
      <c r="I178" s="118">
        <v>-27</v>
      </c>
    </row>
    <row r="179" spans="1:9" x14ac:dyDescent="0.2">
      <c r="B179" s="127" t="s">
        <v>1032</v>
      </c>
      <c r="C179" s="120">
        <f>SUM(C171:C178)</f>
        <v>268177</v>
      </c>
      <c r="D179" s="120">
        <f>SUM(D171:D178)</f>
        <v>66352</v>
      </c>
      <c r="E179" s="120">
        <f>SUM(E171:E178)</f>
        <v>201825</v>
      </c>
      <c r="F179" s="120">
        <f>SUM(F171:F178)</f>
        <v>90399</v>
      </c>
      <c r="G179" s="120"/>
      <c r="H179" s="120"/>
      <c r="I179" s="120">
        <f>SUM(I171:I178)</f>
        <v>15862</v>
      </c>
    </row>
    <row r="181" spans="1:9" x14ac:dyDescent="0.2">
      <c r="B181" s="130" t="s">
        <v>59</v>
      </c>
      <c r="C181" s="118">
        <v>88814</v>
      </c>
      <c r="D181" s="118">
        <v>23398</v>
      </c>
      <c r="E181" s="118">
        <v>65416</v>
      </c>
      <c r="F181" s="118">
        <v>20579</v>
      </c>
      <c r="G181" s="118">
        <v>0</v>
      </c>
      <c r="H181" s="118">
        <v>0</v>
      </c>
      <c r="I181" s="118">
        <v>3433</v>
      </c>
    </row>
    <row r="182" spans="1:9" x14ac:dyDescent="0.2">
      <c r="B182" s="130" t="s">
        <v>1092</v>
      </c>
      <c r="C182" s="118">
        <v>1</v>
      </c>
      <c r="D182" s="118">
        <v>0</v>
      </c>
      <c r="E182" s="118">
        <v>1</v>
      </c>
      <c r="F182" s="118">
        <v>0</v>
      </c>
      <c r="G182" s="118">
        <v>0</v>
      </c>
      <c r="H182" s="118">
        <v>0</v>
      </c>
      <c r="I182" s="118">
        <v>0</v>
      </c>
    </row>
    <row r="183" spans="1:9" x14ac:dyDescent="0.2">
      <c r="B183" s="130" t="s">
        <v>148</v>
      </c>
      <c r="C183" s="118">
        <v>30460</v>
      </c>
      <c r="D183" s="118">
        <v>12679</v>
      </c>
      <c r="E183" s="118">
        <v>17781</v>
      </c>
      <c r="F183" s="118">
        <v>7641</v>
      </c>
      <c r="G183" s="118">
        <v>0</v>
      </c>
      <c r="H183" s="118">
        <v>0</v>
      </c>
      <c r="I183" s="118">
        <v>104</v>
      </c>
    </row>
    <row r="184" spans="1:9" x14ac:dyDescent="0.2">
      <c r="B184" s="130" t="s">
        <v>61</v>
      </c>
      <c r="C184" s="118">
        <v>108734</v>
      </c>
      <c r="D184" s="118">
        <v>573</v>
      </c>
      <c r="E184" s="118">
        <v>108161</v>
      </c>
      <c r="F184" s="118">
        <v>1240</v>
      </c>
      <c r="G184" s="118">
        <v>0</v>
      </c>
      <c r="H184" s="118">
        <v>0</v>
      </c>
      <c r="I184" s="118">
        <v>582</v>
      </c>
    </row>
    <row r="185" spans="1:9" x14ac:dyDescent="0.2">
      <c r="B185" s="130" t="s">
        <v>64</v>
      </c>
      <c r="C185" s="118">
        <v>2839</v>
      </c>
      <c r="D185" s="118">
        <v>163</v>
      </c>
      <c r="E185" s="118">
        <v>2676</v>
      </c>
      <c r="F185" s="118">
        <v>0</v>
      </c>
      <c r="G185" s="118">
        <v>0</v>
      </c>
      <c r="H185" s="118">
        <v>0</v>
      </c>
      <c r="I185" s="118">
        <v>12</v>
      </c>
    </row>
    <row r="186" spans="1:9" x14ac:dyDescent="0.2">
      <c r="B186" s="130" t="s">
        <v>870</v>
      </c>
      <c r="C186" s="118">
        <v>1</v>
      </c>
      <c r="D186" s="118">
        <v>0</v>
      </c>
      <c r="E186" s="118">
        <v>1</v>
      </c>
      <c r="F186" s="118">
        <v>0</v>
      </c>
      <c r="G186" s="118">
        <v>0</v>
      </c>
      <c r="H186" s="118">
        <v>0</v>
      </c>
      <c r="I186" s="118">
        <v>0</v>
      </c>
    </row>
    <row r="187" spans="1:9" x14ac:dyDescent="0.2">
      <c r="B187" s="130" t="s">
        <v>117</v>
      </c>
      <c r="C187" s="118">
        <v>26396</v>
      </c>
      <c r="D187" s="118">
        <v>8313</v>
      </c>
      <c r="E187" s="118">
        <v>18083</v>
      </c>
      <c r="F187" s="118">
        <v>15676</v>
      </c>
      <c r="G187" s="118">
        <v>0</v>
      </c>
      <c r="H187" s="118">
        <v>0</v>
      </c>
      <c r="I187" s="118">
        <v>3331</v>
      </c>
    </row>
    <row r="188" spans="1:9" x14ac:dyDescent="0.2">
      <c r="B188" s="130" t="s">
        <v>781</v>
      </c>
      <c r="C188" s="118">
        <v>4500</v>
      </c>
      <c r="D188" s="118">
        <v>4</v>
      </c>
      <c r="E188" s="118">
        <v>4496</v>
      </c>
      <c r="F188" s="118">
        <v>4</v>
      </c>
      <c r="G188" s="118">
        <v>0</v>
      </c>
      <c r="H188" s="118">
        <v>0</v>
      </c>
      <c r="I188" s="118">
        <v>-21</v>
      </c>
    </row>
    <row r="189" spans="1:9" x14ac:dyDescent="0.2">
      <c r="B189" s="127" t="s">
        <v>1031</v>
      </c>
      <c r="C189" s="120">
        <f>SUM(C181:C188)</f>
        <v>261745</v>
      </c>
      <c r="D189" s="120">
        <f>SUM(D181:D188)</f>
        <v>45130</v>
      </c>
      <c r="E189" s="120">
        <f>SUM(E181:E188)</f>
        <v>216615</v>
      </c>
      <c r="F189" s="120">
        <f>SUM(F181:F188)</f>
        <v>45140</v>
      </c>
      <c r="G189" s="120"/>
      <c r="H189" s="120"/>
      <c r="I189" s="120">
        <f>SUM(I181:I188)</f>
        <v>7441</v>
      </c>
    </row>
    <row r="191" spans="1:9" x14ac:dyDescent="0.2">
      <c r="A191" s="841" t="s">
        <v>998</v>
      </c>
      <c r="B191" s="130" t="s">
        <v>59</v>
      </c>
      <c r="C191" s="118">
        <v>75911</v>
      </c>
      <c r="D191" s="118">
        <v>22654</v>
      </c>
      <c r="E191" s="118">
        <v>53257</v>
      </c>
      <c r="F191" s="118">
        <v>83993</v>
      </c>
      <c r="G191" s="118">
        <v>0</v>
      </c>
      <c r="H191" s="118">
        <v>0</v>
      </c>
      <c r="I191" s="118">
        <v>18704</v>
      </c>
    </row>
    <row r="192" spans="1:9" x14ac:dyDescent="0.2">
      <c r="B192" s="130" t="s">
        <v>148</v>
      </c>
      <c r="C192" s="118">
        <v>39365</v>
      </c>
      <c r="D192" s="118">
        <v>15942</v>
      </c>
      <c r="E192" s="118">
        <v>23423</v>
      </c>
      <c r="F192" s="118">
        <v>32165</v>
      </c>
      <c r="G192" s="118">
        <v>0</v>
      </c>
      <c r="H192" s="118">
        <v>0</v>
      </c>
      <c r="I192" s="118">
        <v>-2676</v>
      </c>
    </row>
    <row r="193" spans="2:9" x14ac:dyDescent="0.2">
      <c r="B193" s="130" t="s">
        <v>61</v>
      </c>
      <c r="C193" s="118">
        <v>107807</v>
      </c>
      <c r="D193" s="118">
        <v>228</v>
      </c>
      <c r="E193" s="118">
        <v>107579</v>
      </c>
      <c r="F193" s="118">
        <v>4776</v>
      </c>
      <c r="G193" s="118">
        <v>0</v>
      </c>
      <c r="H193" s="118">
        <v>0</v>
      </c>
      <c r="I193" s="118">
        <v>2596</v>
      </c>
    </row>
    <row r="194" spans="2:9" x14ac:dyDescent="0.2">
      <c r="B194" s="130" t="s">
        <v>64</v>
      </c>
      <c r="C194" s="118">
        <v>2827</v>
      </c>
      <c r="D194" s="118">
        <v>163</v>
      </c>
      <c r="E194" s="118">
        <v>2664</v>
      </c>
      <c r="F194" s="118">
        <v>0</v>
      </c>
      <c r="G194" s="118">
        <v>0</v>
      </c>
      <c r="H194" s="118">
        <v>0</v>
      </c>
      <c r="I194" s="118">
        <v>24</v>
      </c>
    </row>
    <row r="195" spans="2:9" x14ac:dyDescent="0.2">
      <c r="B195" s="130" t="s">
        <v>870</v>
      </c>
      <c r="C195" s="118">
        <v>1</v>
      </c>
      <c r="D195" s="118">
        <v>0</v>
      </c>
      <c r="E195" s="118">
        <v>1</v>
      </c>
      <c r="F195" s="118">
        <v>0</v>
      </c>
      <c r="G195" s="118">
        <v>0</v>
      </c>
      <c r="H195" s="118">
        <v>0</v>
      </c>
      <c r="I195" s="118">
        <v>0</v>
      </c>
    </row>
    <row r="196" spans="2:9" x14ac:dyDescent="0.2">
      <c r="B196" s="130" t="s">
        <v>117</v>
      </c>
      <c r="C196" s="118">
        <v>23956</v>
      </c>
      <c r="D196" s="118">
        <v>9204</v>
      </c>
      <c r="E196" s="118">
        <v>14752</v>
      </c>
      <c r="F196" s="118">
        <v>49416</v>
      </c>
      <c r="G196" s="118">
        <v>0</v>
      </c>
      <c r="H196" s="118">
        <v>0</v>
      </c>
      <c r="I196" s="118">
        <v>-496</v>
      </c>
    </row>
    <row r="197" spans="2:9" x14ac:dyDescent="0.2">
      <c r="B197" s="130" t="s">
        <v>781</v>
      </c>
      <c r="C197" s="118">
        <v>4525</v>
      </c>
      <c r="D197" s="118">
        <v>8</v>
      </c>
      <c r="E197" s="118">
        <v>4517</v>
      </c>
      <c r="F197" s="118">
        <v>25</v>
      </c>
      <c r="G197" s="118">
        <v>0</v>
      </c>
      <c r="H197" s="118">
        <v>0</v>
      </c>
      <c r="I197" s="118">
        <v>-133</v>
      </c>
    </row>
    <row r="198" spans="2:9" x14ac:dyDescent="0.2">
      <c r="B198" s="127" t="s">
        <v>974</v>
      </c>
      <c r="C198" s="120">
        <f>SUM(C191:C197)</f>
        <v>254392</v>
      </c>
      <c r="D198" s="120">
        <f>SUM(D191:D197)</f>
        <v>48199</v>
      </c>
      <c r="E198" s="120">
        <f>SUM(E191:E197)</f>
        <v>206193</v>
      </c>
      <c r="F198" s="120">
        <f>SUM(F191:F197)</f>
        <v>170375</v>
      </c>
      <c r="G198" s="120"/>
      <c r="H198" s="120"/>
      <c r="I198" s="120">
        <f>SUM(I191:I197)</f>
        <v>18019</v>
      </c>
    </row>
    <row r="200" spans="2:9" x14ac:dyDescent="0.2">
      <c r="B200" s="130" t="s">
        <v>59</v>
      </c>
      <c r="C200" s="118">
        <v>66495</v>
      </c>
      <c r="D200" s="118">
        <v>23220</v>
      </c>
      <c r="E200" s="118">
        <v>43275</v>
      </c>
      <c r="F200" s="118">
        <v>63548</v>
      </c>
      <c r="G200" s="118">
        <v>0</v>
      </c>
      <c r="H200" s="118">
        <v>0</v>
      </c>
      <c r="I200" s="118">
        <v>8722</v>
      </c>
    </row>
    <row r="201" spans="2:9" x14ac:dyDescent="0.2">
      <c r="B201" s="130" t="s">
        <v>148</v>
      </c>
      <c r="C201" s="118">
        <v>41646</v>
      </c>
      <c r="D201" s="118">
        <v>17120</v>
      </c>
      <c r="E201" s="118">
        <v>24526</v>
      </c>
      <c r="F201" s="118">
        <v>22828</v>
      </c>
      <c r="G201" s="118">
        <v>0</v>
      </c>
      <c r="H201" s="118">
        <v>0</v>
      </c>
      <c r="I201" s="118">
        <v>-1573</v>
      </c>
    </row>
    <row r="202" spans="2:9" x14ac:dyDescent="0.2">
      <c r="B202" s="130" t="s">
        <v>61</v>
      </c>
      <c r="C202" s="118">
        <v>85048</v>
      </c>
      <c r="D202" s="118">
        <v>167</v>
      </c>
      <c r="E202" s="118">
        <v>84881</v>
      </c>
      <c r="F202" s="118">
        <v>3562</v>
      </c>
      <c r="G202" s="118">
        <v>0</v>
      </c>
      <c r="H202" s="118">
        <v>0</v>
      </c>
      <c r="I202" s="118">
        <v>1929</v>
      </c>
    </row>
    <row r="203" spans="2:9" x14ac:dyDescent="0.2">
      <c r="B203" s="130" t="s">
        <v>64</v>
      </c>
      <c r="C203" s="118">
        <v>2811</v>
      </c>
      <c r="D203" s="118">
        <v>165</v>
      </c>
      <c r="E203" s="118">
        <v>2646</v>
      </c>
      <c r="F203" s="118">
        <v>0</v>
      </c>
      <c r="G203" s="118">
        <v>0</v>
      </c>
      <c r="H203" s="118">
        <v>0</v>
      </c>
      <c r="I203" s="118">
        <v>6</v>
      </c>
    </row>
    <row r="204" spans="2:9" x14ac:dyDescent="0.2">
      <c r="B204" s="130" t="s">
        <v>870</v>
      </c>
      <c r="C204" s="118">
        <v>1</v>
      </c>
      <c r="D204" s="118">
        <v>0</v>
      </c>
      <c r="E204" s="118">
        <v>1</v>
      </c>
      <c r="F204" s="118">
        <v>0</v>
      </c>
      <c r="G204" s="118">
        <v>0</v>
      </c>
      <c r="H204" s="118">
        <v>0</v>
      </c>
      <c r="I204" s="118">
        <v>0</v>
      </c>
    </row>
    <row r="205" spans="2:9" x14ac:dyDescent="0.2">
      <c r="B205" s="130" t="s">
        <v>117</v>
      </c>
      <c r="C205" s="118">
        <v>24646</v>
      </c>
      <c r="D205" s="118">
        <v>7829</v>
      </c>
      <c r="E205" s="118">
        <v>16817</v>
      </c>
      <c r="F205" s="118">
        <v>30576</v>
      </c>
      <c r="G205" s="118">
        <v>0</v>
      </c>
      <c r="H205" s="118">
        <v>0</v>
      </c>
      <c r="I205" s="118">
        <v>1569</v>
      </c>
    </row>
    <row r="206" spans="2:9" x14ac:dyDescent="0.2">
      <c r="B206" s="130" t="s">
        <v>781</v>
      </c>
      <c r="C206" s="118">
        <v>4546</v>
      </c>
      <c r="D206" s="118">
        <v>9</v>
      </c>
      <c r="E206" s="118">
        <v>4537</v>
      </c>
      <c r="F206" s="118">
        <v>21</v>
      </c>
      <c r="G206" s="118">
        <v>0</v>
      </c>
      <c r="H206" s="118">
        <v>0</v>
      </c>
      <c r="I206" s="118">
        <v>-113</v>
      </c>
    </row>
    <row r="207" spans="2:9" x14ac:dyDescent="0.2">
      <c r="B207" s="127" t="s">
        <v>945</v>
      </c>
      <c r="C207" s="120">
        <f>SUM(C200:C206)</f>
        <v>225193</v>
      </c>
      <c r="D207" s="120">
        <f>SUM(D200:D206)</f>
        <v>48510</v>
      </c>
      <c r="E207" s="120">
        <f>SUM(E200:E206)</f>
        <v>176683</v>
      </c>
      <c r="F207" s="120">
        <f>SUM(F200:F206)</f>
        <v>120535</v>
      </c>
      <c r="G207" s="120"/>
      <c r="H207" s="120"/>
      <c r="I207" s="120">
        <f>SUM(I200:I206)</f>
        <v>10540</v>
      </c>
    </row>
    <row r="208" spans="2:9" s="28" customFormat="1" x14ac:dyDescent="0.2">
      <c r="B208" s="154"/>
      <c r="C208" s="155"/>
      <c r="D208" s="155"/>
      <c r="E208" s="155"/>
      <c r="F208" s="155"/>
      <c r="G208" s="155"/>
      <c r="H208" s="155"/>
      <c r="I208" s="155"/>
    </row>
    <row r="209" spans="2:9" x14ac:dyDescent="0.2">
      <c r="B209" s="130" t="s">
        <v>59</v>
      </c>
      <c r="C209" s="118">
        <v>71943</v>
      </c>
      <c r="D209" s="118">
        <v>33164</v>
      </c>
      <c r="E209" s="118">
        <v>38779</v>
      </c>
      <c r="F209" s="118">
        <v>40877</v>
      </c>
      <c r="G209" s="118">
        <v>0</v>
      </c>
      <c r="H209" s="118">
        <v>0</v>
      </c>
      <c r="I209" s="118">
        <v>5246</v>
      </c>
    </row>
    <row r="210" spans="2:9" x14ac:dyDescent="0.2">
      <c r="B210" s="130" t="s">
        <v>148</v>
      </c>
      <c r="C210" s="118">
        <v>43879</v>
      </c>
      <c r="D210" s="118">
        <v>19022</v>
      </c>
      <c r="E210" s="118">
        <v>24857</v>
      </c>
      <c r="F210" s="118">
        <v>15105</v>
      </c>
      <c r="G210" s="118">
        <v>0</v>
      </c>
      <c r="H210" s="118">
        <v>0</v>
      </c>
      <c r="I210" s="118">
        <v>-1242</v>
      </c>
    </row>
    <row r="211" spans="2:9" x14ac:dyDescent="0.2">
      <c r="B211" s="130" t="s">
        <v>61</v>
      </c>
      <c r="C211" s="118">
        <v>84507</v>
      </c>
      <c r="D211" s="118">
        <v>246</v>
      </c>
      <c r="E211" s="118">
        <v>84261</v>
      </c>
      <c r="F211" s="118">
        <v>2375</v>
      </c>
      <c r="G211" s="118">
        <v>0</v>
      </c>
      <c r="H211" s="118">
        <v>0</v>
      </c>
      <c r="I211" s="118">
        <v>1309</v>
      </c>
    </row>
    <row r="212" spans="2:9" x14ac:dyDescent="0.2">
      <c r="B212" s="130" t="s">
        <v>64</v>
      </c>
      <c r="C212" s="118">
        <v>2756</v>
      </c>
      <c r="D212" s="118">
        <v>70</v>
      </c>
      <c r="E212" s="118">
        <v>2686</v>
      </c>
      <c r="F212" s="118">
        <v>0</v>
      </c>
      <c r="G212" s="118">
        <v>0</v>
      </c>
      <c r="H212" s="118">
        <v>0</v>
      </c>
      <c r="I212" s="118">
        <v>46</v>
      </c>
    </row>
    <row r="213" spans="2:9" x14ac:dyDescent="0.2">
      <c r="B213" s="130" t="s">
        <v>870</v>
      </c>
      <c r="C213" s="118">
        <v>1</v>
      </c>
      <c r="D213" s="118">
        <v>0</v>
      </c>
      <c r="E213" s="118">
        <v>1</v>
      </c>
      <c r="F213" s="118">
        <v>0</v>
      </c>
      <c r="G213" s="118">
        <v>0</v>
      </c>
      <c r="H213" s="118">
        <v>0</v>
      </c>
      <c r="I213" s="118">
        <v>0</v>
      </c>
    </row>
    <row r="214" spans="2:9" x14ac:dyDescent="0.2">
      <c r="B214" s="130" t="s">
        <v>117</v>
      </c>
      <c r="C214" s="118">
        <v>24725</v>
      </c>
      <c r="D214" s="118">
        <v>8725</v>
      </c>
      <c r="E214" s="118">
        <v>16000</v>
      </c>
      <c r="F214" s="118">
        <v>16499</v>
      </c>
      <c r="G214" s="118">
        <v>0</v>
      </c>
      <c r="H214" s="118">
        <v>0</v>
      </c>
      <c r="I214" s="118">
        <v>752</v>
      </c>
    </row>
    <row r="215" spans="2:9" x14ac:dyDescent="0.2">
      <c r="B215" s="130" t="s">
        <v>781</v>
      </c>
      <c r="C215" s="118">
        <v>1435</v>
      </c>
      <c r="D215" s="118">
        <v>5</v>
      </c>
      <c r="E215" s="118">
        <v>1430</v>
      </c>
      <c r="F215" s="118">
        <v>17</v>
      </c>
      <c r="G215" s="118">
        <v>0</v>
      </c>
      <c r="H215" s="118">
        <v>0</v>
      </c>
      <c r="I215" s="118">
        <v>-18</v>
      </c>
    </row>
    <row r="216" spans="2:9" x14ac:dyDescent="0.2">
      <c r="B216" s="127" t="s">
        <v>927</v>
      </c>
      <c r="C216" s="120">
        <f>SUM(C209:C215)</f>
        <v>229246</v>
      </c>
      <c r="D216" s="120">
        <f>SUM(D209:D215)</f>
        <v>61232</v>
      </c>
      <c r="E216" s="120">
        <f>SUM(E209:E215)</f>
        <v>168014</v>
      </c>
      <c r="F216" s="120">
        <f>SUM(F209:F215)</f>
        <v>74873</v>
      </c>
      <c r="G216" s="120"/>
      <c r="H216" s="120"/>
      <c r="I216" s="120">
        <f>SUM(I209:I215)</f>
        <v>6093</v>
      </c>
    </row>
    <row r="217" spans="2:9" x14ac:dyDescent="0.2">
      <c r="B217" s="130"/>
      <c r="C217" s="130"/>
      <c r="D217" s="130"/>
      <c r="E217" s="130"/>
      <c r="F217" s="130"/>
      <c r="G217" s="130"/>
      <c r="H217" s="130"/>
      <c r="I217" s="130"/>
    </row>
    <row r="218" spans="2:9" x14ac:dyDescent="0.2">
      <c r="B218" s="130" t="s">
        <v>59</v>
      </c>
      <c r="C218" s="118">
        <v>60705</v>
      </c>
      <c r="D218" s="118">
        <v>24340</v>
      </c>
      <c r="E218" s="118">
        <v>36365</v>
      </c>
      <c r="F218" s="118">
        <v>20871</v>
      </c>
      <c r="G218" s="118">
        <v>0</v>
      </c>
      <c r="H218" s="118">
        <v>0</v>
      </c>
      <c r="I218" s="118">
        <v>2832</v>
      </c>
    </row>
    <row r="219" spans="2:9" x14ac:dyDescent="0.2">
      <c r="B219" s="130" t="s">
        <v>148</v>
      </c>
      <c r="C219" s="118">
        <v>47302</v>
      </c>
      <c r="D219" s="118">
        <v>21772</v>
      </c>
      <c r="E219" s="118">
        <v>25530</v>
      </c>
      <c r="F219" s="118">
        <v>7452</v>
      </c>
      <c r="G219" s="118">
        <v>0</v>
      </c>
      <c r="H219" s="118">
        <v>0</v>
      </c>
      <c r="I219" s="118">
        <v>-569</v>
      </c>
    </row>
    <row r="220" spans="2:9" x14ac:dyDescent="0.2">
      <c r="B220" s="130" t="s">
        <v>61</v>
      </c>
      <c r="C220" s="118">
        <v>81378</v>
      </c>
      <c r="D220" s="118">
        <v>472</v>
      </c>
      <c r="E220" s="118">
        <v>80906</v>
      </c>
      <c r="F220" s="118">
        <v>915</v>
      </c>
      <c r="G220" s="118">
        <v>0</v>
      </c>
      <c r="H220" s="118">
        <v>0</v>
      </c>
      <c r="I220" s="118">
        <v>454</v>
      </c>
    </row>
    <row r="221" spans="2:9" x14ac:dyDescent="0.2">
      <c r="B221" s="130" t="s">
        <v>64</v>
      </c>
      <c r="C221" s="118">
        <v>2750</v>
      </c>
      <c r="D221" s="118">
        <v>81</v>
      </c>
      <c r="E221" s="118">
        <v>2669</v>
      </c>
      <c r="F221" s="118">
        <v>0</v>
      </c>
      <c r="G221" s="118">
        <v>0</v>
      </c>
      <c r="H221" s="118">
        <v>0</v>
      </c>
      <c r="I221" s="118">
        <v>29</v>
      </c>
    </row>
    <row r="222" spans="2:9" x14ac:dyDescent="0.2">
      <c r="B222" s="130" t="s">
        <v>870</v>
      </c>
      <c r="C222" s="118">
        <v>1</v>
      </c>
      <c r="D222" s="118">
        <v>0</v>
      </c>
      <c r="E222" s="118">
        <v>1</v>
      </c>
      <c r="F222" s="118">
        <v>0</v>
      </c>
      <c r="G222" s="118">
        <v>0</v>
      </c>
      <c r="H222" s="118">
        <v>0</v>
      </c>
      <c r="I222" s="118">
        <v>0</v>
      </c>
    </row>
    <row r="223" spans="2:9" x14ac:dyDescent="0.2">
      <c r="B223" s="130" t="s">
        <v>117</v>
      </c>
      <c r="C223" s="118">
        <v>17317</v>
      </c>
      <c r="D223" s="118">
        <v>2291</v>
      </c>
      <c r="E223" s="118">
        <v>15026</v>
      </c>
      <c r="F223" s="118">
        <v>2398</v>
      </c>
      <c r="G223" s="118">
        <v>0</v>
      </c>
      <c r="H223" s="118">
        <v>0</v>
      </c>
      <c r="I223" s="118">
        <v>-222</v>
      </c>
    </row>
    <row r="224" spans="2:9" x14ac:dyDescent="0.2">
      <c r="B224" s="130" t="s">
        <v>781</v>
      </c>
      <c r="C224" s="118">
        <v>1469</v>
      </c>
      <c r="D224" s="118">
        <v>43</v>
      </c>
      <c r="E224" s="118">
        <v>1426</v>
      </c>
      <c r="F224" s="118">
        <v>12</v>
      </c>
      <c r="G224" s="118">
        <v>0</v>
      </c>
      <c r="H224" s="118">
        <v>0</v>
      </c>
      <c r="I224" s="118">
        <v>-23</v>
      </c>
    </row>
    <row r="225" spans="2:9" x14ac:dyDescent="0.2">
      <c r="B225" s="127" t="s">
        <v>913</v>
      </c>
      <c r="C225" s="120">
        <f>SUM(C218:C224)</f>
        <v>210922</v>
      </c>
      <c r="D225" s="120">
        <f>SUM(D218:D224)</f>
        <v>48999</v>
      </c>
      <c r="E225" s="120">
        <f>SUM(E218:E224)</f>
        <v>161923</v>
      </c>
      <c r="F225" s="120">
        <f>SUM(F218:F224)</f>
        <v>31648</v>
      </c>
      <c r="G225" s="120"/>
      <c r="H225" s="120"/>
      <c r="I225" s="120">
        <f>SUM(I218:I224)</f>
        <v>2501</v>
      </c>
    </row>
    <row r="226" spans="2:9" x14ac:dyDescent="0.2">
      <c r="B226" s="130"/>
      <c r="C226" s="130"/>
      <c r="D226" s="130"/>
      <c r="E226" s="130"/>
      <c r="F226" s="130"/>
      <c r="G226" s="130"/>
      <c r="H226" s="130"/>
      <c r="I226" s="130"/>
    </row>
    <row r="227" spans="2:9" x14ac:dyDescent="0.2">
      <c r="B227" s="130" t="s">
        <v>59</v>
      </c>
      <c r="C227" s="118">
        <v>53384</v>
      </c>
      <c r="D227" s="118">
        <v>19851</v>
      </c>
      <c r="E227" s="118">
        <v>33533</v>
      </c>
      <c r="F227" s="118">
        <v>75975</v>
      </c>
      <c r="G227" s="118">
        <v>0</v>
      </c>
      <c r="H227" s="118">
        <v>0</v>
      </c>
      <c r="I227" s="118">
        <v>5219</v>
      </c>
    </row>
    <row r="228" spans="2:9" x14ac:dyDescent="0.2">
      <c r="B228" s="130" t="s">
        <v>60</v>
      </c>
      <c r="C228" s="118">
        <v>0</v>
      </c>
      <c r="D228" s="118">
        <v>0</v>
      </c>
      <c r="E228" s="118">
        <v>0</v>
      </c>
      <c r="F228" s="118">
        <v>2333</v>
      </c>
      <c r="G228" s="118">
        <v>0</v>
      </c>
      <c r="H228" s="118">
        <v>0</v>
      </c>
      <c r="I228" s="118">
        <v>-338</v>
      </c>
    </row>
    <row r="229" spans="2:9" x14ac:dyDescent="0.2">
      <c r="B229" s="130" t="s">
        <v>148</v>
      </c>
      <c r="C229" s="118">
        <v>32552</v>
      </c>
      <c r="D229" s="118">
        <v>6453</v>
      </c>
      <c r="E229" s="118">
        <v>26099</v>
      </c>
      <c r="F229" s="118">
        <v>39318</v>
      </c>
      <c r="G229" s="118">
        <v>0</v>
      </c>
      <c r="H229" s="118">
        <v>0</v>
      </c>
      <c r="I229" s="118">
        <v>-1388</v>
      </c>
    </row>
    <row r="230" spans="2:9" x14ac:dyDescent="0.2">
      <c r="B230" s="130" t="s">
        <v>61</v>
      </c>
      <c r="C230" s="118">
        <v>78440</v>
      </c>
      <c r="D230" s="118">
        <v>1988</v>
      </c>
      <c r="E230" s="118">
        <v>76452</v>
      </c>
      <c r="F230" s="118">
        <v>3606</v>
      </c>
      <c r="G230" s="118">
        <v>0</v>
      </c>
      <c r="H230" s="118">
        <v>0</v>
      </c>
      <c r="I230" s="118">
        <v>1979</v>
      </c>
    </row>
    <row r="231" spans="2:9" x14ac:dyDescent="0.2">
      <c r="B231" s="130" t="s">
        <v>64</v>
      </c>
      <c r="C231" s="118">
        <v>2731</v>
      </c>
      <c r="D231" s="118">
        <v>91</v>
      </c>
      <c r="E231" s="118">
        <v>2640</v>
      </c>
      <c r="F231" s="118">
        <v>77</v>
      </c>
      <c r="G231" s="118">
        <v>0</v>
      </c>
      <c r="H231" s="118">
        <v>0</v>
      </c>
      <c r="I231" s="118">
        <v>134</v>
      </c>
    </row>
    <row r="232" spans="2:9" x14ac:dyDescent="0.2">
      <c r="B232" s="130" t="s">
        <v>117</v>
      </c>
      <c r="C232" s="118">
        <v>16967</v>
      </c>
      <c r="D232" s="118">
        <v>1719</v>
      </c>
      <c r="E232" s="118">
        <v>15248</v>
      </c>
      <c r="F232" s="118">
        <v>0</v>
      </c>
      <c r="G232" s="118">
        <v>0</v>
      </c>
      <c r="H232" s="118">
        <v>0</v>
      </c>
      <c r="I232" s="118">
        <v>-1616</v>
      </c>
    </row>
    <row r="233" spans="2:9" x14ac:dyDescent="0.2">
      <c r="B233" s="130" t="s">
        <v>781</v>
      </c>
      <c r="C233" s="118">
        <v>1451</v>
      </c>
      <c r="D233" s="118">
        <v>3</v>
      </c>
      <c r="E233" s="118">
        <v>1448</v>
      </c>
      <c r="F233" s="118">
        <v>47</v>
      </c>
      <c r="G233" s="118">
        <v>0</v>
      </c>
      <c r="H233" s="118">
        <v>0</v>
      </c>
      <c r="I233" s="118">
        <v>47</v>
      </c>
    </row>
    <row r="234" spans="2:9" x14ac:dyDescent="0.2">
      <c r="B234" s="127" t="s">
        <v>914</v>
      </c>
      <c r="C234" s="120">
        <f>SUM(C227:C233)</f>
        <v>185525</v>
      </c>
      <c r="D234" s="120">
        <f>SUM(D227:D233)</f>
        <v>30105</v>
      </c>
      <c r="E234" s="120">
        <f>SUM(E227:E233)</f>
        <v>155420</v>
      </c>
      <c r="F234" s="120">
        <f>SUM(F227:F233)</f>
        <v>121356</v>
      </c>
      <c r="G234" s="120"/>
      <c r="H234" s="120"/>
      <c r="I234" s="120">
        <f>SUM(I227:I233)</f>
        <v>4037</v>
      </c>
    </row>
    <row r="235" spans="2:9" x14ac:dyDescent="0.2">
      <c r="B235" s="130"/>
      <c r="C235" s="130"/>
      <c r="D235" s="130"/>
      <c r="E235" s="130"/>
      <c r="F235" s="130"/>
      <c r="G235" s="130"/>
      <c r="H235" s="130"/>
      <c r="I235" s="130"/>
    </row>
    <row r="236" spans="2:9" x14ac:dyDescent="0.2">
      <c r="B236" s="130" t="s">
        <v>59</v>
      </c>
      <c r="C236" s="118">
        <v>51839</v>
      </c>
      <c r="D236" s="118">
        <v>20550</v>
      </c>
      <c r="E236" s="118">
        <v>31289</v>
      </c>
      <c r="F236" s="118">
        <v>54919</v>
      </c>
      <c r="G236" s="118">
        <v>0</v>
      </c>
      <c r="H236" s="118">
        <v>0</v>
      </c>
      <c r="I236" s="118">
        <v>2975</v>
      </c>
    </row>
    <row r="237" spans="2:9" x14ac:dyDescent="0.2">
      <c r="B237" s="130" t="s">
        <v>60</v>
      </c>
      <c r="C237" s="118">
        <v>0</v>
      </c>
      <c r="D237" s="118">
        <v>0</v>
      </c>
      <c r="E237" s="118">
        <v>0</v>
      </c>
      <c r="F237" s="118">
        <v>2333</v>
      </c>
      <c r="G237" s="118">
        <v>0</v>
      </c>
      <c r="H237" s="118">
        <v>0</v>
      </c>
      <c r="I237" s="118">
        <v>-338</v>
      </c>
    </row>
    <row r="238" spans="2:9" x14ac:dyDescent="0.2">
      <c r="B238" s="130" t="s">
        <v>148</v>
      </c>
      <c r="C238" s="118">
        <v>34086</v>
      </c>
      <c r="D238" s="118">
        <v>6688</v>
      </c>
      <c r="E238" s="118">
        <v>27398</v>
      </c>
      <c r="F238" s="118">
        <v>28686</v>
      </c>
      <c r="G238" s="118">
        <v>0</v>
      </c>
      <c r="H238" s="118">
        <v>0</v>
      </c>
      <c r="I238" s="118">
        <v>-89</v>
      </c>
    </row>
    <row r="239" spans="2:9" x14ac:dyDescent="0.2">
      <c r="B239" s="130" t="s">
        <v>61</v>
      </c>
      <c r="C239" s="118">
        <v>72140</v>
      </c>
      <c r="D239" s="118">
        <v>144</v>
      </c>
      <c r="E239" s="118">
        <v>71996</v>
      </c>
      <c r="F239" s="118">
        <v>2701</v>
      </c>
      <c r="G239" s="118">
        <v>0</v>
      </c>
      <c r="H239" s="118">
        <v>0</v>
      </c>
      <c r="I239" s="118">
        <v>1472</v>
      </c>
    </row>
    <row r="240" spans="2:9" x14ac:dyDescent="0.2">
      <c r="B240" s="130" t="s">
        <v>64</v>
      </c>
      <c r="C240" s="118">
        <v>2703</v>
      </c>
      <c r="D240" s="118">
        <v>83</v>
      </c>
      <c r="E240" s="118">
        <v>2620</v>
      </c>
      <c r="F240" s="118">
        <v>77</v>
      </c>
      <c r="G240" s="118">
        <v>0</v>
      </c>
      <c r="H240" s="118">
        <v>0</v>
      </c>
      <c r="I240" s="118">
        <v>114</v>
      </c>
    </row>
    <row r="241" spans="2:9" x14ac:dyDescent="0.2">
      <c r="B241" s="130" t="s">
        <v>117</v>
      </c>
      <c r="C241" s="118">
        <v>17833</v>
      </c>
      <c r="D241" s="118">
        <v>744</v>
      </c>
      <c r="E241" s="118">
        <v>17089</v>
      </c>
      <c r="F241" s="118">
        <v>0</v>
      </c>
      <c r="G241" s="118">
        <v>0</v>
      </c>
      <c r="H241" s="118">
        <v>0</v>
      </c>
      <c r="I241" s="118">
        <v>225</v>
      </c>
    </row>
    <row r="242" spans="2:9" x14ac:dyDescent="0.2">
      <c r="B242" s="130" t="s">
        <v>781</v>
      </c>
      <c r="C242" s="118">
        <v>1440</v>
      </c>
      <c r="D242" s="118">
        <v>7</v>
      </c>
      <c r="E242" s="118">
        <v>1433</v>
      </c>
      <c r="F242" s="118">
        <v>19</v>
      </c>
      <c r="G242" s="118">
        <v>0</v>
      </c>
      <c r="H242" s="118">
        <v>0</v>
      </c>
      <c r="I242" s="118">
        <v>32</v>
      </c>
    </row>
    <row r="243" spans="2:9" x14ac:dyDescent="0.2">
      <c r="B243" s="127" t="s">
        <v>789</v>
      </c>
      <c r="C243" s="120">
        <f>SUM(C236:C242)</f>
        <v>180041</v>
      </c>
      <c r="D243" s="120">
        <f>SUM(D236:D242)</f>
        <v>28216</v>
      </c>
      <c r="E243" s="120">
        <f>SUM(E236:E242)</f>
        <v>151825</v>
      </c>
      <c r="F243" s="120">
        <f>SUM(F236:F242)</f>
        <v>88735</v>
      </c>
      <c r="G243" s="120"/>
      <c r="H243" s="120"/>
      <c r="I243" s="120">
        <f>SUM(I236:I242)</f>
        <v>4391</v>
      </c>
    </row>
    <row r="244" spans="2:9" x14ac:dyDescent="0.2">
      <c r="B244" s="130"/>
      <c r="C244" s="130"/>
      <c r="D244" s="130"/>
      <c r="E244" s="130"/>
      <c r="F244" s="130"/>
      <c r="G244" s="130"/>
      <c r="H244" s="130"/>
      <c r="I244" s="130"/>
    </row>
    <row r="245" spans="2:9" x14ac:dyDescent="0.2">
      <c r="B245" s="130" t="s">
        <v>59</v>
      </c>
      <c r="C245" s="118">
        <v>69045</v>
      </c>
      <c r="D245" s="118">
        <v>19461</v>
      </c>
      <c r="E245" s="118">
        <v>49584</v>
      </c>
      <c r="F245" s="118">
        <v>38723</v>
      </c>
      <c r="G245" s="118">
        <v>0</v>
      </c>
      <c r="H245" s="118">
        <v>0</v>
      </c>
      <c r="I245" s="118">
        <v>4698</v>
      </c>
    </row>
    <row r="246" spans="2:9" x14ac:dyDescent="0.2">
      <c r="B246" s="130" t="s">
        <v>60</v>
      </c>
      <c r="C246" s="118">
        <v>0</v>
      </c>
      <c r="D246" s="118">
        <v>0</v>
      </c>
      <c r="E246" s="118">
        <v>0</v>
      </c>
      <c r="F246" s="118">
        <v>2333</v>
      </c>
      <c r="G246" s="118">
        <v>0</v>
      </c>
      <c r="H246" s="118">
        <v>0</v>
      </c>
      <c r="I246" s="118">
        <v>-338</v>
      </c>
    </row>
    <row r="247" spans="2:9" x14ac:dyDescent="0.2">
      <c r="B247" s="130" t="s">
        <v>148</v>
      </c>
      <c r="C247" s="118">
        <v>33476</v>
      </c>
      <c r="D247" s="118">
        <v>6598</v>
      </c>
      <c r="E247" s="118">
        <v>26878</v>
      </c>
      <c r="F247" s="118">
        <v>19316</v>
      </c>
      <c r="G247" s="118">
        <v>0</v>
      </c>
      <c r="H247" s="118">
        <v>0</v>
      </c>
      <c r="I247" s="118">
        <v>92</v>
      </c>
    </row>
    <row r="248" spans="2:9" x14ac:dyDescent="0.2">
      <c r="B248" s="130" t="s">
        <v>61</v>
      </c>
      <c r="C248" s="118">
        <v>64249</v>
      </c>
      <c r="D248" s="118">
        <v>139</v>
      </c>
      <c r="E248" s="118">
        <v>64110</v>
      </c>
      <c r="F248" s="118">
        <v>1796</v>
      </c>
      <c r="G248" s="118">
        <v>0</v>
      </c>
      <c r="H248" s="118">
        <v>0</v>
      </c>
      <c r="I248" s="118">
        <v>986</v>
      </c>
    </row>
    <row r="249" spans="2:9" x14ac:dyDescent="0.2">
      <c r="B249" s="130" t="s">
        <v>64</v>
      </c>
      <c r="C249" s="118">
        <v>2715</v>
      </c>
      <c r="D249" s="118">
        <v>96</v>
      </c>
      <c r="E249" s="118">
        <v>2619</v>
      </c>
      <c r="F249" s="118">
        <v>77</v>
      </c>
      <c r="G249" s="118">
        <v>0</v>
      </c>
      <c r="H249" s="118">
        <v>0</v>
      </c>
      <c r="I249" s="118">
        <v>113</v>
      </c>
    </row>
    <row r="250" spans="2:9" x14ac:dyDescent="0.2">
      <c r="B250" s="130" t="s">
        <v>117</v>
      </c>
      <c r="C250" s="118">
        <v>17384</v>
      </c>
      <c r="D250" s="118">
        <v>319</v>
      </c>
      <c r="E250" s="118">
        <v>17065</v>
      </c>
      <c r="F250" s="118">
        <v>0</v>
      </c>
      <c r="G250" s="118">
        <v>0</v>
      </c>
      <c r="H250" s="118">
        <v>0</v>
      </c>
      <c r="I250" s="118">
        <v>201</v>
      </c>
    </row>
    <row r="251" spans="2:9" x14ac:dyDescent="0.2">
      <c r="B251" s="130" t="s">
        <v>781</v>
      </c>
      <c r="C251" s="118">
        <v>1</v>
      </c>
      <c r="D251" s="118">
        <v>0</v>
      </c>
      <c r="E251" s="118">
        <v>1</v>
      </c>
      <c r="F251" s="118">
        <v>0</v>
      </c>
      <c r="G251" s="118">
        <v>0</v>
      </c>
      <c r="H251" s="118">
        <v>0</v>
      </c>
      <c r="I251" s="118">
        <v>0</v>
      </c>
    </row>
    <row r="252" spans="2:9" x14ac:dyDescent="0.2">
      <c r="B252" s="127" t="s">
        <v>768</v>
      </c>
      <c r="C252" s="120">
        <f>SUM(C245:C251)</f>
        <v>186870</v>
      </c>
      <c r="D252" s="120">
        <f>SUM(D245:D251)</f>
        <v>26613</v>
      </c>
      <c r="E252" s="120">
        <f>SUM(E245:E251)</f>
        <v>160257</v>
      </c>
      <c r="F252" s="120">
        <f>SUM(F245:F251)</f>
        <v>62245</v>
      </c>
      <c r="G252" s="120"/>
      <c r="H252" s="120"/>
      <c r="I252" s="120">
        <f>SUM(I245:I251)</f>
        <v>5752</v>
      </c>
    </row>
    <row r="253" spans="2:9" x14ac:dyDescent="0.2">
      <c r="B253" s="130"/>
      <c r="C253" s="130"/>
      <c r="D253" s="130"/>
      <c r="E253" s="130"/>
      <c r="F253" s="130"/>
      <c r="G253" s="130"/>
      <c r="H253" s="130"/>
      <c r="I253" s="130"/>
    </row>
    <row r="254" spans="2:9" x14ac:dyDescent="0.2">
      <c r="B254" s="130" t="s">
        <v>59</v>
      </c>
      <c r="C254" s="118">
        <v>129977</v>
      </c>
      <c r="D254" s="118">
        <v>82699</v>
      </c>
      <c r="E254" s="118">
        <v>47278</v>
      </c>
      <c r="F254" s="118">
        <v>19386</v>
      </c>
      <c r="G254" s="118">
        <v>0</v>
      </c>
      <c r="H254" s="118">
        <v>0</v>
      </c>
      <c r="I254" s="118">
        <v>2392</v>
      </c>
    </row>
    <row r="255" spans="2:9" x14ac:dyDescent="0.2">
      <c r="B255" s="130" t="s">
        <v>60</v>
      </c>
      <c r="C255" s="118">
        <v>0</v>
      </c>
      <c r="D255" s="118">
        <v>0</v>
      </c>
      <c r="E255" s="118">
        <v>0</v>
      </c>
      <c r="F255" s="118">
        <v>2333</v>
      </c>
      <c r="G255" s="118">
        <v>0</v>
      </c>
      <c r="H255" s="118">
        <v>0</v>
      </c>
      <c r="I255" s="118">
        <v>-338</v>
      </c>
    </row>
    <row r="256" spans="2:9" x14ac:dyDescent="0.2">
      <c r="B256" s="130" t="s">
        <v>148</v>
      </c>
      <c r="C256" s="118">
        <v>32839</v>
      </c>
      <c r="D256" s="118">
        <v>10553</v>
      </c>
      <c r="E256" s="118">
        <v>22286</v>
      </c>
      <c r="F256" s="118">
        <v>9281</v>
      </c>
      <c r="G256" s="118">
        <v>0</v>
      </c>
      <c r="H256" s="118">
        <v>0</v>
      </c>
      <c r="I256" s="118">
        <v>50</v>
      </c>
    </row>
    <row r="257" spans="2:9" x14ac:dyDescent="0.2">
      <c r="B257" s="130" t="s">
        <v>61</v>
      </c>
      <c r="C257" s="118">
        <v>64815</v>
      </c>
      <c r="D257" s="118">
        <v>110</v>
      </c>
      <c r="E257" s="118">
        <v>64705</v>
      </c>
      <c r="F257" s="118">
        <v>895</v>
      </c>
      <c r="G257" s="118">
        <v>0</v>
      </c>
      <c r="H257" s="118">
        <v>0</v>
      </c>
      <c r="I257" s="118">
        <v>502</v>
      </c>
    </row>
    <row r="258" spans="2:9" x14ac:dyDescent="0.2">
      <c r="B258" s="130" t="s">
        <v>64</v>
      </c>
      <c r="C258" s="118">
        <v>8586</v>
      </c>
      <c r="D258" s="118">
        <v>5666</v>
      </c>
      <c r="E258" s="118">
        <v>2920</v>
      </c>
      <c r="F258" s="118">
        <v>86</v>
      </c>
      <c r="G258" s="118">
        <v>0</v>
      </c>
      <c r="H258" s="118">
        <v>0</v>
      </c>
      <c r="I258" s="118">
        <v>101</v>
      </c>
    </row>
    <row r="259" spans="2:9" x14ac:dyDescent="0.2">
      <c r="B259" s="130" t="s">
        <v>117</v>
      </c>
      <c r="C259" s="118">
        <v>17463</v>
      </c>
      <c r="D259" s="118">
        <v>537</v>
      </c>
      <c r="E259" s="118">
        <v>16926</v>
      </c>
      <c r="F259" s="118">
        <v>0</v>
      </c>
      <c r="G259" s="118">
        <v>0</v>
      </c>
      <c r="H259" s="118">
        <v>0</v>
      </c>
      <c r="I259" s="118">
        <v>62</v>
      </c>
    </row>
    <row r="260" spans="2:9" x14ac:dyDescent="0.2">
      <c r="B260" s="127" t="s">
        <v>915</v>
      </c>
      <c r="C260" s="120">
        <f>SUM(C254:C259)</f>
        <v>253680</v>
      </c>
      <c r="D260" s="120">
        <f>SUM(D254:D259)</f>
        <v>99565</v>
      </c>
      <c r="E260" s="120">
        <f>SUM(E254:E259)</f>
        <v>154115</v>
      </c>
      <c r="F260" s="120">
        <f>SUM(F254:F259)</f>
        <v>31981</v>
      </c>
      <c r="G260" s="120"/>
      <c r="H260" s="120"/>
      <c r="I260" s="120">
        <f>SUM(I254:I259)</f>
        <v>2769</v>
      </c>
    </row>
    <row r="261" spans="2:9" x14ac:dyDescent="0.2">
      <c r="B261" s="130"/>
      <c r="C261" s="130"/>
      <c r="D261" s="130"/>
      <c r="E261" s="130"/>
      <c r="F261" s="130"/>
      <c r="G261" s="130"/>
      <c r="H261" s="130"/>
      <c r="I261" s="130"/>
    </row>
    <row r="262" spans="2:9" x14ac:dyDescent="0.2">
      <c r="B262" s="130" t="s">
        <v>59</v>
      </c>
      <c r="C262" s="118">
        <v>121642</v>
      </c>
      <c r="D262" s="118">
        <v>12756</v>
      </c>
      <c r="E262" s="118">
        <v>108886</v>
      </c>
      <c r="F262" s="118">
        <v>77060</v>
      </c>
      <c r="G262" s="118">
        <v>0</v>
      </c>
      <c r="H262" s="118">
        <v>0</v>
      </c>
      <c r="I262" s="118">
        <v>17443</v>
      </c>
    </row>
    <row r="263" spans="2:9" x14ac:dyDescent="0.2">
      <c r="B263" s="130" t="s">
        <v>60</v>
      </c>
      <c r="C263" s="118">
        <v>53295</v>
      </c>
      <c r="D263" s="118">
        <v>9830</v>
      </c>
      <c r="E263" s="118">
        <v>43465</v>
      </c>
      <c r="F263" s="118">
        <v>51090</v>
      </c>
      <c r="G263" s="118">
        <v>0</v>
      </c>
      <c r="H263" s="118">
        <v>0</v>
      </c>
      <c r="I263" s="118">
        <v>146</v>
      </c>
    </row>
    <row r="264" spans="2:9" x14ac:dyDescent="0.2">
      <c r="B264" s="130" t="s">
        <v>148</v>
      </c>
      <c r="C264" s="118">
        <v>33583</v>
      </c>
      <c r="D264" s="118">
        <v>11347</v>
      </c>
      <c r="E264" s="118">
        <v>22236</v>
      </c>
      <c r="F264" s="118">
        <v>11585</v>
      </c>
      <c r="G264" s="118">
        <v>0</v>
      </c>
      <c r="H264" s="118">
        <v>0</v>
      </c>
      <c r="I264" s="118">
        <v>1596</v>
      </c>
    </row>
    <row r="265" spans="2:9" x14ac:dyDescent="0.2">
      <c r="B265" s="130" t="s">
        <v>61</v>
      </c>
      <c r="C265" s="118">
        <v>64324</v>
      </c>
      <c r="D265" s="118">
        <v>121</v>
      </c>
      <c r="E265" s="118">
        <v>64203</v>
      </c>
      <c r="F265" s="118">
        <v>3296</v>
      </c>
      <c r="G265" s="118">
        <v>0</v>
      </c>
      <c r="H265" s="118">
        <v>0</v>
      </c>
      <c r="I265" s="118">
        <v>1756</v>
      </c>
    </row>
    <row r="266" spans="2:9" x14ac:dyDescent="0.2">
      <c r="B266" s="130" t="s">
        <v>64</v>
      </c>
      <c r="C266" s="118">
        <v>14575</v>
      </c>
      <c r="D266" s="118">
        <v>6256</v>
      </c>
      <c r="E266" s="118">
        <v>8319</v>
      </c>
      <c r="F266" s="118">
        <v>1317</v>
      </c>
      <c r="G266" s="118">
        <v>0</v>
      </c>
      <c r="H266" s="118">
        <v>0</v>
      </c>
      <c r="I266" s="118">
        <v>329</v>
      </c>
    </row>
    <row r="267" spans="2:9" x14ac:dyDescent="0.2">
      <c r="B267" s="130" t="s">
        <v>117</v>
      </c>
      <c r="C267" s="118">
        <v>23394</v>
      </c>
      <c r="D267" s="118">
        <v>530</v>
      </c>
      <c r="E267" s="118">
        <v>22864</v>
      </c>
      <c r="F267" s="118">
        <v>0</v>
      </c>
      <c r="G267" s="118">
        <v>0</v>
      </c>
      <c r="H267" s="118">
        <v>0</v>
      </c>
      <c r="I267" s="118">
        <v>-7272</v>
      </c>
    </row>
    <row r="268" spans="2:9" x14ac:dyDescent="0.2">
      <c r="B268" s="127" t="s">
        <v>916</v>
      </c>
      <c r="C268" s="120">
        <f>SUM(C262:C267)</f>
        <v>310813</v>
      </c>
      <c r="D268" s="120">
        <f>SUM(D262:D267)</f>
        <v>40840</v>
      </c>
      <c r="E268" s="120">
        <f>SUM(E262:E267)</f>
        <v>269973</v>
      </c>
      <c r="F268" s="120">
        <f>SUM(F262:F267)</f>
        <v>144348</v>
      </c>
      <c r="G268" s="120"/>
      <c r="H268" s="120"/>
      <c r="I268" s="120">
        <f>SUM(I262:I267)</f>
        <v>13998</v>
      </c>
    </row>
    <row r="269" spans="2:9" x14ac:dyDescent="0.2">
      <c r="B269" s="130"/>
      <c r="C269" s="130"/>
      <c r="D269" s="130"/>
      <c r="E269" s="130"/>
      <c r="F269" s="130"/>
      <c r="G269" s="130"/>
      <c r="H269" s="130"/>
      <c r="I269" s="130"/>
    </row>
    <row r="270" spans="2:9" x14ac:dyDescent="0.2">
      <c r="B270" s="130" t="s">
        <v>59</v>
      </c>
      <c r="C270" s="118">
        <v>117851</v>
      </c>
      <c r="D270" s="118">
        <v>20580</v>
      </c>
      <c r="E270" s="118">
        <v>97271</v>
      </c>
      <c r="F270" s="118">
        <v>57569</v>
      </c>
      <c r="G270" s="118">
        <v>0</v>
      </c>
      <c r="H270" s="118">
        <v>0</v>
      </c>
      <c r="I270" s="118">
        <v>5828</v>
      </c>
    </row>
    <row r="271" spans="2:9" x14ac:dyDescent="0.2">
      <c r="B271" s="130" t="s">
        <v>60</v>
      </c>
      <c r="C271" s="118">
        <v>76056</v>
      </c>
      <c r="D271" s="118">
        <v>8664</v>
      </c>
      <c r="E271" s="118">
        <v>67392</v>
      </c>
      <c r="F271" s="118">
        <v>44951</v>
      </c>
      <c r="G271" s="118">
        <v>0</v>
      </c>
      <c r="H271" s="118">
        <v>0</v>
      </c>
      <c r="I271" s="118">
        <v>3433</v>
      </c>
    </row>
    <row r="272" spans="2:9" x14ac:dyDescent="0.2">
      <c r="B272" s="130" t="s">
        <v>148</v>
      </c>
      <c r="C272" s="118">
        <v>34036</v>
      </c>
      <c r="D272" s="118">
        <v>12251</v>
      </c>
      <c r="E272" s="118">
        <v>21785</v>
      </c>
      <c r="F272" s="118">
        <v>2504</v>
      </c>
      <c r="G272" s="118">
        <v>0</v>
      </c>
      <c r="H272" s="118">
        <v>0</v>
      </c>
      <c r="I272" s="118">
        <v>42</v>
      </c>
    </row>
    <row r="273" spans="2:9" x14ac:dyDescent="0.2">
      <c r="B273" s="130" t="s">
        <v>61</v>
      </c>
      <c r="C273" s="118">
        <v>63806</v>
      </c>
      <c r="D273" s="118">
        <v>127</v>
      </c>
      <c r="E273" s="118">
        <v>63679</v>
      </c>
      <c r="F273" s="118">
        <v>2401</v>
      </c>
      <c r="G273" s="118">
        <v>0</v>
      </c>
      <c r="H273" s="118">
        <v>0</v>
      </c>
      <c r="I273" s="118">
        <v>1233</v>
      </c>
    </row>
    <row r="274" spans="2:9" x14ac:dyDescent="0.2">
      <c r="B274" s="130" t="s">
        <v>64</v>
      </c>
      <c r="C274" s="118">
        <v>14683</v>
      </c>
      <c r="D274" s="118">
        <v>318</v>
      </c>
      <c r="E274" s="118">
        <v>14365</v>
      </c>
      <c r="F274" s="118">
        <v>993</v>
      </c>
      <c r="G274" s="118">
        <v>0</v>
      </c>
      <c r="H274" s="118">
        <v>0</v>
      </c>
      <c r="I274" s="118">
        <v>340</v>
      </c>
    </row>
    <row r="275" spans="2:9" x14ac:dyDescent="0.2">
      <c r="B275" s="130" t="s">
        <v>67</v>
      </c>
      <c r="C275" s="118">
        <v>0</v>
      </c>
      <c r="D275" s="118">
        <v>0</v>
      </c>
      <c r="E275" s="118">
        <v>0</v>
      </c>
      <c r="F275" s="118">
        <v>0</v>
      </c>
      <c r="G275" s="118">
        <v>0</v>
      </c>
      <c r="H275" s="118">
        <v>0</v>
      </c>
      <c r="I275" s="118">
        <v>0</v>
      </c>
    </row>
    <row r="276" spans="2:9" x14ac:dyDescent="0.2">
      <c r="B276" s="130" t="s">
        <v>117</v>
      </c>
      <c r="C276" s="118">
        <v>27265</v>
      </c>
      <c r="D276" s="118">
        <v>610</v>
      </c>
      <c r="E276" s="118">
        <v>26655</v>
      </c>
      <c r="F276" s="118">
        <v>0</v>
      </c>
      <c r="G276" s="118">
        <v>0</v>
      </c>
      <c r="H276" s="118">
        <v>0</v>
      </c>
      <c r="I276" s="118">
        <v>-3481</v>
      </c>
    </row>
    <row r="277" spans="2:9" x14ac:dyDescent="0.2">
      <c r="B277" s="127" t="s">
        <v>443</v>
      </c>
      <c r="C277" s="120">
        <f>SUM(C270:C276)</f>
        <v>333697</v>
      </c>
      <c r="D277" s="120">
        <f>SUM(D270:D276)</f>
        <v>42550</v>
      </c>
      <c r="E277" s="120">
        <f>SUM(E270:E276)</f>
        <v>291147</v>
      </c>
      <c r="F277" s="120">
        <f>SUM(F270:F276)</f>
        <v>108418</v>
      </c>
      <c r="G277" s="120"/>
      <c r="H277" s="120"/>
      <c r="I277" s="120">
        <f>SUM(I270:I276)</f>
        <v>7395</v>
      </c>
    </row>
    <row r="278" spans="2:9" x14ac:dyDescent="0.2">
      <c r="B278" s="150"/>
      <c r="C278" s="151"/>
      <c r="D278" s="151"/>
      <c r="E278" s="151"/>
      <c r="F278" s="151"/>
      <c r="G278" s="151"/>
      <c r="H278" s="151"/>
      <c r="I278" s="151"/>
    </row>
    <row r="279" spans="2:9" x14ac:dyDescent="0.2">
      <c r="B279" s="130" t="s">
        <v>59</v>
      </c>
      <c r="C279" s="118">
        <v>116988</v>
      </c>
      <c r="D279" s="118">
        <v>19524</v>
      </c>
      <c r="E279" s="118">
        <v>97464</v>
      </c>
      <c r="F279" s="118">
        <v>38227</v>
      </c>
      <c r="G279" s="118">
        <v>0</v>
      </c>
      <c r="H279" s="118">
        <v>0</v>
      </c>
      <c r="I279" s="118">
        <v>4100</v>
      </c>
    </row>
    <row r="280" spans="2:9" x14ac:dyDescent="0.2">
      <c r="B280" s="130" t="s">
        <v>60</v>
      </c>
      <c r="C280" s="118">
        <v>85959</v>
      </c>
      <c r="D280" s="118">
        <v>17229</v>
      </c>
      <c r="E280" s="118">
        <v>68730</v>
      </c>
      <c r="F280" s="118">
        <v>34509</v>
      </c>
      <c r="G280" s="118">
        <v>0</v>
      </c>
      <c r="H280" s="118">
        <v>0</v>
      </c>
      <c r="I280" s="118">
        <v>4771</v>
      </c>
    </row>
    <row r="281" spans="2:9" x14ac:dyDescent="0.2">
      <c r="B281" s="130" t="s">
        <v>61</v>
      </c>
      <c r="C281" s="118">
        <v>63344</v>
      </c>
      <c r="D281" s="118">
        <v>129</v>
      </c>
      <c r="E281" s="118">
        <v>63215</v>
      </c>
      <c r="F281" s="118">
        <v>1506</v>
      </c>
      <c r="G281" s="118">
        <v>0</v>
      </c>
      <c r="H281" s="118">
        <v>0</v>
      </c>
      <c r="I281" s="118">
        <v>769</v>
      </c>
    </row>
    <row r="282" spans="2:9" x14ac:dyDescent="0.2">
      <c r="B282" s="130" t="s">
        <v>64</v>
      </c>
      <c r="C282" s="118">
        <v>14662</v>
      </c>
      <c r="D282" s="118">
        <v>354</v>
      </c>
      <c r="E282" s="118">
        <v>14308</v>
      </c>
      <c r="F282" s="118">
        <v>762</v>
      </c>
      <c r="G282" s="118">
        <v>0</v>
      </c>
      <c r="H282" s="118">
        <v>0</v>
      </c>
      <c r="I282" s="118">
        <v>283</v>
      </c>
    </row>
    <row r="283" spans="2:9" x14ac:dyDescent="0.2">
      <c r="B283" s="130" t="s">
        <v>67</v>
      </c>
      <c r="C283" s="118">
        <v>0</v>
      </c>
      <c r="D283" s="118">
        <v>0</v>
      </c>
      <c r="E283" s="118">
        <v>0</v>
      </c>
      <c r="F283" s="118">
        <v>0</v>
      </c>
      <c r="G283" s="118">
        <v>0</v>
      </c>
      <c r="H283" s="118">
        <v>0</v>
      </c>
      <c r="I283" s="118">
        <v>0</v>
      </c>
    </row>
    <row r="284" spans="2:9" x14ac:dyDescent="0.2">
      <c r="B284" s="130" t="s">
        <v>117</v>
      </c>
      <c r="C284" s="118">
        <v>30574</v>
      </c>
      <c r="D284" s="118">
        <v>522</v>
      </c>
      <c r="E284" s="118">
        <v>30052</v>
      </c>
      <c r="F284" s="118">
        <v>0</v>
      </c>
      <c r="G284" s="118">
        <v>0</v>
      </c>
      <c r="H284" s="118">
        <v>0</v>
      </c>
      <c r="I284" s="118">
        <v>-84</v>
      </c>
    </row>
    <row r="285" spans="2:9" x14ac:dyDescent="0.2">
      <c r="B285" s="127" t="s">
        <v>444</v>
      </c>
      <c r="C285" s="120">
        <f>SUM(C279:C284)</f>
        <v>311527</v>
      </c>
      <c r="D285" s="120">
        <f>SUM(D279:D284)</f>
        <v>37758</v>
      </c>
      <c r="E285" s="120">
        <f>SUM(E279:E284)</f>
        <v>273769</v>
      </c>
      <c r="F285" s="120">
        <f>SUM(F279:F284)</f>
        <v>75004</v>
      </c>
      <c r="G285" s="120"/>
      <c r="H285" s="120"/>
      <c r="I285" s="120">
        <f>SUM(I279:I284)</f>
        <v>9839</v>
      </c>
    </row>
    <row r="286" spans="2:9" x14ac:dyDescent="0.2">
      <c r="B286" s="150"/>
      <c r="C286" s="151"/>
      <c r="D286" s="151"/>
      <c r="E286" s="151"/>
      <c r="F286" s="151"/>
      <c r="G286" s="151"/>
      <c r="H286" s="151"/>
      <c r="I286" s="151"/>
    </row>
    <row r="287" spans="2:9" x14ac:dyDescent="0.2">
      <c r="B287" s="130" t="s">
        <v>59</v>
      </c>
      <c r="C287" s="118">
        <v>120094</v>
      </c>
      <c r="D287" s="118">
        <v>23226</v>
      </c>
      <c r="E287" s="118">
        <v>96868</v>
      </c>
      <c r="F287" s="118">
        <v>19807</v>
      </c>
      <c r="G287" s="118">
        <v>0</v>
      </c>
      <c r="H287" s="118">
        <v>0</v>
      </c>
      <c r="I287" s="118">
        <v>3504</v>
      </c>
    </row>
    <row r="288" spans="2:9" x14ac:dyDescent="0.2">
      <c r="B288" s="130" t="s">
        <v>60</v>
      </c>
      <c r="C288" s="118">
        <v>74864</v>
      </c>
      <c r="D288" s="118">
        <v>13506</v>
      </c>
      <c r="E288" s="118">
        <v>61358</v>
      </c>
      <c r="F288" s="118">
        <v>11988</v>
      </c>
      <c r="G288" s="118">
        <v>0</v>
      </c>
      <c r="H288" s="118">
        <v>0</v>
      </c>
      <c r="I288" s="118">
        <v>-2601</v>
      </c>
    </row>
    <row r="289" spans="2:9" x14ac:dyDescent="0.2">
      <c r="B289" s="130" t="s">
        <v>61</v>
      </c>
      <c r="C289" s="118">
        <v>62644</v>
      </c>
      <c r="D289" s="118">
        <v>52</v>
      </c>
      <c r="E289" s="118">
        <v>62592</v>
      </c>
      <c r="F289" s="118">
        <v>486</v>
      </c>
      <c r="G289" s="118">
        <v>0</v>
      </c>
      <c r="H289" s="118">
        <v>0</v>
      </c>
      <c r="I289" s="118">
        <v>145</v>
      </c>
    </row>
    <row r="290" spans="2:9" x14ac:dyDescent="0.2">
      <c r="B290" s="130" t="s">
        <v>64</v>
      </c>
      <c r="C290" s="118">
        <v>14541</v>
      </c>
      <c r="D290" s="118">
        <v>301</v>
      </c>
      <c r="E290" s="118">
        <v>14240</v>
      </c>
      <c r="F290" s="118">
        <v>520</v>
      </c>
      <c r="G290" s="118">
        <v>0</v>
      </c>
      <c r="H290" s="118">
        <v>0</v>
      </c>
      <c r="I290" s="118">
        <v>215</v>
      </c>
    </row>
    <row r="291" spans="2:9" x14ac:dyDescent="0.2">
      <c r="B291" s="130" t="s">
        <v>67</v>
      </c>
      <c r="C291" s="118">
        <v>0</v>
      </c>
      <c r="D291" s="118">
        <v>0</v>
      </c>
      <c r="E291" s="118">
        <v>0</v>
      </c>
      <c r="F291" s="118">
        <v>0</v>
      </c>
      <c r="G291" s="118">
        <v>0</v>
      </c>
      <c r="H291" s="118">
        <v>0</v>
      </c>
      <c r="I291" s="118">
        <v>0</v>
      </c>
    </row>
    <row r="292" spans="2:9" x14ac:dyDescent="0.2">
      <c r="B292" s="130" t="s">
        <v>117</v>
      </c>
      <c r="C292" s="118">
        <v>30572</v>
      </c>
      <c r="D292" s="118">
        <v>494</v>
      </c>
      <c r="E292" s="118">
        <v>30078</v>
      </c>
      <c r="F292" s="118">
        <v>0</v>
      </c>
      <c r="G292" s="118">
        <v>0</v>
      </c>
      <c r="H292" s="118">
        <v>0</v>
      </c>
      <c r="I292" s="118">
        <v>-58</v>
      </c>
    </row>
    <row r="293" spans="2:9" x14ac:dyDescent="0.2">
      <c r="B293" s="127" t="s">
        <v>445</v>
      </c>
      <c r="C293" s="120">
        <f>SUM(C287:C292)</f>
        <v>302715</v>
      </c>
      <c r="D293" s="120">
        <f>SUM(D287:D292)</f>
        <v>37579</v>
      </c>
      <c r="E293" s="120">
        <f>SUM(E287:E292)</f>
        <v>265136</v>
      </c>
      <c r="F293" s="120">
        <f>SUM(F287:F292)</f>
        <v>32801</v>
      </c>
      <c r="G293" s="120"/>
      <c r="H293" s="120"/>
      <c r="I293" s="120">
        <f>SUM(I287:I292)</f>
        <v>1205</v>
      </c>
    </row>
    <row r="294" spans="2:9" x14ac:dyDescent="0.2">
      <c r="B294" s="150"/>
      <c r="C294" s="151"/>
      <c r="D294" s="151"/>
      <c r="E294" s="151"/>
      <c r="F294" s="151"/>
      <c r="G294" s="151"/>
      <c r="H294" s="151"/>
      <c r="I294" s="151"/>
    </row>
    <row r="295" spans="2:9" x14ac:dyDescent="0.2">
      <c r="B295" s="130" t="s">
        <v>59</v>
      </c>
      <c r="C295" s="118">
        <v>114349</v>
      </c>
      <c r="D295" s="118">
        <v>20985</v>
      </c>
      <c r="E295" s="118">
        <v>93364</v>
      </c>
      <c r="F295" s="118">
        <v>78902</v>
      </c>
      <c r="G295" s="118">
        <v>0</v>
      </c>
      <c r="H295" s="118">
        <v>0</v>
      </c>
      <c r="I295" s="118">
        <v>9908</v>
      </c>
    </row>
    <row r="296" spans="2:9" x14ac:dyDescent="0.2">
      <c r="B296" s="130" t="s">
        <v>60</v>
      </c>
      <c r="C296" s="118">
        <v>75503</v>
      </c>
      <c r="D296" s="118">
        <v>11544</v>
      </c>
      <c r="E296" s="118">
        <v>63959</v>
      </c>
      <c r="F296" s="118">
        <v>52041</v>
      </c>
      <c r="G296" s="118">
        <v>0</v>
      </c>
      <c r="H296" s="118">
        <v>0</v>
      </c>
      <c r="I296" s="118">
        <v>-9657</v>
      </c>
    </row>
    <row r="297" spans="2:9" x14ac:dyDescent="0.2">
      <c r="B297" s="130" t="s">
        <v>61</v>
      </c>
      <c r="C297" s="118">
        <v>62862</v>
      </c>
      <c r="D297" s="118">
        <v>915</v>
      </c>
      <c r="E297" s="118">
        <v>61947</v>
      </c>
      <c r="F297" s="118">
        <v>1300</v>
      </c>
      <c r="G297" s="118">
        <v>0</v>
      </c>
      <c r="H297" s="118">
        <v>0</v>
      </c>
      <c r="I297" s="118">
        <v>-517</v>
      </c>
    </row>
    <row r="298" spans="2:9" x14ac:dyDescent="0.2">
      <c r="B298" s="130" t="s">
        <v>64</v>
      </c>
      <c r="C298" s="118">
        <v>14275</v>
      </c>
      <c r="D298" s="118">
        <v>250</v>
      </c>
      <c r="E298" s="118">
        <v>14025</v>
      </c>
      <c r="F298" s="118">
        <v>1497</v>
      </c>
      <c r="G298" s="118">
        <v>0</v>
      </c>
      <c r="H298" s="118">
        <v>0</v>
      </c>
      <c r="I298" s="118">
        <v>-220</v>
      </c>
    </row>
    <row r="299" spans="2:9" x14ac:dyDescent="0.2">
      <c r="B299" s="130" t="s">
        <v>67</v>
      </c>
      <c r="C299" s="118">
        <v>0</v>
      </c>
      <c r="D299" s="118">
        <v>0</v>
      </c>
      <c r="E299" s="118">
        <v>0</v>
      </c>
      <c r="F299" s="118">
        <v>0</v>
      </c>
      <c r="G299" s="118">
        <v>0</v>
      </c>
      <c r="H299" s="118">
        <v>0</v>
      </c>
      <c r="I299" s="118">
        <v>45</v>
      </c>
    </row>
    <row r="300" spans="2:9" x14ac:dyDescent="0.2">
      <c r="B300" s="130" t="s">
        <v>117</v>
      </c>
      <c r="C300" s="118">
        <v>42947</v>
      </c>
      <c r="D300" s="118">
        <v>12811</v>
      </c>
      <c r="E300" s="118">
        <v>30136</v>
      </c>
      <c r="F300" s="118">
        <v>0</v>
      </c>
      <c r="G300" s="118">
        <v>0</v>
      </c>
      <c r="H300" s="118">
        <v>0</v>
      </c>
      <c r="I300" s="118">
        <v>-215</v>
      </c>
    </row>
    <row r="301" spans="2:9" x14ac:dyDescent="0.2">
      <c r="B301" s="127" t="s">
        <v>446</v>
      </c>
      <c r="C301" s="120">
        <f>SUM(C295:C300)</f>
        <v>309936</v>
      </c>
      <c r="D301" s="120">
        <f>SUM(D295:D300)</f>
        <v>46505</v>
      </c>
      <c r="E301" s="120">
        <f>SUM(E295:E300)</f>
        <v>263431</v>
      </c>
      <c r="F301" s="120">
        <f>SUM(F295:F300)</f>
        <v>133740</v>
      </c>
      <c r="G301" s="120"/>
      <c r="H301" s="120"/>
      <c r="I301" s="120">
        <f>SUM(I295:I300)</f>
        <v>-656</v>
      </c>
    </row>
    <row r="303" spans="2:9" x14ac:dyDescent="0.2">
      <c r="B303" s="130" t="s">
        <v>59</v>
      </c>
      <c r="C303" s="118">
        <v>113130</v>
      </c>
      <c r="D303" s="118">
        <v>22355</v>
      </c>
      <c r="E303" s="118">
        <v>90775</v>
      </c>
      <c r="F303" s="118">
        <v>59169</v>
      </c>
      <c r="G303" s="118">
        <v>0</v>
      </c>
      <c r="H303" s="118">
        <v>0</v>
      </c>
      <c r="I303" s="118">
        <v>7319</v>
      </c>
    </row>
    <row r="304" spans="2:9" x14ac:dyDescent="0.2">
      <c r="B304" s="130" t="s">
        <v>60</v>
      </c>
      <c r="C304" s="118">
        <v>78209</v>
      </c>
      <c r="D304" s="118">
        <v>11975</v>
      </c>
      <c r="E304" s="118">
        <v>66234</v>
      </c>
      <c r="F304" s="118">
        <v>38878</v>
      </c>
      <c r="G304" s="118">
        <v>0</v>
      </c>
      <c r="H304" s="118">
        <v>0</v>
      </c>
      <c r="I304" s="118">
        <v>-7383</v>
      </c>
    </row>
    <row r="305" spans="2:9" x14ac:dyDescent="0.2">
      <c r="B305" s="130" t="s">
        <v>61</v>
      </c>
      <c r="C305" s="118">
        <v>69515</v>
      </c>
      <c r="D305" s="118">
        <v>6546</v>
      </c>
      <c r="E305" s="118">
        <v>62969</v>
      </c>
      <c r="F305" s="118">
        <v>815</v>
      </c>
      <c r="G305" s="118">
        <v>0</v>
      </c>
      <c r="H305" s="118">
        <v>0</v>
      </c>
      <c r="I305" s="118">
        <v>505</v>
      </c>
    </row>
    <row r="306" spans="2:9" x14ac:dyDescent="0.2">
      <c r="B306" s="130" t="s">
        <v>64</v>
      </c>
      <c r="C306" s="118">
        <v>14313</v>
      </c>
      <c r="D306" s="118">
        <v>350</v>
      </c>
      <c r="E306" s="118">
        <v>13963</v>
      </c>
      <c r="F306" s="118">
        <v>1146</v>
      </c>
      <c r="G306" s="118">
        <v>0</v>
      </c>
      <c r="H306" s="118">
        <v>0</v>
      </c>
      <c r="I306" s="118">
        <v>-282</v>
      </c>
    </row>
    <row r="307" spans="2:9" x14ac:dyDescent="0.2">
      <c r="B307" s="130" t="s">
        <v>67</v>
      </c>
      <c r="C307" s="118">
        <v>0</v>
      </c>
      <c r="D307" s="118">
        <v>0</v>
      </c>
      <c r="E307" s="118">
        <v>0</v>
      </c>
      <c r="F307" s="118">
        <v>0</v>
      </c>
      <c r="G307" s="118">
        <v>0</v>
      </c>
      <c r="H307" s="118">
        <v>0</v>
      </c>
      <c r="I307" s="118">
        <v>45</v>
      </c>
    </row>
    <row r="308" spans="2:9" x14ac:dyDescent="0.2">
      <c r="B308" s="130" t="s">
        <v>117</v>
      </c>
      <c r="C308" s="118">
        <v>43048</v>
      </c>
      <c r="D308" s="118">
        <v>12279</v>
      </c>
      <c r="E308" s="118">
        <v>30769</v>
      </c>
      <c r="F308" s="118">
        <v>0</v>
      </c>
      <c r="G308" s="118">
        <v>0</v>
      </c>
      <c r="H308" s="118">
        <v>0</v>
      </c>
      <c r="I308" s="118">
        <v>417</v>
      </c>
    </row>
    <row r="309" spans="2:9" x14ac:dyDescent="0.2">
      <c r="B309" s="127" t="s">
        <v>447</v>
      </c>
      <c r="C309" s="120">
        <f>SUM(C303:C308)</f>
        <v>318215</v>
      </c>
      <c r="D309" s="120">
        <f>SUM(D303:D308)</f>
        <v>53505</v>
      </c>
      <c r="E309" s="120">
        <f>SUM(E303:E308)</f>
        <v>264710</v>
      </c>
      <c r="F309" s="120">
        <f>SUM(F303:F308)</f>
        <v>100008</v>
      </c>
      <c r="G309" s="120"/>
      <c r="H309" s="120"/>
      <c r="I309" s="120">
        <f>SUM(I303:I308)</f>
        <v>621</v>
      </c>
    </row>
    <row r="311" spans="2:9" x14ac:dyDescent="0.2">
      <c r="B311" s="130" t="s">
        <v>59</v>
      </c>
      <c r="C311" s="118">
        <v>109408</v>
      </c>
      <c r="D311" s="118">
        <v>20442</v>
      </c>
      <c r="E311" s="118">
        <v>88966</v>
      </c>
      <c r="F311" s="118">
        <v>40110</v>
      </c>
      <c r="G311" s="118">
        <v>0</v>
      </c>
      <c r="H311" s="118">
        <v>0</v>
      </c>
      <c r="I311" s="118">
        <v>5510</v>
      </c>
    </row>
    <row r="312" spans="2:9" x14ac:dyDescent="0.2">
      <c r="B312" s="130" t="s">
        <v>60</v>
      </c>
      <c r="C312" s="118">
        <v>81321</v>
      </c>
      <c r="D312" s="118">
        <v>13395</v>
      </c>
      <c r="E312" s="118">
        <v>67926</v>
      </c>
      <c r="F312" s="118">
        <v>26311</v>
      </c>
      <c r="G312" s="118">
        <v>0</v>
      </c>
      <c r="H312" s="118">
        <v>0</v>
      </c>
      <c r="I312" s="118">
        <v>-5691</v>
      </c>
    </row>
    <row r="313" spans="2:9" x14ac:dyDescent="0.2">
      <c r="B313" s="130" t="s">
        <v>61</v>
      </c>
      <c r="C313" s="118">
        <v>68746</v>
      </c>
      <c r="D313" s="118">
        <v>11948</v>
      </c>
      <c r="E313" s="118">
        <v>56798</v>
      </c>
      <c r="F313" s="118">
        <v>329</v>
      </c>
      <c r="G313" s="118">
        <v>0</v>
      </c>
      <c r="H313" s="118">
        <v>0</v>
      </c>
      <c r="I313" s="118">
        <v>334</v>
      </c>
    </row>
    <row r="314" spans="2:9" x14ac:dyDescent="0.2">
      <c r="B314" s="130" t="s">
        <v>64</v>
      </c>
      <c r="C314" s="118">
        <v>14497</v>
      </c>
      <c r="D314" s="118">
        <v>387</v>
      </c>
      <c r="E314" s="118">
        <v>14110</v>
      </c>
      <c r="F314" s="118">
        <v>891</v>
      </c>
      <c r="G314" s="118">
        <v>0</v>
      </c>
      <c r="H314" s="118">
        <v>0</v>
      </c>
      <c r="I314" s="118">
        <v>-135</v>
      </c>
    </row>
    <row r="315" spans="2:9" x14ac:dyDescent="0.2">
      <c r="B315" s="130" t="s">
        <v>67</v>
      </c>
      <c r="C315" s="118">
        <v>0</v>
      </c>
      <c r="D315" s="118">
        <v>0</v>
      </c>
      <c r="E315" s="118">
        <v>0</v>
      </c>
      <c r="F315" s="118">
        <v>0</v>
      </c>
      <c r="G315" s="118">
        <v>0</v>
      </c>
      <c r="H315" s="118">
        <v>0</v>
      </c>
      <c r="I315" s="118">
        <v>45</v>
      </c>
    </row>
    <row r="316" spans="2:9" x14ac:dyDescent="0.2">
      <c r="B316" s="130" t="s">
        <v>117</v>
      </c>
      <c r="C316" s="118">
        <v>42494</v>
      </c>
      <c r="D316" s="118">
        <v>11867</v>
      </c>
      <c r="E316" s="118">
        <v>30627</v>
      </c>
      <c r="F316" s="118">
        <v>0</v>
      </c>
      <c r="G316" s="118">
        <v>0</v>
      </c>
      <c r="H316" s="118">
        <v>0</v>
      </c>
      <c r="I316" s="118">
        <v>276</v>
      </c>
    </row>
    <row r="317" spans="2:9" x14ac:dyDescent="0.2">
      <c r="B317" s="127" t="s">
        <v>448</v>
      </c>
      <c r="C317" s="120">
        <f>SUM(C311:C316)</f>
        <v>316466</v>
      </c>
      <c r="D317" s="120">
        <f>SUM(D311:D316)</f>
        <v>58039</v>
      </c>
      <c r="E317" s="120">
        <f>SUM(E311:E316)</f>
        <v>258427</v>
      </c>
      <c r="F317" s="120">
        <f>SUM(F311:F316)</f>
        <v>67641</v>
      </c>
      <c r="G317" s="120"/>
      <c r="H317" s="120"/>
      <c r="I317" s="120">
        <f>SUM(I311:I316)</f>
        <v>339</v>
      </c>
    </row>
    <row r="319" spans="2:9" x14ac:dyDescent="0.2">
      <c r="B319" s="130" t="s">
        <v>59</v>
      </c>
      <c r="C319" s="118">
        <v>110957</v>
      </c>
      <c r="D319" s="118">
        <v>24233</v>
      </c>
      <c r="E319" s="118">
        <v>86724</v>
      </c>
      <c r="F319" s="118">
        <v>19151</v>
      </c>
      <c r="G319" s="118">
        <v>0</v>
      </c>
      <c r="H319" s="118">
        <v>0</v>
      </c>
      <c r="I319" s="118">
        <v>3268</v>
      </c>
    </row>
    <row r="320" spans="2:9" x14ac:dyDescent="0.2">
      <c r="B320" s="130" t="s">
        <v>60</v>
      </c>
      <c r="C320" s="118">
        <v>93420</v>
      </c>
      <c r="D320" s="118">
        <v>22685</v>
      </c>
      <c r="E320" s="118">
        <v>70735</v>
      </c>
      <c r="F320" s="118">
        <v>14163</v>
      </c>
      <c r="G320" s="118">
        <v>0</v>
      </c>
      <c r="H320" s="118">
        <v>0</v>
      </c>
      <c r="I320" s="118">
        <v>-2904</v>
      </c>
    </row>
    <row r="321" spans="2:9" x14ac:dyDescent="0.2">
      <c r="B321" s="130" t="s">
        <v>61</v>
      </c>
      <c r="C321" s="118">
        <v>50087</v>
      </c>
      <c r="D321" s="118">
        <v>12244</v>
      </c>
      <c r="E321" s="118">
        <v>37843</v>
      </c>
      <c r="F321" s="118">
        <v>0</v>
      </c>
      <c r="G321" s="118">
        <v>0</v>
      </c>
      <c r="H321" s="118">
        <v>0</v>
      </c>
      <c r="I321" s="118">
        <v>-4</v>
      </c>
    </row>
    <row r="322" spans="2:9" x14ac:dyDescent="0.2">
      <c r="B322" s="130" t="s">
        <v>64</v>
      </c>
      <c r="C322" s="118">
        <v>15026</v>
      </c>
      <c r="D322" s="118">
        <v>333</v>
      </c>
      <c r="E322" s="118">
        <v>14693</v>
      </c>
      <c r="F322" s="118">
        <v>644</v>
      </c>
      <c r="G322" s="118">
        <v>0</v>
      </c>
      <c r="H322" s="118">
        <v>0</v>
      </c>
      <c r="I322" s="118">
        <v>133</v>
      </c>
    </row>
    <row r="323" spans="2:9" x14ac:dyDescent="0.2">
      <c r="B323" s="130" t="s">
        <v>67</v>
      </c>
      <c r="C323" s="118">
        <v>0</v>
      </c>
      <c r="D323" s="118">
        <v>0</v>
      </c>
      <c r="E323" s="118">
        <v>0</v>
      </c>
      <c r="F323" s="118">
        <v>0</v>
      </c>
      <c r="G323" s="118">
        <v>0</v>
      </c>
      <c r="H323" s="118">
        <v>0</v>
      </c>
      <c r="I323" s="118">
        <v>45</v>
      </c>
    </row>
    <row r="324" spans="2:9" x14ac:dyDescent="0.2">
      <c r="B324" s="130" t="s">
        <v>117</v>
      </c>
      <c r="C324" s="118">
        <v>42161</v>
      </c>
      <c r="D324" s="118">
        <v>11525</v>
      </c>
      <c r="E324" s="118">
        <v>30636</v>
      </c>
      <c r="F324" s="118">
        <v>0</v>
      </c>
      <c r="G324" s="118">
        <v>0</v>
      </c>
      <c r="H324" s="118">
        <v>0</v>
      </c>
      <c r="I324" s="118">
        <v>285</v>
      </c>
    </row>
    <row r="325" spans="2:9" x14ac:dyDescent="0.2">
      <c r="B325" s="127" t="s">
        <v>449</v>
      </c>
      <c r="C325" s="120">
        <f>SUM(C319:C324)</f>
        <v>311651</v>
      </c>
      <c r="D325" s="120">
        <f>SUM(D319:D324)</f>
        <v>71020</v>
      </c>
      <c r="E325" s="120">
        <f>SUM(E319:E324)</f>
        <v>240631</v>
      </c>
      <c r="F325" s="120">
        <f>SUM(F319:F324)</f>
        <v>33958</v>
      </c>
      <c r="G325" s="120"/>
      <c r="H325" s="120"/>
      <c r="I325" s="120">
        <f>SUM(I319:I324)</f>
        <v>823</v>
      </c>
    </row>
    <row r="327" spans="2:9" x14ac:dyDescent="0.2">
      <c r="B327" s="130" t="s">
        <v>59</v>
      </c>
      <c r="C327" s="118">
        <v>108312</v>
      </c>
      <c r="D327" s="118">
        <v>24856</v>
      </c>
      <c r="E327" s="118">
        <v>83456</v>
      </c>
      <c r="F327" s="118">
        <v>103065</v>
      </c>
      <c r="G327" s="118">
        <v>0</v>
      </c>
      <c r="H327" s="118">
        <v>0</v>
      </c>
      <c r="I327" s="118">
        <v>1647</v>
      </c>
    </row>
    <row r="328" spans="2:9" x14ac:dyDescent="0.2">
      <c r="B328" s="130" t="s">
        <v>60</v>
      </c>
      <c r="C328" s="118">
        <v>93094</v>
      </c>
      <c r="D328" s="118">
        <v>19455</v>
      </c>
      <c r="E328" s="118">
        <v>73639</v>
      </c>
      <c r="F328" s="118">
        <v>61462</v>
      </c>
      <c r="G328" s="118">
        <v>0</v>
      </c>
      <c r="H328" s="118">
        <v>0</v>
      </c>
      <c r="I328" s="118">
        <v>-15431</v>
      </c>
    </row>
    <row r="329" spans="2:9" x14ac:dyDescent="0.2">
      <c r="B329" s="130" t="s">
        <v>61</v>
      </c>
      <c r="C329" s="118">
        <v>46494</v>
      </c>
      <c r="D329" s="118">
        <v>12735</v>
      </c>
      <c r="E329" s="118">
        <v>33759</v>
      </c>
      <c r="F329" s="118">
        <v>0</v>
      </c>
      <c r="G329" s="118">
        <v>0</v>
      </c>
      <c r="H329" s="118">
        <v>0</v>
      </c>
      <c r="I329" s="118">
        <v>-35</v>
      </c>
    </row>
    <row r="330" spans="2:9" x14ac:dyDescent="0.2">
      <c r="B330" s="130" t="s">
        <v>64</v>
      </c>
      <c r="C330" s="118">
        <v>14880</v>
      </c>
      <c r="D330" s="118">
        <v>320</v>
      </c>
      <c r="E330" s="118">
        <v>14560</v>
      </c>
      <c r="F330" s="118">
        <v>5236</v>
      </c>
      <c r="G330" s="118">
        <v>0</v>
      </c>
      <c r="H330" s="118">
        <v>0</v>
      </c>
      <c r="I330" s="118">
        <v>333</v>
      </c>
    </row>
    <row r="331" spans="2:9" x14ac:dyDescent="0.2">
      <c r="B331" s="130" t="s">
        <v>67</v>
      </c>
      <c r="C331" s="118">
        <v>41367</v>
      </c>
      <c r="D331" s="118">
        <v>11014</v>
      </c>
      <c r="E331" s="118">
        <v>30353</v>
      </c>
      <c r="F331" s="118">
        <v>0</v>
      </c>
      <c r="G331" s="118">
        <v>0</v>
      </c>
      <c r="H331" s="118">
        <v>0</v>
      </c>
      <c r="I331" s="118">
        <v>-1177</v>
      </c>
    </row>
    <row r="332" spans="2:9" x14ac:dyDescent="0.2">
      <c r="B332" s="127" t="s">
        <v>917</v>
      </c>
      <c r="C332" s="120">
        <f>SUM(C327:C331)</f>
        <v>304147</v>
      </c>
      <c r="D332" s="120">
        <f>SUM(D327:D331)</f>
        <v>68380</v>
      </c>
      <c r="E332" s="120">
        <f>SUM(E327:E331)</f>
        <v>235767</v>
      </c>
      <c r="F332" s="120">
        <f>SUM(F327:F331)</f>
        <v>169763</v>
      </c>
      <c r="G332" s="120"/>
      <c r="H332" s="120"/>
      <c r="I332" s="120">
        <f>SUM(I327:I331)</f>
        <v>-14663</v>
      </c>
    </row>
    <row r="333" spans="2:9" x14ac:dyDescent="0.2">
      <c r="B333" s="183"/>
      <c r="C333" s="184"/>
      <c r="D333" s="184"/>
      <c r="E333" s="184"/>
      <c r="F333" s="184"/>
      <c r="G333" s="184"/>
      <c r="H333" s="184"/>
      <c r="I333" s="184"/>
    </row>
    <row r="334" spans="2:9" x14ac:dyDescent="0.2">
      <c r="B334" s="130" t="s">
        <v>59</v>
      </c>
      <c r="C334" s="118">
        <v>104461</v>
      </c>
      <c r="D334" s="118">
        <v>21059</v>
      </c>
      <c r="E334" s="118">
        <v>83402</v>
      </c>
      <c r="F334" s="118">
        <v>78125</v>
      </c>
      <c r="G334" s="118">
        <v>0</v>
      </c>
      <c r="H334" s="118">
        <v>0</v>
      </c>
      <c r="I334" s="118">
        <v>1593</v>
      </c>
    </row>
    <row r="335" spans="2:9" x14ac:dyDescent="0.2">
      <c r="B335" s="130" t="s">
        <v>60</v>
      </c>
      <c r="C335" s="118">
        <v>92629</v>
      </c>
      <c r="D335" s="118">
        <v>11962</v>
      </c>
      <c r="E335" s="118">
        <v>80667</v>
      </c>
      <c r="F335" s="118">
        <v>44179</v>
      </c>
      <c r="G335" s="118">
        <v>0</v>
      </c>
      <c r="H335" s="118">
        <v>0</v>
      </c>
      <c r="I335" s="118">
        <v>-8403</v>
      </c>
    </row>
    <row r="336" spans="2:9" x14ac:dyDescent="0.2">
      <c r="B336" s="130" t="s">
        <v>61</v>
      </c>
      <c r="C336" s="118">
        <v>40879</v>
      </c>
      <c r="D336" s="118">
        <v>12012</v>
      </c>
      <c r="E336" s="118">
        <v>28867</v>
      </c>
      <c r="F336" s="118">
        <v>0</v>
      </c>
      <c r="G336" s="118">
        <v>0</v>
      </c>
      <c r="H336" s="118">
        <v>0</v>
      </c>
      <c r="I336" s="118">
        <v>-68</v>
      </c>
    </row>
    <row r="337" spans="2:9" x14ac:dyDescent="0.2">
      <c r="B337" s="130" t="s">
        <v>64</v>
      </c>
      <c r="C337" s="118">
        <v>16075</v>
      </c>
      <c r="D337" s="118">
        <v>451</v>
      </c>
      <c r="E337" s="118">
        <v>15624</v>
      </c>
      <c r="F337" s="118">
        <v>4557</v>
      </c>
      <c r="G337" s="118">
        <v>0</v>
      </c>
      <c r="H337" s="118">
        <v>0</v>
      </c>
      <c r="I337" s="118">
        <v>1397</v>
      </c>
    </row>
    <row r="338" spans="2:9" x14ac:dyDescent="0.2">
      <c r="B338" s="130" t="s">
        <v>67</v>
      </c>
      <c r="C338" s="118">
        <v>41298</v>
      </c>
      <c r="D338" s="118">
        <v>10656</v>
      </c>
      <c r="E338" s="118">
        <v>30642</v>
      </c>
      <c r="F338" s="118">
        <v>0</v>
      </c>
      <c r="G338" s="118">
        <v>0</v>
      </c>
      <c r="H338" s="118">
        <v>0</v>
      </c>
      <c r="I338" s="118">
        <v>-888</v>
      </c>
    </row>
    <row r="339" spans="2:9" x14ac:dyDescent="0.2">
      <c r="B339" s="127" t="s">
        <v>450</v>
      </c>
      <c r="C339" s="120">
        <f>SUM(C334:C338)</f>
        <v>295342</v>
      </c>
      <c r="D339" s="120">
        <f>SUM(D334:D338)</f>
        <v>56140</v>
      </c>
      <c r="E339" s="120">
        <f>SUM(E334:E338)</f>
        <v>239202</v>
      </c>
      <c r="F339" s="120">
        <f>SUM(F334:F338)</f>
        <v>126861</v>
      </c>
      <c r="G339" s="120"/>
      <c r="H339" s="120"/>
      <c r="I339" s="120">
        <f>SUM(I334:I338)</f>
        <v>-6369</v>
      </c>
    </row>
    <row r="340" spans="2:9" x14ac:dyDescent="0.2">
      <c r="B340" s="183"/>
      <c r="C340" s="184"/>
      <c r="D340" s="184"/>
      <c r="E340" s="184"/>
      <c r="F340" s="184"/>
      <c r="G340" s="184"/>
      <c r="H340" s="184"/>
      <c r="I340" s="184"/>
    </row>
    <row r="341" spans="2:9" x14ac:dyDescent="0.2">
      <c r="B341" s="130" t="s">
        <v>59</v>
      </c>
      <c r="C341" s="118">
        <v>104832</v>
      </c>
      <c r="D341" s="118">
        <v>20973</v>
      </c>
      <c r="E341" s="118">
        <v>83859</v>
      </c>
      <c r="F341" s="118">
        <v>51369</v>
      </c>
      <c r="G341" s="118">
        <v>0</v>
      </c>
      <c r="H341" s="118">
        <v>0</v>
      </c>
      <c r="I341" s="118">
        <v>2050</v>
      </c>
    </row>
    <row r="342" spans="2:9" x14ac:dyDescent="0.2">
      <c r="B342" s="130" t="s">
        <v>60</v>
      </c>
      <c r="C342" s="118">
        <v>98521</v>
      </c>
      <c r="D342" s="118">
        <v>16406</v>
      </c>
      <c r="E342" s="118">
        <v>82115</v>
      </c>
      <c r="F342" s="118">
        <v>27983</v>
      </c>
      <c r="G342" s="118">
        <v>0</v>
      </c>
      <c r="H342" s="118">
        <v>0</v>
      </c>
      <c r="I342" s="118">
        <v>-6955</v>
      </c>
    </row>
    <row r="343" spans="2:9" x14ac:dyDescent="0.2">
      <c r="B343" s="130" t="s">
        <v>61</v>
      </c>
      <c r="C343" s="118">
        <v>29639</v>
      </c>
      <c r="D343" s="118">
        <v>6394</v>
      </c>
      <c r="E343" s="118">
        <v>23245</v>
      </c>
      <c r="F343" s="118">
        <v>0</v>
      </c>
      <c r="G343" s="118">
        <v>0</v>
      </c>
      <c r="H343" s="118">
        <v>0</v>
      </c>
      <c r="I343" s="118">
        <v>-17</v>
      </c>
    </row>
    <row r="344" spans="2:9" x14ac:dyDescent="0.2">
      <c r="B344" s="130" t="s">
        <v>64</v>
      </c>
      <c r="C344" s="118">
        <v>15628</v>
      </c>
      <c r="D344" s="118">
        <v>347</v>
      </c>
      <c r="E344" s="118">
        <v>15281</v>
      </c>
      <c r="F344" s="118">
        <v>3168</v>
      </c>
      <c r="G344" s="118">
        <v>0</v>
      </c>
      <c r="H344" s="118">
        <v>0</v>
      </c>
      <c r="I344" s="118">
        <v>1054</v>
      </c>
    </row>
    <row r="345" spans="2:9" x14ac:dyDescent="0.2">
      <c r="B345" s="130" t="s">
        <v>67</v>
      </c>
      <c r="C345" s="118">
        <v>41407</v>
      </c>
      <c r="D345" s="118">
        <v>10283</v>
      </c>
      <c r="E345" s="118">
        <v>31124</v>
      </c>
      <c r="F345" s="118">
        <v>0</v>
      </c>
      <c r="G345" s="118">
        <v>0</v>
      </c>
      <c r="H345" s="118">
        <v>0</v>
      </c>
      <c r="I345" s="118">
        <v>-406</v>
      </c>
    </row>
    <row r="346" spans="2:9" x14ac:dyDescent="0.2">
      <c r="B346" s="127" t="s">
        <v>451</v>
      </c>
      <c r="C346" s="120">
        <f>SUM(C341:C345)</f>
        <v>290027</v>
      </c>
      <c r="D346" s="120">
        <f>SUM(D341:D345)</f>
        <v>54403</v>
      </c>
      <c r="E346" s="120">
        <f>SUM(E341:E345)</f>
        <v>235624</v>
      </c>
      <c r="F346" s="120">
        <f>SUM(F341:F345)</f>
        <v>82520</v>
      </c>
      <c r="G346" s="120"/>
      <c r="H346" s="120"/>
      <c r="I346" s="120">
        <f>SUM(I341:I345)</f>
        <v>-4274</v>
      </c>
    </row>
    <row r="347" spans="2:9" x14ac:dyDescent="0.2">
      <c r="C347" s="91"/>
      <c r="D347" s="91"/>
      <c r="E347" s="91"/>
      <c r="F347" s="91"/>
      <c r="G347" s="91"/>
      <c r="H347" s="91"/>
      <c r="I347" s="90"/>
    </row>
    <row r="348" spans="2:9" x14ac:dyDescent="0.2">
      <c r="B348" s="130" t="s">
        <v>59</v>
      </c>
      <c r="C348" s="118">
        <v>102800</v>
      </c>
      <c r="D348" s="118">
        <v>19220</v>
      </c>
      <c r="E348" s="118">
        <v>83580</v>
      </c>
      <c r="F348" s="118">
        <v>24529</v>
      </c>
      <c r="G348" s="118">
        <v>0</v>
      </c>
      <c r="H348" s="118">
        <v>0</v>
      </c>
      <c r="I348" s="118">
        <v>1771</v>
      </c>
    </row>
    <row r="349" spans="2:9" x14ac:dyDescent="0.2">
      <c r="B349" s="130" t="s">
        <v>60</v>
      </c>
      <c r="C349" s="118">
        <v>99281</v>
      </c>
      <c r="D349" s="118">
        <v>11885</v>
      </c>
      <c r="E349" s="118">
        <v>87396</v>
      </c>
      <c r="F349" s="118">
        <v>14118</v>
      </c>
      <c r="G349" s="118">
        <v>0</v>
      </c>
      <c r="H349" s="118">
        <v>0</v>
      </c>
      <c r="I349" s="118">
        <v>-1674</v>
      </c>
    </row>
    <row r="350" spans="2:9" x14ac:dyDescent="0.2">
      <c r="B350" s="130" t="s">
        <v>61</v>
      </c>
      <c r="C350" s="118">
        <v>22239</v>
      </c>
      <c r="D350" s="118">
        <v>531</v>
      </c>
      <c r="E350" s="118">
        <v>21708</v>
      </c>
      <c r="F350" s="118">
        <v>0</v>
      </c>
      <c r="G350" s="118">
        <v>0</v>
      </c>
      <c r="H350" s="118">
        <v>0</v>
      </c>
      <c r="I350" s="118">
        <v>-16</v>
      </c>
    </row>
    <row r="351" spans="2:9" x14ac:dyDescent="0.2">
      <c r="B351" s="130" t="s">
        <v>64</v>
      </c>
      <c r="C351" s="118">
        <v>15668</v>
      </c>
      <c r="D351" s="118">
        <v>772</v>
      </c>
      <c r="E351" s="118">
        <v>14896</v>
      </c>
      <c r="F351" s="118">
        <v>2342</v>
      </c>
      <c r="G351" s="118">
        <v>0</v>
      </c>
      <c r="H351" s="118">
        <v>0</v>
      </c>
      <c r="I351" s="118">
        <v>710</v>
      </c>
    </row>
    <row r="352" spans="2:9" x14ac:dyDescent="0.2">
      <c r="B352" s="130" t="s">
        <v>67</v>
      </c>
      <c r="C352" s="118">
        <v>41246</v>
      </c>
      <c r="D352" s="118">
        <v>9981</v>
      </c>
      <c r="E352" s="118">
        <v>31265</v>
      </c>
      <c r="F352" s="118">
        <v>0</v>
      </c>
      <c r="G352" s="118">
        <v>0</v>
      </c>
      <c r="H352" s="118">
        <v>0</v>
      </c>
      <c r="I352" s="118">
        <v>-265</v>
      </c>
    </row>
    <row r="353" spans="2:9" x14ac:dyDescent="0.2">
      <c r="B353" s="127" t="s">
        <v>452</v>
      </c>
      <c r="C353" s="120">
        <f>SUM(C348:C352)</f>
        <v>281234</v>
      </c>
      <c r="D353" s="120">
        <f>SUM(D348:D352)</f>
        <v>42389</v>
      </c>
      <c r="E353" s="120">
        <f>SUM(E348:E352)</f>
        <v>238845</v>
      </c>
      <c r="F353" s="120">
        <f>SUM(F348:F352)</f>
        <v>40989</v>
      </c>
      <c r="G353" s="120"/>
      <c r="H353" s="120"/>
      <c r="I353" s="120">
        <f>SUM(I348:I352)</f>
        <v>526</v>
      </c>
    </row>
    <row r="354" spans="2:9" x14ac:dyDescent="0.2">
      <c r="C354" s="91"/>
      <c r="D354" s="91"/>
      <c r="E354" s="91"/>
      <c r="F354" s="91"/>
      <c r="G354" s="91"/>
      <c r="H354" s="91"/>
      <c r="I354" s="90"/>
    </row>
    <row r="355" spans="2:9" x14ac:dyDescent="0.2">
      <c r="B355" s="130" t="s">
        <v>59</v>
      </c>
      <c r="C355" s="118">
        <v>101309</v>
      </c>
      <c r="D355" s="118">
        <v>19500</v>
      </c>
      <c r="E355" s="118">
        <v>81809</v>
      </c>
      <c r="F355" s="118">
        <v>98741</v>
      </c>
      <c r="G355" s="118">
        <v>0</v>
      </c>
      <c r="H355" s="118">
        <v>0</v>
      </c>
      <c r="I355" s="118">
        <v>11551</v>
      </c>
    </row>
    <row r="356" spans="2:9" x14ac:dyDescent="0.2">
      <c r="B356" s="130" t="s">
        <v>60</v>
      </c>
      <c r="C356" s="118">
        <v>101066</v>
      </c>
      <c r="D356" s="118">
        <v>11996</v>
      </c>
      <c r="E356" s="118">
        <v>89070</v>
      </c>
      <c r="F356" s="118">
        <v>69602</v>
      </c>
      <c r="G356" s="118">
        <v>0</v>
      </c>
      <c r="H356" s="118">
        <v>0</v>
      </c>
      <c r="I356" s="118">
        <v>-6564</v>
      </c>
    </row>
    <row r="357" spans="2:9" x14ac:dyDescent="0.2">
      <c r="B357" s="130" t="s">
        <v>61</v>
      </c>
      <c r="C357" s="118">
        <v>22239</v>
      </c>
      <c r="D357" s="118">
        <v>619</v>
      </c>
      <c r="E357" s="118">
        <v>21620</v>
      </c>
      <c r="F357" s="118">
        <v>0</v>
      </c>
      <c r="G357" s="118">
        <v>0</v>
      </c>
      <c r="H357" s="118">
        <v>0</v>
      </c>
      <c r="I357" s="118">
        <v>-61</v>
      </c>
    </row>
    <row r="358" spans="2:9" x14ac:dyDescent="0.2">
      <c r="B358" s="130" t="s">
        <v>64</v>
      </c>
      <c r="C358" s="118">
        <v>14743</v>
      </c>
      <c r="D358" s="118">
        <v>480</v>
      </c>
      <c r="E358" s="118">
        <v>14263</v>
      </c>
      <c r="F358" s="118">
        <v>12592</v>
      </c>
      <c r="G358" s="118">
        <v>0</v>
      </c>
      <c r="H358" s="118">
        <v>0</v>
      </c>
      <c r="I358" s="118">
        <v>3125</v>
      </c>
    </row>
    <row r="359" spans="2:9" x14ac:dyDescent="0.2">
      <c r="B359" s="130" t="s">
        <v>67</v>
      </c>
      <c r="C359" s="118">
        <v>41239</v>
      </c>
      <c r="D359" s="118">
        <v>9709</v>
      </c>
      <c r="E359" s="118">
        <v>31530</v>
      </c>
      <c r="F359" s="118">
        <v>0</v>
      </c>
      <c r="G359" s="118">
        <v>0</v>
      </c>
      <c r="H359" s="118">
        <v>0</v>
      </c>
      <c r="I359" s="118">
        <v>-6495</v>
      </c>
    </row>
    <row r="360" spans="2:9" x14ac:dyDescent="0.2">
      <c r="B360" s="127" t="s">
        <v>453</v>
      </c>
      <c r="C360" s="120">
        <f>SUM(C355:C359)</f>
        <v>280596</v>
      </c>
      <c r="D360" s="120">
        <f>SUM(D355:D359)</f>
        <v>42304</v>
      </c>
      <c r="E360" s="120">
        <f>SUM(E355:E359)</f>
        <v>238292</v>
      </c>
      <c r="F360" s="120">
        <f>SUM(F355:F359)</f>
        <v>180935</v>
      </c>
      <c r="G360" s="120"/>
      <c r="H360" s="120"/>
      <c r="I360" s="120">
        <f>SUM(I355:I359)</f>
        <v>1556</v>
      </c>
    </row>
    <row r="361" spans="2:9" x14ac:dyDescent="0.2">
      <c r="C361" s="91"/>
      <c r="D361" s="91"/>
      <c r="E361" s="91"/>
      <c r="F361" s="91"/>
      <c r="G361" s="91"/>
      <c r="H361" s="91"/>
      <c r="I361" s="90"/>
    </row>
    <row r="362" spans="2:9" x14ac:dyDescent="0.2">
      <c r="B362" s="130" t="s">
        <v>59</v>
      </c>
      <c r="C362" s="118">
        <v>70161</v>
      </c>
      <c r="D362" s="118">
        <v>21423</v>
      </c>
      <c r="E362" s="118">
        <v>48738</v>
      </c>
      <c r="F362" s="118">
        <v>73853</v>
      </c>
      <c r="G362" s="118">
        <v>0</v>
      </c>
      <c r="H362" s="118">
        <v>0</v>
      </c>
      <c r="I362" s="118">
        <v>11840</v>
      </c>
    </row>
    <row r="363" spans="2:9" x14ac:dyDescent="0.2">
      <c r="B363" s="130" t="s">
        <v>60</v>
      </c>
      <c r="C363" s="118">
        <v>72883</v>
      </c>
      <c r="D363" s="118">
        <v>11536</v>
      </c>
      <c r="E363" s="118">
        <v>61347</v>
      </c>
      <c r="F363" s="118">
        <v>51817</v>
      </c>
      <c r="G363" s="118">
        <v>0</v>
      </c>
      <c r="H363" s="118">
        <v>0</v>
      </c>
      <c r="I363" s="118">
        <v>-4286</v>
      </c>
    </row>
    <row r="364" spans="2:9" x14ac:dyDescent="0.2">
      <c r="B364" s="130" t="s">
        <v>61</v>
      </c>
      <c r="C364" s="118">
        <v>22239</v>
      </c>
      <c r="D364" s="118">
        <v>619</v>
      </c>
      <c r="E364" s="118">
        <v>21620</v>
      </c>
      <c r="F364" s="118">
        <v>0</v>
      </c>
      <c r="G364" s="118">
        <v>0</v>
      </c>
      <c r="H364" s="118">
        <v>0</v>
      </c>
      <c r="I364" s="118">
        <v>-54</v>
      </c>
    </row>
    <row r="365" spans="2:9" x14ac:dyDescent="0.2">
      <c r="B365" s="130" t="s">
        <v>64</v>
      </c>
      <c r="C365" s="118">
        <v>14780</v>
      </c>
      <c r="D365" s="118">
        <v>882</v>
      </c>
      <c r="E365" s="118">
        <v>13898</v>
      </c>
      <c r="F365" s="118">
        <v>9926</v>
      </c>
      <c r="G365" s="118">
        <v>0</v>
      </c>
      <c r="H365" s="118">
        <v>0</v>
      </c>
      <c r="I365" s="118">
        <v>2759</v>
      </c>
    </row>
    <row r="366" spans="2:9" x14ac:dyDescent="0.2">
      <c r="B366" s="130" t="s">
        <v>67</v>
      </c>
      <c r="C366" s="118">
        <v>44869</v>
      </c>
      <c r="D366" s="118">
        <v>13229</v>
      </c>
      <c r="E366" s="118">
        <v>31640</v>
      </c>
      <c r="F366" s="118">
        <v>0</v>
      </c>
      <c r="G366" s="118">
        <v>0</v>
      </c>
      <c r="H366" s="118">
        <v>0</v>
      </c>
      <c r="I366" s="118">
        <v>-6385</v>
      </c>
    </row>
    <row r="367" spans="2:9" x14ac:dyDescent="0.2">
      <c r="B367" s="127" t="s">
        <v>454</v>
      </c>
      <c r="C367" s="120">
        <f>SUM(C362:C366)</f>
        <v>224932</v>
      </c>
      <c r="D367" s="120">
        <f>SUM(D362:D366)</f>
        <v>47689</v>
      </c>
      <c r="E367" s="120">
        <f>SUM(E362:E366)</f>
        <v>177243</v>
      </c>
      <c r="F367" s="120">
        <f>SUM(F362:F366)</f>
        <v>135596</v>
      </c>
      <c r="G367" s="120"/>
      <c r="H367" s="120"/>
      <c r="I367" s="120">
        <f>SUM(I362:I366)</f>
        <v>3874</v>
      </c>
    </row>
    <row r="368" spans="2:9" x14ac:dyDescent="0.2">
      <c r="C368" s="91"/>
      <c r="D368" s="91"/>
      <c r="E368" s="91"/>
      <c r="F368" s="91"/>
      <c r="G368" s="91"/>
      <c r="H368" s="91"/>
      <c r="I368" s="90"/>
    </row>
    <row r="369" spans="2:9" x14ac:dyDescent="0.2">
      <c r="B369" s="130" t="s">
        <v>37</v>
      </c>
      <c r="C369" s="118">
        <v>0</v>
      </c>
      <c r="D369" s="118">
        <v>1</v>
      </c>
      <c r="E369" s="118">
        <v>0</v>
      </c>
      <c r="F369" s="118">
        <v>0</v>
      </c>
      <c r="G369" s="118">
        <v>0</v>
      </c>
      <c r="H369" s="118">
        <v>0</v>
      </c>
      <c r="I369" s="118">
        <v>0</v>
      </c>
    </row>
    <row r="370" spans="2:9" x14ac:dyDescent="0.2">
      <c r="B370" s="130" t="s">
        <v>59</v>
      </c>
      <c r="C370" s="118">
        <v>0</v>
      </c>
      <c r="D370" s="118">
        <v>230</v>
      </c>
      <c r="E370" s="118">
        <v>-9815</v>
      </c>
      <c r="F370" s="118">
        <v>40032</v>
      </c>
      <c r="G370" s="118">
        <v>0</v>
      </c>
      <c r="H370" s="118">
        <v>0</v>
      </c>
      <c r="I370" s="118">
        <v>0</v>
      </c>
    </row>
    <row r="371" spans="2:9" x14ac:dyDescent="0.2">
      <c r="B371" s="130" t="s">
        <v>60</v>
      </c>
      <c r="C371" s="118">
        <v>0</v>
      </c>
      <c r="D371" s="118">
        <v>0</v>
      </c>
      <c r="E371" s="118">
        <v>0</v>
      </c>
      <c r="F371" s="118">
        <v>0</v>
      </c>
      <c r="G371" s="118">
        <v>0</v>
      </c>
      <c r="H371" s="118">
        <v>0</v>
      </c>
      <c r="I371" s="118">
        <v>5597</v>
      </c>
    </row>
    <row r="372" spans="2:9" x14ac:dyDescent="0.2">
      <c r="B372" s="130" t="s">
        <v>61</v>
      </c>
      <c r="C372" s="118">
        <v>-1</v>
      </c>
      <c r="D372" s="118">
        <v>0</v>
      </c>
      <c r="E372" s="118">
        <v>0</v>
      </c>
      <c r="F372" s="118">
        <v>0</v>
      </c>
      <c r="G372" s="118">
        <v>0</v>
      </c>
      <c r="H372" s="118">
        <v>0</v>
      </c>
      <c r="I372" s="118">
        <v>0</v>
      </c>
    </row>
    <row r="373" spans="2:9" x14ac:dyDescent="0.2">
      <c r="B373" s="130" t="s">
        <v>64</v>
      </c>
      <c r="C373" s="118">
        <v>0</v>
      </c>
      <c r="D373" s="118">
        <v>2862</v>
      </c>
      <c r="E373" s="118">
        <v>-21120</v>
      </c>
      <c r="F373" s="118">
        <v>21018</v>
      </c>
      <c r="G373" s="118">
        <v>0</v>
      </c>
      <c r="H373" s="118">
        <v>0</v>
      </c>
      <c r="I373" s="118">
        <v>1</v>
      </c>
    </row>
    <row r="374" spans="2:9" x14ac:dyDescent="0.2">
      <c r="B374" s="130" t="s">
        <v>67</v>
      </c>
      <c r="C374" s="118">
        <v>1</v>
      </c>
      <c r="D374" s="118">
        <v>0</v>
      </c>
      <c r="E374" s="118">
        <v>1</v>
      </c>
      <c r="F374" s="118">
        <v>59251</v>
      </c>
      <c r="G374" s="118">
        <v>0</v>
      </c>
      <c r="H374" s="118">
        <v>0</v>
      </c>
      <c r="I374" s="118">
        <v>0</v>
      </c>
    </row>
    <row r="375" spans="2:9" x14ac:dyDescent="0.2">
      <c r="B375" s="127" t="s">
        <v>455</v>
      </c>
      <c r="C375" s="120">
        <f>SUM(C369:C374)</f>
        <v>0</v>
      </c>
      <c r="D375" s="120">
        <f>SUM(D369:D374)</f>
        <v>3093</v>
      </c>
      <c r="E375" s="120">
        <f>SUM(E369:E374)</f>
        <v>-30934</v>
      </c>
      <c r="F375" s="120">
        <f>SUM(F369:F374)</f>
        <v>120301</v>
      </c>
      <c r="G375" s="120"/>
      <c r="H375" s="120"/>
      <c r="I375" s="120">
        <f>SUM(I369:I374)</f>
        <v>5598</v>
      </c>
    </row>
    <row r="376" spans="2:9" x14ac:dyDescent="0.2">
      <c r="C376" s="91"/>
      <c r="D376" s="91"/>
      <c r="E376" s="91"/>
      <c r="F376" s="91"/>
      <c r="G376" s="91"/>
      <c r="H376" s="91"/>
      <c r="I376" s="90"/>
    </row>
    <row r="377" spans="2:9" x14ac:dyDescent="0.2">
      <c r="B377" s="130" t="s">
        <v>70</v>
      </c>
      <c r="C377" s="118">
        <v>268287</v>
      </c>
      <c r="D377" s="118">
        <v>264341</v>
      </c>
      <c r="E377" s="118">
        <v>3946</v>
      </c>
      <c r="F377" s="118">
        <v>51117</v>
      </c>
      <c r="G377" s="118">
        <v>0</v>
      </c>
      <c r="H377" s="118">
        <v>0</v>
      </c>
      <c r="I377" s="118">
        <v>-11994</v>
      </c>
    </row>
    <row r="378" spans="2:9" x14ac:dyDescent="0.2">
      <c r="B378" s="130" t="s">
        <v>59</v>
      </c>
      <c r="C378" s="118">
        <v>62431</v>
      </c>
      <c r="D378" s="118">
        <v>29093</v>
      </c>
      <c r="E378" s="118">
        <v>33338</v>
      </c>
      <c r="F378" s="118">
        <v>25524</v>
      </c>
      <c r="G378" s="118">
        <v>0</v>
      </c>
      <c r="H378" s="118">
        <v>0</v>
      </c>
      <c r="I378" s="118">
        <v>3440</v>
      </c>
    </row>
    <row r="379" spans="2:9" x14ac:dyDescent="0.2">
      <c r="B379" s="130" t="s">
        <v>60</v>
      </c>
      <c r="C379" s="118">
        <v>76779</v>
      </c>
      <c r="D379" s="118">
        <v>14396</v>
      </c>
      <c r="E379" s="118">
        <v>62383</v>
      </c>
      <c r="F379" s="118">
        <v>15839</v>
      </c>
      <c r="G379" s="118">
        <v>0</v>
      </c>
      <c r="H379" s="118">
        <v>0</v>
      </c>
      <c r="I379" s="118">
        <v>-3253</v>
      </c>
    </row>
    <row r="380" spans="2:9" x14ac:dyDescent="0.2">
      <c r="B380" s="130" t="s">
        <v>61</v>
      </c>
      <c r="C380" s="118">
        <v>21597</v>
      </c>
      <c r="D380" s="118">
        <v>1628</v>
      </c>
      <c r="E380" s="118">
        <v>19969</v>
      </c>
      <c r="F380" s="118">
        <v>0</v>
      </c>
      <c r="G380" s="118">
        <v>0</v>
      </c>
      <c r="H380" s="118">
        <v>0</v>
      </c>
      <c r="I380" s="118">
        <v>0</v>
      </c>
    </row>
    <row r="381" spans="2:9" x14ac:dyDescent="0.2">
      <c r="B381" s="130" t="s">
        <v>64</v>
      </c>
      <c r="C381" s="118">
        <v>13567</v>
      </c>
      <c r="D381" s="118">
        <v>2110</v>
      </c>
      <c r="E381" s="118">
        <v>11457</v>
      </c>
      <c r="F381" s="118">
        <v>3770</v>
      </c>
      <c r="G381" s="118">
        <v>0</v>
      </c>
      <c r="H381" s="118">
        <v>0</v>
      </c>
      <c r="I381" s="118">
        <v>703</v>
      </c>
    </row>
    <row r="382" spans="2:9" x14ac:dyDescent="0.2">
      <c r="B382" s="127" t="s">
        <v>456</v>
      </c>
      <c r="C382" s="120">
        <f>SUM(C377:C381)</f>
        <v>442661</v>
      </c>
      <c r="D382" s="120">
        <f>SUM(D377:D381)</f>
        <v>311568</v>
      </c>
      <c r="E382" s="120">
        <f>SUM(E377:E381)</f>
        <v>131093</v>
      </c>
      <c r="F382" s="120">
        <f>SUM(F377:F381)</f>
        <v>96250</v>
      </c>
      <c r="G382" s="120"/>
      <c r="H382" s="120"/>
      <c r="I382" s="120">
        <f>SUM(I377:I381)</f>
        <v>-11104</v>
      </c>
    </row>
    <row r="383" spans="2:9" x14ac:dyDescent="0.2">
      <c r="C383" s="92"/>
      <c r="D383" s="92"/>
      <c r="E383" s="92"/>
      <c r="F383" s="92"/>
      <c r="G383" s="92"/>
      <c r="H383" s="92"/>
      <c r="I383" s="93"/>
    </row>
    <row r="384" spans="2:9" x14ac:dyDescent="0.2">
      <c r="B384" s="130" t="s">
        <v>70</v>
      </c>
      <c r="C384" s="118">
        <v>275441</v>
      </c>
      <c r="D384" s="118">
        <v>259501</v>
      </c>
      <c r="E384" s="118">
        <v>15940</v>
      </c>
      <c r="F384" s="118">
        <v>194580</v>
      </c>
      <c r="G384" s="118">
        <v>0</v>
      </c>
      <c r="H384" s="118">
        <v>0</v>
      </c>
      <c r="I384" s="118">
        <v>-57689</v>
      </c>
    </row>
    <row r="385" spans="2:9" x14ac:dyDescent="0.2">
      <c r="B385" s="130" t="s">
        <v>59</v>
      </c>
      <c r="C385" s="118">
        <v>62070</v>
      </c>
      <c r="D385" s="118">
        <v>32592</v>
      </c>
      <c r="E385" s="118">
        <v>29478</v>
      </c>
      <c r="F385" s="118">
        <v>87409</v>
      </c>
      <c r="G385" s="118">
        <v>0</v>
      </c>
      <c r="H385" s="118">
        <v>0</v>
      </c>
      <c r="I385" s="118">
        <v>-18549</v>
      </c>
    </row>
    <row r="386" spans="2:9" x14ac:dyDescent="0.2">
      <c r="B386" s="130" t="s">
        <v>60</v>
      </c>
      <c r="C386" s="118">
        <v>73988</v>
      </c>
      <c r="D386" s="118">
        <v>14392</v>
      </c>
      <c r="E386" s="118">
        <v>59596</v>
      </c>
      <c r="F386" s="118">
        <v>77160</v>
      </c>
      <c r="G386" s="118">
        <v>0</v>
      </c>
      <c r="H386" s="118">
        <v>0</v>
      </c>
      <c r="I386" s="118">
        <v>-9001</v>
      </c>
    </row>
    <row r="387" spans="2:9" x14ac:dyDescent="0.2">
      <c r="B387" s="130" t="s">
        <v>61</v>
      </c>
      <c r="C387" s="118">
        <v>21597</v>
      </c>
      <c r="D387" s="118">
        <v>2618</v>
      </c>
      <c r="E387" s="118">
        <v>18979</v>
      </c>
      <c r="F387" s="118">
        <v>0</v>
      </c>
      <c r="G387" s="118">
        <v>0</v>
      </c>
      <c r="H387" s="118">
        <v>0</v>
      </c>
      <c r="I387" s="118">
        <v>-9</v>
      </c>
    </row>
    <row r="388" spans="2:9" x14ac:dyDescent="0.2">
      <c r="B388" s="130" t="s">
        <v>64</v>
      </c>
      <c r="C388" s="118">
        <v>13161</v>
      </c>
      <c r="D388" s="118">
        <v>2372</v>
      </c>
      <c r="E388" s="118">
        <v>10789</v>
      </c>
      <c r="F388" s="118">
        <v>19777</v>
      </c>
      <c r="G388" s="118">
        <v>0</v>
      </c>
      <c r="H388" s="118">
        <v>0</v>
      </c>
      <c r="I388" s="118">
        <v>2993</v>
      </c>
    </row>
    <row r="389" spans="2:9" x14ac:dyDescent="0.2">
      <c r="B389" s="127" t="s">
        <v>457</v>
      </c>
      <c r="C389" s="120">
        <f>SUM(C384:C388)</f>
        <v>446257</v>
      </c>
      <c r="D389" s="120">
        <f>SUM(D384:D388)</f>
        <v>311475</v>
      </c>
      <c r="E389" s="120">
        <f>SUM(E384:E388)</f>
        <v>134782</v>
      </c>
      <c r="F389" s="120">
        <f>SUM(F384:F388)</f>
        <v>378926</v>
      </c>
      <c r="G389" s="120"/>
      <c r="H389" s="120"/>
      <c r="I389" s="120">
        <f>SUM(I384:I388)</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35">
    <pageSetUpPr autoPageBreaks="0"/>
  </sheetPr>
  <dimension ref="B1:AU73"/>
  <sheetViews>
    <sheetView showGridLines="0" zoomScaleNormal="100" workbookViewId="0">
      <pane xSplit="2" ySplit="4" topLeftCell="AH5" activePane="bottomRight" state="frozen"/>
      <selection activeCell="EF37" sqref="EF37"/>
      <selection pane="topRight" activeCell="EF37" sqref="EF37"/>
      <selection pane="bottomLeft" activeCell="EF37" sqref="EF37"/>
      <selection pane="bottomRight" activeCell="AU5" sqref="AU5"/>
    </sheetView>
  </sheetViews>
  <sheetFormatPr defaultRowHeight="12.75" x14ac:dyDescent="0.2"/>
  <cols>
    <col min="1" max="1" width="1.42578125" customWidth="1"/>
    <col min="2" max="2" width="31.28515625" bestFit="1" customWidth="1"/>
    <col min="3" max="21" width="10.7109375" customWidth="1"/>
    <col min="22" max="22" width="12.28515625" customWidth="1"/>
    <col min="23" max="47" width="10.7109375" customWidth="1"/>
  </cols>
  <sheetData>
    <row r="1" spans="2:47" s="557" customFormat="1" ht="7.5" customHeight="1" x14ac:dyDescent="0.2"/>
    <row r="2" spans="2:47" s="557" customFormat="1" ht="12.75" customHeight="1" x14ac:dyDescent="0.2"/>
    <row r="3" spans="2:47" ht="12.75" customHeight="1" x14ac:dyDescent="0.2">
      <c r="W3" s="551"/>
      <c r="X3" s="551"/>
      <c r="Y3" s="551"/>
      <c r="Z3" s="551"/>
      <c r="AA3" s="551"/>
      <c r="AB3" s="551"/>
      <c r="AC3" s="551"/>
      <c r="AD3" s="551"/>
      <c r="AE3" s="551"/>
      <c r="AF3" s="551"/>
      <c r="AG3" s="551"/>
      <c r="AH3" s="551"/>
      <c r="AI3" s="551"/>
      <c r="AJ3" s="551"/>
      <c r="AK3" s="551"/>
      <c r="AL3" s="551"/>
      <c r="AM3" s="551"/>
      <c r="AN3" s="551"/>
      <c r="AO3" s="551"/>
      <c r="AP3" s="551"/>
      <c r="AQ3" s="329"/>
      <c r="AR3" s="329"/>
      <c r="AS3" s="329"/>
      <c r="AT3" s="329"/>
      <c r="AU3" s="329"/>
    </row>
    <row r="4" spans="2:47" ht="12.75" customHeight="1" x14ac:dyDescent="0.2">
      <c r="AI4" s="1066"/>
      <c r="AJ4" s="1066"/>
      <c r="AK4" s="1066"/>
      <c r="AL4" s="1066"/>
      <c r="AM4" s="1066"/>
      <c r="AN4" s="1066"/>
      <c r="AO4" s="1066"/>
      <c r="AP4" s="1066"/>
      <c r="AQ4" s="1066"/>
      <c r="AR4" s="1066"/>
      <c r="AS4" s="1066"/>
      <c r="AT4" s="1066"/>
      <c r="AU4" s="1066"/>
    </row>
    <row r="5" spans="2:47" x14ac:dyDescent="0.2">
      <c r="B5" s="146" t="s">
        <v>782</v>
      </c>
      <c r="C5" s="247" t="s">
        <v>622</v>
      </c>
      <c r="D5" s="247" t="s">
        <v>471</v>
      </c>
      <c r="E5" s="247" t="s">
        <v>472</v>
      </c>
      <c r="F5" s="247" t="s">
        <v>473</v>
      </c>
      <c r="G5" s="247" t="s">
        <v>474</v>
      </c>
      <c r="H5" s="247" t="s">
        <v>475</v>
      </c>
      <c r="I5" s="247" t="s">
        <v>476</v>
      </c>
      <c r="J5" s="247" t="s">
        <v>477</v>
      </c>
      <c r="K5" s="247" t="s">
        <v>478</v>
      </c>
      <c r="L5" s="247" t="s">
        <v>479</v>
      </c>
      <c r="M5" s="247" t="s">
        <v>371</v>
      </c>
      <c r="N5" s="247" t="s">
        <v>372</v>
      </c>
      <c r="O5" s="247" t="s">
        <v>373</v>
      </c>
      <c r="P5" s="247" t="s">
        <v>374</v>
      </c>
      <c r="Q5" s="247" t="s">
        <v>375</v>
      </c>
      <c r="R5" s="247" t="s">
        <v>376</v>
      </c>
      <c r="S5" s="247" t="s">
        <v>694</v>
      </c>
      <c r="T5" s="247" t="s">
        <v>758</v>
      </c>
      <c r="U5" s="247" t="s">
        <v>771</v>
      </c>
      <c r="V5" s="247" t="s">
        <v>788</v>
      </c>
      <c r="W5" s="247" t="s">
        <v>844</v>
      </c>
      <c r="X5" s="247" t="s">
        <v>862</v>
      </c>
      <c r="Y5" s="247" t="s">
        <v>922</v>
      </c>
      <c r="Z5" s="247" t="s">
        <v>923</v>
      </c>
      <c r="AA5" s="247" t="s">
        <v>924</v>
      </c>
      <c r="AB5" s="247" t="s">
        <v>995</v>
      </c>
      <c r="AC5" s="247" t="s">
        <v>1027</v>
      </c>
      <c r="AD5" s="247" t="s">
        <v>1028</v>
      </c>
      <c r="AE5" s="247" t="s">
        <v>993</v>
      </c>
      <c r="AF5" s="247" t="s">
        <v>1124</v>
      </c>
      <c r="AG5" s="247" t="s">
        <v>1125</v>
      </c>
      <c r="AH5" s="247" t="s">
        <v>1126</v>
      </c>
      <c r="AI5" s="247" t="s">
        <v>1127</v>
      </c>
      <c r="AJ5" s="247" t="s">
        <v>1181</v>
      </c>
      <c r="AK5" s="247" t="s">
        <v>1189</v>
      </c>
      <c r="AL5" s="247" t="s">
        <v>1191</v>
      </c>
      <c r="AM5" s="247" t="s">
        <v>1193</v>
      </c>
      <c r="AN5" s="247" t="s">
        <v>1232</v>
      </c>
      <c r="AO5" s="247" t="s">
        <v>1245</v>
      </c>
      <c r="AP5" s="247" t="s">
        <v>1247</v>
      </c>
      <c r="AQ5" s="247" t="s">
        <v>1249</v>
      </c>
      <c r="AR5" s="247" t="s">
        <v>1306</v>
      </c>
      <c r="AS5" s="247" t="s">
        <v>1316</v>
      </c>
      <c r="AT5" s="247" t="s">
        <v>1317</v>
      </c>
      <c r="AU5" s="247" t="s">
        <v>1318</v>
      </c>
    </row>
    <row r="6" spans="2:47" x14ac:dyDescent="0.2">
      <c r="B6" s="127" t="s">
        <v>165</v>
      </c>
      <c r="C6" s="208" t="s">
        <v>47</v>
      </c>
      <c r="D6" s="208" t="s">
        <v>47</v>
      </c>
      <c r="E6" s="208" t="s">
        <v>47</v>
      </c>
      <c r="F6" s="208" t="s">
        <v>47</v>
      </c>
      <c r="G6" s="208" t="s">
        <v>47</v>
      </c>
      <c r="H6" s="208" t="s">
        <v>47</v>
      </c>
      <c r="I6" s="208" t="s">
        <v>47</v>
      </c>
      <c r="J6" s="208" t="s">
        <v>47</v>
      </c>
      <c r="K6" s="208" t="s">
        <v>47</v>
      </c>
      <c r="L6" s="208" t="s">
        <v>47</v>
      </c>
      <c r="M6" s="208" t="s">
        <v>47</v>
      </c>
      <c r="N6" s="208" t="s">
        <v>47</v>
      </c>
      <c r="O6" s="208" t="s">
        <v>47</v>
      </c>
      <c r="P6" s="208" t="s">
        <v>47</v>
      </c>
      <c r="Q6" s="208" t="s">
        <v>47</v>
      </c>
      <c r="R6" s="208" t="s">
        <v>47</v>
      </c>
      <c r="S6" s="208" t="s">
        <v>47</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114972</v>
      </c>
    </row>
    <row r="7" spans="2:47" x14ac:dyDescent="0.2">
      <c r="B7" s="130" t="s">
        <v>1292</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row>
    <row r="8" spans="2:47" x14ac:dyDescent="0.2">
      <c r="B8" s="130" t="s">
        <v>233</v>
      </c>
      <c r="C8" s="118" t="s">
        <v>47</v>
      </c>
      <c r="D8" s="118" t="s">
        <v>47</v>
      </c>
      <c r="E8" s="118" t="s">
        <v>47</v>
      </c>
      <c r="F8" s="118" t="s">
        <v>47</v>
      </c>
      <c r="G8" s="118" t="s">
        <v>47</v>
      </c>
      <c r="H8" s="118" t="s">
        <v>47</v>
      </c>
      <c r="I8" s="118" t="s">
        <v>47</v>
      </c>
      <c r="J8" s="118" t="s">
        <v>47</v>
      </c>
      <c r="K8" s="118" t="s">
        <v>47</v>
      </c>
      <c r="L8" s="118" t="s">
        <v>47</v>
      </c>
      <c r="M8" s="118" t="s">
        <v>47</v>
      </c>
      <c r="N8" s="118" t="s">
        <v>47</v>
      </c>
      <c r="O8" s="118" t="s">
        <v>47</v>
      </c>
      <c r="P8" s="118" t="s">
        <v>47</v>
      </c>
      <c r="Q8" s="118" t="s">
        <v>47</v>
      </c>
      <c r="R8" s="118" t="s">
        <v>47</v>
      </c>
      <c r="S8" s="118" t="s">
        <v>47</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row>
    <row r="9" spans="2:47" x14ac:dyDescent="0.2">
      <c r="B9" s="127" t="s">
        <v>462</v>
      </c>
      <c r="C9" s="208" t="s">
        <v>47</v>
      </c>
      <c r="D9" s="208" t="s">
        <v>47</v>
      </c>
      <c r="E9" s="208" t="s">
        <v>47</v>
      </c>
      <c r="F9" s="208" t="s">
        <v>47</v>
      </c>
      <c r="G9" s="208" t="s">
        <v>47</v>
      </c>
      <c r="H9" s="208" t="s">
        <v>47</v>
      </c>
      <c r="I9" s="208" t="s">
        <v>47</v>
      </c>
      <c r="J9" s="208" t="s">
        <v>47</v>
      </c>
      <c r="K9" s="208" t="s">
        <v>47</v>
      </c>
      <c r="L9" s="208" t="s">
        <v>47</v>
      </c>
      <c r="M9" s="208" t="s">
        <v>47</v>
      </c>
      <c r="N9" s="208" t="s">
        <v>47</v>
      </c>
      <c r="O9" s="208" t="s">
        <v>47</v>
      </c>
      <c r="P9" s="208" t="s">
        <v>47</v>
      </c>
      <c r="Q9" s="208" t="s">
        <v>47</v>
      </c>
      <c r="R9" s="208" t="s">
        <v>47</v>
      </c>
      <c r="S9" s="208" t="s">
        <v>47</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SUM(AQ7:AQ8)</f>
        <v>87390</v>
      </c>
      <c r="AR9" s="120">
        <f>SUM(AR7:AR8)</f>
        <v>101296</v>
      </c>
      <c r="AS9" s="120">
        <f>SUM(AS7:AS8)</f>
        <v>120931</v>
      </c>
      <c r="AT9" s="120">
        <f>SUM(AT7:AT8)</f>
        <v>118750</v>
      </c>
      <c r="AU9" s="120">
        <f>SUM(AU7:AU8)</f>
        <v>114972</v>
      </c>
    </row>
    <row r="11" spans="2:47" x14ac:dyDescent="0.2">
      <c r="B11" s="146" t="s">
        <v>782</v>
      </c>
      <c r="C11" s="115" t="str">
        <f t="shared" ref="C11:AP11" si="1">C5</f>
        <v>2013</v>
      </c>
      <c r="D11" s="115" t="str">
        <f t="shared" si="1"/>
        <v>1Q14</v>
      </c>
      <c r="E11" s="115" t="str">
        <f t="shared" si="1"/>
        <v>2Q14</v>
      </c>
      <c r="F11" s="115" t="str">
        <f t="shared" si="1"/>
        <v>3Q14</v>
      </c>
      <c r="G11" s="115" t="str">
        <f t="shared" si="1"/>
        <v>4Q14</v>
      </c>
      <c r="H11" s="115" t="str">
        <f t="shared" si="1"/>
        <v>1Q15</v>
      </c>
      <c r="I11" s="115" t="str">
        <f t="shared" si="1"/>
        <v>2Q15</v>
      </c>
      <c r="J11" s="115" t="str">
        <f t="shared" si="1"/>
        <v>3Q15</v>
      </c>
      <c r="K11" s="115" t="str">
        <f t="shared" si="1"/>
        <v>4Q15</v>
      </c>
      <c r="L11" s="115" t="str">
        <f t="shared" si="1"/>
        <v>1Q16</v>
      </c>
      <c r="M11" s="115" t="str">
        <f t="shared" si="1"/>
        <v>2Q16</v>
      </c>
      <c r="N11" s="115" t="str">
        <f t="shared" si="1"/>
        <v>3Q16</v>
      </c>
      <c r="O11" s="115" t="str">
        <f t="shared" si="1"/>
        <v>4Q16</v>
      </c>
      <c r="P11" s="115" t="str">
        <f t="shared" si="1"/>
        <v>1Q17</v>
      </c>
      <c r="Q11" s="115" t="str">
        <f t="shared" si="1"/>
        <v>2Q17</v>
      </c>
      <c r="R11" s="115" t="str">
        <f t="shared" si="1"/>
        <v>3Q17</v>
      </c>
      <c r="S11" s="115" t="str">
        <f t="shared" si="1"/>
        <v>4Q17</v>
      </c>
      <c r="T11" s="115" t="str">
        <f t="shared" si="1"/>
        <v>1Q18</v>
      </c>
      <c r="U11" s="115" t="str">
        <f t="shared" si="1"/>
        <v>2Q18</v>
      </c>
      <c r="V11" s="115" t="str">
        <f t="shared" si="1"/>
        <v>3Q18</v>
      </c>
      <c r="W11" s="115" t="str">
        <f t="shared" si="1"/>
        <v>4Q18</v>
      </c>
      <c r="X11" s="115" t="str">
        <f t="shared" si="1"/>
        <v>1Q19</v>
      </c>
      <c r="Y11" s="115" t="str">
        <f t="shared" si="1"/>
        <v>2Q19</v>
      </c>
      <c r="Z11" s="115" t="str">
        <f t="shared" si="1"/>
        <v>3Q19</v>
      </c>
      <c r="AA11" s="115" t="str">
        <f t="shared" si="1"/>
        <v>4Q19</v>
      </c>
      <c r="AB11" s="115" t="str">
        <f t="shared" si="1"/>
        <v>1Q20</v>
      </c>
      <c r="AC11" s="115" t="str">
        <f t="shared" si="1"/>
        <v>2Q20</v>
      </c>
      <c r="AD11" s="115" t="str">
        <f t="shared" si="1"/>
        <v>3Q20</v>
      </c>
      <c r="AE11" s="115" t="str">
        <f t="shared" si="1"/>
        <v>4Q20</v>
      </c>
      <c r="AF11" s="115" t="str">
        <f t="shared" si="1"/>
        <v>1Q21</v>
      </c>
      <c r="AG11" s="115" t="str">
        <f t="shared" si="1"/>
        <v>2Q21</v>
      </c>
      <c r="AH11" s="115" t="str">
        <f t="shared" si="1"/>
        <v>3Q21</v>
      </c>
      <c r="AI11" s="115" t="str">
        <f t="shared" si="1"/>
        <v>4Q21</v>
      </c>
      <c r="AJ11" s="115" t="str">
        <f t="shared" si="1"/>
        <v>1Q22</v>
      </c>
      <c r="AK11" s="115" t="str">
        <f t="shared" si="1"/>
        <v>2Q22</v>
      </c>
      <c r="AL11" s="115" t="str">
        <f t="shared" si="1"/>
        <v>3Q22</v>
      </c>
      <c r="AM11" s="115" t="str">
        <f t="shared" si="1"/>
        <v>4Q22</v>
      </c>
      <c r="AN11" s="115" t="str">
        <f t="shared" si="1"/>
        <v>1Q23</v>
      </c>
      <c r="AO11" s="115" t="str">
        <f t="shared" si="1"/>
        <v>2Q23</v>
      </c>
      <c r="AP11" s="115" t="str">
        <f t="shared" si="1"/>
        <v>3Q23</v>
      </c>
      <c r="AQ11" s="115" t="str">
        <f>AQ5</f>
        <v>4Q23</v>
      </c>
      <c r="AR11" s="115" t="str">
        <f>AR5</f>
        <v>1Q24</v>
      </c>
      <c r="AS11" s="115" t="str">
        <f>AS5</f>
        <v>2Q24</v>
      </c>
      <c r="AT11" s="115" t="str">
        <f>AT5</f>
        <v>3Q24</v>
      </c>
      <c r="AU11" s="115" t="str">
        <f>AU5</f>
        <v>4Q24</v>
      </c>
    </row>
    <row r="12" spans="2:47" x14ac:dyDescent="0.2">
      <c r="B12" s="127" t="s">
        <v>220</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row>
    <row r="13" spans="2:47" x14ac:dyDescent="0.2">
      <c r="B13" s="130" t="s">
        <v>327</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row>
    <row r="14" spans="2:47" x14ac:dyDescent="0.2">
      <c r="B14" s="130" t="s">
        <v>227</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row>
    <row r="15" spans="2:47" x14ac:dyDescent="0.2">
      <c r="B15" s="130" t="s">
        <v>463</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row>
    <row r="16" spans="2:47" x14ac:dyDescent="0.2">
      <c r="B16" s="130" t="s">
        <v>464</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row>
    <row r="17" spans="2:47" x14ac:dyDescent="0.2">
      <c r="B17" s="130" t="s">
        <v>465</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row>
    <row r="18" spans="2:47" x14ac:dyDescent="0.2">
      <c r="B18" s="127" t="s">
        <v>466</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2">+SUM(T12:T17)</f>
        <v>-1064</v>
      </c>
      <c r="U18" s="120">
        <f t="shared" si="2"/>
        <v>-476</v>
      </c>
      <c r="V18" s="120">
        <f t="shared" si="2"/>
        <v>530</v>
      </c>
      <c r="W18" s="120">
        <f t="shared" si="2"/>
        <v>1412</v>
      </c>
      <c r="X18" s="120">
        <f t="shared" si="2"/>
        <v>-860</v>
      </c>
      <c r="Y18" s="120">
        <f t="shared" si="2"/>
        <v>1045.5999999999985</v>
      </c>
      <c r="Z18" s="120">
        <f t="shared" si="2"/>
        <v>1692.6915088385981</v>
      </c>
      <c r="AA18" s="120">
        <f t="shared" si="2"/>
        <v>4759.7084911614038</v>
      </c>
      <c r="AB18" s="120">
        <f t="shared" ref="AB18:AK18" si="3">+SUM(AB12:AB17)</f>
        <v>2928</v>
      </c>
      <c r="AC18" s="120">
        <f t="shared" si="3"/>
        <v>4954</v>
      </c>
      <c r="AD18" s="120">
        <f t="shared" si="3"/>
        <v>5122</v>
      </c>
      <c r="AE18" s="120">
        <f t="shared" si="3"/>
        <v>-286</v>
      </c>
      <c r="AF18" s="120">
        <f t="shared" si="3"/>
        <v>1636</v>
      </c>
      <c r="AG18" s="120">
        <f t="shared" si="3"/>
        <v>4790</v>
      </c>
      <c r="AH18" s="120">
        <f t="shared" si="3"/>
        <v>3714</v>
      </c>
      <c r="AI18" s="120">
        <f t="shared" si="3"/>
        <v>3218</v>
      </c>
      <c r="AJ18" s="120">
        <f t="shared" si="3"/>
        <v>5974</v>
      </c>
      <c r="AK18" s="120">
        <f t="shared" si="3"/>
        <v>5954</v>
      </c>
      <c r="AL18" s="120">
        <f t="shared" ref="AL18:AS18" si="4">+SUM(AL12:AL17)</f>
        <v>4688</v>
      </c>
      <c r="AM18" s="120">
        <f t="shared" si="4"/>
        <v>4953</v>
      </c>
      <c r="AN18" s="120">
        <f t="shared" si="4"/>
        <v>8055</v>
      </c>
      <c r="AO18" s="120">
        <f t="shared" si="4"/>
        <v>6636</v>
      </c>
      <c r="AP18" s="120">
        <f t="shared" si="4"/>
        <v>10379</v>
      </c>
      <c r="AQ18" s="120">
        <f t="shared" si="4"/>
        <v>9008</v>
      </c>
      <c r="AR18" s="120">
        <f t="shared" si="4"/>
        <v>13281</v>
      </c>
      <c r="AS18" s="120">
        <f t="shared" si="4"/>
        <v>19196</v>
      </c>
      <c r="AT18" s="120">
        <f>+SUM(AT12:AT17)</f>
        <v>15617</v>
      </c>
      <c r="AU18" s="120">
        <f>+SUM(AU12:AU17)</f>
        <v>12500</v>
      </c>
    </row>
    <row r="21" spans="2:47" x14ac:dyDescent="0.2">
      <c r="B21" s="146" t="s">
        <v>930</v>
      </c>
      <c r="C21" s="247" t="str">
        <f t="shared" ref="C21:AK21" si="5">C5</f>
        <v>2013</v>
      </c>
      <c r="D21" s="247" t="str">
        <f t="shared" si="5"/>
        <v>1Q14</v>
      </c>
      <c r="E21" s="247" t="str">
        <f t="shared" si="5"/>
        <v>2Q14</v>
      </c>
      <c r="F21" s="247" t="str">
        <f t="shared" si="5"/>
        <v>3Q14</v>
      </c>
      <c r="G21" s="247" t="str">
        <f t="shared" si="5"/>
        <v>4Q14</v>
      </c>
      <c r="H21" s="247" t="str">
        <f t="shared" si="5"/>
        <v>1Q15</v>
      </c>
      <c r="I21" s="247" t="str">
        <f t="shared" si="5"/>
        <v>2Q15</v>
      </c>
      <c r="J21" s="247" t="str">
        <f t="shared" si="5"/>
        <v>3Q15</v>
      </c>
      <c r="K21" s="247" t="str">
        <f t="shared" si="5"/>
        <v>4Q15</v>
      </c>
      <c r="L21" s="247" t="str">
        <f t="shared" si="5"/>
        <v>1Q16</v>
      </c>
      <c r="M21" s="247" t="str">
        <f t="shared" si="5"/>
        <v>2Q16</v>
      </c>
      <c r="N21" s="247" t="str">
        <f t="shared" si="5"/>
        <v>3Q16</v>
      </c>
      <c r="O21" s="247" t="str">
        <f t="shared" si="5"/>
        <v>4Q16</v>
      </c>
      <c r="P21" s="247" t="str">
        <f t="shared" si="5"/>
        <v>1Q17</v>
      </c>
      <c r="Q21" s="247" t="str">
        <f t="shared" si="5"/>
        <v>2Q17</v>
      </c>
      <c r="R21" s="247" t="str">
        <f t="shared" si="5"/>
        <v>3Q17</v>
      </c>
      <c r="S21" s="247" t="str">
        <f t="shared" si="5"/>
        <v>4Q17</v>
      </c>
      <c r="T21" s="247" t="str">
        <f t="shared" si="5"/>
        <v>1Q18</v>
      </c>
      <c r="U21" s="247" t="str">
        <f t="shared" si="5"/>
        <v>2Q18</v>
      </c>
      <c r="V21" s="247" t="str">
        <f t="shared" si="5"/>
        <v>3Q18</v>
      </c>
      <c r="W21" s="247" t="str">
        <f t="shared" si="5"/>
        <v>4Q18</v>
      </c>
      <c r="X21" s="247" t="str">
        <f t="shared" si="5"/>
        <v>1Q19</v>
      </c>
      <c r="Y21" s="247" t="str">
        <f t="shared" si="5"/>
        <v>2Q19</v>
      </c>
      <c r="Z21" s="247" t="str">
        <f t="shared" si="5"/>
        <v>3Q19</v>
      </c>
      <c r="AA21" s="247" t="str">
        <f t="shared" si="5"/>
        <v>4Q19</v>
      </c>
      <c r="AB21" s="247" t="str">
        <f t="shared" si="5"/>
        <v>1Q20</v>
      </c>
      <c r="AC21" s="247" t="str">
        <f t="shared" si="5"/>
        <v>2Q20</v>
      </c>
      <c r="AD21" s="247" t="str">
        <f t="shared" si="5"/>
        <v>3Q20</v>
      </c>
      <c r="AE21" s="247" t="str">
        <f t="shared" si="5"/>
        <v>4Q20</v>
      </c>
      <c r="AF21" s="247" t="str">
        <f t="shared" si="5"/>
        <v>1Q21</v>
      </c>
      <c r="AG21" s="247" t="str">
        <f t="shared" si="5"/>
        <v>2Q21</v>
      </c>
      <c r="AH21" s="247" t="str">
        <f t="shared" si="5"/>
        <v>3Q21</v>
      </c>
      <c r="AI21" s="247" t="str">
        <f t="shared" si="5"/>
        <v>4Q21</v>
      </c>
      <c r="AJ21" s="247" t="str">
        <f t="shared" si="5"/>
        <v>1Q22</v>
      </c>
      <c r="AK21" s="247" t="str">
        <f t="shared" si="5"/>
        <v>2Q22</v>
      </c>
    </row>
    <row r="22" spans="2:47" x14ac:dyDescent="0.2">
      <c r="B22" s="130" t="s">
        <v>458</v>
      </c>
      <c r="C22" s="118" t="s">
        <v>47</v>
      </c>
      <c r="D22" s="118" t="s">
        <v>47</v>
      </c>
      <c r="E22" s="118" t="s">
        <v>47</v>
      </c>
      <c r="F22" s="118" t="s">
        <v>47</v>
      </c>
      <c r="G22" s="118" t="s">
        <v>47</v>
      </c>
      <c r="H22" s="118" t="s">
        <v>47</v>
      </c>
      <c r="I22" s="118" t="s">
        <v>47</v>
      </c>
      <c r="J22" s="118" t="s">
        <v>47</v>
      </c>
      <c r="K22" s="118" t="s">
        <v>47</v>
      </c>
      <c r="L22" s="118" t="s">
        <v>47</v>
      </c>
      <c r="M22" s="118" t="s">
        <v>47</v>
      </c>
      <c r="N22" s="118" t="s">
        <v>47</v>
      </c>
      <c r="O22" s="118" t="s">
        <v>47</v>
      </c>
      <c r="P22" s="118" t="s">
        <v>47</v>
      </c>
      <c r="Q22" s="118" t="s">
        <v>47</v>
      </c>
      <c r="R22" s="118" t="s">
        <v>47</v>
      </c>
      <c r="S22" s="118" t="s">
        <v>47</v>
      </c>
      <c r="T22" s="118" t="s">
        <v>47</v>
      </c>
      <c r="U22" s="118" t="s">
        <v>47</v>
      </c>
      <c r="V22" s="118" t="s">
        <v>47</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7" x14ac:dyDescent="0.2">
      <c r="B23" s="130" t="s">
        <v>459</v>
      </c>
      <c r="C23" s="118" t="s">
        <v>47</v>
      </c>
      <c r="D23" s="118" t="s">
        <v>47</v>
      </c>
      <c r="E23" s="118" t="s">
        <v>47</v>
      </c>
      <c r="F23" s="118" t="s">
        <v>47</v>
      </c>
      <c r="G23" s="118" t="s">
        <v>47</v>
      </c>
      <c r="H23" s="118" t="s">
        <v>47</v>
      </c>
      <c r="I23" s="118" t="s">
        <v>47</v>
      </c>
      <c r="J23" s="118" t="s">
        <v>47</v>
      </c>
      <c r="K23" s="118" t="s">
        <v>47</v>
      </c>
      <c r="L23" s="118" t="s">
        <v>47</v>
      </c>
      <c r="M23" s="118" t="s">
        <v>47</v>
      </c>
      <c r="N23" s="118" t="s">
        <v>47</v>
      </c>
      <c r="O23" s="118" t="s">
        <v>47</v>
      </c>
      <c r="P23" s="118" t="s">
        <v>47</v>
      </c>
      <c r="Q23" s="118" t="s">
        <v>47</v>
      </c>
      <c r="R23" s="118" t="s">
        <v>47</v>
      </c>
      <c r="S23" s="118" t="s">
        <v>47</v>
      </c>
      <c r="T23" s="118" t="s">
        <v>47</v>
      </c>
      <c r="U23" s="118" t="s">
        <v>47</v>
      </c>
      <c r="V23" s="118" t="s">
        <v>47</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7" x14ac:dyDescent="0.2">
      <c r="B24" s="130" t="s">
        <v>183</v>
      </c>
      <c r="C24" s="118" t="s">
        <v>47</v>
      </c>
      <c r="D24" s="118" t="s">
        <v>47</v>
      </c>
      <c r="E24" s="118" t="s">
        <v>47</v>
      </c>
      <c r="F24" s="118" t="s">
        <v>47</v>
      </c>
      <c r="G24" s="118" t="s">
        <v>47</v>
      </c>
      <c r="H24" s="118" t="s">
        <v>47</v>
      </c>
      <c r="I24" s="118" t="s">
        <v>47</v>
      </c>
      <c r="J24" s="118" t="s">
        <v>47</v>
      </c>
      <c r="K24" s="118" t="s">
        <v>47</v>
      </c>
      <c r="L24" s="118" t="s">
        <v>47</v>
      </c>
      <c r="M24" s="118" t="s">
        <v>47</v>
      </c>
      <c r="N24" s="118" t="s">
        <v>47</v>
      </c>
      <c r="O24" s="118" t="s">
        <v>47</v>
      </c>
      <c r="P24" s="118" t="s">
        <v>47</v>
      </c>
      <c r="Q24" s="118" t="s">
        <v>47</v>
      </c>
      <c r="R24" s="118" t="s">
        <v>47</v>
      </c>
      <c r="S24" s="118" t="s">
        <v>47</v>
      </c>
      <c r="T24" s="118" t="s">
        <v>47</v>
      </c>
      <c r="U24" s="118" t="s">
        <v>47</v>
      </c>
      <c r="V24" s="118" t="s">
        <v>47</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7" x14ac:dyDescent="0.2">
      <c r="B25" s="130" t="s">
        <v>873</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7" x14ac:dyDescent="0.2">
      <c r="B26" s="130" t="s">
        <v>649</v>
      </c>
      <c r="C26" s="118" t="s">
        <v>47</v>
      </c>
      <c r="D26" s="118" t="s">
        <v>47</v>
      </c>
      <c r="E26" s="118" t="s">
        <v>47</v>
      </c>
      <c r="F26" s="118" t="s">
        <v>47</v>
      </c>
      <c r="G26" s="118" t="s">
        <v>47</v>
      </c>
      <c r="H26" s="118" t="s">
        <v>47</v>
      </c>
      <c r="I26" s="118" t="s">
        <v>47</v>
      </c>
      <c r="J26" s="118" t="s">
        <v>47</v>
      </c>
      <c r="K26" s="118" t="s">
        <v>47</v>
      </c>
      <c r="L26" s="118" t="s">
        <v>47</v>
      </c>
      <c r="M26" s="118" t="s">
        <v>47</v>
      </c>
      <c r="N26" s="118" t="s">
        <v>47</v>
      </c>
      <c r="O26" s="118" t="s">
        <v>47</v>
      </c>
      <c r="P26" s="118" t="s">
        <v>47</v>
      </c>
      <c r="Q26" s="118" t="s">
        <v>47</v>
      </c>
      <c r="R26" s="118" t="s">
        <v>47</v>
      </c>
      <c r="S26" s="118" t="s">
        <v>47</v>
      </c>
      <c r="T26" s="118" t="s">
        <v>47</v>
      </c>
      <c r="U26" s="118" t="s">
        <v>47</v>
      </c>
      <c r="V26" s="118" t="s">
        <v>47</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7" x14ac:dyDescent="0.2">
      <c r="B27" s="127" t="s">
        <v>165</v>
      </c>
      <c r="C27" s="208" t="s">
        <v>47</v>
      </c>
      <c r="D27" s="208" t="s">
        <v>47</v>
      </c>
      <c r="E27" s="208" t="s">
        <v>47</v>
      </c>
      <c r="F27" s="208" t="s">
        <v>47</v>
      </c>
      <c r="G27" s="208" t="s">
        <v>47</v>
      </c>
      <c r="H27" s="208" t="s">
        <v>47</v>
      </c>
      <c r="I27" s="208" t="s">
        <v>47</v>
      </c>
      <c r="J27" s="208" t="s">
        <v>47</v>
      </c>
      <c r="K27" s="208" t="s">
        <v>47</v>
      </c>
      <c r="L27" s="208" t="s">
        <v>47</v>
      </c>
      <c r="M27" s="208" t="s">
        <v>47</v>
      </c>
      <c r="N27" s="208" t="s">
        <v>47</v>
      </c>
      <c r="O27" s="208" t="s">
        <v>47</v>
      </c>
      <c r="P27" s="208" t="s">
        <v>47</v>
      </c>
      <c r="Q27" s="208" t="s">
        <v>47</v>
      </c>
      <c r="R27" s="208" t="s">
        <v>47</v>
      </c>
      <c r="S27" s="208" t="s">
        <v>47</v>
      </c>
      <c r="T27" s="120">
        <f t="shared" ref="T27:AA27" si="6">SUM(T22:T26)</f>
        <v>0</v>
      </c>
      <c r="U27" s="120">
        <f t="shared" si="6"/>
        <v>0</v>
      </c>
      <c r="V27" s="120">
        <f t="shared" si="6"/>
        <v>0</v>
      </c>
      <c r="W27" s="120">
        <f t="shared" si="6"/>
        <v>3897</v>
      </c>
      <c r="X27" s="120">
        <f t="shared" si="6"/>
        <v>3412</v>
      </c>
      <c r="Y27" s="120">
        <f t="shared" si="6"/>
        <v>2795</v>
      </c>
      <c r="Z27" s="120">
        <f t="shared" si="6"/>
        <v>2062</v>
      </c>
      <c r="AA27" s="120">
        <f t="shared" si="6"/>
        <v>1917</v>
      </c>
      <c r="AB27" s="120">
        <f t="shared" ref="AB27:AJ27" si="7">SUM(AB22:AB26)</f>
        <v>1881</v>
      </c>
      <c r="AC27" s="120">
        <f t="shared" si="7"/>
        <v>1658</v>
      </c>
      <c r="AD27" s="120">
        <f t="shared" si="7"/>
        <v>1607</v>
      </c>
      <c r="AE27" s="120">
        <f t="shared" si="7"/>
        <v>1532</v>
      </c>
      <c r="AF27" s="120">
        <f t="shared" si="7"/>
        <v>1529</v>
      </c>
      <c r="AG27" s="120">
        <f t="shared" si="7"/>
        <v>1485</v>
      </c>
      <c r="AH27" s="120">
        <f t="shared" si="7"/>
        <v>1139</v>
      </c>
      <c r="AI27" s="120">
        <f t="shared" si="7"/>
        <v>9148</v>
      </c>
      <c r="AJ27" s="120">
        <f t="shared" si="7"/>
        <v>8937</v>
      </c>
      <c r="AK27" s="120">
        <f t="shared" ref="AK27" si="8">SUM(AK22:AK26)</f>
        <v>9007</v>
      </c>
    </row>
    <row r="28" spans="2:47" x14ac:dyDescent="0.2">
      <c r="B28" s="130" t="s">
        <v>460</v>
      </c>
      <c r="C28" s="118" t="s">
        <v>47</v>
      </c>
      <c r="D28" s="118" t="s">
        <v>47</v>
      </c>
      <c r="E28" s="118" t="s">
        <v>47</v>
      </c>
      <c r="F28" s="118" t="s">
        <v>47</v>
      </c>
      <c r="G28" s="118" t="s">
        <v>47</v>
      </c>
      <c r="H28" s="118" t="s">
        <v>47</v>
      </c>
      <c r="I28" s="118" t="s">
        <v>47</v>
      </c>
      <c r="J28" s="118" t="s">
        <v>47</v>
      </c>
      <c r="K28" s="118" t="s">
        <v>47</v>
      </c>
      <c r="L28" s="118" t="s">
        <v>47</v>
      </c>
      <c r="M28" s="118" t="s">
        <v>47</v>
      </c>
      <c r="N28" s="118" t="s">
        <v>47</v>
      </c>
      <c r="O28" s="118" t="s">
        <v>47</v>
      </c>
      <c r="P28" s="118" t="s">
        <v>47</v>
      </c>
      <c r="Q28" s="118" t="s">
        <v>47</v>
      </c>
      <c r="R28" s="118" t="s">
        <v>47</v>
      </c>
      <c r="S28" s="118" t="s">
        <v>47</v>
      </c>
      <c r="T28" s="118" t="s">
        <v>47</v>
      </c>
      <c r="U28" s="118" t="s">
        <v>47</v>
      </c>
      <c r="V28" s="118" t="s">
        <v>47</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7" x14ac:dyDescent="0.2">
      <c r="B29" s="130" t="s">
        <v>461</v>
      </c>
      <c r="C29" s="118" t="s">
        <v>47</v>
      </c>
      <c r="D29" s="118" t="s">
        <v>47</v>
      </c>
      <c r="E29" s="118" t="s">
        <v>47</v>
      </c>
      <c r="F29" s="118" t="s">
        <v>47</v>
      </c>
      <c r="G29" s="118" t="s">
        <v>47</v>
      </c>
      <c r="H29" s="118" t="s">
        <v>47</v>
      </c>
      <c r="I29" s="118" t="s">
        <v>47</v>
      </c>
      <c r="J29" s="118" t="s">
        <v>47</v>
      </c>
      <c r="K29" s="118" t="s">
        <v>47</v>
      </c>
      <c r="L29" s="118" t="s">
        <v>47</v>
      </c>
      <c r="M29" s="118" t="s">
        <v>47</v>
      </c>
      <c r="N29" s="118" t="s">
        <v>47</v>
      </c>
      <c r="O29" s="118" t="s">
        <v>47</v>
      </c>
      <c r="P29" s="118" t="s">
        <v>47</v>
      </c>
      <c r="Q29" s="118" t="s">
        <v>47</v>
      </c>
      <c r="R29" s="118" t="s">
        <v>47</v>
      </c>
      <c r="S29" s="118" t="s">
        <v>47</v>
      </c>
      <c r="T29" s="118" t="s">
        <v>47</v>
      </c>
      <c r="U29" s="118" t="s">
        <v>47</v>
      </c>
      <c r="V29" s="118" t="s">
        <v>47</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7" ht="15" customHeight="1" x14ac:dyDescent="0.2">
      <c r="B30" s="130" t="s">
        <v>233</v>
      </c>
      <c r="C30" s="118" t="s">
        <v>47</v>
      </c>
      <c r="D30" s="118" t="s">
        <v>47</v>
      </c>
      <c r="E30" s="118" t="s">
        <v>47</v>
      </c>
      <c r="F30" s="118" t="s">
        <v>47</v>
      </c>
      <c r="G30" s="118" t="s">
        <v>47</v>
      </c>
      <c r="H30" s="118" t="s">
        <v>47</v>
      </c>
      <c r="I30" s="118" t="s">
        <v>47</v>
      </c>
      <c r="J30" s="118" t="s">
        <v>47</v>
      </c>
      <c r="K30" s="118" t="s">
        <v>47</v>
      </c>
      <c r="L30" s="118" t="s">
        <v>47</v>
      </c>
      <c r="M30" s="118" t="s">
        <v>47</v>
      </c>
      <c r="N30" s="118" t="s">
        <v>47</v>
      </c>
      <c r="O30" s="118" t="s">
        <v>47</v>
      </c>
      <c r="P30" s="118" t="s">
        <v>47</v>
      </c>
      <c r="Q30" s="118" t="s">
        <v>47</v>
      </c>
      <c r="R30" s="118" t="s">
        <v>47</v>
      </c>
      <c r="S30" s="118" t="s">
        <v>47</v>
      </c>
      <c r="T30" s="118" t="s">
        <v>47</v>
      </c>
      <c r="U30" s="118" t="s">
        <v>47</v>
      </c>
      <c r="V30" s="118" t="s">
        <v>47</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7" x14ac:dyDescent="0.2">
      <c r="B31" s="127" t="s">
        <v>462</v>
      </c>
      <c r="C31" s="208" t="s">
        <v>47</v>
      </c>
      <c r="D31" s="208" t="s">
        <v>47</v>
      </c>
      <c r="E31" s="208" t="s">
        <v>47</v>
      </c>
      <c r="F31" s="208" t="s">
        <v>47</v>
      </c>
      <c r="G31" s="208" t="s">
        <v>47</v>
      </c>
      <c r="H31" s="208" t="s">
        <v>47</v>
      </c>
      <c r="I31" s="208" t="s">
        <v>47</v>
      </c>
      <c r="J31" s="208" t="s">
        <v>47</v>
      </c>
      <c r="K31" s="208" t="s">
        <v>47</v>
      </c>
      <c r="L31" s="208" t="s">
        <v>47</v>
      </c>
      <c r="M31" s="208" t="s">
        <v>47</v>
      </c>
      <c r="N31" s="208" t="s">
        <v>47</v>
      </c>
      <c r="O31" s="208" t="s">
        <v>47</v>
      </c>
      <c r="P31" s="208" t="s">
        <v>47</v>
      </c>
      <c r="Q31" s="208" t="s">
        <v>47</v>
      </c>
      <c r="R31" s="208" t="s">
        <v>47</v>
      </c>
      <c r="S31" s="208" t="s">
        <v>47</v>
      </c>
      <c r="T31" s="120">
        <f t="shared" ref="T31:AA31" si="9">SUM(T28:T30)</f>
        <v>0</v>
      </c>
      <c r="U31" s="120">
        <f t="shared" si="9"/>
        <v>0</v>
      </c>
      <c r="V31" s="120">
        <f t="shared" si="9"/>
        <v>0</v>
      </c>
      <c r="W31" s="120">
        <f t="shared" si="9"/>
        <v>3897</v>
      </c>
      <c r="X31" s="120">
        <f t="shared" si="9"/>
        <v>3412</v>
      </c>
      <c r="Y31" s="120">
        <f t="shared" si="9"/>
        <v>2795</v>
      </c>
      <c r="Z31" s="120">
        <f t="shared" si="9"/>
        <v>2062</v>
      </c>
      <c r="AA31" s="120">
        <f t="shared" si="9"/>
        <v>1917</v>
      </c>
      <c r="AB31" s="120">
        <f t="shared" ref="AB31:AJ31" si="10">SUM(AB28:AB30)</f>
        <v>1881</v>
      </c>
      <c r="AC31" s="120">
        <f t="shared" si="10"/>
        <v>1658</v>
      </c>
      <c r="AD31" s="120">
        <f t="shared" si="10"/>
        <v>1607</v>
      </c>
      <c r="AE31" s="120">
        <f t="shared" si="10"/>
        <v>1532</v>
      </c>
      <c r="AF31" s="120">
        <f t="shared" si="10"/>
        <v>1529</v>
      </c>
      <c r="AG31" s="120">
        <f t="shared" si="10"/>
        <v>1485</v>
      </c>
      <c r="AH31" s="120">
        <f t="shared" si="10"/>
        <v>1139</v>
      </c>
      <c r="AI31" s="120">
        <f t="shared" si="10"/>
        <v>9148</v>
      </c>
      <c r="AJ31" s="120">
        <f t="shared" si="10"/>
        <v>8937</v>
      </c>
      <c r="AK31" s="120">
        <f t="shared" ref="AK31" si="11">SUM(AK28:AK30)</f>
        <v>9007</v>
      </c>
    </row>
    <row r="33" spans="2:47" x14ac:dyDescent="0.2">
      <c r="B33" s="146" t="s">
        <v>930</v>
      </c>
      <c r="C33" s="115" t="str">
        <f t="shared" ref="C33:X33" si="12">C21</f>
        <v>2013</v>
      </c>
      <c r="D33" s="115" t="str">
        <f t="shared" si="12"/>
        <v>1Q14</v>
      </c>
      <c r="E33" s="115" t="str">
        <f t="shared" si="12"/>
        <v>2Q14</v>
      </c>
      <c r="F33" s="115" t="str">
        <f t="shared" si="12"/>
        <v>3Q14</v>
      </c>
      <c r="G33" s="115" t="str">
        <f t="shared" si="12"/>
        <v>4Q14</v>
      </c>
      <c r="H33" s="115" t="str">
        <f t="shared" si="12"/>
        <v>1Q15</v>
      </c>
      <c r="I33" s="115" t="str">
        <f t="shared" si="12"/>
        <v>2Q15</v>
      </c>
      <c r="J33" s="115" t="str">
        <f t="shared" si="12"/>
        <v>3Q15</v>
      </c>
      <c r="K33" s="115" t="str">
        <f t="shared" si="12"/>
        <v>4Q15</v>
      </c>
      <c r="L33" s="115" t="str">
        <f t="shared" si="12"/>
        <v>1Q16</v>
      </c>
      <c r="M33" s="115" t="str">
        <f t="shared" si="12"/>
        <v>2Q16</v>
      </c>
      <c r="N33" s="115" t="str">
        <f t="shared" si="12"/>
        <v>3Q16</v>
      </c>
      <c r="O33" s="115" t="str">
        <f t="shared" si="12"/>
        <v>4Q16</v>
      </c>
      <c r="P33" s="115" t="str">
        <f t="shared" si="12"/>
        <v>1Q17</v>
      </c>
      <c r="Q33" s="115" t="str">
        <f t="shared" si="12"/>
        <v>2Q17</v>
      </c>
      <c r="R33" s="115" t="str">
        <f t="shared" si="12"/>
        <v>3Q17</v>
      </c>
      <c r="S33" s="115" t="str">
        <f t="shared" si="12"/>
        <v>4Q17</v>
      </c>
      <c r="T33" s="115" t="str">
        <f t="shared" si="12"/>
        <v>1Q18</v>
      </c>
      <c r="U33" s="115" t="str">
        <f t="shared" si="12"/>
        <v>2Q18</v>
      </c>
      <c r="V33" s="115" t="str">
        <f t="shared" si="12"/>
        <v>3Q18</v>
      </c>
      <c r="W33" s="115" t="str">
        <f t="shared" si="12"/>
        <v>4Q18</v>
      </c>
      <c r="X33" s="115" t="str">
        <f t="shared" si="12"/>
        <v>1Q19</v>
      </c>
      <c r="Y33" s="115" t="str">
        <f t="shared" ref="Y33:AD33" si="13">Y21</f>
        <v>2Q19</v>
      </c>
      <c r="Z33" s="115" t="str">
        <f t="shared" si="13"/>
        <v>3Q19</v>
      </c>
      <c r="AA33" s="115" t="str">
        <f t="shared" si="13"/>
        <v>4Q19</v>
      </c>
      <c r="AB33" s="115" t="str">
        <f t="shared" si="13"/>
        <v>1Q20</v>
      </c>
      <c r="AC33" s="115" t="str">
        <f t="shared" si="13"/>
        <v>2Q20</v>
      </c>
      <c r="AD33" s="115" t="str">
        <f t="shared" si="13"/>
        <v>3Q20</v>
      </c>
      <c r="AE33" s="115" t="str">
        <f t="shared" ref="AE33:AK33" si="14">AE21</f>
        <v>4Q20</v>
      </c>
      <c r="AF33" s="115" t="str">
        <f t="shared" si="14"/>
        <v>1Q21</v>
      </c>
      <c r="AG33" s="115" t="str">
        <f t="shared" si="14"/>
        <v>2Q21</v>
      </c>
      <c r="AH33" s="115" t="str">
        <f t="shared" si="14"/>
        <v>3Q21</v>
      </c>
      <c r="AI33" s="115" t="str">
        <f t="shared" si="14"/>
        <v>4Q21</v>
      </c>
      <c r="AJ33" s="115" t="str">
        <f t="shared" si="14"/>
        <v>1Q22</v>
      </c>
      <c r="AK33" s="115" t="str">
        <f t="shared" si="14"/>
        <v>2Q22</v>
      </c>
    </row>
    <row r="34" spans="2:47" x14ac:dyDescent="0.2">
      <c r="B34" s="127" t="s">
        <v>220</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7" x14ac:dyDescent="0.2">
      <c r="B35" s="130" t="s">
        <v>327</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7" x14ac:dyDescent="0.2">
      <c r="B36" s="130" t="s">
        <v>227</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7" x14ac:dyDescent="0.2">
      <c r="B37" s="130" t="s">
        <v>463</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7" x14ac:dyDescent="0.2">
      <c r="B38" s="130" t="s">
        <v>464</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7" x14ac:dyDescent="0.2">
      <c r="B39" s="130" t="s">
        <v>465</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7" x14ac:dyDescent="0.2">
      <c r="B40" s="127" t="s">
        <v>466</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5">+SUM(T34:T39)</f>
        <v>0</v>
      </c>
      <c r="U40" s="120">
        <f t="shared" si="15"/>
        <v>0</v>
      </c>
      <c r="V40" s="120">
        <f t="shared" si="15"/>
        <v>0</v>
      </c>
      <c r="W40" s="120">
        <f t="shared" si="15"/>
        <v>0</v>
      </c>
      <c r="X40" s="120">
        <f t="shared" si="15"/>
        <v>-202</v>
      </c>
      <c r="Y40" s="120">
        <f t="shared" si="15"/>
        <v>-410</v>
      </c>
      <c r="Z40" s="120">
        <f t="shared" si="15"/>
        <v>-4</v>
      </c>
      <c r="AA40" s="120">
        <f t="shared" si="15"/>
        <v>-64</v>
      </c>
      <c r="AB40" s="120">
        <f t="shared" ref="AB40:AK40" si="16">+SUM(AB34:AB39)</f>
        <v>-143</v>
      </c>
      <c r="AC40" s="120">
        <f t="shared" si="16"/>
        <v>-133</v>
      </c>
      <c r="AD40" s="120">
        <f t="shared" si="16"/>
        <v>145</v>
      </c>
      <c r="AE40" s="120">
        <f t="shared" si="16"/>
        <v>-38</v>
      </c>
      <c r="AF40" s="120">
        <f t="shared" si="16"/>
        <v>-14</v>
      </c>
      <c r="AG40" s="120">
        <f t="shared" si="16"/>
        <v>-10</v>
      </c>
      <c r="AH40" s="120">
        <f t="shared" si="16"/>
        <v>-147</v>
      </c>
      <c r="AI40" s="120">
        <f t="shared" si="16"/>
        <v>5690</v>
      </c>
      <c r="AJ40" s="120">
        <f t="shared" si="16"/>
        <v>55</v>
      </c>
      <c r="AK40" s="120">
        <f t="shared" si="16"/>
        <v>57</v>
      </c>
    </row>
    <row r="41" spans="2:47" x14ac:dyDescent="0.2">
      <c r="T41" s="779">
        <v>0</v>
      </c>
      <c r="U41" s="779">
        <v>0</v>
      </c>
    </row>
    <row r="42" spans="2:47" x14ac:dyDescent="0.2">
      <c r="T42" s="780">
        <v>0</v>
      </c>
      <c r="U42" s="780">
        <v>0</v>
      </c>
    </row>
    <row r="43" spans="2:47" x14ac:dyDescent="0.2">
      <c r="B43" s="146" t="s">
        <v>1134</v>
      </c>
      <c r="C43" s="247" t="str">
        <f>C21</f>
        <v>2013</v>
      </c>
      <c r="D43" s="247" t="str">
        <f t="shared" ref="D43:AD43" si="17">D21</f>
        <v>1Q14</v>
      </c>
      <c r="E43" s="247" t="str">
        <f t="shared" si="17"/>
        <v>2Q14</v>
      </c>
      <c r="F43" s="247" t="str">
        <f t="shared" si="17"/>
        <v>3Q14</v>
      </c>
      <c r="G43" s="247" t="str">
        <f t="shared" si="17"/>
        <v>4Q14</v>
      </c>
      <c r="H43" s="247" t="str">
        <f t="shared" si="17"/>
        <v>1Q15</v>
      </c>
      <c r="I43" s="247" t="str">
        <f t="shared" si="17"/>
        <v>2Q15</v>
      </c>
      <c r="J43" s="247" t="str">
        <f t="shared" si="17"/>
        <v>3Q15</v>
      </c>
      <c r="K43" s="247" t="str">
        <f t="shared" si="17"/>
        <v>4Q15</v>
      </c>
      <c r="L43" s="247" t="str">
        <f t="shared" si="17"/>
        <v>1Q16</v>
      </c>
      <c r="M43" s="247" t="str">
        <f t="shared" si="17"/>
        <v>2Q16</v>
      </c>
      <c r="N43" s="247" t="str">
        <f t="shared" si="17"/>
        <v>3Q16</v>
      </c>
      <c r="O43" s="247" t="str">
        <f t="shared" si="17"/>
        <v>4Q16</v>
      </c>
      <c r="P43" s="247" t="str">
        <f t="shared" si="17"/>
        <v>1Q17</v>
      </c>
      <c r="Q43" s="247" t="str">
        <f t="shared" si="17"/>
        <v>2Q17</v>
      </c>
      <c r="R43" s="247" t="str">
        <f t="shared" si="17"/>
        <v>3Q17</v>
      </c>
      <c r="S43" s="247" t="str">
        <f t="shared" si="17"/>
        <v>4Q17</v>
      </c>
      <c r="T43" s="247" t="str">
        <f t="shared" si="17"/>
        <v>1Q18</v>
      </c>
      <c r="U43" s="247" t="str">
        <f t="shared" si="17"/>
        <v>2Q18</v>
      </c>
      <c r="V43" s="247" t="str">
        <f t="shared" si="17"/>
        <v>3Q18</v>
      </c>
      <c r="W43" s="247" t="str">
        <f t="shared" si="17"/>
        <v>4Q18</v>
      </c>
      <c r="X43" s="247" t="str">
        <f t="shared" si="17"/>
        <v>1Q19</v>
      </c>
      <c r="Y43" s="247" t="str">
        <f t="shared" si="17"/>
        <v>2Q19</v>
      </c>
      <c r="Z43" s="247" t="str">
        <f t="shared" si="17"/>
        <v>3Q19</v>
      </c>
      <c r="AA43" s="247" t="str">
        <f t="shared" si="17"/>
        <v>4Q19</v>
      </c>
      <c r="AB43" s="247" t="str">
        <f t="shared" si="17"/>
        <v>1Q20</v>
      </c>
      <c r="AC43" s="247" t="str">
        <f t="shared" si="17"/>
        <v>2Q20</v>
      </c>
      <c r="AD43" s="247" t="str">
        <f t="shared" si="17"/>
        <v>3Q20</v>
      </c>
      <c r="AE43" s="247" t="str">
        <f>AE21</f>
        <v>4Q20</v>
      </c>
      <c r="AF43" s="247" t="str">
        <f>AF21</f>
        <v>1Q21</v>
      </c>
      <c r="AG43" s="247" t="str">
        <f>AG21</f>
        <v>2Q21</v>
      </c>
      <c r="AH43" s="247" t="s">
        <v>1098</v>
      </c>
      <c r="AI43" s="247" t="s">
        <v>1123</v>
      </c>
    </row>
    <row r="44" spans="2:47" x14ac:dyDescent="0.2">
      <c r="B44" s="130" t="s">
        <v>458</v>
      </c>
      <c r="C44" s="118" t="s">
        <v>47</v>
      </c>
      <c r="D44" s="118" t="s">
        <v>47</v>
      </c>
      <c r="E44" s="118" t="s">
        <v>47</v>
      </c>
      <c r="F44" s="118" t="s">
        <v>47</v>
      </c>
      <c r="G44" s="118" t="s">
        <v>47</v>
      </c>
      <c r="H44" s="118" t="s">
        <v>47</v>
      </c>
      <c r="I44" s="118" t="s">
        <v>47</v>
      </c>
      <c r="J44" s="118" t="s">
        <v>47</v>
      </c>
      <c r="K44" s="118" t="s">
        <v>47</v>
      </c>
      <c r="L44" s="118" t="s">
        <v>47</v>
      </c>
      <c r="M44" s="118" t="s">
        <v>47</v>
      </c>
      <c r="N44" s="118" t="s">
        <v>47</v>
      </c>
      <c r="O44" s="118" t="s">
        <v>47</v>
      </c>
      <c r="P44" s="118" t="s">
        <v>47</v>
      </c>
      <c r="Q44" s="118" t="s">
        <v>47</v>
      </c>
      <c r="R44" s="118" t="s">
        <v>47</v>
      </c>
      <c r="S44" s="118" t="s">
        <v>47</v>
      </c>
      <c r="T44" s="118" t="s">
        <v>47</v>
      </c>
      <c r="U44" s="118" t="s">
        <v>47</v>
      </c>
      <c r="V44" s="118" t="s">
        <v>47</v>
      </c>
      <c r="W44" s="118" t="s">
        <v>47</v>
      </c>
      <c r="X44" s="118" t="s">
        <v>47</v>
      </c>
      <c r="Y44" s="118" t="s">
        <v>47</v>
      </c>
      <c r="Z44" s="118" t="s">
        <v>47</v>
      </c>
      <c r="AA44" s="118" t="s">
        <v>47</v>
      </c>
      <c r="AB44" s="118" t="s">
        <v>47</v>
      </c>
      <c r="AC44" s="118" t="s">
        <v>47</v>
      </c>
      <c r="AD44" s="118" t="s">
        <v>47</v>
      </c>
      <c r="AE44" s="118">
        <v>843</v>
      </c>
      <c r="AF44" s="118">
        <v>917</v>
      </c>
      <c r="AG44" s="118">
        <v>1120</v>
      </c>
      <c r="AH44" s="118">
        <v>1246</v>
      </c>
      <c r="AI44" s="118">
        <v>1344</v>
      </c>
    </row>
    <row r="45" spans="2:47" x14ac:dyDescent="0.2">
      <c r="B45" s="130" t="s">
        <v>459</v>
      </c>
      <c r="C45" s="118" t="s">
        <v>47</v>
      </c>
      <c r="D45" s="118" t="s">
        <v>47</v>
      </c>
      <c r="E45" s="118" t="s">
        <v>47</v>
      </c>
      <c r="F45" s="118" t="s">
        <v>47</v>
      </c>
      <c r="G45" s="118" t="s">
        <v>47</v>
      </c>
      <c r="H45" s="118" t="s">
        <v>47</v>
      </c>
      <c r="I45" s="118" t="s">
        <v>47</v>
      </c>
      <c r="J45" s="118" t="s">
        <v>47</v>
      </c>
      <c r="K45" s="118" t="s">
        <v>47</v>
      </c>
      <c r="L45" s="118" t="s">
        <v>47</v>
      </c>
      <c r="M45" s="118" t="s">
        <v>47</v>
      </c>
      <c r="N45" s="118" t="s">
        <v>47</v>
      </c>
      <c r="O45" s="118" t="s">
        <v>47</v>
      </c>
      <c r="P45" s="118" t="s">
        <v>47</v>
      </c>
      <c r="Q45" s="118" t="s">
        <v>47</v>
      </c>
      <c r="R45" s="118" t="s">
        <v>47</v>
      </c>
      <c r="S45" s="118" t="s">
        <v>47</v>
      </c>
      <c r="T45" s="118" t="s">
        <v>47</v>
      </c>
      <c r="U45" s="118" t="s">
        <v>47</v>
      </c>
      <c r="V45" s="118" t="s">
        <v>47</v>
      </c>
      <c r="W45" s="118" t="s">
        <v>47</v>
      </c>
      <c r="X45" s="118" t="s">
        <v>47</v>
      </c>
      <c r="Y45" s="118" t="s">
        <v>47</v>
      </c>
      <c r="Z45" s="118" t="s">
        <v>47</v>
      </c>
      <c r="AA45" s="118" t="s">
        <v>47</v>
      </c>
      <c r="AB45" s="118" t="s">
        <v>47</v>
      </c>
      <c r="AC45" s="118" t="s">
        <v>47</v>
      </c>
      <c r="AD45" s="118" t="s">
        <v>47</v>
      </c>
      <c r="AE45" s="118">
        <v>217</v>
      </c>
      <c r="AF45" s="118">
        <v>210</v>
      </c>
      <c r="AG45" s="118">
        <v>192</v>
      </c>
      <c r="AH45" s="118">
        <v>174</v>
      </c>
      <c r="AI45" s="118">
        <v>170</v>
      </c>
      <c r="AQ45" s="329"/>
      <c r="AR45" s="329"/>
      <c r="AS45" s="329"/>
      <c r="AT45" s="329"/>
      <c r="AU45" s="329"/>
    </row>
    <row r="46" spans="2:47" x14ac:dyDescent="0.2">
      <c r="B46" s="130" t="s">
        <v>183</v>
      </c>
      <c r="C46" s="118" t="s">
        <v>47</v>
      </c>
      <c r="D46" s="118" t="s">
        <v>47</v>
      </c>
      <c r="E46" s="118" t="s">
        <v>47</v>
      </c>
      <c r="F46" s="118" t="s">
        <v>47</v>
      </c>
      <c r="G46" s="118" t="s">
        <v>47</v>
      </c>
      <c r="H46" s="118" t="s">
        <v>47</v>
      </c>
      <c r="I46" s="118" t="s">
        <v>47</v>
      </c>
      <c r="J46" s="118" t="s">
        <v>47</v>
      </c>
      <c r="K46" s="118" t="s">
        <v>47</v>
      </c>
      <c r="L46" s="118" t="s">
        <v>47</v>
      </c>
      <c r="M46" s="118" t="s">
        <v>47</v>
      </c>
      <c r="N46" s="118" t="s">
        <v>47</v>
      </c>
      <c r="O46" s="118" t="s">
        <v>47</v>
      </c>
      <c r="P46" s="118" t="s">
        <v>47</v>
      </c>
      <c r="Q46" s="118" t="s">
        <v>47</v>
      </c>
      <c r="R46" s="118" t="s">
        <v>47</v>
      </c>
      <c r="S46" s="118" t="s">
        <v>47</v>
      </c>
      <c r="T46" s="118" t="s">
        <v>47</v>
      </c>
      <c r="U46" s="118" t="s">
        <v>47</v>
      </c>
      <c r="V46" s="118" t="s">
        <v>47</v>
      </c>
      <c r="W46" s="118" t="s">
        <v>47</v>
      </c>
      <c r="X46" s="118" t="s">
        <v>47</v>
      </c>
      <c r="Y46" s="118" t="s">
        <v>47</v>
      </c>
      <c r="Z46" s="118" t="s">
        <v>47</v>
      </c>
      <c r="AA46" s="118" t="s">
        <v>47</v>
      </c>
      <c r="AB46" s="118" t="s">
        <v>47</v>
      </c>
      <c r="AC46" s="118" t="s">
        <v>47</v>
      </c>
      <c r="AD46" s="118" t="s">
        <v>47</v>
      </c>
      <c r="AE46" s="118">
        <v>30</v>
      </c>
      <c r="AF46" s="118">
        <v>32</v>
      </c>
      <c r="AG46" s="118">
        <v>61</v>
      </c>
      <c r="AH46" s="118">
        <v>111</v>
      </c>
      <c r="AI46" s="118">
        <v>148</v>
      </c>
      <c r="AQ46" s="329"/>
      <c r="AR46" s="329"/>
      <c r="AS46" s="329"/>
      <c r="AT46" s="329"/>
      <c r="AU46" s="329"/>
    </row>
    <row r="47" spans="2:47" x14ac:dyDescent="0.2">
      <c r="B47" s="130" t="s">
        <v>873</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47</v>
      </c>
      <c r="W47" s="118" t="s">
        <v>47</v>
      </c>
      <c r="X47" s="118" t="s">
        <v>47</v>
      </c>
      <c r="Y47" s="118" t="s">
        <v>47</v>
      </c>
      <c r="Z47" s="118" t="s">
        <v>47</v>
      </c>
      <c r="AA47" s="118" t="s">
        <v>47</v>
      </c>
      <c r="AB47" s="118" t="s">
        <v>47</v>
      </c>
      <c r="AC47" s="118" t="s">
        <v>47</v>
      </c>
      <c r="AD47" s="118" t="s">
        <v>47</v>
      </c>
      <c r="AE47" s="118">
        <v>0</v>
      </c>
      <c r="AF47" s="118">
        <v>0</v>
      </c>
      <c r="AG47" s="118">
        <v>0</v>
      </c>
      <c r="AH47" s="118">
        <v>0</v>
      </c>
      <c r="AI47" s="118"/>
      <c r="AQ47" s="329"/>
      <c r="AR47" s="329"/>
      <c r="AS47" s="329"/>
      <c r="AT47" s="329"/>
      <c r="AU47" s="329"/>
    </row>
    <row r="48" spans="2:47" x14ac:dyDescent="0.2">
      <c r="B48" s="130" t="s">
        <v>649</v>
      </c>
      <c r="C48" s="118" t="s">
        <v>47</v>
      </c>
      <c r="D48" s="118" t="s">
        <v>47</v>
      </c>
      <c r="E48" s="118" t="s">
        <v>47</v>
      </c>
      <c r="F48" s="118" t="s">
        <v>47</v>
      </c>
      <c r="G48" s="118" t="s">
        <v>47</v>
      </c>
      <c r="H48" s="118" t="s">
        <v>47</v>
      </c>
      <c r="I48" s="118" t="s">
        <v>47</v>
      </c>
      <c r="J48" s="118" t="s">
        <v>47</v>
      </c>
      <c r="K48" s="118" t="s">
        <v>47</v>
      </c>
      <c r="L48" s="118" t="s">
        <v>47</v>
      </c>
      <c r="M48" s="118" t="s">
        <v>47</v>
      </c>
      <c r="N48" s="118" t="s">
        <v>47</v>
      </c>
      <c r="O48" s="118" t="s">
        <v>47</v>
      </c>
      <c r="P48" s="118" t="s">
        <v>47</v>
      </c>
      <c r="Q48" s="118" t="s">
        <v>47</v>
      </c>
      <c r="R48" s="118" t="s">
        <v>47</v>
      </c>
      <c r="S48" s="118" t="s">
        <v>47</v>
      </c>
      <c r="T48" s="118" t="s">
        <v>47</v>
      </c>
      <c r="U48" s="118" t="s">
        <v>47</v>
      </c>
      <c r="V48" s="118" t="s">
        <v>47</v>
      </c>
      <c r="W48" s="118" t="s">
        <v>47</v>
      </c>
      <c r="X48" s="118" t="s">
        <v>47</v>
      </c>
      <c r="Y48" s="118" t="s">
        <v>47</v>
      </c>
      <c r="Z48" s="118" t="s">
        <v>47</v>
      </c>
      <c r="AA48" s="118" t="s">
        <v>47</v>
      </c>
      <c r="AB48" s="118" t="s">
        <v>47</v>
      </c>
      <c r="AC48" s="118" t="s">
        <v>47</v>
      </c>
      <c r="AD48" s="118" t="s">
        <v>47</v>
      </c>
      <c r="AE48" s="118">
        <v>0</v>
      </c>
      <c r="AF48" s="118">
        <v>0</v>
      </c>
      <c r="AG48" s="118">
        <v>0</v>
      </c>
      <c r="AH48" s="118">
        <v>0</v>
      </c>
      <c r="AI48" s="118"/>
      <c r="AQ48" s="329"/>
      <c r="AR48" s="329"/>
      <c r="AS48" s="329"/>
      <c r="AT48" s="329"/>
      <c r="AU48" s="329"/>
    </row>
    <row r="49" spans="2:47" x14ac:dyDescent="0.2">
      <c r="B49" s="127" t="s">
        <v>165</v>
      </c>
      <c r="C49" s="208" t="s">
        <v>47</v>
      </c>
      <c r="D49" s="208" t="s">
        <v>47</v>
      </c>
      <c r="E49" s="208" t="s">
        <v>47</v>
      </c>
      <c r="F49" s="208" t="s">
        <v>47</v>
      </c>
      <c r="G49" s="208" t="s">
        <v>47</v>
      </c>
      <c r="H49" s="208" t="s">
        <v>47</v>
      </c>
      <c r="I49" s="208" t="s">
        <v>47</v>
      </c>
      <c r="J49" s="208" t="s">
        <v>47</v>
      </c>
      <c r="K49" s="208" t="s">
        <v>47</v>
      </c>
      <c r="L49" s="208" t="s">
        <v>47</v>
      </c>
      <c r="M49" s="208" t="s">
        <v>47</v>
      </c>
      <c r="N49" s="208" t="s">
        <v>47</v>
      </c>
      <c r="O49" s="208" t="s">
        <v>47</v>
      </c>
      <c r="P49" s="208" t="s">
        <v>47</v>
      </c>
      <c r="Q49" s="208" t="s">
        <v>47</v>
      </c>
      <c r="R49" s="208" t="s">
        <v>47</v>
      </c>
      <c r="S49" s="208" t="s">
        <v>47</v>
      </c>
      <c r="T49" s="120">
        <f>SUM(T44:T48)</f>
        <v>0</v>
      </c>
      <c r="U49" s="120">
        <f>SUM(U44:U48)</f>
        <v>0</v>
      </c>
      <c r="V49" s="120">
        <f>SUM(V44:V48)</f>
        <v>0</v>
      </c>
      <c r="W49" s="120">
        <f t="shared" ref="W49:AD49" si="18">SUM(W44:W48)</f>
        <v>0</v>
      </c>
      <c r="X49" s="120">
        <f t="shared" si="18"/>
        <v>0</v>
      </c>
      <c r="Y49" s="120">
        <f t="shared" si="18"/>
        <v>0</v>
      </c>
      <c r="Z49" s="120">
        <f t="shared" si="18"/>
        <v>0</v>
      </c>
      <c r="AA49" s="120">
        <f t="shared" si="18"/>
        <v>0</v>
      </c>
      <c r="AB49" s="120">
        <f t="shared" si="18"/>
        <v>0</v>
      </c>
      <c r="AC49" s="120">
        <f t="shared" si="18"/>
        <v>0</v>
      </c>
      <c r="AD49" s="120">
        <f t="shared" si="18"/>
        <v>0</v>
      </c>
      <c r="AE49" s="120">
        <f>SUM(AE44:AE48)</f>
        <v>1090</v>
      </c>
      <c r="AF49" s="120">
        <f>SUM(AF44:AF48)</f>
        <v>1159</v>
      </c>
      <c r="AG49" s="120">
        <f>SUM(AG44:AG48)</f>
        <v>1373</v>
      </c>
      <c r="AH49" s="120">
        <v>1531</v>
      </c>
      <c r="AI49" s="120">
        <v>1531</v>
      </c>
      <c r="AQ49" s="329"/>
      <c r="AR49" s="329"/>
      <c r="AS49" s="329"/>
      <c r="AT49" s="329"/>
      <c r="AU49" s="329"/>
    </row>
    <row r="50" spans="2:47" x14ac:dyDescent="0.2">
      <c r="B50" s="130" t="s">
        <v>460</v>
      </c>
      <c r="C50" s="118" t="s">
        <v>47</v>
      </c>
      <c r="D50" s="118" t="s">
        <v>47</v>
      </c>
      <c r="E50" s="118" t="s">
        <v>47</v>
      </c>
      <c r="F50" s="118" t="s">
        <v>47</v>
      </c>
      <c r="G50" s="118" t="s">
        <v>47</v>
      </c>
      <c r="H50" s="118" t="s">
        <v>47</v>
      </c>
      <c r="I50" s="118" t="s">
        <v>47</v>
      </c>
      <c r="J50" s="118" t="s">
        <v>47</v>
      </c>
      <c r="K50" s="118" t="s">
        <v>47</v>
      </c>
      <c r="L50" s="118" t="s">
        <v>47</v>
      </c>
      <c r="M50" s="118" t="s">
        <v>47</v>
      </c>
      <c r="N50" s="118" t="s">
        <v>47</v>
      </c>
      <c r="O50" s="118" t="s">
        <v>47</v>
      </c>
      <c r="P50" s="118" t="s">
        <v>47</v>
      </c>
      <c r="Q50" s="118" t="s">
        <v>47</v>
      </c>
      <c r="R50" s="118" t="s">
        <v>47</v>
      </c>
      <c r="S50" s="118" t="s">
        <v>47</v>
      </c>
      <c r="T50" s="118" t="s">
        <v>47</v>
      </c>
      <c r="U50" s="118" t="s">
        <v>47</v>
      </c>
      <c r="V50" s="118" t="s">
        <v>47</v>
      </c>
      <c r="W50" s="118" t="s">
        <v>47</v>
      </c>
      <c r="X50" s="118" t="s">
        <v>47</v>
      </c>
      <c r="Y50" s="118" t="s">
        <v>47</v>
      </c>
      <c r="Z50" s="118" t="s">
        <v>47</v>
      </c>
      <c r="AA50" s="118" t="s">
        <v>47</v>
      </c>
      <c r="AB50" s="118" t="s">
        <v>47</v>
      </c>
      <c r="AC50" s="118" t="s">
        <v>47</v>
      </c>
      <c r="AD50" s="118" t="s">
        <v>47</v>
      </c>
      <c r="AE50" s="118">
        <v>186</v>
      </c>
      <c r="AF50" s="118">
        <v>253</v>
      </c>
      <c r="AG50" s="118">
        <v>330</v>
      </c>
      <c r="AH50" s="118">
        <v>358</v>
      </c>
      <c r="AI50" s="118">
        <v>459</v>
      </c>
      <c r="AQ50" s="329"/>
      <c r="AR50" s="329"/>
      <c r="AS50" s="329"/>
      <c r="AT50" s="329"/>
      <c r="AU50" s="329"/>
    </row>
    <row r="51" spans="2:47" x14ac:dyDescent="0.2">
      <c r="B51" s="130" t="s">
        <v>461</v>
      </c>
      <c r="C51" s="118" t="s">
        <v>47</v>
      </c>
      <c r="D51" s="118" t="s">
        <v>47</v>
      </c>
      <c r="E51" s="118" t="s">
        <v>47</v>
      </c>
      <c r="F51" s="118" t="s">
        <v>47</v>
      </c>
      <c r="G51" s="118" t="s">
        <v>47</v>
      </c>
      <c r="H51" s="118" t="s">
        <v>47</v>
      </c>
      <c r="I51" s="118" t="s">
        <v>47</v>
      </c>
      <c r="J51" s="118" t="s">
        <v>47</v>
      </c>
      <c r="K51" s="118" t="s">
        <v>47</v>
      </c>
      <c r="L51" s="118" t="s">
        <v>47</v>
      </c>
      <c r="M51" s="118" t="s">
        <v>47</v>
      </c>
      <c r="N51" s="118" t="s">
        <v>47</v>
      </c>
      <c r="O51" s="118" t="s">
        <v>47</v>
      </c>
      <c r="P51" s="118" t="s">
        <v>47</v>
      </c>
      <c r="Q51" s="118" t="s">
        <v>47</v>
      </c>
      <c r="R51" s="118" t="s">
        <v>47</v>
      </c>
      <c r="S51" s="118" t="s">
        <v>47</v>
      </c>
      <c r="T51" s="118" t="s">
        <v>47</v>
      </c>
      <c r="U51" s="118" t="s">
        <v>47</v>
      </c>
      <c r="V51" s="118" t="s">
        <v>47</v>
      </c>
      <c r="W51" s="118" t="s">
        <v>47</v>
      </c>
      <c r="X51" s="118" t="s">
        <v>47</v>
      </c>
      <c r="Y51" s="118" t="s">
        <v>47</v>
      </c>
      <c r="Z51" s="118" t="s">
        <v>47</v>
      </c>
      <c r="AA51" s="118" t="s">
        <v>47</v>
      </c>
      <c r="AB51" s="118" t="s">
        <v>47</v>
      </c>
      <c r="AC51" s="118" t="s">
        <v>47</v>
      </c>
      <c r="AD51" s="118" t="s">
        <v>47</v>
      </c>
      <c r="AE51" s="118">
        <v>756</v>
      </c>
      <c r="AF51" s="118">
        <v>765</v>
      </c>
      <c r="AG51" s="118">
        <v>777</v>
      </c>
      <c r="AH51" s="118">
        <v>278</v>
      </c>
      <c r="AI51" s="118">
        <v>282</v>
      </c>
      <c r="AQ51" s="329"/>
      <c r="AR51" s="329"/>
      <c r="AS51" s="329"/>
      <c r="AT51" s="329"/>
      <c r="AU51" s="329"/>
    </row>
    <row r="52" spans="2:47" ht="15" customHeight="1" x14ac:dyDescent="0.2">
      <c r="B52" s="130" t="s">
        <v>233</v>
      </c>
      <c r="C52" s="118" t="s">
        <v>47</v>
      </c>
      <c r="D52" s="118" t="s">
        <v>47</v>
      </c>
      <c r="E52" s="118" t="s">
        <v>47</v>
      </c>
      <c r="F52" s="118" t="s">
        <v>47</v>
      </c>
      <c r="G52" s="118" t="s">
        <v>47</v>
      </c>
      <c r="H52" s="118" t="s">
        <v>47</v>
      </c>
      <c r="I52" s="118" t="s">
        <v>47</v>
      </c>
      <c r="J52" s="118" t="s">
        <v>47</v>
      </c>
      <c r="K52" s="118" t="s">
        <v>47</v>
      </c>
      <c r="L52" s="118" t="s">
        <v>47</v>
      </c>
      <c r="M52" s="118" t="s">
        <v>47</v>
      </c>
      <c r="N52" s="118" t="s">
        <v>47</v>
      </c>
      <c r="O52" s="118" t="s">
        <v>47</v>
      </c>
      <c r="P52" s="118" t="s">
        <v>47</v>
      </c>
      <c r="Q52" s="118" t="s">
        <v>47</v>
      </c>
      <c r="R52" s="118" t="s">
        <v>47</v>
      </c>
      <c r="S52" s="118" t="s">
        <v>47</v>
      </c>
      <c r="T52" s="118" t="s">
        <v>47</v>
      </c>
      <c r="U52" s="118" t="s">
        <v>47</v>
      </c>
      <c r="V52" s="118" t="s">
        <v>47</v>
      </c>
      <c r="W52" s="118" t="s">
        <v>47</v>
      </c>
      <c r="X52" s="118" t="s">
        <v>47</v>
      </c>
      <c r="Y52" s="118" t="s">
        <v>47</v>
      </c>
      <c r="Z52" s="118" t="s">
        <v>47</v>
      </c>
      <c r="AA52" s="118" t="s">
        <v>47</v>
      </c>
      <c r="AB52" s="118" t="s">
        <v>47</v>
      </c>
      <c r="AC52" s="118" t="s">
        <v>47</v>
      </c>
      <c r="AD52" s="118" t="s">
        <v>47</v>
      </c>
      <c r="AE52" s="118">
        <v>148</v>
      </c>
      <c r="AF52" s="118">
        <v>141</v>
      </c>
      <c r="AG52" s="118">
        <v>266</v>
      </c>
      <c r="AH52" s="118">
        <v>896</v>
      </c>
      <c r="AI52" s="118">
        <v>922</v>
      </c>
      <c r="AQ52" s="329"/>
      <c r="AR52" s="329"/>
      <c r="AS52" s="329"/>
      <c r="AT52" s="329"/>
      <c r="AU52" s="329"/>
    </row>
    <row r="53" spans="2:47" x14ac:dyDescent="0.2">
      <c r="B53" s="127" t="s">
        <v>462</v>
      </c>
      <c r="C53" s="208" t="s">
        <v>47</v>
      </c>
      <c r="D53" s="208" t="s">
        <v>47</v>
      </c>
      <c r="E53" s="208" t="s">
        <v>47</v>
      </c>
      <c r="F53" s="208" t="s">
        <v>47</v>
      </c>
      <c r="G53" s="208" t="s">
        <v>47</v>
      </c>
      <c r="H53" s="208" t="s">
        <v>47</v>
      </c>
      <c r="I53" s="208" t="s">
        <v>47</v>
      </c>
      <c r="J53" s="208" t="s">
        <v>47</v>
      </c>
      <c r="K53" s="208" t="s">
        <v>47</v>
      </c>
      <c r="L53" s="208" t="s">
        <v>47</v>
      </c>
      <c r="M53" s="208" t="s">
        <v>47</v>
      </c>
      <c r="N53" s="208" t="s">
        <v>47</v>
      </c>
      <c r="O53" s="208" t="s">
        <v>47</v>
      </c>
      <c r="P53" s="208" t="s">
        <v>47</v>
      </c>
      <c r="Q53" s="208" t="s">
        <v>47</v>
      </c>
      <c r="R53" s="208" t="s">
        <v>47</v>
      </c>
      <c r="S53" s="208" t="s">
        <v>47</v>
      </c>
      <c r="T53" s="120">
        <f>SUM(T50:T52)</f>
        <v>0</v>
      </c>
      <c r="U53" s="120">
        <f>SUM(U50:U52)</f>
        <v>0</v>
      </c>
      <c r="V53" s="120">
        <f>SUM(V50:V52)</f>
        <v>0</v>
      </c>
      <c r="W53" s="120">
        <f t="shared" ref="W53:AD53" si="19">SUM(W50:W52)</f>
        <v>0</v>
      </c>
      <c r="X53" s="120">
        <f t="shared" si="19"/>
        <v>0</v>
      </c>
      <c r="Y53" s="120">
        <f t="shared" si="19"/>
        <v>0</v>
      </c>
      <c r="Z53" s="120">
        <f t="shared" si="19"/>
        <v>0</v>
      </c>
      <c r="AA53" s="120">
        <f t="shared" si="19"/>
        <v>0</v>
      </c>
      <c r="AB53" s="120">
        <f t="shared" si="19"/>
        <v>0</v>
      </c>
      <c r="AC53" s="120">
        <f t="shared" si="19"/>
        <v>0</v>
      </c>
      <c r="AD53" s="120">
        <f t="shared" si="19"/>
        <v>0</v>
      </c>
      <c r="AE53" s="120">
        <f>SUM(AE50:AE52)</f>
        <v>1090</v>
      </c>
      <c r="AF53" s="120">
        <f>SUM(AF50:AF52)</f>
        <v>1159</v>
      </c>
      <c r="AG53" s="120">
        <f>SUM(AG50:AG52)</f>
        <v>1373</v>
      </c>
      <c r="AH53" s="120">
        <v>1532</v>
      </c>
      <c r="AI53" s="120">
        <v>1532</v>
      </c>
      <c r="AQ53" s="329"/>
      <c r="AR53" s="329"/>
      <c r="AS53" s="329"/>
      <c r="AT53" s="329"/>
      <c r="AU53" s="329"/>
    </row>
    <row r="54" spans="2:47" x14ac:dyDescent="0.2">
      <c r="AQ54" s="329"/>
      <c r="AR54" s="329"/>
      <c r="AS54" s="329"/>
      <c r="AT54" s="329"/>
      <c r="AU54" s="329"/>
    </row>
    <row r="55" spans="2:47" x14ac:dyDescent="0.2">
      <c r="B55" s="146" t="s">
        <v>1134</v>
      </c>
      <c r="C55" s="115" t="str">
        <f t="shared" ref="C55:AD55" si="20">C43</f>
        <v>2013</v>
      </c>
      <c r="D55" s="115" t="str">
        <f t="shared" si="20"/>
        <v>1Q14</v>
      </c>
      <c r="E55" s="115" t="str">
        <f t="shared" si="20"/>
        <v>2Q14</v>
      </c>
      <c r="F55" s="115" t="str">
        <f t="shared" si="20"/>
        <v>3Q14</v>
      </c>
      <c r="G55" s="115" t="str">
        <f t="shared" si="20"/>
        <v>4Q14</v>
      </c>
      <c r="H55" s="115" t="str">
        <f t="shared" si="20"/>
        <v>1Q15</v>
      </c>
      <c r="I55" s="115" t="str">
        <f t="shared" si="20"/>
        <v>2Q15</v>
      </c>
      <c r="J55" s="115" t="str">
        <f t="shared" si="20"/>
        <v>3Q15</v>
      </c>
      <c r="K55" s="115" t="str">
        <f t="shared" si="20"/>
        <v>4Q15</v>
      </c>
      <c r="L55" s="115" t="str">
        <f t="shared" si="20"/>
        <v>1Q16</v>
      </c>
      <c r="M55" s="115" t="str">
        <f t="shared" si="20"/>
        <v>2Q16</v>
      </c>
      <c r="N55" s="115" t="str">
        <f t="shared" si="20"/>
        <v>3Q16</v>
      </c>
      <c r="O55" s="115" t="str">
        <f t="shared" si="20"/>
        <v>4Q16</v>
      </c>
      <c r="P55" s="115" t="str">
        <f t="shared" si="20"/>
        <v>1Q17</v>
      </c>
      <c r="Q55" s="115" t="str">
        <f t="shared" si="20"/>
        <v>2Q17</v>
      </c>
      <c r="R55" s="115" t="str">
        <f t="shared" si="20"/>
        <v>3Q17</v>
      </c>
      <c r="S55" s="115" t="str">
        <f t="shared" si="20"/>
        <v>4Q17</v>
      </c>
      <c r="T55" s="115" t="str">
        <f t="shared" si="20"/>
        <v>1Q18</v>
      </c>
      <c r="U55" s="115" t="str">
        <f t="shared" si="20"/>
        <v>2Q18</v>
      </c>
      <c r="V55" s="115" t="str">
        <f t="shared" si="20"/>
        <v>3Q18</v>
      </c>
      <c r="W55" s="115" t="str">
        <f t="shared" si="20"/>
        <v>4Q18</v>
      </c>
      <c r="X55" s="115" t="str">
        <f t="shared" si="20"/>
        <v>1Q19</v>
      </c>
      <c r="Y55" s="115" t="str">
        <f t="shared" si="20"/>
        <v>2Q19</v>
      </c>
      <c r="Z55" s="115" t="str">
        <f t="shared" si="20"/>
        <v>3Q19</v>
      </c>
      <c r="AA55" s="115" t="str">
        <f t="shared" si="20"/>
        <v>4Q19</v>
      </c>
      <c r="AB55" s="115" t="str">
        <f t="shared" si="20"/>
        <v>1Q20</v>
      </c>
      <c r="AC55" s="115" t="str">
        <f t="shared" si="20"/>
        <v>2Q20</v>
      </c>
      <c r="AD55" s="115" t="str">
        <f t="shared" si="20"/>
        <v>3Q20</v>
      </c>
      <c r="AE55" s="115" t="str">
        <f>AE43</f>
        <v>4Q20</v>
      </c>
      <c r="AF55" s="115" t="str">
        <f>AF43</f>
        <v>1Q21</v>
      </c>
      <c r="AG55" s="115" t="str">
        <f>AG43</f>
        <v>2Q21</v>
      </c>
      <c r="AH55" s="115" t="s">
        <v>1098</v>
      </c>
      <c r="AI55" s="115" t="s">
        <v>1123</v>
      </c>
      <c r="AQ55" s="329"/>
      <c r="AR55" s="329"/>
      <c r="AS55" s="329"/>
      <c r="AT55" s="329"/>
      <c r="AU55" s="329"/>
    </row>
    <row r="56" spans="2:47" x14ac:dyDescent="0.2">
      <c r="B56" s="127" t="s">
        <v>220</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9"/>
      <c r="AR56" s="329"/>
      <c r="AS56" s="329"/>
      <c r="AT56" s="329"/>
      <c r="AU56" s="329"/>
    </row>
    <row r="57" spans="2:47" x14ac:dyDescent="0.2">
      <c r="B57" s="130" t="s">
        <v>327</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9"/>
      <c r="AR57" s="329"/>
      <c r="AS57" s="329"/>
      <c r="AT57" s="329"/>
      <c r="AU57" s="329"/>
    </row>
    <row r="58" spans="2:47" x14ac:dyDescent="0.2">
      <c r="B58" s="130" t="s">
        <v>227</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9"/>
      <c r="AR58" s="329"/>
      <c r="AS58" s="329"/>
      <c r="AT58" s="329"/>
      <c r="AU58" s="329"/>
    </row>
    <row r="59" spans="2:47" x14ac:dyDescent="0.2">
      <c r="B59" s="130" t="s">
        <v>463</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9"/>
      <c r="AR59" s="329"/>
      <c r="AS59" s="329"/>
      <c r="AT59" s="329"/>
      <c r="AU59" s="329"/>
    </row>
    <row r="60" spans="2:47" x14ac:dyDescent="0.2">
      <c r="B60" s="130" t="s">
        <v>464</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9"/>
      <c r="AR60" s="329"/>
      <c r="AS60" s="329"/>
      <c r="AT60" s="329"/>
      <c r="AU60" s="329"/>
    </row>
    <row r="61" spans="2:47" x14ac:dyDescent="0.2">
      <c r="B61" s="130" t="s">
        <v>465</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9"/>
      <c r="AR61" s="329"/>
      <c r="AS61" s="329"/>
      <c r="AT61" s="329"/>
      <c r="AU61" s="329"/>
    </row>
    <row r="62" spans="2:47" x14ac:dyDescent="0.2">
      <c r="B62" s="127" t="s">
        <v>466</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1">+SUM(X56:X61)</f>
        <v>0</v>
      </c>
      <c r="Y62" s="120">
        <f t="shared" si="21"/>
        <v>0</v>
      </c>
      <c r="Z62" s="120">
        <f t="shared" si="21"/>
        <v>0</v>
      </c>
      <c r="AA62" s="120">
        <f t="shared" si="21"/>
        <v>0</v>
      </c>
      <c r="AB62" s="120">
        <f t="shared" si="21"/>
        <v>0</v>
      </c>
      <c r="AC62" s="120">
        <f t="shared" si="21"/>
        <v>0</v>
      </c>
      <c r="AD62" s="120">
        <f t="shared" si="21"/>
        <v>0</v>
      </c>
      <c r="AE62" s="120">
        <f>+SUM(AE56:AE61)</f>
        <v>0</v>
      </c>
      <c r="AF62" s="120">
        <v>6</v>
      </c>
      <c r="AG62" s="120">
        <f>+SUM(AG56:AG61)</f>
        <v>108</v>
      </c>
      <c r="AH62" s="120">
        <v>133</v>
      </c>
      <c r="AI62" s="120">
        <v>133</v>
      </c>
      <c r="AQ62" s="329"/>
      <c r="AR62" s="329"/>
      <c r="AS62" s="329"/>
      <c r="AT62" s="329"/>
      <c r="AU62" s="329"/>
    </row>
    <row r="63" spans="2:47" x14ac:dyDescent="0.2">
      <c r="AQ63" s="329"/>
      <c r="AR63" s="329"/>
      <c r="AS63" s="329"/>
      <c r="AT63" s="329"/>
      <c r="AU63" s="329"/>
    </row>
    <row r="64" spans="2:47" s="551" customFormat="1" x14ac:dyDescent="0.2">
      <c r="T64" s="551">
        <v>2018</v>
      </c>
      <c r="U64" s="551">
        <v>2018</v>
      </c>
      <c r="V64" s="551">
        <v>2018</v>
      </c>
      <c r="W64" s="551">
        <v>2018</v>
      </c>
      <c r="X64" s="551">
        <v>2019</v>
      </c>
      <c r="Y64" s="551">
        <v>2019</v>
      </c>
      <c r="Z64" s="551">
        <v>2019</v>
      </c>
      <c r="AA64" s="551">
        <v>2019</v>
      </c>
      <c r="AB64" s="551">
        <v>2020</v>
      </c>
      <c r="AC64" s="551">
        <v>2020</v>
      </c>
      <c r="AD64" s="551">
        <v>2020</v>
      </c>
      <c r="AE64" s="551">
        <v>2020</v>
      </c>
      <c r="AF64" s="551">
        <v>2021</v>
      </c>
      <c r="AG64" s="551">
        <v>2021</v>
      </c>
      <c r="AH64" s="551">
        <v>2021</v>
      </c>
      <c r="AI64" s="551">
        <v>2021</v>
      </c>
      <c r="AJ64" s="551">
        <v>2022</v>
      </c>
      <c r="AK64" s="551">
        <v>2022</v>
      </c>
      <c r="AL64" s="551">
        <v>2022</v>
      </c>
      <c r="AM64" s="551">
        <v>2022</v>
      </c>
      <c r="AN64" s="551">
        <v>2022</v>
      </c>
      <c r="AO64" s="551">
        <v>2022</v>
      </c>
      <c r="AP64" s="551">
        <v>2022</v>
      </c>
      <c r="AQ64" s="329"/>
      <c r="AR64" s="329"/>
      <c r="AS64" s="329"/>
      <c r="AT64" s="329"/>
      <c r="AU64" s="329"/>
    </row>
    <row r="65" spans="32:47" x14ac:dyDescent="0.2">
      <c r="AI65" s="551"/>
      <c r="AJ65" s="551"/>
      <c r="AQ65" s="329"/>
      <c r="AR65" s="329"/>
      <c r="AS65" s="329"/>
      <c r="AT65" s="329"/>
      <c r="AU65" s="329"/>
    </row>
    <row r="66" spans="32:47" x14ac:dyDescent="0.2">
      <c r="AI66" s="329"/>
      <c r="AJ66" s="329"/>
      <c r="AK66" s="329"/>
      <c r="AL66" s="329"/>
      <c r="AM66" s="329"/>
      <c r="AN66" s="329"/>
      <c r="AO66" s="329"/>
      <c r="AP66" s="329"/>
      <c r="AQ66" s="329"/>
      <c r="AR66" s="329"/>
      <c r="AS66" s="329"/>
      <c r="AT66" s="329"/>
      <c r="AU66" s="329"/>
    </row>
    <row r="67" spans="32:47" x14ac:dyDescent="0.2">
      <c r="AI67" s="551"/>
      <c r="AJ67" s="551" t="s">
        <v>1204</v>
      </c>
      <c r="AK67" s="551" t="s">
        <v>1204</v>
      </c>
      <c r="AL67" s="551"/>
      <c r="AM67" s="551"/>
      <c r="AN67" s="551" t="s">
        <v>1271</v>
      </c>
      <c r="AO67" s="551" t="s">
        <v>1271</v>
      </c>
      <c r="AP67" s="551"/>
      <c r="AQ67" s="551"/>
      <c r="AR67" s="551" t="s">
        <v>1327</v>
      </c>
      <c r="AS67" s="551" t="s">
        <v>1327</v>
      </c>
      <c r="AT67" s="551"/>
      <c r="AU67" s="551"/>
    </row>
    <row r="68" spans="32:47" x14ac:dyDescent="0.2">
      <c r="AI68" s="551"/>
      <c r="AJ68" s="551" t="s">
        <v>1195</v>
      </c>
      <c r="AK68" s="551" t="s">
        <v>1195</v>
      </c>
      <c r="AL68" s="551" t="s">
        <v>1195</v>
      </c>
      <c r="AM68" s="551"/>
      <c r="AN68" s="551" t="s">
        <v>1272</v>
      </c>
      <c r="AO68" s="551" t="s">
        <v>1272</v>
      </c>
      <c r="AP68" s="551" t="s">
        <v>1272</v>
      </c>
      <c r="AQ68" s="551"/>
      <c r="AR68" s="551" t="s">
        <v>1328</v>
      </c>
      <c r="AS68" s="551" t="s">
        <v>1328</v>
      </c>
      <c r="AT68" s="551" t="s">
        <v>1328</v>
      </c>
      <c r="AU68" s="551"/>
    </row>
    <row r="69" spans="32:47" x14ac:dyDescent="0.2">
      <c r="AF69" s="1153">
        <v>2021</v>
      </c>
      <c r="AG69" s="1153">
        <v>2021</v>
      </c>
      <c r="AH69" s="1153">
        <v>2021</v>
      </c>
      <c r="AI69" s="1153">
        <v>2021</v>
      </c>
      <c r="AJ69" s="1153">
        <v>2022</v>
      </c>
      <c r="AK69" s="1153">
        <v>2022</v>
      </c>
      <c r="AL69" s="1153">
        <v>2022</v>
      </c>
      <c r="AM69" s="1153">
        <v>2022</v>
      </c>
      <c r="AN69" s="1153">
        <v>2023</v>
      </c>
      <c r="AO69" s="1153">
        <v>2023</v>
      </c>
      <c r="AP69" s="1153">
        <v>2023</v>
      </c>
      <c r="AQ69" s="1153">
        <v>2023</v>
      </c>
      <c r="AR69" s="1153">
        <v>2024</v>
      </c>
      <c r="AS69" s="1153">
        <v>2024</v>
      </c>
      <c r="AT69" s="1153">
        <v>2024</v>
      </c>
      <c r="AU69" s="1153">
        <v>2024</v>
      </c>
    </row>
    <row r="70" spans="32:47" x14ac:dyDescent="0.2">
      <c r="AI70" s="329"/>
      <c r="AJ70" s="329"/>
      <c r="AK70" s="329"/>
      <c r="AL70" s="329"/>
      <c r="AM70" s="329"/>
      <c r="AN70" s="329"/>
      <c r="AO70" s="329"/>
      <c r="AP70" s="329"/>
      <c r="AQ70" s="329"/>
      <c r="AR70" s="329"/>
      <c r="AS70" s="329"/>
      <c r="AT70" s="329"/>
      <c r="AU70" s="329"/>
    </row>
    <row r="71" spans="32:47" x14ac:dyDescent="0.2">
      <c r="AI71" s="329"/>
      <c r="AJ71" s="329"/>
      <c r="AK71" s="329"/>
      <c r="AL71" s="329"/>
      <c r="AM71" s="329"/>
      <c r="AN71" s="329"/>
      <c r="AO71" s="329"/>
      <c r="AP71" s="329"/>
      <c r="AQ71" s="329"/>
      <c r="AR71" s="329"/>
      <c r="AS71" s="329"/>
      <c r="AT71" s="329"/>
      <c r="AU71" s="329"/>
    </row>
    <row r="72" spans="32:47" x14ac:dyDescent="0.2">
      <c r="AI72" s="329"/>
      <c r="AJ72" s="329"/>
      <c r="AK72" s="329"/>
      <c r="AL72" s="329"/>
      <c r="AM72" s="329"/>
      <c r="AN72" s="329"/>
      <c r="AO72" s="329"/>
      <c r="AP72" s="329"/>
      <c r="AQ72" s="329"/>
      <c r="AR72" s="329"/>
      <c r="AS72" s="329"/>
      <c r="AT72" s="329"/>
      <c r="AU72" s="329"/>
    </row>
    <row r="73" spans="32:47" x14ac:dyDescent="0.2">
      <c r="AI73" s="329"/>
      <c r="AJ73" s="329"/>
      <c r="AK73" s="329"/>
      <c r="AL73" s="329"/>
      <c r="AM73" s="329"/>
      <c r="AN73" s="329"/>
      <c r="AO73" s="329"/>
      <c r="AP73" s="329"/>
      <c r="AQ73" s="329"/>
      <c r="AR73" s="329"/>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6 AU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8">
    <pageSetUpPr autoPageBreaks="0"/>
  </sheetPr>
  <dimension ref="B1:Z76"/>
  <sheetViews>
    <sheetView showGridLines="0" zoomScaleNormal="100" workbookViewId="0">
      <pane xSplit="1" ySplit="5" topLeftCell="B47" activePane="bottomRight" state="frozen"/>
      <selection activeCell="EF37" sqref="EF37"/>
      <selection pane="topRight" activeCell="EF37" sqref="EF37"/>
      <selection pane="bottomLeft" activeCell="EF37" sqref="EF37"/>
      <selection pane="bottomRight" activeCell="E3" sqref="E3"/>
    </sheetView>
  </sheetViews>
  <sheetFormatPr defaultRowHeight="12.75" outlineLevelRow="1" x14ac:dyDescent="0.2"/>
  <cols>
    <col min="1" max="1" width="1.42578125" customWidth="1"/>
    <col min="2" max="2" width="16.7109375" style="274" bestFit="1" customWidth="1"/>
    <col min="3" max="4" width="10.7109375" customWidth="1"/>
    <col min="5" max="5" width="15" customWidth="1"/>
    <col min="6" max="6" width="12.7109375" customWidth="1"/>
    <col min="7" max="7" width="10.7109375" customWidth="1"/>
    <col min="8" max="8" width="11.42578125" customWidth="1"/>
    <col min="9" max="9" width="15.28515625" customWidth="1"/>
    <col min="10" max="10" width="12.5703125" customWidth="1"/>
    <col min="11" max="11" width="15" customWidth="1"/>
    <col min="12" max="12" width="10.7109375" customWidth="1"/>
    <col min="13" max="13" width="10.7109375" style="143" customWidth="1"/>
    <col min="14" max="14" width="2.28515625" customWidth="1"/>
    <col min="15" max="15" width="16.7109375" style="246" bestFit="1" customWidth="1"/>
    <col min="16" max="17" width="10.7109375" customWidth="1"/>
    <col min="18" max="18" width="12.28515625" customWidth="1"/>
    <col min="19" max="20" width="10.7109375" customWidth="1"/>
    <col min="21" max="21" width="11.42578125" customWidth="1"/>
    <col min="22" max="22" width="15.28515625" customWidth="1"/>
    <col min="23" max="26" width="10.7109375" customWidth="1"/>
  </cols>
  <sheetData>
    <row r="1" spans="2:26" s="551" customFormat="1" ht="7.5" customHeight="1" x14ac:dyDescent="0.2">
      <c r="B1" s="558"/>
      <c r="C1" s="559"/>
      <c r="D1" s="559"/>
      <c r="E1" s="559"/>
      <c r="F1" s="559"/>
      <c r="G1" s="559"/>
      <c r="H1" s="559"/>
      <c r="I1" s="559"/>
      <c r="J1" s="559"/>
      <c r="K1" s="559"/>
      <c r="L1" s="559"/>
      <c r="M1" s="560"/>
      <c r="O1" s="558"/>
      <c r="P1" s="559"/>
      <c r="Q1" s="559"/>
      <c r="R1" s="559"/>
      <c r="S1" s="559"/>
      <c r="T1" s="559"/>
      <c r="U1" s="559"/>
      <c r="V1" s="559"/>
      <c r="W1" s="559"/>
      <c r="X1" s="559"/>
      <c r="Y1" s="559"/>
      <c r="Z1" s="559"/>
    </row>
    <row r="2" spans="2:26" s="551" customFormat="1" ht="12.75" customHeight="1" x14ac:dyDescent="0.2">
      <c r="B2" s="558"/>
      <c r="C2" s="559"/>
      <c r="D2" s="559"/>
      <c r="E2" s="559"/>
      <c r="F2" s="559"/>
      <c r="G2" s="559"/>
      <c r="H2" s="559"/>
      <c r="I2" s="559"/>
      <c r="J2" s="559"/>
      <c r="K2" s="559"/>
      <c r="L2" s="559"/>
      <c r="M2" s="560"/>
      <c r="O2" s="558"/>
      <c r="P2" s="559"/>
      <c r="Q2" s="559"/>
      <c r="R2" s="559"/>
      <c r="S2" s="559"/>
      <c r="T2" s="559"/>
      <c r="U2" s="559"/>
      <c r="V2" s="559"/>
      <c r="W2" s="559"/>
      <c r="X2" s="559"/>
      <c r="Y2" s="559"/>
      <c r="Z2" s="559"/>
    </row>
    <row r="3" spans="2:26" ht="12.75" customHeight="1" x14ac:dyDescent="0.2">
      <c r="B3" s="245"/>
      <c r="C3" s="559"/>
      <c r="D3" s="559"/>
      <c r="E3" s="559"/>
      <c r="F3" s="559"/>
      <c r="G3" s="559"/>
      <c r="H3" s="559"/>
      <c r="I3" s="559"/>
      <c r="J3" s="559"/>
      <c r="K3" s="559"/>
      <c r="L3" s="559"/>
      <c r="M3" s="560"/>
      <c r="O3" s="245"/>
      <c r="P3" s="46"/>
      <c r="Q3" s="46"/>
      <c r="R3" s="46"/>
      <c r="S3" s="46"/>
      <c r="T3" s="46"/>
      <c r="U3" s="46"/>
      <c r="V3" s="46"/>
      <c r="W3" s="46"/>
      <c r="X3" s="46"/>
      <c r="Y3" s="46"/>
      <c r="Z3" s="46"/>
    </row>
    <row r="4" spans="2:26" ht="12.75" customHeight="1" x14ac:dyDescent="0.2">
      <c r="B4" s="245"/>
      <c r="C4" s="559"/>
      <c r="D4" s="559"/>
      <c r="E4" s="559"/>
      <c r="F4" s="559"/>
      <c r="G4" s="559"/>
      <c r="H4" s="559"/>
      <c r="I4" s="559"/>
      <c r="J4" s="559"/>
      <c r="K4" s="559"/>
      <c r="L4" s="559"/>
      <c r="M4" s="560"/>
      <c r="O4" s="245"/>
      <c r="P4" s="46"/>
      <c r="Q4" s="46"/>
      <c r="R4" s="46"/>
      <c r="S4" s="46"/>
      <c r="T4" s="46"/>
      <c r="U4" s="46"/>
      <c r="V4" s="46"/>
      <c r="W4" s="46"/>
      <c r="X4" s="46"/>
      <c r="Y4" s="46"/>
      <c r="Z4" s="46"/>
    </row>
    <row r="5" spans="2:26" ht="51" x14ac:dyDescent="0.2">
      <c r="B5" s="146" t="s">
        <v>391</v>
      </c>
      <c r="C5" s="546" t="s">
        <v>641</v>
      </c>
      <c r="D5" s="146" t="s">
        <v>642</v>
      </c>
      <c r="E5" s="146" t="s">
        <v>643</v>
      </c>
      <c r="F5" s="146" t="s">
        <v>644</v>
      </c>
      <c r="G5" s="146" t="s">
        <v>645</v>
      </c>
      <c r="H5" s="146" t="s">
        <v>646</v>
      </c>
      <c r="I5" s="146" t="s">
        <v>647</v>
      </c>
      <c r="J5" s="275" t="s">
        <v>1010</v>
      </c>
      <c r="K5" s="146" t="s">
        <v>648</v>
      </c>
      <c r="L5" s="326" t="s">
        <v>1354</v>
      </c>
      <c r="M5" s="146" t="s">
        <v>36</v>
      </c>
      <c r="O5" s="146" t="s">
        <v>29</v>
      </c>
      <c r="P5" s="546" t="str">
        <f>C5</f>
        <v>Land</v>
      </c>
      <c r="Q5" s="146" t="str">
        <f t="shared" ref="Q5:X5" si="0">D5</f>
        <v>Buildings</v>
      </c>
      <c r="R5" s="146" t="str">
        <f t="shared" si="0"/>
        <v>Computers and peripherals</v>
      </c>
      <c r="S5" s="146" t="str">
        <f t="shared" si="0"/>
        <v>Facilities</v>
      </c>
      <c r="T5" s="146" t="str">
        <f t="shared" si="0"/>
        <v>Vehicles</v>
      </c>
      <c r="U5" s="146" t="str">
        <f t="shared" si="0"/>
        <v>Machinery and equipment/tools</v>
      </c>
      <c r="V5" s="146" t="str">
        <f t="shared" si="0"/>
        <v>Leasehold improvements</v>
      </c>
      <c r="W5" s="275" t="str">
        <f t="shared" si="0"/>
        <v>Furniture, fixtures and packages</v>
      </c>
      <c r="X5" s="146" t="str">
        <f t="shared" si="0"/>
        <v>Construction in progress</v>
      </c>
      <c r="Y5" s="146" t="s">
        <v>36</v>
      </c>
      <c r="Z5" s="326" t="str">
        <f>L5</f>
        <v>Intangible (Software)</v>
      </c>
    </row>
    <row r="6" spans="2:26" ht="15" customHeight="1" outlineLevel="1" x14ac:dyDescent="0.2">
      <c r="B6" s="273" t="s">
        <v>467</v>
      </c>
      <c r="C6" s="118">
        <v>0</v>
      </c>
      <c r="D6" s="118">
        <v>0</v>
      </c>
      <c r="E6" s="118">
        <v>498</v>
      </c>
      <c r="F6" s="118">
        <v>265</v>
      </c>
      <c r="G6" s="118">
        <v>2265</v>
      </c>
      <c r="H6" s="118">
        <v>646</v>
      </c>
      <c r="I6" s="118">
        <v>306</v>
      </c>
      <c r="J6" s="118">
        <v>186</v>
      </c>
      <c r="K6" s="118">
        <v>7832</v>
      </c>
      <c r="L6" s="327">
        <v>0</v>
      </c>
      <c r="M6" s="122">
        <f t="shared" ref="M6:M16" si="1">+SUM(C6:K6)</f>
        <v>11998</v>
      </c>
      <c r="O6" s="272" t="s">
        <v>1563</v>
      </c>
      <c r="P6" s="118">
        <v>0</v>
      </c>
      <c r="Q6" s="118">
        <v>0</v>
      </c>
      <c r="R6" s="118">
        <v>0</v>
      </c>
      <c r="S6" s="118">
        <v>0</v>
      </c>
      <c r="T6" s="118">
        <v>0</v>
      </c>
      <c r="U6" s="118">
        <v>0</v>
      </c>
      <c r="V6" s="118">
        <v>0</v>
      </c>
      <c r="W6" s="118">
        <v>0</v>
      </c>
      <c r="X6" s="118">
        <v>0</v>
      </c>
      <c r="Y6" s="118">
        <v>0</v>
      </c>
      <c r="Z6" s="327"/>
    </row>
    <row r="7" spans="2:26" ht="15" customHeight="1" outlineLevel="1" x14ac:dyDescent="0.2">
      <c r="B7" s="273" t="s">
        <v>468</v>
      </c>
      <c r="C7" s="118">
        <v>0</v>
      </c>
      <c r="D7" s="118">
        <v>0</v>
      </c>
      <c r="E7" s="118">
        <v>1176</v>
      </c>
      <c r="F7" s="118">
        <v>772</v>
      </c>
      <c r="G7" s="118">
        <v>1462</v>
      </c>
      <c r="H7" s="118">
        <v>443</v>
      </c>
      <c r="I7" s="118">
        <v>131</v>
      </c>
      <c r="J7" s="118">
        <v>66</v>
      </c>
      <c r="K7" s="118">
        <v>3691</v>
      </c>
      <c r="L7" s="327">
        <v>0</v>
      </c>
      <c r="M7" s="122">
        <f t="shared" si="1"/>
        <v>7741</v>
      </c>
      <c r="O7" s="272" t="s">
        <v>1564</v>
      </c>
      <c r="P7" s="118">
        <v>0</v>
      </c>
      <c r="Q7" s="118">
        <v>0</v>
      </c>
      <c r="R7" s="118">
        <v>0</v>
      </c>
      <c r="S7" s="118">
        <v>0</v>
      </c>
      <c r="T7" s="118">
        <v>0</v>
      </c>
      <c r="U7" s="118">
        <v>0</v>
      </c>
      <c r="V7" s="118">
        <v>0</v>
      </c>
      <c r="W7" s="118">
        <v>0</v>
      </c>
      <c r="X7" s="118">
        <v>0</v>
      </c>
      <c r="Y7" s="118">
        <v>0</v>
      </c>
      <c r="Z7" s="327"/>
    </row>
    <row r="8" spans="2:26" ht="15" customHeight="1" outlineLevel="1" x14ac:dyDescent="0.2">
      <c r="B8" s="273" t="s">
        <v>469</v>
      </c>
      <c r="C8" s="118">
        <v>6742</v>
      </c>
      <c r="D8" s="118">
        <v>34</v>
      </c>
      <c r="E8" s="118">
        <v>994</v>
      </c>
      <c r="F8" s="118">
        <v>632</v>
      </c>
      <c r="G8" s="118">
        <v>185</v>
      </c>
      <c r="H8" s="118">
        <v>351</v>
      </c>
      <c r="I8" s="118">
        <v>1221</v>
      </c>
      <c r="J8" s="118">
        <v>112</v>
      </c>
      <c r="K8" s="118">
        <v>5978</v>
      </c>
      <c r="L8" s="327">
        <v>0</v>
      </c>
      <c r="M8" s="122">
        <f t="shared" si="1"/>
        <v>16249</v>
      </c>
      <c r="O8" s="272" t="s">
        <v>1565</v>
      </c>
      <c r="P8" s="118">
        <v>0</v>
      </c>
      <c r="Q8" s="118">
        <v>0</v>
      </c>
      <c r="R8" s="118">
        <v>0</v>
      </c>
      <c r="S8" s="118">
        <v>0</v>
      </c>
      <c r="T8" s="118">
        <v>0</v>
      </c>
      <c r="U8" s="118">
        <v>0</v>
      </c>
      <c r="V8" s="118">
        <v>0</v>
      </c>
      <c r="W8" s="118">
        <v>0</v>
      </c>
      <c r="X8" s="118">
        <v>0</v>
      </c>
      <c r="Y8" s="118">
        <v>0</v>
      </c>
      <c r="Z8" s="327"/>
    </row>
    <row r="9" spans="2:26" ht="15" customHeight="1" outlineLevel="1" x14ac:dyDescent="0.2">
      <c r="B9" s="273" t="s">
        <v>470</v>
      </c>
      <c r="C9" s="118">
        <v>1499.7803700000004</v>
      </c>
      <c r="D9" s="118">
        <v>0.2</v>
      </c>
      <c r="E9" s="118">
        <v>505.71554999999989</v>
      </c>
      <c r="F9" s="118">
        <v>26</v>
      </c>
      <c r="G9" s="118">
        <v>48.193629999999999</v>
      </c>
      <c r="H9" s="118">
        <v>40</v>
      </c>
      <c r="I9" s="118">
        <v>451</v>
      </c>
      <c r="J9" s="118">
        <v>195</v>
      </c>
      <c r="K9" s="118">
        <v>1089</v>
      </c>
      <c r="L9" s="327">
        <v>0</v>
      </c>
      <c r="M9" s="122">
        <f t="shared" si="1"/>
        <v>3854.8895500000003</v>
      </c>
      <c r="O9" s="272" t="s">
        <v>1566</v>
      </c>
      <c r="P9" s="118">
        <v>0</v>
      </c>
      <c r="Q9" s="118">
        <v>0</v>
      </c>
      <c r="R9" s="118">
        <v>0</v>
      </c>
      <c r="S9" s="118">
        <v>0</v>
      </c>
      <c r="T9" s="118">
        <v>0</v>
      </c>
      <c r="U9" s="118">
        <v>0</v>
      </c>
      <c r="V9" s="118">
        <v>0</v>
      </c>
      <c r="W9" s="118">
        <v>0</v>
      </c>
      <c r="X9" s="118">
        <v>0</v>
      </c>
      <c r="Y9" s="118">
        <v>0</v>
      </c>
      <c r="Z9" s="327"/>
    </row>
    <row r="10" spans="2:26" ht="15" customHeight="1" outlineLevel="1" x14ac:dyDescent="0.2">
      <c r="B10" s="273" t="s">
        <v>471</v>
      </c>
      <c r="C10" s="118">
        <v>0</v>
      </c>
      <c r="D10" s="118">
        <v>0</v>
      </c>
      <c r="E10" s="118">
        <v>281</v>
      </c>
      <c r="F10" s="118">
        <v>140</v>
      </c>
      <c r="G10" s="118">
        <v>181</v>
      </c>
      <c r="H10" s="118">
        <v>179</v>
      </c>
      <c r="I10" s="118">
        <v>201</v>
      </c>
      <c r="J10" s="118">
        <v>91</v>
      </c>
      <c r="K10" s="118">
        <v>3880</v>
      </c>
      <c r="L10" s="327">
        <v>0</v>
      </c>
      <c r="M10" s="122">
        <f t="shared" si="1"/>
        <v>4953</v>
      </c>
      <c r="O10" s="272" t="s">
        <v>1567</v>
      </c>
      <c r="P10" s="118">
        <v>0</v>
      </c>
      <c r="Q10" s="118">
        <v>0</v>
      </c>
      <c r="R10" s="118">
        <v>0</v>
      </c>
      <c r="S10" s="118">
        <v>0</v>
      </c>
      <c r="T10" s="118">
        <v>0</v>
      </c>
      <c r="U10" s="118">
        <v>0</v>
      </c>
      <c r="V10" s="118">
        <v>0</v>
      </c>
      <c r="W10" s="118">
        <v>0</v>
      </c>
      <c r="X10" s="118">
        <v>0</v>
      </c>
      <c r="Y10" s="118">
        <v>0</v>
      </c>
      <c r="Z10" s="327"/>
    </row>
    <row r="11" spans="2:26" ht="15" customHeight="1" outlineLevel="1" x14ac:dyDescent="0.2">
      <c r="B11" s="273" t="s">
        <v>472</v>
      </c>
      <c r="C11" s="118">
        <v>0</v>
      </c>
      <c r="D11" s="118">
        <v>0</v>
      </c>
      <c r="E11" s="118">
        <v>57</v>
      </c>
      <c r="F11" s="118">
        <v>36</v>
      </c>
      <c r="G11" s="118">
        <v>56</v>
      </c>
      <c r="H11" s="118">
        <v>-33</v>
      </c>
      <c r="I11" s="118">
        <v>145</v>
      </c>
      <c r="J11" s="118">
        <v>30</v>
      </c>
      <c r="K11" s="118">
        <v>5933</v>
      </c>
      <c r="L11" s="327">
        <v>0</v>
      </c>
      <c r="M11" s="122">
        <f t="shared" si="1"/>
        <v>6224</v>
      </c>
      <c r="O11" s="272" t="s">
        <v>1568</v>
      </c>
      <c r="P11" s="118">
        <v>0</v>
      </c>
      <c r="Q11" s="118">
        <v>0</v>
      </c>
      <c r="R11" s="118">
        <v>0</v>
      </c>
      <c r="S11" s="118">
        <v>0</v>
      </c>
      <c r="T11" s="118">
        <v>0</v>
      </c>
      <c r="U11" s="118">
        <v>0</v>
      </c>
      <c r="V11" s="118">
        <v>0</v>
      </c>
      <c r="W11" s="118">
        <v>0</v>
      </c>
      <c r="X11" s="118">
        <v>0</v>
      </c>
      <c r="Y11" s="118">
        <v>0</v>
      </c>
      <c r="Z11" s="327"/>
    </row>
    <row r="12" spans="2:26" ht="15" customHeight="1" outlineLevel="1" x14ac:dyDescent="0.2">
      <c r="B12" s="273" t="s">
        <v>473</v>
      </c>
      <c r="C12" s="118">
        <v>640</v>
      </c>
      <c r="D12" s="118">
        <v>0</v>
      </c>
      <c r="E12" s="118">
        <v>337</v>
      </c>
      <c r="F12" s="118">
        <v>58</v>
      </c>
      <c r="G12" s="118">
        <v>204</v>
      </c>
      <c r="H12" s="118">
        <v>11</v>
      </c>
      <c r="I12" s="118">
        <v>12</v>
      </c>
      <c r="J12" s="118">
        <v>27</v>
      </c>
      <c r="K12" s="118">
        <v>5715</v>
      </c>
      <c r="L12" s="327">
        <v>0</v>
      </c>
      <c r="M12" s="122">
        <f t="shared" si="1"/>
        <v>7004</v>
      </c>
      <c r="O12" s="272" t="s">
        <v>1569</v>
      </c>
      <c r="P12" s="118">
        <v>0</v>
      </c>
      <c r="Q12" s="118">
        <v>0</v>
      </c>
      <c r="R12" s="118">
        <v>0</v>
      </c>
      <c r="S12" s="118">
        <v>0</v>
      </c>
      <c r="T12" s="118">
        <v>0</v>
      </c>
      <c r="U12" s="118">
        <v>0</v>
      </c>
      <c r="V12" s="118">
        <v>0</v>
      </c>
      <c r="W12" s="118">
        <v>0</v>
      </c>
      <c r="X12" s="118">
        <v>0</v>
      </c>
      <c r="Y12" s="118">
        <v>0</v>
      </c>
      <c r="Z12" s="327"/>
    </row>
    <row r="13" spans="2:26" ht="15" customHeight="1" outlineLevel="1" x14ac:dyDescent="0.2">
      <c r="B13" s="273" t="s">
        <v>474</v>
      </c>
      <c r="C13" s="118">
        <v>0</v>
      </c>
      <c r="D13" s="118">
        <v>0</v>
      </c>
      <c r="E13" s="118">
        <v>109</v>
      </c>
      <c r="F13" s="118">
        <v>12</v>
      </c>
      <c r="G13" s="118">
        <v>545</v>
      </c>
      <c r="H13" s="118">
        <v>9</v>
      </c>
      <c r="I13" s="118">
        <v>70</v>
      </c>
      <c r="J13" s="118">
        <v>74</v>
      </c>
      <c r="K13" s="118">
        <v>20813</v>
      </c>
      <c r="L13" s="327">
        <v>0</v>
      </c>
      <c r="M13" s="122">
        <f t="shared" si="1"/>
        <v>21632</v>
      </c>
      <c r="O13" s="272" t="s">
        <v>1570</v>
      </c>
      <c r="P13" s="118">
        <v>38296</v>
      </c>
      <c r="Q13" s="118">
        <v>17683</v>
      </c>
      <c r="R13" s="118">
        <v>4850</v>
      </c>
      <c r="S13" s="118">
        <v>13253</v>
      </c>
      <c r="T13" s="118">
        <v>45947</v>
      </c>
      <c r="U13" s="118">
        <v>9115</v>
      </c>
      <c r="V13" s="118">
        <v>19732</v>
      </c>
      <c r="W13" s="118">
        <v>3875</v>
      </c>
      <c r="X13" s="118">
        <v>36572</v>
      </c>
      <c r="Y13" s="122">
        <f t="shared" ref="Y13:Y24" si="2">+SUM(P13:X13)</f>
        <v>189323</v>
      </c>
      <c r="Z13" s="327"/>
    </row>
    <row r="14" spans="2:26" ht="15" customHeight="1" outlineLevel="1" x14ac:dyDescent="0.2">
      <c r="B14" s="273" t="s">
        <v>475</v>
      </c>
      <c r="C14" s="118">
        <v>0</v>
      </c>
      <c r="D14" s="118">
        <v>14</v>
      </c>
      <c r="E14" s="118">
        <v>98</v>
      </c>
      <c r="F14" s="118">
        <v>49</v>
      </c>
      <c r="G14" s="118">
        <v>2970</v>
      </c>
      <c r="H14" s="118">
        <v>4251</v>
      </c>
      <c r="I14" s="118">
        <v>52</v>
      </c>
      <c r="J14" s="118">
        <v>53</v>
      </c>
      <c r="K14" s="118">
        <v>4075</v>
      </c>
      <c r="L14" s="327">
        <v>0</v>
      </c>
      <c r="M14" s="122">
        <f t="shared" si="1"/>
        <v>11562</v>
      </c>
      <c r="O14" s="272" t="s">
        <v>1571</v>
      </c>
      <c r="P14" s="118">
        <v>38296</v>
      </c>
      <c r="Q14" s="118">
        <v>17476</v>
      </c>
      <c r="R14" s="118">
        <v>4936</v>
      </c>
      <c r="S14" s="118">
        <v>12982</v>
      </c>
      <c r="T14" s="118">
        <v>47449</v>
      </c>
      <c r="U14" s="118">
        <v>13289</v>
      </c>
      <c r="V14" s="118">
        <v>17647</v>
      </c>
      <c r="W14" s="118">
        <v>3960</v>
      </c>
      <c r="X14" s="118">
        <v>31331</v>
      </c>
      <c r="Y14" s="122">
        <f t="shared" si="2"/>
        <v>187366</v>
      </c>
      <c r="Z14" s="327"/>
    </row>
    <row r="15" spans="2:26" ht="15" customHeight="1" outlineLevel="1" x14ac:dyDescent="0.2">
      <c r="B15" s="273" t="s">
        <v>476</v>
      </c>
      <c r="C15" s="118">
        <v>7400</v>
      </c>
      <c r="D15" s="118">
        <v>0</v>
      </c>
      <c r="E15" s="118">
        <v>511</v>
      </c>
      <c r="F15" s="118">
        <v>12</v>
      </c>
      <c r="G15" s="118">
        <v>473</v>
      </c>
      <c r="H15" s="118">
        <v>-4213</v>
      </c>
      <c r="I15" s="118">
        <v>237</v>
      </c>
      <c r="J15" s="118">
        <v>4898</v>
      </c>
      <c r="K15" s="118">
        <v>8401</v>
      </c>
      <c r="L15" s="327">
        <v>0</v>
      </c>
      <c r="M15" s="122">
        <f t="shared" si="1"/>
        <v>17719</v>
      </c>
      <c r="O15" s="272" t="s">
        <v>1572</v>
      </c>
      <c r="P15" s="118">
        <v>45696</v>
      </c>
      <c r="Q15" s="118">
        <v>17255</v>
      </c>
      <c r="R15" s="118">
        <v>5033</v>
      </c>
      <c r="S15" s="118">
        <v>9358</v>
      </c>
      <c r="T15" s="118">
        <v>49467</v>
      </c>
      <c r="U15" s="118">
        <v>7595</v>
      </c>
      <c r="V15" s="118">
        <v>17399</v>
      </c>
      <c r="W15" s="118">
        <v>7545</v>
      </c>
      <c r="X15" s="118">
        <v>37757</v>
      </c>
      <c r="Y15" s="122">
        <f t="shared" si="2"/>
        <v>197105</v>
      </c>
      <c r="Z15" s="327"/>
    </row>
    <row r="16" spans="2:26" ht="15" customHeight="1" outlineLevel="1" x14ac:dyDescent="0.2">
      <c r="B16" s="273" t="s">
        <v>477</v>
      </c>
      <c r="C16" s="118">
        <v>10707</v>
      </c>
      <c r="D16" s="118">
        <v>0</v>
      </c>
      <c r="E16" s="118">
        <v>178</v>
      </c>
      <c r="F16" s="118">
        <v>276</v>
      </c>
      <c r="G16" s="118">
        <v>374</v>
      </c>
      <c r="H16" s="118">
        <v>78</v>
      </c>
      <c r="I16" s="118">
        <v>253</v>
      </c>
      <c r="J16" s="118">
        <v>3153</v>
      </c>
      <c r="K16" s="118">
        <v>9248</v>
      </c>
      <c r="L16" s="327">
        <v>0</v>
      </c>
      <c r="M16" s="122">
        <f t="shared" si="1"/>
        <v>24267</v>
      </c>
      <c r="O16" s="272" t="s">
        <v>1573</v>
      </c>
      <c r="P16" s="118">
        <v>56403</v>
      </c>
      <c r="Q16" s="118">
        <v>17033</v>
      </c>
      <c r="R16" s="118">
        <v>5538</v>
      </c>
      <c r="S16" s="118">
        <v>9226</v>
      </c>
      <c r="T16" s="118">
        <v>49161</v>
      </c>
      <c r="U16" s="118">
        <v>7214</v>
      </c>
      <c r="V16" s="118">
        <v>15291</v>
      </c>
      <c r="W16" s="118">
        <v>11042</v>
      </c>
      <c r="X16" s="118">
        <v>43284</v>
      </c>
      <c r="Y16" s="122">
        <f t="shared" si="2"/>
        <v>214192</v>
      </c>
      <c r="Z16" s="327"/>
    </row>
    <row r="17" spans="2:26" ht="15" customHeight="1" outlineLevel="1" x14ac:dyDescent="0.2">
      <c r="B17" s="273" t="s">
        <v>478</v>
      </c>
      <c r="C17" s="118">
        <v>0</v>
      </c>
      <c r="D17" s="118">
        <v>0</v>
      </c>
      <c r="E17" s="118">
        <v>157</v>
      </c>
      <c r="F17" s="118">
        <v>508</v>
      </c>
      <c r="G17" s="118">
        <v>150</v>
      </c>
      <c r="H17" s="118">
        <v>41</v>
      </c>
      <c r="I17" s="118">
        <v>245</v>
      </c>
      <c r="J17" s="118">
        <v>6329</v>
      </c>
      <c r="K17" s="118">
        <v>7500</v>
      </c>
      <c r="L17" s="327">
        <v>0</v>
      </c>
      <c r="M17" s="122">
        <f>+SUM(C17:K17)</f>
        <v>14930</v>
      </c>
      <c r="O17" s="272" t="s">
        <v>1574</v>
      </c>
      <c r="P17" s="118">
        <v>56403</v>
      </c>
      <c r="Q17" s="118">
        <v>16812</v>
      </c>
      <c r="R17" s="118">
        <v>6035</v>
      </c>
      <c r="S17" s="118">
        <v>10925</v>
      </c>
      <c r="T17" s="118">
        <v>47504</v>
      </c>
      <c r="U17" s="118">
        <v>6930</v>
      </c>
      <c r="V17" s="118">
        <v>15152</v>
      </c>
      <c r="W17" s="118">
        <v>16353</v>
      </c>
      <c r="X17" s="118">
        <v>44998</v>
      </c>
      <c r="Y17" s="122">
        <f t="shared" si="2"/>
        <v>221112</v>
      </c>
      <c r="Z17" s="327"/>
    </row>
    <row r="18" spans="2:26" ht="15" customHeight="1" outlineLevel="1" x14ac:dyDescent="0.2">
      <c r="B18" s="273" t="s">
        <v>479</v>
      </c>
      <c r="C18" s="118">
        <v>0</v>
      </c>
      <c r="D18" s="118">
        <v>0</v>
      </c>
      <c r="E18" s="118">
        <v>343</v>
      </c>
      <c r="F18" s="118">
        <v>111</v>
      </c>
      <c r="G18" s="118">
        <v>104</v>
      </c>
      <c r="H18" s="118">
        <v>111</v>
      </c>
      <c r="I18" s="118">
        <v>532</v>
      </c>
      <c r="J18" s="118">
        <v>2417</v>
      </c>
      <c r="K18" s="118">
        <v>6887</v>
      </c>
      <c r="L18" s="327">
        <v>0</v>
      </c>
      <c r="M18" s="122">
        <f>+SUM(C18:K18)</f>
        <v>10505</v>
      </c>
      <c r="O18" s="272" t="s">
        <v>1575</v>
      </c>
      <c r="P18" s="118">
        <v>56403</v>
      </c>
      <c r="Q18" s="118">
        <v>19482</v>
      </c>
      <c r="R18" s="118">
        <v>5795</v>
      </c>
      <c r="S18" s="118">
        <v>9441</v>
      </c>
      <c r="T18" s="118">
        <v>45210</v>
      </c>
      <c r="U18" s="118">
        <v>6516</v>
      </c>
      <c r="V18" s="118">
        <v>19601</v>
      </c>
      <c r="W18" s="118">
        <v>17384</v>
      </c>
      <c r="X18" s="118">
        <v>45166</v>
      </c>
      <c r="Y18" s="122">
        <f t="shared" si="2"/>
        <v>224998</v>
      </c>
      <c r="Z18" s="327"/>
    </row>
    <row r="19" spans="2:26" ht="15" customHeight="1" outlineLevel="1" x14ac:dyDescent="0.2">
      <c r="B19" s="273" t="s">
        <v>476</v>
      </c>
      <c r="C19" s="118">
        <v>256</v>
      </c>
      <c r="D19" s="118">
        <v>1557</v>
      </c>
      <c r="E19" s="118">
        <v>217</v>
      </c>
      <c r="F19" s="118">
        <v>586</v>
      </c>
      <c r="G19" s="118">
        <v>33</v>
      </c>
      <c r="H19" s="118">
        <v>707</v>
      </c>
      <c r="I19" s="118">
        <v>1153</v>
      </c>
      <c r="J19" s="118">
        <v>1407</v>
      </c>
      <c r="K19" s="118">
        <v>4420</v>
      </c>
      <c r="L19" s="327">
        <v>0</v>
      </c>
      <c r="M19" s="122">
        <f>+SUM(C19:K19)</f>
        <v>10336</v>
      </c>
      <c r="O19" s="272" t="s">
        <v>1493</v>
      </c>
      <c r="P19" s="118">
        <v>56659</v>
      </c>
      <c r="Q19" s="118">
        <v>35166</v>
      </c>
      <c r="R19" s="118">
        <v>6225</v>
      </c>
      <c r="S19" s="118">
        <v>11025</v>
      </c>
      <c r="T19" s="118">
        <v>42807</v>
      </c>
      <c r="U19" s="118">
        <v>7058</v>
      </c>
      <c r="V19" s="118">
        <v>14906</v>
      </c>
      <c r="W19" s="118">
        <v>17515</v>
      </c>
      <c r="X19" s="118">
        <v>32986</v>
      </c>
      <c r="Y19" s="122">
        <f t="shared" si="2"/>
        <v>224347</v>
      </c>
      <c r="Z19" s="327"/>
    </row>
    <row r="20" spans="2:26" ht="15" customHeight="1" outlineLevel="1" x14ac:dyDescent="0.2">
      <c r="B20" s="273" t="s">
        <v>372</v>
      </c>
      <c r="C20" s="118">
        <v>434</v>
      </c>
      <c r="D20" s="118">
        <v>157</v>
      </c>
      <c r="E20" s="118">
        <v>92</v>
      </c>
      <c r="F20" s="118">
        <v>545</v>
      </c>
      <c r="G20" s="118">
        <v>0</v>
      </c>
      <c r="H20" s="118">
        <v>68</v>
      </c>
      <c r="I20" s="118">
        <v>527</v>
      </c>
      <c r="J20" s="118">
        <v>46</v>
      </c>
      <c r="K20" s="118">
        <v>2124</v>
      </c>
      <c r="L20" s="327">
        <v>0</v>
      </c>
      <c r="M20" s="122">
        <f>+SUM(C20:K20)</f>
        <v>3993</v>
      </c>
      <c r="O20" s="272" t="s">
        <v>1496</v>
      </c>
      <c r="P20" s="118">
        <v>57093</v>
      </c>
      <c r="Q20" s="118">
        <v>35119</v>
      </c>
      <c r="R20" s="118">
        <v>5961</v>
      </c>
      <c r="S20" s="118">
        <v>11648</v>
      </c>
      <c r="T20" s="118">
        <v>40747</v>
      </c>
      <c r="U20" s="118">
        <v>6757</v>
      </c>
      <c r="V20" s="118">
        <v>13961</v>
      </c>
      <c r="W20" s="118">
        <v>16037</v>
      </c>
      <c r="X20" s="118">
        <v>34922</v>
      </c>
      <c r="Y20" s="122">
        <f t="shared" si="2"/>
        <v>222245</v>
      </c>
      <c r="Z20" s="327"/>
    </row>
    <row r="21" spans="2:26" ht="15" customHeight="1" outlineLevel="1" x14ac:dyDescent="0.2">
      <c r="B21" s="273" t="s">
        <v>373</v>
      </c>
      <c r="C21" s="118">
        <v>0</v>
      </c>
      <c r="D21" s="118">
        <v>1094</v>
      </c>
      <c r="E21" s="118">
        <v>96</v>
      </c>
      <c r="F21" s="118">
        <v>613</v>
      </c>
      <c r="G21" s="118">
        <v>0</v>
      </c>
      <c r="H21" s="118">
        <v>1526</v>
      </c>
      <c r="I21" s="118">
        <v>1892</v>
      </c>
      <c r="J21" s="118">
        <v>102</v>
      </c>
      <c r="K21" s="118">
        <v>979</v>
      </c>
      <c r="L21" s="327">
        <v>0</v>
      </c>
      <c r="M21" s="122">
        <f>+SUM(C21:K21)</f>
        <v>6302</v>
      </c>
      <c r="O21" s="272" t="s">
        <v>1440</v>
      </c>
      <c r="P21" s="118">
        <v>49661</v>
      </c>
      <c r="Q21" s="118">
        <v>47649</v>
      </c>
      <c r="R21" s="118">
        <v>5501</v>
      </c>
      <c r="S21" s="118">
        <v>12311</v>
      </c>
      <c r="T21" s="118">
        <v>38921</v>
      </c>
      <c r="U21" s="118">
        <v>7753</v>
      </c>
      <c r="V21" s="118">
        <v>15313</v>
      </c>
      <c r="W21" s="118">
        <v>14809</v>
      </c>
      <c r="X21" s="118">
        <v>22222</v>
      </c>
      <c r="Y21" s="122">
        <f t="shared" si="2"/>
        <v>214140</v>
      </c>
      <c r="Z21" s="327">
        <v>12897</v>
      </c>
    </row>
    <row r="22" spans="2:26" ht="15" customHeight="1" x14ac:dyDescent="0.2">
      <c r="B22" s="273" t="s">
        <v>374</v>
      </c>
      <c r="C22" s="118">
        <v>946</v>
      </c>
      <c r="D22" s="118">
        <v>1</v>
      </c>
      <c r="E22" s="118">
        <v>85</v>
      </c>
      <c r="F22" s="118">
        <v>51</v>
      </c>
      <c r="G22" s="118">
        <v>3185</v>
      </c>
      <c r="H22" s="118">
        <v>161</v>
      </c>
      <c r="I22" s="118">
        <v>936</v>
      </c>
      <c r="J22" s="118">
        <v>86</v>
      </c>
      <c r="K22" s="118">
        <v>125</v>
      </c>
      <c r="L22" s="327">
        <v>1244</v>
      </c>
      <c r="M22" s="122">
        <f t="shared" ref="M22:M27" si="3">+SUM(C22:L22)</f>
        <v>6820</v>
      </c>
      <c r="O22" s="272" t="s">
        <v>1500</v>
      </c>
      <c r="P22" s="118">
        <v>50607</v>
      </c>
      <c r="Q22" s="118">
        <v>48699</v>
      </c>
      <c r="R22" s="118">
        <v>5070</v>
      </c>
      <c r="S22" s="118">
        <v>11967</v>
      </c>
      <c r="T22" s="118">
        <v>41259</v>
      </c>
      <c r="U22" s="118">
        <v>7490</v>
      </c>
      <c r="V22" s="118">
        <v>14870</v>
      </c>
      <c r="W22" s="118">
        <v>13450</v>
      </c>
      <c r="X22" s="118">
        <v>20749</v>
      </c>
      <c r="Y22" s="122">
        <f t="shared" si="2"/>
        <v>214161</v>
      </c>
      <c r="Z22" s="327">
        <v>12969</v>
      </c>
    </row>
    <row r="23" spans="2:26" ht="15" customHeight="1" x14ac:dyDescent="0.2">
      <c r="B23" s="273" t="s">
        <v>375</v>
      </c>
      <c r="C23" s="118">
        <v>0</v>
      </c>
      <c r="D23" s="118">
        <v>27</v>
      </c>
      <c r="E23" s="118">
        <v>100</v>
      </c>
      <c r="F23" s="118">
        <v>185</v>
      </c>
      <c r="G23" s="118">
        <v>3864</v>
      </c>
      <c r="H23" s="118">
        <v>321</v>
      </c>
      <c r="I23" s="118">
        <v>2438</v>
      </c>
      <c r="J23" s="118">
        <v>366</v>
      </c>
      <c r="K23" s="118">
        <v>253</v>
      </c>
      <c r="L23" s="327">
        <v>878</v>
      </c>
      <c r="M23" s="122">
        <f t="shared" si="3"/>
        <v>8432</v>
      </c>
      <c r="O23" s="272" t="s">
        <v>1503</v>
      </c>
      <c r="P23" s="118">
        <v>50607</v>
      </c>
      <c r="Q23" s="118">
        <v>48166</v>
      </c>
      <c r="R23" s="118">
        <v>4654</v>
      </c>
      <c r="S23" s="118">
        <v>11686</v>
      </c>
      <c r="T23" s="118">
        <v>44026</v>
      </c>
      <c r="U23" s="118">
        <v>7397</v>
      </c>
      <c r="V23" s="118">
        <v>15852</v>
      </c>
      <c r="W23" s="118">
        <v>12643</v>
      </c>
      <c r="X23" s="118">
        <v>21002</v>
      </c>
      <c r="Y23" s="122">
        <f t="shared" si="2"/>
        <v>216033</v>
      </c>
      <c r="Z23" s="327">
        <v>12666</v>
      </c>
    </row>
    <row r="24" spans="2:26" ht="15" customHeight="1" x14ac:dyDescent="0.2">
      <c r="B24" s="273" t="s">
        <v>376</v>
      </c>
      <c r="C24" s="118">
        <v>0</v>
      </c>
      <c r="D24" s="118">
        <v>109</v>
      </c>
      <c r="E24" s="118">
        <v>36</v>
      </c>
      <c r="F24" s="118">
        <v>363</v>
      </c>
      <c r="G24" s="118">
        <v>243</v>
      </c>
      <c r="H24" s="118">
        <v>131</v>
      </c>
      <c r="I24" s="118">
        <v>2119</v>
      </c>
      <c r="J24" s="118">
        <v>1662</v>
      </c>
      <c r="K24" s="118">
        <v>223</v>
      </c>
      <c r="L24" s="327">
        <v>976</v>
      </c>
      <c r="M24" s="122">
        <f t="shared" si="3"/>
        <v>5862</v>
      </c>
      <c r="O24" s="272" t="s">
        <v>1506</v>
      </c>
      <c r="P24" s="118">
        <v>50607</v>
      </c>
      <c r="Q24" s="118">
        <v>47716</v>
      </c>
      <c r="R24" s="118">
        <v>4208</v>
      </c>
      <c r="S24" s="118">
        <v>11539</v>
      </c>
      <c r="T24" s="118">
        <v>42426</v>
      </c>
      <c r="U24" s="118">
        <v>7114</v>
      </c>
      <c r="V24" s="118">
        <v>16388</v>
      </c>
      <c r="W24" s="118">
        <v>13062</v>
      </c>
      <c r="X24" s="118">
        <v>21225</v>
      </c>
      <c r="Y24" s="122">
        <f t="shared" si="2"/>
        <v>214285</v>
      </c>
      <c r="Z24" s="327">
        <v>12481</v>
      </c>
    </row>
    <row r="25" spans="2:26" ht="15" customHeight="1" x14ac:dyDescent="0.2">
      <c r="B25" s="273" t="s">
        <v>694</v>
      </c>
      <c r="C25" s="118">
        <v>0</v>
      </c>
      <c r="D25" s="118">
        <v>0</v>
      </c>
      <c r="E25" s="118">
        <v>117</v>
      </c>
      <c r="F25" s="118">
        <v>143</v>
      </c>
      <c r="G25" s="118">
        <v>116</v>
      </c>
      <c r="H25" s="118">
        <v>195</v>
      </c>
      <c r="I25" s="118">
        <v>1062</v>
      </c>
      <c r="J25" s="118">
        <v>1188</v>
      </c>
      <c r="K25" s="118">
        <v>22</v>
      </c>
      <c r="L25" s="327">
        <v>1273</v>
      </c>
      <c r="M25" s="122">
        <f t="shared" si="3"/>
        <v>4116</v>
      </c>
      <c r="O25" s="272" t="s">
        <v>1442</v>
      </c>
      <c r="P25" s="118">
        <v>60073</v>
      </c>
      <c r="Q25" s="118">
        <v>62997</v>
      </c>
      <c r="R25" s="118">
        <v>3093</v>
      </c>
      <c r="S25" s="118">
        <v>8768</v>
      </c>
      <c r="T25" s="118">
        <v>36153</v>
      </c>
      <c r="U25" s="118">
        <v>4668</v>
      </c>
      <c r="V25" s="118">
        <v>7665</v>
      </c>
      <c r="W25" s="118">
        <v>10148</v>
      </c>
      <c r="X25" s="118">
        <v>8601</v>
      </c>
      <c r="Y25" s="122">
        <f>+SUM(P25:X25)</f>
        <v>202166</v>
      </c>
      <c r="Z25" s="327">
        <v>12568</v>
      </c>
    </row>
    <row r="26" spans="2:26" ht="15" customHeight="1" x14ac:dyDescent="0.2">
      <c r="B26" s="273" t="s">
        <v>758</v>
      </c>
      <c r="C26" s="118">
        <v>0</v>
      </c>
      <c r="D26" s="118">
        <v>51</v>
      </c>
      <c r="E26" s="118">
        <v>110</v>
      </c>
      <c r="F26" s="118">
        <v>161</v>
      </c>
      <c r="G26" s="118">
        <v>243</v>
      </c>
      <c r="H26" s="118">
        <v>100</v>
      </c>
      <c r="I26" s="118">
        <v>322</v>
      </c>
      <c r="J26" s="118">
        <v>432</v>
      </c>
      <c r="K26" s="118">
        <v>2</v>
      </c>
      <c r="L26" s="327">
        <v>1039</v>
      </c>
      <c r="M26" s="122">
        <f t="shared" si="3"/>
        <v>2460</v>
      </c>
      <c r="O26" s="272" t="s">
        <v>1510</v>
      </c>
      <c r="P26" s="118">
        <v>50607</v>
      </c>
      <c r="Q26" s="118">
        <v>67282</v>
      </c>
      <c r="R26" s="118">
        <v>3110</v>
      </c>
      <c r="S26" s="118">
        <v>8161</v>
      </c>
      <c r="T26" s="118">
        <v>38628</v>
      </c>
      <c r="U26" s="118">
        <v>4731</v>
      </c>
      <c r="V26" s="118">
        <v>8967</v>
      </c>
      <c r="W26" s="118">
        <v>11666</v>
      </c>
      <c r="X26" s="118">
        <v>543</v>
      </c>
      <c r="Y26" s="122">
        <f>+SUM(P26:X26)</f>
        <v>193695</v>
      </c>
      <c r="Z26" s="327">
        <v>11417</v>
      </c>
    </row>
    <row r="27" spans="2:26" ht="15" customHeight="1" x14ac:dyDescent="0.2">
      <c r="B27" s="273" t="s">
        <v>771</v>
      </c>
      <c r="C27" s="118">
        <v>0</v>
      </c>
      <c r="D27" s="118">
        <v>0</v>
      </c>
      <c r="E27" s="118">
        <v>254</v>
      </c>
      <c r="F27" s="118">
        <v>1084</v>
      </c>
      <c r="G27" s="118">
        <v>552</v>
      </c>
      <c r="H27" s="118">
        <v>66</v>
      </c>
      <c r="I27" s="118">
        <v>636</v>
      </c>
      <c r="J27" s="118">
        <v>1070</v>
      </c>
      <c r="K27" s="118">
        <v>165</v>
      </c>
      <c r="L27" s="327">
        <v>897</v>
      </c>
      <c r="M27" s="122">
        <f t="shared" si="3"/>
        <v>4724</v>
      </c>
      <c r="O27" s="272" t="s">
        <v>1513</v>
      </c>
      <c r="P27" s="118">
        <v>50607</v>
      </c>
      <c r="Q27" s="118">
        <v>64352</v>
      </c>
      <c r="R27" s="118">
        <v>2980</v>
      </c>
      <c r="S27" s="118">
        <v>8894</v>
      </c>
      <c r="T27" s="118">
        <v>37556</v>
      </c>
      <c r="U27" s="118">
        <v>4504</v>
      </c>
      <c r="V27" s="118">
        <v>8442</v>
      </c>
      <c r="W27" s="118">
        <v>11466</v>
      </c>
      <c r="X27" s="118">
        <v>708</v>
      </c>
      <c r="Y27" s="122">
        <f>+SUM(P27:X27)</f>
        <v>189509</v>
      </c>
      <c r="Z27" s="327">
        <v>11156</v>
      </c>
    </row>
    <row r="28" spans="2:26" ht="15" customHeight="1" x14ac:dyDescent="0.2">
      <c r="B28" s="273" t="s">
        <v>788</v>
      </c>
      <c r="C28" s="118">
        <v>9466</v>
      </c>
      <c r="D28" s="118">
        <v>15</v>
      </c>
      <c r="E28" s="118">
        <v>503</v>
      </c>
      <c r="F28" s="118">
        <v>350</v>
      </c>
      <c r="G28" s="118">
        <v>665</v>
      </c>
      <c r="H28" s="118">
        <v>274</v>
      </c>
      <c r="I28" s="118">
        <v>696</v>
      </c>
      <c r="J28" s="118">
        <v>448</v>
      </c>
      <c r="K28" s="118">
        <v>1140</v>
      </c>
      <c r="L28" s="327">
        <v>1443</v>
      </c>
      <c r="M28" s="122">
        <v>15000</v>
      </c>
      <c r="O28" s="272" t="s">
        <v>1516</v>
      </c>
      <c r="P28" s="118">
        <v>60073</v>
      </c>
      <c r="Q28" s="118">
        <v>63598</v>
      </c>
      <c r="R28" s="118">
        <v>3105</v>
      </c>
      <c r="S28" s="118">
        <v>8885</v>
      </c>
      <c r="T28" s="118">
        <v>36829</v>
      </c>
      <c r="U28" s="118">
        <v>4485</v>
      </c>
      <c r="V28" s="118">
        <v>7940</v>
      </c>
      <c r="W28" s="118">
        <v>10629</v>
      </c>
      <c r="X28" s="118">
        <v>1848</v>
      </c>
      <c r="Y28" s="122">
        <v>197392</v>
      </c>
      <c r="Z28" s="327">
        <v>11406</v>
      </c>
    </row>
    <row r="29" spans="2:26" ht="15" customHeight="1" x14ac:dyDescent="0.2">
      <c r="B29" s="273" t="s">
        <v>844</v>
      </c>
      <c r="C29" s="118">
        <v>0</v>
      </c>
      <c r="D29" s="118">
        <v>165</v>
      </c>
      <c r="E29" s="118">
        <v>351</v>
      </c>
      <c r="F29" s="118">
        <v>898</v>
      </c>
      <c r="G29" s="118">
        <v>726</v>
      </c>
      <c r="H29" s="118">
        <v>501</v>
      </c>
      <c r="I29" s="118">
        <v>898</v>
      </c>
      <c r="J29" s="118">
        <v>741</v>
      </c>
      <c r="K29" s="118">
        <v>6753</v>
      </c>
      <c r="L29" s="327">
        <v>2222</v>
      </c>
      <c r="M29" s="122">
        <f t="shared" ref="M29:M34" si="4">+SUM(C29:L29)</f>
        <v>13255</v>
      </c>
      <c r="O29" s="272" t="s">
        <v>1444</v>
      </c>
      <c r="P29" s="118">
        <v>60073</v>
      </c>
      <c r="Q29" s="118">
        <v>62997</v>
      </c>
      <c r="R29" s="118">
        <v>3093</v>
      </c>
      <c r="S29" s="118">
        <v>8768</v>
      </c>
      <c r="T29" s="118">
        <v>36153</v>
      </c>
      <c r="U29" s="118">
        <v>4668</v>
      </c>
      <c r="V29" s="118">
        <v>7665</v>
      </c>
      <c r="W29" s="118">
        <v>10148</v>
      </c>
      <c r="X29" s="118">
        <v>8601</v>
      </c>
      <c r="Y29" s="122">
        <f t="shared" ref="Y29:Y35" si="5">+SUM(P29:X29)</f>
        <v>202166</v>
      </c>
      <c r="Z29" s="327">
        <v>12422</v>
      </c>
    </row>
    <row r="30" spans="2:26" ht="15" customHeight="1" x14ac:dyDescent="0.2">
      <c r="B30" s="273" t="s">
        <v>862</v>
      </c>
      <c r="C30" s="118">
        <v>0</v>
      </c>
      <c r="D30" s="118">
        <v>1619</v>
      </c>
      <c r="E30" s="118">
        <v>522</v>
      </c>
      <c r="F30" s="118">
        <v>679</v>
      </c>
      <c r="G30" s="118">
        <v>376</v>
      </c>
      <c r="H30" s="118">
        <v>31</v>
      </c>
      <c r="I30" s="118">
        <v>400</v>
      </c>
      <c r="J30" s="118">
        <v>160</v>
      </c>
      <c r="K30" s="118">
        <v>1423</v>
      </c>
      <c r="L30" s="327">
        <v>1424</v>
      </c>
      <c r="M30" s="122">
        <f t="shared" si="4"/>
        <v>6634</v>
      </c>
      <c r="O30" s="272" t="s">
        <v>1520</v>
      </c>
      <c r="P30" s="118">
        <v>60073</v>
      </c>
      <c r="Q30" s="118">
        <v>71461</v>
      </c>
      <c r="R30" s="118">
        <v>3283</v>
      </c>
      <c r="S30" s="118">
        <v>10385</v>
      </c>
      <c r="T30" s="118">
        <v>34799</v>
      </c>
      <c r="U30" s="118">
        <v>4546</v>
      </c>
      <c r="V30" s="118">
        <v>7530</v>
      </c>
      <c r="W30" s="118">
        <v>9243</v>
      </c>
      <c r="X30" s="118">
        <v>387</v>
      </c>
      <c r="Y30" s="122">
        <f t="shared" si="5"/>
        <v>201707</v>
      </c>
      <c r="Z30" s="327">
        <v>12614</v>
      </c>
    </row>
    <row r="31" spans="2:26" ht="15" customHeight="1" x14ac:dyDescent="0.2">
      <c r="B31" s="273" t="s">
        <v>922</v>
      </c>
      <c r="C31" s="118">
        <v>0</v>
      </c>
      <c r="D31" s="118">
        <v>1381</v>
      </c>
      <c r="E31" s="118">
        <v>73</v>
      </c>
      <c r="F31" s="118">
        <v>455</v>
      </c>
      <c r="G31" s="118">
        <v>8684</v>
      </c>
      <c r="H31" s="118">
        <v>397</v>
      </c>
      <c r="I31" s="118">
        <v>527</v>
      </c>
      <c r="J31" s="118">
        <v>2062</v>
      </c>
      <c r="K31" s="118">
        <v>303</v>
      </c>
      <c r="L31" s="327">
        <v>672</v>
      </c>
      <c r="M31" s="122">
        <f t="shared" si="4"/>
        <v>14554</v>
      </c>
      <c r="O31" s="272" t="s">
        <v>1446</v>
      </c>
      <c r="P31" s="118">
        <v>60073</v>
      </c>
      <c r="Q31" s="118">
        <v>71974</v>
      </c>
      <c r="R31" s="118">
        <v>3000</v>
      </c>
      <c r="S31" s="118">
        <v>10398</v>
      </c>
      <c r="T31" s="118">
        <v>42263</v>
      </c>
      <c r="U31" s="118">
        <v>4663</v>
      </c>
      <c r="V31" s="118">
        <v>7134</v>
      </c>
      <c r="W31" s="118">
        <v>10205</v>
      </c>
      <c r="X31" s="118">
        <v>635</v>
      </c>
      <c r="Y31" s="122">
        <f t="shared" si="5"/>
        <v>210345</v>
      </c>
      <c r="Z31" s="327">
        <v>12002</v>
      </c>
    </row>
    <row r="32" spans="2:26" ht="15" customHeight="1" x14ac:dyDescent="0.2">
      <c r="B32" s="273" t="s">
        <v>923</v>
      </c>
      <c r="C32" s="118">
        <v>0</v>
      </c>
      <c r="D32" s="118">
        <v>368</v>
      </c>
      <c r="E32" s="118">
        <v>143</v>
      </c>
      <c r="F32" s="118">
        <v>71</v>
      </c>
      <c r="G32" s="118">
        <v>556</v>
      </c>
      <c r="H32" s="118">
        <v>361</v>
      </c>
      <c r="I32" s="118">
        <v>418</v>
      </c>
      <c r="J32" s="118">
        <v>1323</v>
      </c>
      <c r="K32" s="118">
        <v>18</v>
      </c>
      <c r="L32" s="327">
        <v>874</v>
      </c>
      <c r="M32" s="122">
        <f t="shared" si="4"/>
        <v>4132</v>
      </c>
      <c r="O32" s="272" t="s">
        <v>1446</v>
      </c>
      <c r="P32" s="118">
        <v>60073</v>
      </c>
      <c r="Q32" s="118">
        <v>71468</v>
      </c>
      <c r="R32" s="118">
        <v>2786</v>
      </c>
      <c r="S32" s="118">
        <v>10022</v>
      </c>
      <c r="T32" s="118">
        <v>41423</v>
      </c>
      <c r="U32" s="118">
        <v>4716</v>
      </c>
      <c r="V32" s="118">
        <v>6607</v>
      </c>
      <c r="W32" s="118">
        <v>10532</v>
      </c>
      <c r="X32" s="118">
        <v>609</v>
      </c>
      <c r="Y32" s="122">
        <f t="shared" si="5"/>
        <v>208236</v>
      </c>
      <c r="Z32" s="327">
        <v>11557</v>
      </c>
    </row>
    <row r="33" spans="2:26" ht="15" customHeight="1" x14ac:dyDescent="0.2">
      <c r="B33" s="273" t="s">
        <v>924</v>
      </c>
      <c r="C33" s="118">
        <v>4932</v>
      </c>
      <c r="D33" s="118">
        <v>1114</v>
      </c>
      <c r="E33" s="118">
        <v>282</v>
      </c>
      <c r="F33" s="118">
        <v>492</v>
      </c>
      <c r="G33" s="118">
        <v>621</v>
      </c>
      <c r="H33" s="118">
        <v>291</v>
      </c>
      <c r="I33" s="118">
        <v>499</v>
      </c>
      <c r="J33" s="118">
        <v>1198</v>
      </c>
      <c r="K33" s="118">
        <v>29</v>
      </c>
      <c r="L33" s="327">
        <v>1227</v>
      </c>
      <c r="M33" s="122">
        <f t="shared" si="4"/>
        <v>10685</v>
      </c>
      <c r="O33" s="272" t="s">
        <v>1525</v>
      </c>
      <c r="P33" s="118">
        <v>64349</v>
      </c>
      <c r="Q33" s="118">
        <v>71751</v>
      </c>
      <c r="R33" s="118">
        <v>2689</v>
      </c>
      <c r="S33" s="118">
        <v>8922</v>
      </c>
      <c r="T33" s="118">
        <v>39228</v>
      </c>
      <c r="U33" s="118">
        <v>4617</v>
      </c>
      <c r="V33" s="118">
        <v>6231</v>
      </c>
      <c r="W33" s="118">
        <v>10608</v>
      </c>
      <c r="X33" s="118">
        <v>638</v>
      </c>
      <c r="Y33" s="122">
        <f t="shared" si="5"/>
        <v>209033</v>
      </c>
      <c r="Z33" s="327">
        <v>11414</v>
      </c>
    </row>
    <row r="34" spans="2:26" ht="15" customHeight="1" x14ac:dyDescent="0.2">
      <c r="B34" s="273" t="s">
        <v>995</v>
      </c>
      <c r="C34" s="118">
        <v>0</v>
      </c>
      <c r="D34" s="118">
        <v>2163</v>
      </c>
      <c r="E34" s="118">
        <v>52</v>
      </c>
      <c r="F34" s="118">
        <v>462</v>
      </c>
      <c r="G34" s="118">
        <v>77</v>
      </c>
      <c r="H34" s="118">
        <v>85</v>
      </c>
      <c r="I34" s="118">
        <v>613</v>
      </c>
      <c r="J34" s="118">
        <v>437</v>
      </c>
      <c r="K34" s="118">
        <v>41</v>
      </c>
      <c r="L34" s="327">
        <v>1497</v>
      </c>
      <c r="M34" s="122">
        <f t="shared" si="4"/>
        <v>5427</v>
      </c>
      <c r="O34" s="272" t="s">
        <v>1447</v>
      </c>
      <c r="P34" s="118">
        <v>64349</v>
      </c>
      <c r="Q34" s="118">
        <v>73074</v>
      </c>
      <c r="R34" s="118">
        <v>2424</v>
      </c>
      <c r="S34" s="118">
        <v>9045</v>
      </c>
      <c r="T34" s="118">
        <v>38059</v>
      </c>
      <c r="U34" s="118">
        <v>4412</v>
      </c>
      <c r="V34" s="118">
        <v>5990</v>
      </c>
      <c r="W34" s="118">
        <v>9890</v>
      </c>
      <c r="X34" s="118">
        <v>590</v>
      </c>
      <c r="Y34" s="122">
        <f t="shared" si="5"/>
        <v>207833</v>
      </c>
      <c r="Z34" s="327">
        <v>11740</v>
      </c>
    </row>
    <row r="35" spans="2:26" ht="15" customHeight="1" x14ac:dyDescent="0.2">
      <c r="B35" s="273" t="s">
        <v>1027</v>
      </c>
      <c r="C35" s="118">
        <v>281</v>
      </c>
      <c r="D35" s="118">
        <v>1330</v>
      </c>
      <c r="E35" s="118">
        <v>11</v>
      </c>
      <c r="F35" s="118">
        <v>361</v>
      </c>
      <c r="G35" s="118">
        <v>130</v>
      </c>
      <c r="H35" s="118">
        <v>23</v>
      </c>
      <c r="I35" s="118">
        <v>750</v>
      </c>
      <c r="J35" s="118">
        <v>419</v>
      </c>
      <c r="K35" s="118">
        <v>1</v>
      </c>
      <c r="L35" s="327">
        <v>961</v>
      </c>
      <c r="M35" s="122">
        <f t="shared" ref="M35:M42" si="6">+SUM(C35:L35)</f>
        <v>4267</v>
      </c>
      <c r="O35" s="272" t="s">
        <v>1530</v>
      </c>
      <c r="P35" s="118">
        <v>63130</v>
      </c>
      <c r="Q35" s="118">
        <v>73543</v>
      </c>
      <c r="R35" s="118">
        <v>2120</v>
      </c>
      <c r="S35" s="118">
        <v>9060</v>
      </c>
      <c r="T35" s="118">
        <v>37058</v>
      </c>
      <c r="U35" s="118">
        <v>4147</v>
      </c>
      <c r="V35" s="118">
        <v>5924</v>
      </c>
      <c r="W35" s="118">
        <v>9152</v>
      </c>
      <c r="X35" s="118">
        <v>579</v>
      </c>
      <c r="Y35" s="122">
        <f t="shared" si="5"/>
        <v>204713</v>
      </c>
      <c r="Z35" s="327">
        <v>11660</v>
      </c>
    </row>
    <row r="36" spans="2:26" ht="15" customHeight="1" x14ac:dyDescent="0.2">
      <c r="B36" s="273" t="s">
        <v>1028</v>
      </c>
      <c r="C36" s="118">
        <v>7</v>
      </c>
      <c r="D36" s="118">
        <v>172</v>
      </c>
      <c r="E36" s="118">
        <v>5</v>
      </c>
      <c r="F36" s="118">
        <v>66</v>
      </c>
      <c r="G36" s="118">
        <v>223</v>
      </c>
      <c r="H36" s="118">
        <v>15</v>
      </c>
      <c r="I36" s="118">
        <v>-66</v>
      </c>
      <c r="J36" s="118">
        <v>3300</v>
      </c>
      <c r="K36" s="118">
        <v>51</v>
      </c>
      <c r="L36" s="327">
        <v>633</v>
      </c>
      <c r="M36" s="122">
        <f t="shared" si="6"/>
        <v>4406</v>
      </c>
      <c r="O36" s="272" t="s">
        <v>1448</v>
      </c>
      <c r="P36" s="118">
        <v>63137</v>
      </c>
      <c r="Q36" s="118">
        <v>72841</v>
      </c>
      <c r="R36" s="118">
        <v>1838</v>
      </c>
      <c r="S36" s="118">
        <v>8776</v>
      </c>
      <c r="T36" s="118">
        <v>36196</v>
      </c>
      <c r="U36" s="118">
        <v>3885</v>
      </c>
      <c r="V36" s="118">
        <v>5082</v>
      </c>
      <c r="W36" s="118">
        <v>11230</v>
      </c>
      <c r="X36" s="118">
        <v>630</v>
      </c>
      <c r="Y36" s="122">
        <f>+SUM(P36:X36)</f>
        <v>203615</v>
      </c>
      <c r="Z36" s="327">
        <v>11242</v>
      </c>
    </row>
    <row r="37" spans="2:26" ht="15" customHeight="1" x14ac:dyDescent="0.2">
      <c r="B37" s="273" t="s">
        <v>993</v>
      </c>
      <c r="C37" s="118">
        <v>0</v>
      </c>
      <c r="D37" s="118">
        <v>0</v>
      </c>
      <c r="E37" s="118">
        <v>1140</v>
      </c>
      <c r="F37" s="118">
        <v>248</v>
      </c>
      <c r="G37" s="118">
        <v>1308</v>
      </c>
      <c r="H37" s="118">
        <v>78</v>
      </c>
      <c r="I37" s="118">
        <v>340</v>
      </c>
      <c r="J37" s="118">
        <v>1748</v>
      </c>
      <c r="K37" s="118">
        <v>53</v>
      </c>
      <c r="L37" s="327">
        <v>766</v>
      </c>
      <c r="M37" s="122">
        <f t="shared" si="6"/>
        <v>5681</v>
      </c>
      <c r="O37" s="272" t="s">
        <v>1533</v>
      </c>
      <c r="P37" s="118">
        <v>63137</v>
      </c>
      <c r="Q37" s="118">
        <v>71971</v>
      </c>
      <c r="R37" s="118">
        <v>2730</v>
      </c>
      <c r="S37" s="118">
        <v>6924</v>
      </c>
      <c r="T37" s="118">
        <v>36699</v>
      </c>
      <c r="U37" s="118">
        <v>3709</v>
      </c>
      <c r="V37" s="118">
        <v>4602</v>
      </c>
      <c r="W37" s="118">
        <v>11699</v>
      </c>
      <c r="X37" s="118">
        <v>646</v>
      </c>
      <c r="Y37" s="122">
        <f t="shared" ref="Y37:Y43" si="7">+SUM(P37:X37)</f>
        <v>202117</v>
      </c>
      <c r="Z37" s="327">
        <v>10737</v>
      </c>
    </row>
    <row r="38" spans="2:26" ht="15" customHeight="1" x14ac:dyDescent="0.2">
      <c r="B38" s="273" t="s">
        <v>1124</v>
      </c>
      <c r="C38" s="118">
        <v>0</v>
      </c>
      <c r="D38" s="118">
        <v>0</v>
      </c>
      <c r="E38" s="118">
        <v>745</v>
      </c>
      <c r="F38" s="118">
        <v>240</v>
      </c>
      <c r="G38" s="118">
        <v>191</v>
      </c>
      <c r="H38" s="118">
        <v>102</v>
      </c>
      <c r="I38" s="118">
        <v>42</v>
      </c>
      <c r="J38" s="118">
        <v>3243</v>
      </c>
      <c r="K38" s="118">
        <v>174</v>
      </c>
      <c r="L38" s="327">
        <v>1791</v>
      </c>
      <c r="M38" s="122">
        <f t="shared" si="6"/>
        <v>6528</v>
      </c>
      <c r="O38" s="272" t="s">
        <v>1536</v>
      </c>
      <c r="P38" s="118">
        <v>63137</v>
      </c>
      <c r="Q38" s="118">
        <v>71101</v>
      </c>
      <c r="R38" s="118">
        <v>3212</v>
      </c>
      <c r="S38" s="118">
        <v>6846</v>
      </c>
      <c r="T38" s="118">
        <v>35885</v>
      </c>
      <c r="U38" s="118">
        <v>3587</v>
      </c>
      <c r="V38" s="118">
        <v>4004</v>
      </c>
      <c r="W38" s="118">
        <v>13589</v>
      </c>
      <c r="X38" s="118">
        <v>754</v>
      </c>
      <c r="Y38" s="122">
        <f t="shared" si="7"/>
        <v>202115</v>
      </c>
      <c r="Z38" s="327">
        <v>11543</v>
      </c>
    </row>
    <row r="39" spans="2:26" ht="15" customHeight="1" x14ac:dyDescent="0.2">
      <c r="B39" s="273" t="s">
        <v>1125</v>
      </c>
      <c r="C39" s="118">
        <v>0</v>
      </c>
      <c r="D39" s="118">
        <v>785</v>
      </c>
      <c r="E39" s="118">
        <v>29</v>
      </c>
      <c r="F39" s="118">
        <v>847</v>
      </c>
      <c r="G39" s="118">
        <v>666</v>
      </c>
      <c r="H39" s="118">
        <v>115</v>
      </c>
      <c r="I39" s="118">
        <v>504</v>
      </c>
      <c r="J39" s="118">
        <v>2418</v>
      </c>
      <c r="K39" s="118">
        <v>0</v>
      </c>
      <c r="L39" s="327">
        <v>1091</v>
      </c>
      <c r="M39" s="122">
        <f t="shared" si="6"/>
        <v>6455</v>
      </c>
      <c r="O39" s="272" t="s">
        <v>1539</v>
      </c>
      <c r="P39" s="118">
        <v>63137</v>
      </c>
      <c r="Q39" s="118">
        <v>71014</v>
      </c>
      <c r="R39" s="118">
        <v>2962</v>
      </c>
      <c r="S39" s="118">
        <v>7092</v>
      </c>
      <c r="T39" s="118">
        <v>35760</v>
      </c>
      <c r="U39" s="118">
        <v>3452</v>
      </c>
      <c r="V39" s="118">
        <v>3907</v>
      </c>
      <c r="W39" s="118">
        <v>14135</v>
      </c>
      <c r="X39" s="118">
        <v>624</v>
      </c>
      <c r="Y39" s="122">
        <f t="shared" si="7"/>
        <v>202083</v>
      </c>
      <c r="Z39" s="327">
        <v>11713</v>
      </c>
    </row>
    <row r="40" spans="2:26" ht="15" customHeight="1" x14ac:dyDescent="0.2">
      <c r="B40" s="273" t="s">
        <v>1098</v>
      </c>
      <c r="C40" s="118">
        <v>0</v>
      </c>
      <c r="D40" s="118">
        <v>5</v>
      </c>
      <c r="E40" s="118">
        <v>246</v>
      </c>
      <c r="F40" s="118">
        <v>432</v>
      </c>
      <c r="G40" s="118">
        <v>6902</v>
      </c>
      <c r="H40" s="118">
        <v>195</v>
      </c>
      <c r="I40" s="118">
        <v>647</v>
      </c>
      <c r="J40" s="118">
        <v>610</v>
      </c>
      <c r="K40" s="118">
        <v>28</v>
      </c>
      <c r="L40" s="327">
        <v>1227</v>
      </c>
      <c r="M40" s="122">
        <f t="shared" si="6"/>
        <v>10292</v>
      </c>
      <c r="O40" s="272">
        <v>44440</v>
      </c>
      <c r="P40" s="118">
        <v>63137</v>
      </c>
      <c r="Q40" s="118">
        <v>70141</v>
      </c>
      <c r="R40" s="118">
        <v>2995</v>
      </c>
      <c r="S40" s="118">
        <v>7256</v>
      </c>
      <c r="T40" s="118">
        <v>41918</v>
      </c>
      <c r="U40" s="118">
        <v>3470</v>
      </c>
      <c r="V40" s="118">
        <v>4003</v>
      </c>
      <c r="W40" s="118">
        <v>13111</v>
      </c>
      <c r="X40" s="118">
        <v>622</v>
      </c>
      <c r="Y40" s="122">
        <f t="shared" si="7"/>
        <v>206653</v>
      </c>
      <c r="Z40" s="327">
        <v>11866</v>
      </c>
    </row>
    <row r="41" spans="2:26" ht="15" customHeight="1" x14ac:dyDescent="0.2">
      <c r="B41" s="273" t="s">
        <v>1127</v>
      </c>
      <c r="C41" s="118">
        <v>0</v>
      </c>
      <c r="D41" s="118">
        <v>0</v>
      </c>
      <c r="E41" s="118">
        <v>44</v>
      </c>
      <c r="F41" s="118">
        <v>505</v>
      </c>
      <c r="G41" s="118">
        <v>737</v>
      </c>
      <c r="H41" s="118">
        <v>419</v>
      </c>
      <c r="I41" s="118">
        <v>2007</v>
      </c>
      <c r="J41" s="118">
        <v>829</v>
      </c>
      <c r="K41" s="118">
        <v>0</v>
      </c>
      <c r="L41" s="327">
        <v>1786</v>
      </c>
      <c r="M41" s="122">
        <f t="shared" si="6"/>
        <v>6327</v>
      </c>
      <c r="O41" s="272" t="s">
        <v>1543</v>
      </c>
      <c r="P41" s="118">
        <v>63138</v>
      </c>
      <c r="Q41" s="118">
        <v>69413</v>
      </c>
      <c r="R41" s="118">
        <v>2797</v>
      </c>
      <c r="S41" s="118">
        <v>7484</v>
      </c>
      <c r="T41" s="118">
        <v>41813</v>
      </c>
      <c r="U41" s="118">
        <v>3699</v>
      </c>
      <c r="V41" s="118">
        <v>5517</v>
      </c>
      <c r="W41" s="118">
        <v>12406</v>
      </c>
      <c r="X41" s="118">
        <v>614</v>
      </c>
      <c r="Y41" s="122">
        <f t="shared" si="7"/>
        <v>206881</v>
      </c>
      <c r="Z41" s="327">
        <v>12521</v>
      </c>
    </row>
    <row r="42" spans="2:26" ht="15" customHeight="1" x14ac:dyDescent="0.2">
      <c r="B42" s="273" t="s">
        <v>1181</v>
      </c>
      <c r="C42" s="118">
        <v>0</v>
      </c>
      <c r="D42" s="118">
        <v>0</v>
      </c>
      <c r="E42" s="118">
        <v>128</v>
      </c>
      <c r="F42" s="118">
        <v>338</v>
      </c>
      <c r="G42" s="118">
        <v>302</v>
      </c>
      <c r="H42" s="118">
        <v>233</v>
      </c>
      <c r="I42" s="118">
        <v>942</v>
      </c>
      <c r="J42" s="118">
        <v>287</v>
      </c>
      <c r="K42" s="118">
        <v>-4</v>
      </c>
      <c r="L42" s="327">
        <v>2181</v>
      </c>
      <c r="M42" s="122">
        <f t="shared" si="6"/>
        <v>4407</v>
      </c>
      <c r="O42" s="272" t="s">
        <v>1546</v>
      </c>
      <c r="P42" s="118">
        <v>63138</v>
      </c>
      <c r="Q42" s="118">
        <v>68535</v>
      </c>
      <c r="R42" s="118">
        <v>2684</v>
      </c>
      <c r="S42" s="118">
        <v>7536</v>
      </c>
      <c r="T42" s="118">
        <v>41280</v>
      </c>
      <c r="U42" s="118">
        <v>3743</v>
      </c>
      <c r="V42" s="118">
        <v>5850</v>
      </c>
      <c r="W42" s="118">
        <v>11317</v>
      </c>
      <c r="X42" s="118">
        <v>618</v>
      </c>
      <c r="Y42" s="122">
        <f t="shared" si="7"/>
        <v>204701</v>
      </c>
      <c r="Z42" s="327">
        <v>13500</v>
      </c>
    </row>
    <row r="43" spans="2:26" ht="15" customHeight="1" x14ac:dyDescent="0.2">
      <c r="B43" s="273" t="s">
        <v>1189</v>
      </c>
      <c r="C43" s="118">
        <v>0</v>
      </c>
      <c r="D43" s="118">
        <v>23</v>
      </c>
      <c r="E43" s="118">
        <v>11</v>
      </c>
      <c r="F43" s="118">
        <v>467</v>
      </c>
      <c r="G43" s="118">
        <v>5667</v>
      </c>
      <c r="H43" s="118">
        <v>98</v>
      </c>
      <c r="I43" s="118">
        <v>835</v>
      </c>
      <c r="J43" s="118">
        <v>4344</v>
      </c>
      <c r="K43" s="118">
        <v>4</v>
      </c>
      <c r="L43" s="327">
        <v>674</v>
      </c>
      <c r="M43" s="122">
        <f t="shared" ref="M43:M48" si="8">+SUM(C43:L43)</f>
        <v>12123</v>
      </c>
      <c r="O43" s="272" t="s">
        <v>1453</v>
      </c>
      <c r="P43" s="118">
        <v>63138</v>
      </c>
      <c r="Q43" s="118">
        <v>67680</v>
      </c>
      <c r="R43" s="118">
        <v>2456</v>
      </c>
      <c r="S43" s="118">
        <v>7706</v>
      </c>
      <c r="T43" s="118">
        <v>45423</v>
      </c>
      <c r="U43" s="118">
        <v>3641</v>
      </c>
      <c r="V43" s="118">
        <v>6077</v>
      </c>
      <c r="W43" s="118">
        <v>14390</v>
      </c>
      <c r="X43" s="118">
        <v>621</v>
      </c>
      <c r="Y43" s="122">
        <f t="shared" si="7"/>
        <v>211132</v>
      </c>
      <c r="Z43" s="327">
        <v>13166</v>
      </c>
    </row>
    <row r="44" spans="2:26" ht="15" customHeight="1" x14ac:dyDescent="0.2">
      <c r="B44" s="273" t="s">
        <v>1191</v>
      </c>
      <c r="C44" s="118">
        <v>0</v>
      </c>
      <c r="D44" s="118">
        <v>302</v>
      </c>
      <c r="E44" s="118">
        <v>299</v>
      </c>
      <c r="F44" s="118">
        <v>367</v>
      </c>
      <c r="G44" s="118">
        <v>3624</v>
      </c>
      <c r="H44" s="118">
        <v>299</v>
      </c>
      <c r="I44" s="118">
        <v>609</v>
      </c>
      <c r="J44" s="118">
        <v>127</v>
      </c>
      <c r="K44" s="118">
        <v>19</v>
      </c>
      <c r="L44" s="327">
        <v>2158</v>
      </c>
      <c r="M44" s="122">
        <f t="shared" si="8"/>
        <v>7804</v>
      </c>
      <c r="O44" s="272" t="s">
        <v>1550</v>
      </c>
      <c r="P44" s="118">
        <v>63138</v>
      </c>
      <c r="Q44" s="118">
        <v>67104</v>
      </c>
      <c r="R44" s="118">
        <v>2513</v>
      </c>
      <c r="S44" s="118">
        <v>7768</v>
      </c>
      <c r="T44" s="118">
        <v>48247</v>
      </c>
      <c r="U44" s="118">
        <v>3768</v>
      </c>
      <c r="V44" s="118">
        <v>6085</v>
      </c>
      <c r="W44" s="118">
        <v>13219</v>
      </c>
      <c r="X44" s="118">
        <v>640</v>
      </c>
      <c r="Y44" s="122">
        <f>+SUM(P44:X44)</f>
        <v>212482</v>
      </c>
      <c r="Z44" s="327">
        <v>14246</v>
      </c>
    </row>
    <row r="45" spans="2:26" ht="15" customHeight="1" x14ac:dyDescent="0.2">
      <c r="B45" s="273" t="s">
        <v>1193</v>
      </c>
      <c r="C45" s="118">
        <v>0</v>
      </c>
      <c r="D45" s="118">
        <v>1538</v>
      </c>
      <c r="E45" s="118">
        <v>80</v>
      </c>
      <c r="F45" s="118">
        <v>791</v>
      </c>
      <c r="G45" s="118">
        <v>12520</v>
      </c>
      <c r="H45" s="118">
        <v>493</v>
      </c>
      <c r="I45" s="118">
        <v>1430</v>
      </c>
      <c r="J45" s="118">
        <v>245</v>
      </c>
      <c r="K45" s="118">
        <v>18</v>
      </c>
      <c r="L45" s="327">
        <v>3549</v>
      </c>
      <c r="M45" s="122">
        <f t="shared" si="8"/>
        <v>20664</v>
      </c>
      <c r="O45" s="272" t="s">
        <v>1553</v>
      </c>
      <c r="P45" s="118">
        <v>63138</v>
      </c>
      <c r="Q45" s="118">
        <v>67753</v>
      </c>
      <c r="R45" s="118">
        <v>2342</v>
      </c>
      <c r="S45" s="118">
        <v>8241</v>
      </c>
      <c r="T45" s="118">
        <v>60005</v>
      </c>
      <c r="U45" s="118">
        <v>4049</v>
      </c>
      <c r="V45" s="118">
        <v>6862</v>
      </c>
      <c r="W45" s="118">
        <v>12124</v>
      </c>
      <c r="X45" s="118">
        <v>640</v>
      </c>
      <c r="Y45" s="122">
        <v>225154</v>
      </c>
      <c r="Z45" s="327">
        <v>16072</v>
      </c>
    </row>
    <row r="46" spans="2:26" ht="15" customHeight="1" x14ac:dyDescent="0.2">
      <c r="B46" s="273" t="s">
        <v>1232</v>
      </c>
      <c r="C46" s="118">
        <v>0</v>
      </c>
      <c r="D46" s="118">
        <v>15</v>
      </c>
      <c r="E46" s="118">
        <v>119</v>
      </c>
      <c r="F46" s="118">
        <v>82</v>
      </c>
      <c r="G46" s="118">
        <v>599</v>
      </c>
      <c r="H46" s="118">
        <v>79</v>
      </c>
      <c r="I46" s="118">
        <v>1861</v>
      </c>
      <c r="J46" s="118">
        <v>58</v>
      </c>
      <c r="K46" s="118">
        <v>0</v>
      </c>
      <c r="L46" s="327">
        <v>2642</v>
      </c>
      <c r="M46" s="122">
        <f t="shared" si="8"/>
        <v>5455</v>
      </c>
      <c r="O46" s="272" t="s">
        <v>1556</v>
      </c>
      <c r="P46" s="118">
        <v>63138</v>
      </c>
      <c r="Q46" s="118">
        <v>66873</v>
      </c>
      <c r="R46" s="118">
        <v>2214</v>
      </c>
      <c r="S46" s="118">
        <v>7991</v>
      </c>
      <c r="T46" s="118">
        <v>59328</v>
      </c>
      <c r="U46" s="118">
        <v>3929</v>
      </c>
      <c r="V46" s="118">
        <v>8153</v>
      </c>
      <c r="W46" s="118">
        <v>10942</v>
      </c>
      <c r="X46" s="118">
        <v>640</v>
      </c>
      <c r="Y46" s="122">
        <f>+SUM(P46:X46)</f>
        <v>223208</v>
      </c>
      <c r="Z46" s="327">
        <v>17282</v>
      </c>
    </row>
    <row r="47" spans="2:26" ht="15" customHeight="1" x14ac:dyDescent="0.2">
      <c r="B47" s="273" t="s">
        <v>1245</v>
      </c>
      <c r="C47" s="118">
        <v>0</v>
      </c>
      <c r="D47" s="118">
        <v>0</v>
      </c>
      <c r="E47" s="118">
        <v>80</v>
      </c>
      <c r="F47" s="118">
        <v>471</v>
      </c>
      <c r="G47" s="118">
        <v>777</v>
      </c>
      <c r="H47" s="118">
        <v>313</v>
      </c>
      <c r="I47" s="118">
        <v>1640</v>
      </c>
      <c r="J47" s="118">
        <v>347</v>
      </c>
      <c r="K47" s="118">
        <v>0</v>
      </c>
      <c r="L47" s="327">
        <v>1536</v>
      </c>
      <c r="M47" s="122">
        <f t="shared" si="8"/>
        <v>5164</v>
      </c>
      <c r="O47" s="272" t="s">
        <v>1576</v>
      </c>
      <c r="P47" s="118">
        <v>63138</v>
      </c>
      <c r="Q47" s="118">
        <v>66049</v>
      </c>
      <c r="R47" s="118">
        <v>2045</v>
      </c>
      <c r="S47" s="118">
        <v>8128</v>
      </c>
      <c r="T47" s="118">
        <v>59150</v>
      </c>
      <c r="U47" s="118">
        <v>4047</v>
      </c>
      <c r="V47" s="118">
        <v>9018</v>
      </c>
      <c r="W47" s="118">
        <v>10061</v>
      </c>
      <c r="X47" s="118">
        <v>640</v>
      </c>
      <c r="Y47" s="122">
        <f>+SUM(P47:X47)</f>
        <v>222276</v>
      </c>
      <c r="Z47" s="327">
        <v>17353</v>
      </c>
    </row>
    <row r="48" spans="2:26" ht="15" customHeight="1" x14ac:dyDescent="0.2">
      <c r="B48" s="273" t="s">
        <v>1247</v>
      </c>
      <c r="C48" s="118">
        <v>0</v>
      </c>
      <c r="D48" s="118">
        <v>0</v>
      </c>
      <c r="E48" s="118">
        <v>306</v>
      </c>
      <c r="F48" s="118">
        <v>931</v>
      </c>
      <c r="G48" s="118">
        <v>6650</v>
      </c>
      <c r="H48" s="118">
        <v>143</v>
      </c>
      <c r="I48" s="118">
        <v>1578</v>
      </c>
      <c r="J48" s="118">
        <v>771</v>
      </c>
      <c r="K48" s="118">
        <v>184</v>
      </c>
      <c r="L48" s="327">
        <v>1381</v>
      </c>
      <c r="M48" s="122">
        <f t="shared" si="8"/>
        <v>11944</v>
      </c>
      <c r="O48" s="272" t="s">
        <v>1577</v>
      </c>
      <c r="P48" s="118">
        <v>63138</v>
      </c>
      <c r="Q48" s="118">
        <v>65224</v>
      </c>
      <c r="R48" s="118">
        <v>2108</v>
      </c>
      <c r="S48" s="118">
        <v>8712</v>
      </c>
      <c r="T48" s="118">
        <v>64580</v>
      </c>
      <c r="U48" s="118">
        <v>3997</v>
      </c>
      <c r="V48" s="118">
        <v>9753</v>
      </c>
      <c r="W48" s="118">
        <v>9625</v>
      </c>
      <c r="X48" s="118">
        <v>864</v>
      </c>
      <c r="Y48" s="122">
        <v>228001</v>
      </c>
      <c r="Z48" s="327">
        <v>17187</v>
      </c>
    </row>
    <row r="49" spans="2:26" ht="15" customHeight="1" x14ac:dyDescent="0.2">
      <c r="B49" s="273" t="s">
        <v>1249</v>
      </c>
      <c r="C49" s="118">
        <v>0</v>
      </c>
      <c r="D49" s="118">
        <v>79</v>
      </c>
      <c r="E49" s="118">
        <v>54</v>
      </c>
      <c r="F49" s="118">
        <v>552</v>
      </c>
      <c r="G49" s="118">
        <v>4502</v>
      </c>
      <c r="H49" s="118">
        <v>197</v>
      </c>
      <c r="I49" s="118">
        <v>2071</v>
      </c>
      <c r="J49" s="118">
        <v>231</v>
      </c>
      <c r="K49" s="118">
        <v>1848</v>
      </c>
      <c r="L49" s="327">
        <v>1057</v>
      </c>
      <c r="M49" s="122">
        <f>+SUM(C49:L49)</f>
        <v>10591</v>
      </c>
      <c r="O49" s="272" t="s">
        <v>1578</v>
      </c>
      <c r="P49" s="118">
        <v>63138</v>
      </c>
      <c r="Q49" s="118">
        <v>64478</v>
      </c>
      <c r="R49" s="118">
        <v>1935</v>
      </c>
      <c r="S49" s="118">
        <v>8908</v>
      </c>
      <c r="T49" s="118">
        <v>65680</v>
      </c>
      <c r="U49" s="118">
        <v>4005</v>
      </c>
      <c r="V49" s="118">
        <v>10906</v>
      </c>
      <c r="W49" s="118">
        <v>8756</v>
      </c>
      <c r="X49" s="118">
        <v>2694</v>
      </c>
      <c r="Y49" s="122">
        <f>+SUM(P49:X49)</f>
        <v>230500</v>
      </c>
      <c r="Z49" s="327">
        <v>16748</v>
      </c>
    </row>
    <row r="50" spans="2:26" ht="15" customHeight="1" x14ac:dyDescent="0.2">
      <c r="B50" s="273" t="s">
        <v>1306</v>
      </c>
      <c r="C50" s="118">
        <v>0</v>
      </c>
      <c r="D50" s="118">
        <v>0</v>
      </c>
      <c r="E50" s="118">
        <v>60</v>
      </c>
      <c r="F50" s="118">
        <v>105</v>
      </c>
      <c r="G50" s="118">
        <v>9667</v>
      </c>
      <c r="H50" s="118">
        <v>319</v>
      </c>
      <c r="I50" s="118">
        <v>767</v>
      </c>
      <c r="J50" s="118">
        <v>276</v>
      </c>
      <c r="K50" s="118">
        <v>1658</v>
      </c>
      <c r="L50" s="327">
        <v>3284</v>
      </c>
      <c r="M50" s="122">
        <f>+SUM(C50:L50)</f>
        <v>16136</v>
      </c>
      <c r="O50" s="272" t="s">
        <v>1579</v>
      </c>
      <c r="P50" s="118">
        <v>63138</v>
      </c>
      <c r="Q50" s="118">
        <v>61177</v>
      </c>
      <c r="R50" s="118">
        <v>1439</v>
      </c>
      <c r="S50" s="118">
        <v>8274</v>
      </c>
      <c r="T50" s="118">
        <v>79034</v>
      </c>
      <c r="U50" s="118">
        <v>4013</v>
      </c>
      <c r="V50" s="118">
        <v>16351</v>
      </c>
      <c r="W50" s="118">
        <v>6345</v>
      </c>
      <c r="X50" s="118">
        <v>5842</v>
      </c>
      <c r="Y50" s="122">
        <f>+SUM(P50:X50)</f>
        <v>245613</v>
      </c>
      <c r="Z50" s="327">
        <v>17408</v>
      </c>
    </row>
    <row r="51" spans="2:26" ht="15" customHeight="1" x14ac:dyDescent="0.2">
      <c r="B51" s="273" t="s">
        <v>1316</v>
      </c>
      <c r="C51" s="118">
        <v>0</v>
      </c>
      <c r="D51" s="118">
        <v>0</v>
      </c>
      <c r="E51" s="118">
        <v>133</v>
      </c>
      <c r="F51" s="118">
        <v>242</v>
      </c>
      <c r="G51" s="118">
        <v>5337</v>
      </c>
      <c r="H51" s="118">
        <v>325</v>
      </c>
      <c r="I51" s="118">
        <v>2374</v>
      </c>
      <c r="J51" s="118">
        <v>489</v>
      </c>
      <c r="K51" s="118">
        <v>0</v>
      </c>
      <c r="L51" s="327">
        <v>3160</v>
      </c>
      <c r="M51" s="122">
        <f t="shared" ref="M51:M53" si="9">+SUM(C51:L51)</f>
        <v>12060</v>
      </c>
      <c r="O51" s="272" t="s">
        <v>1580</v>
      </c>
      <c r="P51" s="118">
        <v>63138</v>
      </c>
      <c r="Q51" s="118">
        <v>62827</v>
      </c>
      <c r="R51" s="118">
        <v>1663</v>
      </c>
      <c r="S51" s="118">
        <v>8529</v>
      </c>
      <c r="T51" s="118">
        <v>77869</v>
      </c>
      <c r="U51" s="118">
        <v>4269</v>
      </c>
      <c r="V51" s="118">
        <v>12038</v>
      </c>
      <c r="W51" s="118">
        <v>7176</v>
      </c>
      <c r="X51" s="118">
        <v>662</v>
      </c>
      <c r="Y51" s="122">
        <f t="shared" ref="Y51:Y53" si="10">+SUM(P51:X51)</f>
        <v>238171</v>
      </c>
      <c r="Z51" s="327">
        <v>16237</v>
      </c>
    </row>
    <row r="52" spans="2:26" ht="15" customHeight="1" x14ac:dyDescent="0.2">
      <c r="B52" s="273" t="s">
        <v>1317</v>
      </c>
      <c r="C52" s="118">
        <v>0</v>
      </c>
      <c r="D52" s="118">
        <v>0</v>
      </c>
      <c r="E52" s="118">
        <v>122</v>
      </c>
      <c r="F52" s="118">
        <v>383</v>
      </c>
      <c r="G52" s="118">
        <v>905</v>
      </c>
      <c r="H52" s="118">
        <v>93</v>
      </c>
      <c r="I52" s="118">
        <v>5252</v>
      </c>
      <c r="J52" s="118">
        <v>357</v>
      </c>
      <c r="K52" s="118">
        <v>24</v>
      </c>
      <c r="L52" s="327">
        <v>5437</v>
      </c>
      <c r="M52" s="122">
        <f t="shared" si="9"/>
        <v>12573</v>
      </c>
      <c r="O52" s="272" t="s">
        <v>1581</v>
      </c>
      <c r="P52" s="118">
        <v>63138</v>
      </c>
      <c r="Q52" s="118">
        <v>62002</v>
      </c>
      <c r="R52" s="118">
        <v>1591</v>
      </c>
      <c r="S52" s="118">
        <v>8544</v>
      </c>
      <c r="T52" s="118">
        <v>77192</v>
      </c>
      <c r="U52" s="118">
        <v>4191</v>
      </c>
      <c r="V52" s="118">
        <v>16079</v>
      </c>
      <c r="W52" s="118">
        <v>6287</v>
      </c>
      <c r="X52" s="118">
        <v>686</v>
      </c>
      <c r="Y52" s="122">
        <f t="shared" si="10"/>
        <v>239710</v>
      </c>
      <c r="Z52" s="327">
        <v>16237</v>
      </c>
    </row>
    <row r="53" spans="2:26" ht="15" customHeight="1" x14ac:dyDescent="0.2">
      <c r="B53" s="273" t="s">
        <v>1318</v>
      </c>
      <c r="C53" s="118">
        <v>0</v>
      </c>
      <c r="D53" s="118">
        <v>0</v>
      </c>
      <c r="E53" s="118">
        <v>34</v>
      </c>
      <c r="F53" s="118">
        <v>107</v>
      </c>
      <c r="G53" s="118">
        <v>3942</v>
      </c>
      <c r="H53" s="118">
        <v>36</v>
      </c>
      <c r="I53" s="118">
        <v>1781</v>
      </c>
      <c r="J53" s="118">
        <v>906</v>
      </c>
      <c r="K53" s="118">
        <v>5155</v>
      </c>
      <c r="L53" s="327">
        <f>+'Intangible Assets'!FS7+'Intangible Assets'!FS8</f>
        <v>4841</v>
      </c>
      <c r="M53" s="122">
        <f t="shared" si="9"/>
        <v>16802</v>
      </c>
      <c r="O53" s="272" t="s">
        <v>1582</v>
      </c>
      <c r="P53" s="118">
        <v>63138</v>
      </c>
      <c r="Q53" s="118">
        <v>61177</v>
      </c>
      <c r="R53" s="118">
        <v>1439</v>
      </c>
      <c r="S53" s="118">
        <v>8274</v>
      </c>
      <c r="T53" s="118">
        <v>79034</v>
      </c>
      <c r="U53" s="118">
        <v>4013</v>
      </c>
      <c r="V53" s="118">
        <v>16351</v>
      </c>
      <c r="W53" s="118">
        <v>6345</v>
      </c>
      <c r="X53" s="118">
        <v>5842</v>
      </c>
      <c r="Y53" s="122">
        <f t="shared" si="10"/>
        <v>245613</v>
      </c>
      <c r="Z53" s="327">
        <f>+'Intangible Assets'!FX7</f>
        <v>29385</v>
      </c>
    </row>
    <row r="70" customFormat="1" x14ac:dyDescent="0.2"/>
    <row r="71" customFormat="1" x14ac:dyDescent="0.2"/>
    <row r="72" customFormat="1" x14ac:dyDescent="0.2"/>
    <row r="73" customFormat="1" x14ac:dyDescent="0.2"/>
    <row r="74" customFormat="1" x14ac:dyDescent="0.2"/>
    <row r="75" customFormat="1" x14ac:dyDescent="0.2"/>
    <row r="76" customFormat="1" x14ac:dyDescent="0.2"/>
  </sheetData>
  <phoneticPr fontId="182"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40">
    <pageSetUpPr autoPageBreaks="0"/>
  </sheetPr>
  <dimension ref="B1:AU53"/>
  <sheetViews>
    <sheetView showGridLines="0" workbookViewId="0">
      <pane xSplit="2" ySplit="5" topLeftCell="AI6" activePane="bottomRight" state="frozen"/>
      <selection activeCell="G3" sqref="G3"/>
      <selection pane="topRight" activeCell="G3" sqref="G3"/>
      <selection pane="bottomLeft" activeCell="G3" sqref="G3"/>
      <selection pane="bottomRight" activeCell="AU5" sqref="AU5"/>
    </sheetView>
  </sheetViews>
  <sheetFormatPr defaultRowHeight="12.75" x14ac:dyDescent="0.2"/>
  <cols>
    <col min="1" max="1" width="1.42578125" customWidth="1"/>
    <col min="2" max="2" width="45.5703125" customWidth="1"/>
    <col min="3" max="47" width="10.7109375" customWidth="1"/>
  </cols>
  <sheetData>
    <row r="1" spans="2:47" s="551" customFormat="1" ht="7.5" customHeight="1" x14ac:dyDescent="0.2"/>
    <row r="2" spans="2:47" s="551" customFormat="1" ht="12.75" customHeight="1" x14ac:dyDescent="0.2"/>
    <row r="3" spans="2:47" s="551" customFormat="1" ht="12.75" customHeight="1" x14ac:dyDescent="0.2">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row>
    <row r="4" spans="2:47" ht="12.75" customHeight="1" x14ac:dyDescent="0.2">
      <c r="C4" s="1250" t="s">
        <v>1435</v>
      </c>
      <c r="D4" s="1251"/>
      <c r="E4" s="225" t="s">
        <v>1439</v>
      </c>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row>
    <row r="5" spans="2:47" x14ac:dyDescent="0.2">
      <c r="B5" s="146" t="s">
        <v>391</v>
      </c>
      <c r="C5" s="247" t="s">
        <v>622</v>
      </c>
      <c r="D5" s="115" t="s">
        <v>471</v>
      </c>
      <c r="E5" s="223" t="s">
        <v>472</v>
      </c>
      <c r="F5" s="115" t="s">
        <v>473</v>
      </c>
      <c r="G5" s="115" t="s">
        <v>474</v>
      </c>
      <c r="H5" s="115" t="s">
        <v>475</v>
      </c>
      <c r="I5" s="115" t="s">
        <v>476</v>
      </c>
      <c r="J5" s="115" t="s">
        <v>477</v>
      </c>
      <c r="K5" s="115" t="s">
        <v>478</v>
      </c>
      <c r="L5" s="115" t="s">
        <v>479</v>
      </c>
      <c r="M5" s="115" t="s">
        <v>371</v>
      </c>
      <c r="N5" s="115" t="s">
        <v>372</v>
      </c>
      <c r="O5" s="115" t="s">
        <v>373</v>
      </c>
      <c r="P5" s="115" t="s">
        <v>374</v>
      </c>
      <c r="Q5" s="115" t="s">
        <v>375</v>
      </c>
      <c r="R5" s="115" t="s">
        <v>376</v>
      </c>
      <c r="S5" s="115" t="s">
        <v>694</v>
      </c>
      <c r="T5" s="115" t="s">
        <v>758</v>
      </c>
      <c r="U5" s="115" t="s">
        <v>771</v>
      </c>
      <c r="V5" s="115" t="s">
        <v>788</v>
      </c>
      <c r="W5" s="115" t="s">
        <v>844</v>
      </c>
      <c r="X5" s="115" t="s">
        <v>862</v>
      </c>
      <c r="Y5" s="115" t="s">
        <v>922</v>
      </c>
      <c r="Z5" s="115" t="s">
        <v>923</v>
      </c>
      <c r="AA5" s="115" t="s">
        <v>924</v>
      </c>
      <c r="AB5" s="115" t="s">
        <v>995</v>
      </c>
      <c r="AC5" s="115" t="s">
        <v>1027</v>
      </c>
      <c r="AD5" s="115" t="s">
        <v>1028</v>
      </c>
      <c r="AE5" s="115" t="s">
        <v>993</v>
      </c>
      <c r="AF5" s="115" t="s">
        <v>1124</v>
      </c>
      <c r="AG5" s="115" t="s">
        <v>1125</v>
      </c>
      <c r="AH5" s="115" t="s">
        <v>1126</v>
      </c>
      <c r="AI5" s="115" t="s">
        <v>1127</v>
      </c>
      <c r="AJ5" s="115" t="s">
        <v>1181</v>
      </c>
      <c r="AK5" s="115" t="s">
        <v>1189</v>
      </c>
      <c r="AL5" s="115" t="s">
        <v>1191</v>
      </c>
      <c r="AM5" s="115" t="s">
        <v>1193</v>
      </c>
      <c r="AN5" s="115" t="s">
        <v>1232</v>
      </c>
      <c r="AO5" s="115" t="s">
        <v>1245</v>
      </c>
      <c r="AP5" s="115" t="s">
        <v>1247</v>
      </c>
      <c r="AQ5" s="115" t="s">
        <v>1249</v>
      </c>
      <c r="AR5" s="115" t="s">
        <v>1306</v>
      </c>
      <c r="AS5" s="115" t="s">
        <v>1316</v>
      </c>
      <c r="AT5" s="115" t="s">
        <v>1317</v>
      </c>
      <c r="AU5" s="115" t="s">
        <v>1318</v>
      </c>
    </row>
    <row r="6" spans="2:47" x14ac:dyDescent="0.2">
      <c r="B6" s="130" t="s">
        <v>851</v>
      </c>
      <c r="C6" s="118" t="s">
        <v>47</v>
      </c>
      <c r="D6" s="118" t="s">
        <v>47</v>
      </c>
      <c r="E6" s="161" t="s">
        <v>47</v>
      </c>
      <c r="F6" s="118" t="s">
        <v>47</v>
      </c>
      <c r="G6" s="118" t="s">
        <v>47</v>
      </c>
      <c r="H6" s="118" t="s">
        <v>47</v>
      </c>
      <c r="I6" s="118" t="s">
        <v>47</v>
      </c>
      <c r="J6" s="118" t="s">
        <v>47</v>
      </c>
      <c r="K6" s="118" t="s">
        <v>47</v>
      </c>
      <c r="L6" s="118" t="s">
        <v>47</v>
      </c>
      <c r="M6" s="118" t="s">
        <v>47</v>
      </c>
      <c r="N6" s="118" t="s">
        <v>47</v>
      </c>
      <c r="O6" s="118" t="s">
        <v>47</v>
      </c>
      <c r="P6" s="118" t="s">
        <v>47</v>
      </c>
      <c r="Q6" s="262">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row>
    <row r="7" spans="2:47" x14ac:dyDescent="0.2">
      <c r="B7" s="130" t="s">
        <v>83</v>
      </c>
      <c r="C7" s="118">
        <v>16058</v>
      </c>
      <c r="D7" s="118">
        <v>14651</v>
      </c>
      <c r="E7" s="161">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row>
    <row r="8" spans="2:47" x14ac:dyDescent="0.2">
      <c r="B8" s="130" t="s">
        <v>1093</v>
      </c>
      <c r="C8" s="118">
        <v>0</v>
      </c>
      <c r="D8" s="118">
        <v>0</v>
      </c>
      <c r="E8" s="161">
        <v>0</v>
      </c>
      <c r="F8" s="118">
        <v>0</v>
      </c>
      <c r="G8" s="118">
        <v>0</v>
      </c>
      <c r="H8" s="118">
        <v>0</v>
      </c>
      <c r="I8" s="118">
        <v>0</v>
      </c>
      <c r="J8" s="118">
        <v>0</v>
      </c>
      <c r="K8" s="118">
        <v>0</v>
      </c>
      <c r="L8" s="118">
        <v>0</v>
      </c>
      <c r="M8" s="118">
        <v>0</v>
      </c>
      <c r="N8" s="118">
        <v>0</v>
      </c>
      <c r="O8" s="118">
        <v>0</v>
      </c>
      <c r="P8" s="118">
        <v>0</v>
      </c>
      <c r="Q8" s="262">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row>
    <row r="9" spans="2:47" x14ac:dyDescent="0.2">
      <c r="B9" s="130" t="s">
        <v>1121</v>
      </c>
      <c r="C9" s="118">
        <v>0</v>
      </c>
      <c r="D9" s="118">
        <v>0</v>
      </c>
      <c r="E9" s="161">
        <v>0</v>
      </c>
      <c r="F9" s="118">
        <v>0</v>
      </c>
      <c r="G9" s="118">
        <v>0</v>
      </c>
      <c r="H9" s="118">
        <v>0</v>
      </c>
      <c r="I9" s="118">
        <v>0</v>
      </c>
      <c r="J9" s="118">
        <v>0</v>
      </c>
      <c r="K9" s="118">
        <v>0</v>
      </c>
      <c r="L9" s="118">
        <v>0</v>
      </c>
      <c r="M9" s="118">
        <v>0</v>
      </c>
      <c r="N9" s="118">
        <v>0</v>
      </c>
      <c r="O9" s="118">
        <v>0</v>
      </c>
      <c r="P9" s="118">
        <v>0</v>
      </c>
      <c r="Q9" s="262">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row>
    <row r="10" spans="2:47" x14ac:dyDescent="0.2">
      <c r="B10" s="319" t="s">
        <v>1090</v>
      </c>
      <c r="C10" s="313">
        <v>224137</v>
      </c>
      <c r="D10" s="313">
        <v>216263</v>
      </c>
      <c r="E10" s="320">
        <v>48143</v>
      </c>
      <c r="F10" s="313">
        <v>132397</v>
      </c>
      <c r="G10" s="313">
        <v>143833</v>
      </c>
      <c r="H10" s="313">
        <v>175920</v>
      </c>
      <c r="I10" s="313">
        <v>0</v>
      </c>
      <c r="J10" s="313">
        <v>0</v>
      </c>
      <c r="K10" s="313">
        <v>0</v>
      </c>
      <c r="L10" s="313">
        <v>0</v>
      </c>
      <c r="M10" s="313">
        <v>0</v>
      </c>
      <c r="N10" s="313">
        <v>0</v>
      </c>
      <c r="O10" s="313">
        <v>0</v>
      </c>
      <c r="P10" s="313">
        <v>0</v>
      </c>
      <c r="Q10" s="313">
        <v>0</v>
      </c>
      <c r="R10" s="313">
        <v>0</v>
      </c>
      <c r="S10" s="313">
        <v>0</v>
      </c>
      <c r="T10" s="313">
        <v>0</v>
      </c>
      <c r="U10" s="313">
        <v>0</v>
      </c>
      <c r="V10" s="313">
        <v>54312</v>
      </c>
      <c r="W10" s="313">
        <v>52102</v>
      </c>
      <c r="X10" s="313">
        <v>53995</v>
      </c>
      <c r="Y10" s="313">
        <v>53222</v>
      </c>
      <c r="Z10" s="313">
        <v>57992</v>
      </c>
      <c r="AA10" s="313">
        <v>57220</v>
      </c>
      <c r="AB10" s="313">
        <v>69884</v>
      </c>
      <c r="AC10" s="313">
        <v>74610</v>
      </c>
      <c r="AD10" s="313">
        <v>0</v>
      </c>
      <c r="AE10" s="313">
        <v>0</v>
      </c>
      <c r="AF10" s="313">
        <v>0</v>
      </c>
      <c r="AG10" s="313">
        <v>0</v>
      </c>
      <c r="AH10" s="313">
        <v>0</v>
      </c>
      <c r="AI10" s="313">
        <v>0</v>
      </c>
      <c r="AJ10" s="313">
        <v>0</v>
      </c>
      <c r="AK10" s="313">
        <v>0</v>
      </c>
      <c r="AL10" s="313">
        <v>0</v>
      </c>
      <c r="AM10" s="313">
        <v>0</v>
      </c>
      <c r="AN10" s="313">
        <v>0</v>
      </c>
      <c r="AO10" s="313">
        <v>0</v>
      </c>
      <c r="AP10" s="313">
        <v>0</v>
      </c>
      <c r="AQ10" s="313">
        <v>0</v>
      </c>
      <c r="AR10" s="313">
        <v>0</v>
      </c>
      <c r="AS10" s="313">
        <v>0</v>
      </c>
      <c r="AT10" s="313">
        <v>0</v>
      </c>
      <c r="AU10" s="313">
        <v>0</v>
      </c>
    </row>
    <row r="11" spans="2:47" x14ac:dyDescent="0.2">
      <c r="B11" s="127" t="s">
        <v>491</v>
      </c>
      <c r="C11" s="120">
        <f t="shared" ref="C11:AU11" si="0">SUM(C6:C10)</f>
        <v>240195</v>
      </c>
      <c r="D11" s="120">
        <f t="shared" si="0"/>
        <v>230914</v>
      </c>
      <c r="E11" s="163">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f t="shared" si="0"/>
        <v>107217</v>
      </c>
      <c r="AS11" s="120">
        <f t="shared" si="0"/>
        <v>105966</v>
      </c>
      <c r="AT11" s="120">
        <f t="shared" si="0"/>
        <v>105679</v>
      </c>
      <c r="AU11" s="120">
        <f t="shared" si="0"/>
        <v>105996</v>
      </c>
    </row>
    <row r="12" spans="2:47" x14ac:dyDescent="0.2">
      <c r="B12" s="130" t="s">
        <v>432</v>
      </c>
      <c r="C12" s="118">
        <v>-7931</v>
      </c>
      <c r="D12" s="118">
        <v>-3815</v>
      </c>
      <c r="E12" s="161">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row>
    <row r="13" spans="2:47" x14ac:dyDescent="0.2">
      <c r="B13" s="130" t="s">
        <v>433</v>
      </c>
      <c r="C13" s="118">
        <v>-35462</v>
      </c>
      <c r="D13" s="118">
        <v>-16761</v>
      </c>
      <c r="E13" s="161">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row>
    <row r="14" spans="2:47" x14ac:dyDescent="0.2">
      <c r="B14" s="127" t="s">
        <v>494</v>
      </c>
      <c r="C14" s="120">
        <f>SUM(C12:C13)</f>
        <v>-43393</v>
      </c>
      <c r="D14" s="120">
        <f t="shared" ref="D14:J14" si="1">SUM(D12:D13)</f>
        <v>-20576</v>
      </c>
      <c r="E14" s="163">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S14" si="5">AL15+AL16</f>
        <v>0</v>
      </c>
      <c r="AM14" s="120">
        <f t="shared" si="5"/>
        <v>0</v>
      </c>
      <c r="AN14" s="120">
        <f t="shared" si="5"/>
        <v>0</v>
      </c>
      <c r="AO14" s="120">
        <f t="shared" si="5"/>
        <v>0</v>
      </c>
      <c r="AP14" s="120">
        <f t="shared" si="5"/>
        <v>0</v>
      </c>
      <c r="AQ14" s="120">
        <f t="shared" si="5"/>
        <v>0</v>
      </c>
      <c r="AR14" s="120">
        <f t="shared" si="5"/>
        <v>0</v>
      </c>
      <c r="AS14" s="120">
        <f t="shared" si="5"/>
        <v>0</v>
      </c>
      <c r="AT14" s="120">
        <f>AT15+AT16</f>
        <v>0</v>
      </c>
      <c r="AU14" s="120">
        <f>AU15+AU16</f>
        <v>0</v>
      </c>
    </row>
    <row r="15" spans="2:47" x14ac:dyDescent="0.2">
      <c r="B15" s="130" t="s">
        <v>492</v>
      </c>
      <c r="C15" s="118">
        <v>0</v>
      </c>
      <c r="D15" s="118">
        <v>0</v>
      </c>
      <c r="E15" s="161">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row>
    <row r="16" spans="2:47" x14ac:dyDescent="0.2">
      <c r="B16" s="130" t="s">
        <v>433</v>
      </c>
      <c r="C16" s="118">
        <v>287845</v>
      </c>
      <c r="D16" s="118">
        <v>285063</v>
      </c>
      <c r="E16" s="161">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row>
    <row r="17" spans="2:47" x14ac:dyDescent="0.2">
      <c r="B17" s="127" t="s">
        <v>188</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S17" si="9">AL14+AL11</f>
        <v>66432</v>
      </c>
      <c r="AM17" s="120">
        <f t="shared" si="9"/>
        <v>101740</v>
      </c>
      <c r="AN17" s="120">
        <f t="shared" si="9"/>
        <v>90366</v>
      </c>
      <c r="AO17" s="120">
        <f t="shared" si="9"/>
        <v>91267</v>
      </c>
      <c r="AP17" s="120">
        <f t="shared" si="9"/>
        <v>95806</v>
      </c>
      <c r="AQ17" s="120">
        <f t="shared" si="9"/>
        <v>101599</v>
      </c>
      <c r="AR17" s="120">
        <f t="shared" si="9"/>
        <v>107217</v>
      </c>
      <c r="AS17" s="120">
        <f t="shared" si="9"/>
        <v>105966</v>
      </c>
      <c r="AT17" s="120">
        <f>AT14+AT11</f>
        <v>105679</v>
      </c>
      <c r="AU17" s="120">
        <f>AU14+AU11</f>
        <v>105996</v>
      </c>
    </row>
    <row r="18" spans="2:47" x14ac:dyDescent="0.2">
      <c r="B18" s="127" t="s">
        <v>493</v>
      </c>
      <c r="C18" s="120">
        <f t="shared" ref="C18:T18" si="10">+C16+C15</f>
        <v>287845</v>
      </c>
      <c r="D18" s="120">
        <f t="shared" si="10"/>
        <v>285063</v>
      </c>
      <c r="E18" s="163">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f>AR19+AR20</f>
        <v>0</v>
      </c>
      <c r="AS18" s="120">
        <f>AS19+AS20</f>
        <v>0</v>
      </c>
      <c r="AT18" s="120">
        <f>AT19+AT20</f>
        <v>0</v>
      </c>
      <c r="AU18" s="120">
        <f>AU19+AU20</f>
        <v>0</v>
      </c>
    </row>
    <row r="19" spans="2:47" x14ac:dyDescent="0.2">
      <c r="B19" s="130" t="s">
        <v>492</v>
      </c>
      <c r="C19" s="118">
        <v>0</v>
      </c>
      <c r="D19" s="118">
        <v>0</v>
      </c>
      <c r="E19" s="161">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row>
    <row r="20" spans="2:47" x14ac:dyDescent="0.2">
      <c r="B20" s="130" t="s">
        <v>433</v>
      </c>
      <c r="C20" s="118">
        <v>0</v>
      </c>
      <c r="D20" s="118">
        <v>0</v>
      </c>
      <c r="E20" s="161">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row>
    <row r="21" spans="2:47" ht="15.75" customHeight="1" x14ac:dyDescent="0.2">
      <c r="B21" s="127" t="s">
        <v>495</v>
      </c>
      <c r="C21" s="120">
        <f t="shared" ref="C21:V21" si="13">SUM(C18,C14,C11)</f>
        <v>484647</v>
      </c>
      <c r="D21" s="120">
        <f t="shared" si="13"/>
        <v>495401</v>
      </c>
      <c r="E21" s="163">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U21" si="17">SUM(AO18,AO14,AO11)</f>
        <v>91267</v>
      </c>
      <c r="AP21" s="120">
        <f t="shared" si="17"/>
        <v>95806</v>
      </c>
      <c r="AQ21" s="120">
        <f t="shared" si="17"/>
        <v>101599</v>
      </c>
      <c r="AR21" s="120">
        <f t="shared" si="17"/>
        <v>107217</v>
      </c>
      <c r="AS21" s="120">
        <f t="shared" si="17"/>
        <v>105966</v>
      </c>
      <c r="AT21" s="120">
        <f t="shared" si="17"/>
        <v>105679</v>
      </c>
      <c r="AU21" s="120">
        <f t="shared" si="17"/>
        <v>105996</v>
      </c>
    </row>
    <row r="22" spans="2:47" x14ac:dyDescent="0.2">
      <c r="F22" s="331">
        <f>BalSheet!U40-F21</f>
        <v>0</v>
      </c>
      <c r="G22" s="331">
        <f>BalSheet!V40-G21</f>
        <v>0</v>
      </c>
      <c r="H22" s="331">
        <f>BalSheet!W40-H21</f>
        <v>0</v>
      </c>
      <c r="I22" s="331">
        <f>BalSheet!X40-I21</f>
        <v>0</v>
      </c>
      <c r="J22" s="331">
        <f>BalSheet!Y40-J21</f>
        <v>0</v>
      </c>
      <c r="K22" s="331">
        <f>BalSheet!Z40-K21</f>
        <v>0</v>
      </c>
      <c r="L22" s="331">
        <f>BalSheet!AA40-L21</f>
        <v>0</v>
      </c>
      <c r="M22" s="331">
        <f>BalSheet!AB40-M21</f>
        <v>0</v>
      </c>
      <c r="N22" s="331">
        <f>BalSheet!AC40-N21</f>
        <v>0</v>
      </c>
      <c r="O22" s="331">
        <f>BalSheet!AD40-O21</f>
        <v>0</v>
      </c>
      <c r="P22" s="331">
        <f>BalSheet!AE40-P21</f>
        <v>0</v>
      </c>
      <c r="Q22" s="331">
        <v>0</v>
      </c>
      <c r="R22" s="331">
        <f>BalSheet!AG40-R21</f>
        <v>0</v>
      </c>
      <c r="S22" s="331">
        <f>BalSheet!AH40-S21</f>
        <v>0</v>
      </c>
      <c r="T22" s="331">
        <f>BalSheet!AI40-T21</f>
        <v>0</v>
      </c>
      <c r="U22" s="331">
        <f>BalSheet!AJ40-U21</f>
        <v>0</v>
      </c>
      <c r="V22" s="331">
        <f>BalSheet!AK40-V21</f>
        <v>0</v>
      </c>
      <c r="W22" s="331">
        <f>BalSheet!AL40-W21</f>
        <v>0</v>
      </c>
      <c r="X22" s="331">
        <v>0</v>
      </c>
      <c r="Y22" s="331"/>
      <c r="Z22" s="331"/>
      <c r="AA22" s="331">
        <v>0</v>
      </c>
      <c r="AB22" s="331">
        <f>BalSheet!AQ40-AB21</f>
        <v>0</v>
      </c>
      <c r="AC22" s="331">
        <f>BalSheet!AR40-AC21</f>
        <v>0</v>
      </c>
      <c r="AD22" s="331">
        <f>BalSheet!AS40-AD21</f>
        <v>0</v>
      </c>
      <c r="AE22" s="331">
        <f>BalSheet!AT40-AE21</f>
        <v>0</v>
      </c>
      <c r="AF22" s="331">
        <f>BalSheet!AV40-AF21</f>
        <v>-42276</v>
      </c>
      <c r="AG22" s="331">
        <f>BalSheet!AW40-AG21</f>
        <v>-24637</v>
      </c>
      <c r="AH22" s="331">
        <v>0</v>
      </c>
      <c r="AI22" s="331"/>
      <c r="AJ22" s="331">
        <v>-119250</v>
      </c>
      <c r="AK22" s="331">
        <f>BalSheet!BA40-AK21</f>
        <v>-1979</v>
      </c>
      <c r="AL22" s="331">
        <f>BalSheet!BB40-AL21</f>
        <v>35308</v>
      </c>
      <c r="AM22" s="331">
        <f>BalSheet!BC40-AM21</f>
        <v>-11374</v>
      </c>
      <c r="AN22" s="331">
        <f>BalSheet!BD40-AN21</f>
        <v>901</v>
      </c>
      <c r="AO22" s="331">
        <f>BalSheet!BE40-AO21</f>
        <v>4539</v>
      </c>
      <c r="AP22" s="331">
        <f>BalSheet!BF40-AP21</f>
        <v>5793</v>
      </c>
      <c r="AQ22" s="331">
        <f>BalSheet!BJ40-AQ21</f>
        <v>4397</v>
      </c>
      <c r="AR22" s="331">
        <f>BalSheet!BK40-AR21</f>
        <v>-107217</v>
      </c>
      <c r="AS22" s="331"/>
      <c r="AT22" s="331"/>
      <c r="AU22" s="331">
        <f>BalSheet!BL40-AU21</f>
        <v>-105996</v>
      </c>
    </row>
    <row r="23" spans="2:47" x14ac:dyDescent="0.2">
      <c r="B23" s="146" t="s">
        <v>391</v>
      </c>
      <c r="C23" s="115" t="str">
        <f t="shared" ref="C23:AU23" si="18">C5</f>
        <v>2013</v>
      </c>
      <c r="D23" s="115" t="str">
        <f t="shared" si="18"/>
        <v>1Q14</v>
      </c>
      <c r="E23" s="115" t="str">
        <f t="shared" si="18"/>
        <v>2Q14</v>
      </c>
      <c r="F23" s="115" t="str">
        <f t="shared" si="18"/>
        <v>3Q14</v>
      </c>
      <c r="G23" s="115" t="str">
        <f t="shared" si="18"/>
        <v>4Q14</v>
      </c>
      <c r="H23" s="115" t="str">
        <f t="shared" si="18"/>
        <v>1Q15</v>
      </c>
      <c r="I23" s="115" t="str">
        <f t="shared" si="18"/>
        <v>2Q15</v>
      </c>
      <c r="J23" s="115" t="str">
        <f t="shared" si="18"/>
        <v>3Q15</v>
      </c>
      <c r="K23" s="115" t="str">
        <f t="shared" si="18"/>
        <v>4Q15</v>
      </c>
      <c r="L23" s="115" t="str">
        <f t="shared" si="18"/>
        <v>1Q16</v>
      </c>
      <c r="M23" s="115" t="str">
        <f t="shared" si="18"/>
        <v>2Q16</v>
      </c>
      <c r="N23" s="115" t="str">
        <f t="shared" si="18"/>
        <v>3Q16</v>
      </c>
      <c r="O23" s="115" t="str">
        <f t="shared" si="18"/>
        <v>4Q16</v>
      </c>
      <c r="P23" s="115" t="str">
        <f t="shared" si="18"/>
        <v>1Q17</v>
      </c>
      <c r="Q23" s="115" t="str">
        <f t="shared" si="18"/>
        <v>2Q17</v>
      </c>
      <c r="R23" s="115" t="str">
        <f t="shared" si="18"/>
        <v>3Q17</v>
      </c>
      <c r="S23" s="115" t="str">
        <f t="shared" si="18"/>
        <v>4Q17</v>
      </c>
      <c r="T23" s="115" t="str">
        <f t="shared" si="18"/>
        <v>1Q18</v>
      </c>
      <c r="U23" s="115" t="str">
        <f t="shared" si="18"/>
        <v>2Q18</v>
      </c>
      <c r="V23" s="115" t="str">
        <f t="shared" si="18"/>
        <v>3Q18</v>
      </c>
      <c r="W23" s="115" t="str">
        <f t="shared" si="18"/>
        <v>4Q18</v>
      </c>
      <c r="X23" s="115" t="str">
        <f t="shared" si="18"/>
        <v>1Q19</v>
      </c>
      <c r="Y23" s="115" t="str">
        <f t="shared" si="18"/>
        <v>2Q19</v>
      </c>
      <c r="Z23" s="115" t="str">
        <f t="shared" si="18"/>
        <v>3Q19</v>
      </c>
      <c r="AA23" s="115" t="str">
        <f t="shared" si="18"/>
        <v>4Q19</v>
      </c>
      <c r="AB23" s="115" t="str">
        <f t="shared" si="18"/>
        <v>1Q20</v>
      </c>
      <c r="AC23" s="115" t="str">
        <f t="shared" si="18"/>
        <v>2Q20</v>
      </c>
      <c r="AD23" s="115" t="str">
        <f t="shared" si="18"/>
        <v>3Q20</v>
      </c>
      <c r="AE23" s="115" t="str">
        <f t="shared" si="18"/>
        <v>4Q20</v>
      </c>
      <c r="AF23" s="115" t="str">
        <f t="shared" si="18"/>
        <v>1Q21</v>
      </c>
      <c r="AG23" s="115" t="str">
        <f t="shared" si="18"/>
        <v>2Q21</v>
      </c>
      <c r="AH23" s="115" t="str">
        <f t="shared" si="18"/>
        <v>3Q21</v>
      </c>
      <c r="AI23" s="115" t="str">
        <f t="shared" si="18"/>
        <v>4Q21</v>
      </c>
      <c r="AJ23" s="115" t="str">
        <f t="shared" si="18"/>
        <v>1Q22</v>
      </c>
      <c r="AK23" s="115" t="str">
        <f t="shared" si="18"/>
        <v>2Q22</v>
      </c>
      <c r="AL23" s="115" t="str">
        <f t="shared" si="18"/>
        <v>3Q22</v>
      </c>
      <c r="AM23" s="115" t="str">
        <f t="shared" si="18"/>
        <v>4Q22</v>
      </c>
      <c r="AN23" s="115" t="str">
        <f t="shared" si="18"/>
        <v>1Q23</v>
      </c>
      <c r="AO23" s="115" t="str">
        <f t="shared" si="18"/>
        <v>2Q23</v>
      </c>
      <c r="AP23" s="115" t="str">
        <f t="shared" si="18"/>
        <v>3Q23</v>
      </c>
      <c r="AQ23" s="115" t="str">
        <f t="shared" si="18"/>
        <v>4Q23</v>
      </c>
      <c r="AR23" s="115" t="str">
        <f t="shared" si="18"/>
        <v>1Q24</v>
      </c>
      <c r="AS23" s="115" t="str">
        <f t="shared" si="18"/>
        <v>2Q24</v>
      </c>
      <c r="AT23" s="115" t="str">
        <f t="shared" si="18"/>
        <v>3Q24</v>
      </c>
      <c r="AU23" s="115" t="str">
        <f t="shared" si="18"/>
        <v>4Q24</v>
      </c>
    </row>
    <row r="24" spans="2:47" x14ac:dyDescent="0.2">
      <c r="B24" s="127" t="s">
        <v>701</v>
      </c>
      <c r="C24" s="120" t="s">
        <v>47</v>
      </c>
      <c r="D24" s="120" t="s">
        <v>47</v>
      </c>
      <c r="E24" s="163" t="s">
        <v>47</v>
      </c>
      <c r="F24" s="120" t="s">
        <v>47</v>
      </c>
      <c r="G24" s="120" t="s">
        <v>47</v>
      </c>
      <c r="H24" s="120" t="s">
        <v>47</v>
      </c>
      <c r="I24" s="120" t="s">
        <v>47</v>
      </c>
      <c r="J24" s="120" t="s">
        <v>47</v>
      </c>
      <c r="K24" s="120" t="s">
        <v>47</v>
      </c>
      <c r="L24" s="120" t="s">
        <v>47</v>
      </c>
      <c r="M24" s="120" t="s">
        <v>47</v>
      </c>
      <c r="N24" s="120" t="s">
        <v>47</v>
      </c>
      <c r="O24" s="120" t="s">
        <v>47</v>
      </c>
      <c r="P24" s="120" t="s">
        <v>47</v>
      </c>
      <c r="Q24" s="120" t="s">
        <v>47</v>
      </c>
      <c r="R24" s="120" t="s">
        <v>47</v>
      </c>
      <c r="S24" s="120" t="s">
        <v>47</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f t="shared" ref="AR24" si="21">AQ30</f>
        <v>101599</v>
      </c>
      <c r="AS24" s="120">
        <f t="shared" ref="AS24" si="22">AR30</f>
        <v>107217</v>
      </c>
      <c r="AT24" s="120">
        <f>AS30</f>
        <v>105966</v>
      </c>
      <c r="AU24" s="120">
        <f>AT30</f>
        <v>105679</v>
      </c>
    </row>
    <row r="25" spans="2:47" x14ac:dyDescent="0.2">
      <c r="B25" s="130" t="s">
        <v>983</v>
      </c>
      <c r="C25" s="118" t="s">
        <v>47</v>
      </c>
      <c r="D25" s="118" t="s">
        <v>47</v>
      </c>
      <c r="E25" s="161" t="s">
        <v>47</v>
      </c>
      <c r="F25" s="118" t="s">
        <v>47</v>
      </c>
      <c r="G25" s="118" t="s">
        <v>47</v>
      </c>
      <c r="H25" s="118" t="s">
        <v>47</v>
      </c>
      <c r="I25" s="118" t="s">
        <v>47</v>
      </c>
      <c r="J25" s="118" t="s">
        <v>47</v>
      </c>
      <c r="K25" s="118" t="s">
        <v>47</v>
      </c>
      <c r="L25" s="118" t="s">
        <v>47</v>
      </c>
      <c r="M25" s="118" t="s">
        <v>47</v>
      </c>
      <c r="N25" s="118" t="s">
        <v>47</v>
      </c>
      <c r="O25" s="118" t="s">
        <v>47</v>
      </c>
      <c r="P25" s="118" t="s">
        <v>47</v>
      </c>
      <c r="Q25" s="118" t="s">
        <v>47</v>
      </c>
      <c r="R25" s="118" t="s">
        <v>47</v>
      </c>
      <c r="S25" s="118" t="s">
        <v>47</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row>
    <row r="26" spans="2:47" x14ac:dyDescent="0.2">
      <c r="B26" s="130" t="s">
        <v>984</v>
      </c>
      <c r="C26" s="118" t="s">
        <v>47</v>
      </c>
      <c r="D26" s="118" t="s">
        <v>47</v>
      </c>
      <c r="E26" s="161" t="s">
        <v>47</v>
      </c>
      <c r="F26" s="118" t="s">
        <v>47</v>
      </c>
      <c r="G26" s="118" t="s">
        <v>47</v>
      </c>
      <c r="H26" s="118" t="s">
        <v>47</v>
      </c>
      <c r="I26" s="118" t="s">
        <v>47</v>
      </c>
      <c r="J26" s="118" t="s">
        <v>47</v>
      </c>
      <c r="K26" s="118" t="s">
        <v>47</v>
      </c>
      <c r="L26" s="118" t="s">
        <v>47</v>
      </c>
      <c r="M26" s="118" t="s">
        <v>47</v>
      </c>
      <c r="N26" s="118" t="s">
        <v>47</v>
      </c>
      <c r="O26" s="118" t="s">
        <v>47</v>
      </c>
      <c r="P26" s="118" t="s">
        <v>47</v>
      </c>
      <c r="Q26" s="118" t="s">
        <v>47</v>
      </c>
      <c r="R26" s="118" t="s">
        <v>47</v>
      </c>
      <c r="S26" s="118" t="s">
        <v>47</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row>
    <row r="27" spans="2:47" x14ac:dyDescent="0.2">
      <c r="B27" s="130" t="s">
        <v>985</v>
      </c>
      <c r="C27" s="118" t="s">
        <v>47</v>
      </c>
      <c r="D27" s="118" t="s">
        <v>47</v>
      </c>
      <c r="E27" s="161" t="s">
        <v>47</v>
      </c>
      <c r="F27" s="118" t="s">
        <v>47</v>
      </c>
      <c r="G27" s="118" t="s">
        <v>47</v>
      </c>
      <c r="H27" s="118" t="s">
        <v>47</v>
      </c>
      <c r="I27" s="118" t="s">
        <v>47</v>
      </c>
      <c r="J27" s="118" t="s">
        <v>47</v>
      </c>
      <c r="K27" s="118" t="s">
        <v>47</v>
      </c>
      <c r="L27" s="118" t="s">
        <v>47</v>
      </c>
      <c r="M27" s="118" t="s">
        <v>47</v>
      </c>
      <c r="N27" s="118" t="s">
        <v>47</v>
      </c>
      <c r="O27" s="118" t="s">
        <v>47</v>
      </c>
      <c r="P27" s="118" t="s">
        <v>47</v>
      </c>
      <c r="Q27" s="118" t="s">
        <v>47</v>
      </c>
      <c r="R27" s="118" t="s">
        <v>47</v>
      </c>
      <c r="S27" s="118" t="s">
        <v>47</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row>
    <row r="28" spans="2:47" x14ac:dyDescent="0.2">
      <c r="B28" s="130" t="s">
        <v>885</v>
      </c>
      <c r="C28" s="118" t="s">
        <v>47</v>
      </c>
      <c r="D28" s="118" t="s">
        <v>47</v>
      </c>
      <c r="E28" s="161" t="s">
        <v>47</v>
      </c>
      <c r="F28" s="118" t="s">
        <v>47</v>
      </c>
      <c r="G28" s="118" t="s">
        <v>47</v>
      </c>
      <c r="H28" s="118" t="s">
        <v>47</v>
      </c>
      <c r="I28" s="118" t="s">
        <v>47</v>
      </c>
      <c r="J28" s="118" t="s">
        <v>47</v>
      </c>
      <c r="K28" s="118" t="s">
        <v>47</v>
      </c>
      <c r="L28" s="118" t="s">
        <v>47</v>
      </c>
      <c r="M28" s="118" t="s">
        <v>47</v>
      </c>
      <c r="N28" s="118" t="s">
        <v>47</v>
      </c>
      <c r="O28" s="118" t="s">
        <v>47</v>
      </c>
      <c r="P28" s="118" t="s">
        <v>47</v>
      </c>
      <c r="Q28" s="118" t="s">
        <v>47</v>
      </c>
      <c r="R28" s="118" t="s">
        <v>47</v>
      </c>
      <c r="S28" s="118" t="s">
        <v>47</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row>
    <row r="29" spans="2:47" x14ac:dyDescent="0.2">
      <c r="B29" s="130" t="s">
        <v>986</v>
      </c>
      <c r="C29" s="118" t="s">
        <v>47</v>
      </c>
      <c r="D29" s="118" t="s">
        <v>47</v>
      </c>
      <c r="E29" s="834" t="s">
        <v>47</v>
      </c>
      <c r="F29" s="118" t="s">
        <v>47</v>
      </c>
      <c r="G29" s="118" t="s">
        <v>47</v>
      </c>
      <c r="H29" s="118" t="s">
        <v>47</v>
      </c>
      <c r="I29" s="118" t="s">
        <v>47</v>
      </c>
      <c r="J29" s="118" t="s">
        <v>47</v>
      </c>
      <c r="K29" s="118" t="s">
        <v>47</v>
      </c>
      <c r="L29" s="118" t="s">
        <v>47</v>
      </c>
      <c r="M29" s="118" t="s">
        <v>47</v>
      </c>
      <c r="N29" s="118" t="s">
        <v>47</v>
      </c>
      <c r="O29" s="118" t="s">
        <v>47</v>
      </c>
      <c r="P29" s="118" t="s">
        <v>47</v>
      </c>
      <c r="Q29" s="118" t="s">
        <v>47</v>
      </c>
      <c r="R29" s="118" t="s">
        <v>47</v>
      </c>
      <c r="S29" s="118" t="s">
        <v>47</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row>
    <row r="30" spans="2:47" x14ac:dyDescent="0.2">
      <c r="B30" s="127" t="s">
        <v>706</v>
      </c>
      <c r="C30" s="120" t="s">
        <v>47</v>
      </c>
      <c r="D30" s="120" t="s">
        <v>47</v>
      </c>
      <c r="E30" s="163" t="s">
        <v>47</v>
      </c>
      <c r="F30" s="120" t="s">
        <v>47</v>
      </c>
      <c r="G30" s="120" t="s">
        <v>47</v>
      </c>
      <c r="H30" s="120" t="s">
        <v>47</v>
      </c>
      <c r="I30" s="120" t="s">
        <v>47</v>
      </c>
      <c r="J30" s="120" t="s">
        <v>47</v>
      </c>
      <c r="K30" s="120" t="s">
        <v>47</v>
      </c>
      <c r="L30" s="120" t="s">
        <v>47</v>
      </c>
      <c r="M30" s="120" t="s">
        <v>47</v>
      </c>
      <c r="N30" s="120" t="s">
        <v>47</v>
      </c>
      <c r="O30" s="120" t="s">
        <v>47</v>
      </c>
      <c r="P30" s="120" t="s">
        <v>47</v>
      </c>
      <c r="Q30" s="120" t="s">
        <v>47</v>
      </c>
      <c r="R30" s="120" t="s">
        <v>47</v>
      </c>
      <c r="S30" s="120" t="s">
        <v>47</v>
      </c>
      <c r="T30" s="120">
        <v>54863</v>
      </c>
      <c r="U30" s="120">
        <v>50020</v>
      </c>
      <c r="V30" s="120">
        <v>64544</v>
      </c>
      <c r="W30" s="120">
        <v>62117</v>
      </c>
      <c r="X30" s="120">
        <v>94227</v>
      </c>
      <c r="Y30" s="120">
        <v>90449</v>
      </c>
      <c r="Z30" s="120">
        <v>94820</v>
      </c>
      <c r="AA30" s="120">
        <v>91022</v>
      </c>
      <c r="AB30" s="120">
        <f t="shared" ref="AB30:AH30" si="23">SUM(AB24:AB29)</f>
        <v>103286</v>
      </c>
      <c r="AC30" s="120">
        <f t="shared" si="23"/>
        <v>196354</v>
      </c>
      <c r="AD30" s="120">
        <f t="shared" si="23"/>
        <v>168276</v>
      </c>
      <c r="AE30" s="120">
        <f t="shared" si="23"/>
        <v>168764</v>
      </c>
      <c r="AF30" s="120">
        <f t="shared" si="23"/>
        <v>169300</v>
      </c>
      <c r="AG30" s="120">
        <f t="shared" si="23"/>
        <v>127243</v>
      </c>
      <c r="AH30" s="120">
        <f t="shared" si="23"/>
        <v>127676</v>
      </c>
      <c r="AI30" s="120">
        <f t="shared" ref="AI30:AN30" si="24">SUM(AI24:AI29)</f>
        <v>128886</v>
      </c>
      <c r="AJ30" s="120">
        <f t="shared" si="24"/>
        <v>119250</v>
      </c>
      <c r="AK30" s="120">
        <f t="shared" si="24"/>
        <v>68411</v>
      </c>
      <c r="AL30" s="120">
        <f t="shared" si="24"/>
        <v>66432</v>
      </c>
      <c r="AM30" s="120">
        <f t="shared" si="24"/>
        <v>101740</v>
      </c>
      <c r="AN30" s="120">
        <f t="shared" si="24"/>
        <v>90366</v>
      </c>
      <c r="AO30" s="120">
        <f>SUM(AO24:AO29)</f>
        <v>91267</v>
      </c>
      <c r="AP30" s="120">
        <f>SUM(AP24:AP29)</f>
        <v>95806</v>
      </c>
      <c r="AQ30" s="120">
        <f>SUM(AQ24:AQ29)</f>
        <v>101599</v>
      </c>
      <c r="AR30" s="120">
        <f>SUM(AR24:AR29)</f>
        <v>107217</v>
      </c>
      <c r="AS30" s="120">
        <f t="shared" ref="AS30:AU30" si="25">SUM(AS24:AS29)</f>
        <v>105966</v>
      </c>
      <c r="AT30" s="120">
        <f t="shared" si="25"/>
        <v>105679</v>
      </c>
      <c r="AU30" s="120">
        <f t="shared" si="25"/>
        <v>105996</v>
      </c>
    </row>
    <row r="31" spans="2:47" x14ac:dyDescent="0.2">
      <c r="B31" s="127" t="s">
        <v>701</v>
      </c>
      <c r="C31" s="120" t="s">
        <v>47</v>
      </c>
      <c r="D31" s="120" t="s">
        <v>47</v>
      </c>
      <c r="E31" s="163" t="s">
        <v>47</v>
      </c>
      <c r="F31" s="120" t="s">
        <v>47</v>
      </c>
      <c r="G31" s="120" t="s">
        <v>47</v>
      </c>
      <c r="H31" s="120" t="s">
        <v>47</v>
      </c>
      <c r="I31" s="120" t="s">
        <v>47</v>
      </c>
      <c r="J31" s="120" t="s">
        <v>47</v>
      </c>
      <c r="K31" s="120" t="s">
        <v>47</v>
      </c>
      <c r="L31" s="120" t="s">
        <v>47</v>
      </c>
      <c r="M31" s="120" t="s">
        <v>47</v>
      </c>
      <c r="N31" s="120" t="s">
        <v>47</v>
      </c>
      <c r="O31" s="120" t="s">
        <v>47</v>
      </c>
      <c r="P31" s="120" t="s">
        <v>47</v>
      </c>
      <c r="Q31" s="120" t="s">
        <v>47</v>
      </c>
      <c r="R31" s="120" t="s">
        <v>47</v>
      </c>
      <c r="S31" s="120" t="s">
        <v>47</v>
      </c>
      <c r="T31" s="120">
        <v>168127</v>
      </c>
      <c r="U31" s="120">
        <v>99306</v>
      </c>
      <c r="V31" s="120">
        <v>98093</v>
      </c>
      <c r="W31" s="120">
        <v>98314</v>
      </c>
      <c r="X31" s="120">
        <v>98083</v>
      </c>
      <c r="Y31" s="120">
        <v>51160</v>
      </c>
      <c r="Z31" s="120">
        <v>50140</v>
      </c>
      <c r="AA31" s="120">
        <v>51179</v>
      </c>
      <c r="AB31" s="120">
        <f t="shared" ref="AB31:AG31" si="26">AA35</f>
        <v>50135</v>
      </c>
      <c r="AC31" s="120">
        <f t="shared" si="26"/>
        <v>50891</v>
      </c>
      <c r="AD31" s="120">
        <f t="shared" si="26"/>
        <v>51514</v>
      </c>
      <c r="AE31" s="120">
        <f t="shared" si="26"/>
        <v>25167</v>
      </c>
      <c r="AF31" s="120">
        <f t="shared" si="26"/>
        <v>25047</v>
      </c>
      <c r="AG31" s="120">
        <f t="shared" si="26"/>
        <v>25289</v>
      </c>
      <c r="AH31" s="120">
        <f>AG35</f>
        <v>25070</v>
      </c>
      <c r="AI31" s="120">
        <f>AH35</f>
        <v>0</v>
      </c>
      <c r="AJ31" s="120">
        <f>AI35</f>
        <v>0</v>
      </c>
      <c r="AK31" s="120">
        <f t="shared" ref="AK31:AR31" si="27">AI35</f>
        <v>0</v>
      </c>
      <c r="AL31" s="120">
        <f t="shared" si="27"/>
        <v>0</v>
      </c>
      <c r="AM31" s="120">
        <f t="shared" si="27"/>
        <v>0</v>
      </c>
      <c r="AN31" s="120">
        <f t="shared" si="27"/>
        <v>0</v>
      </c>
      <c r="AO31" s="120">
        <f t="shared" si="27"/>
        <v>0</v>
      </c>
      <c r="AP31" s="120">
        <f t="shared" si="27"/>
        <v>0</v>
      </c>
      <c r="AQ31" s="120">
        <f t="shared" si="27"/>
        <v>0</v>
      </c>
      <c r="AR31" s="120">
        <f t="shared" si="27"/>
        <v>0</v>
      </c>
      <c r="AS31" s="120">
        <v>0</v>
      </c>
      <c r="AT31" s="120">
        <f>AP35</f>
        <v>0</v>
      </c>
      <c r="AU31" s="120">
        <f>AQ35</f>
        <v>0</v>
      </c>
    </row>
    <row r="32" spans="2:47" x14ac:dyDescent="0.2">
      <c r="B32" s="130" t="s">
        <v>984</v>
      </c>
      <c r="C32" s="118" t="s">
        <v>47</v>
      </c>
      <c r="D32" s="118" t="s">
        <v>47</v>
      </c>
      <c r="E32" s="161" t="s">
        <v>47</v>
      </c>
      <c r="F32" s="118" t="s">
        <v>47</v>
      </c>
      <c r="G32" s="118" t="s">
        <v>47</v>
      </c>
      <c r="H32" s="118" t="s">
        <v>47</v>
      </c>
      <c r="I32" s="118" t="s">
        <v>47</v>
      </c>
      <c r="J32" s="118" t="s">
        <v>47</v>
      </c>
      <c r="K32" s="118" t="s">
        <v>47</v>
      </c>
      <c r="L32" s="118" t="s">
        <v>47</v>
      </c>
      <c r="M32" s="118" t="s">
        <v>47</v>
      </c>
      <c r="N32" s="118" t="s">
        <v>47</v>
      </c>
      <c r="O32" s="118" t="s">
        <v>47</v>
      </c>
      <c r="P32" s="118" t="s">
        <v>47</v>
      </c>
      <c r="Q32" s="118" t="s">
        <v>47</v>
      </c>
      <c r="R32" s="118" t="s">
        <v>47</v>
      </c>
      <c r="S32" s="118" t="s">
        <v>47</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47</v>
      </c>
      <c r="AK32" s="118" t="s">
        <v>47</v>
      </c>
      <c r="AL32" s="118" t="s">
        <v>47</v>
      </c>
      <c r="AM32" s="118" t="s">
        <v>47</v>
      </c>
      <c r="AN32" s="118" t="s">
        <v>47</v>
      </c>
      <c r="AO32" s="118" t="s">
        <v>47</v>
      </c>
      <c r="AP32" s="118" t="s">
        <v>47</v>
      </c>
      <c r="AQ32" s="118" t="s">
        <v>47</v>
      </c>
      <c r="AR32" s="118" t="s">
        <v>47</v>
      </c>
      <c r="AS32" s="118" t="s">
        <v>47</v>
      </c>
      <c r="AT32" s="118" t="s">
        <v>47</v>
      </c>
      <c r="AU32" s="118" t="s">
        <v>47</v>
      </c>
    </row>
    <row r="33" spans="2:47" x14ac:dyDescent="0.2">
      <c r="B33" s="130" t="s">
        <v>985</v>
      </c>
      <c r="C33" s="118" t="s">
        <v>47</v>
      </c>
      <c r="D33" s="118" t="s">
        <v>47</v>
      </c>
      <c r="E33" s="161" t="s">
        <v>47</v>
      </c>
      <c r="F33" s="118" t="s">
        <v>47</v>
      </c>
      <c r="G33" s="118" t="s">
        <v>47</v>
      </c>
      <c r="H33" s="118" t="s">
        <v>47</v>
      </c>
      <c r="I33" s="118" t="s">
        <v>47</v>
      </c>
      <c r="J33" s="118" t="s">
        <v>47</v>
      </c>
      <c r="K33" s="118" t="s">
        <v>47</v>
      </c>
      <c r="L33" s="118" t="s">
        <v>47</v>
      </c>
      <c r="M33" s="118" t="s">
        <v>47</v>
      </c>
      <c r="N33" s="118" t="s">
        <v>47</v>
      </c>
      <c r="O33" s="118" t="s">
        <v>47</v>
      </c>
      <c r="P33" s="118" t="s">
        <v>47</v>
      </c>
      <c r="Q33" s="118" t="s">
        <v>47</v>
      </c>
      <c r="R33" s="118" t="s">
        <v>47</v>
      </c>
      <c r="S33" s="118" t="s">
        <v>47</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47</v>
      </c>
      <c r="AK33" s="118" t="s">
        <v>47</v>
      </c>
      <c r="AL33" s="118" t="s">
        <v>47</v>
      </c>
      <c r="AM33" s="118" t="s">
        <v>47</v>
      </c>
      <c r="AN33" s="118" t="s">
        <v>47</v>
      </c>
      <c r="AO33" s="118" t="s">
        <v>47</v>
      </c>
      <c r="AP33" s="118" t="s">
        <v>47</v>
      </c>
      <c r="AQ33" s="118" t="s">
        <v>47</v>
      </c>
      <c r="AR33" s="118" t="s">
        <v>47</v>
      </c>
      <c r="AS33" s="118" t="s">
        <v>47</v>
      </c>
      <c r="AT33" s="118" t="s">
        <v>47</v>
      </c>
      <c r="AU33" s="118" t="s">
        <v>47</v>
      </c>
    </row>
    <row r="34" spans="2:47" x14ac:dyDescent="0.2">
      <c r="B34" s="130" t="s">
        <v>885</v>
      </c>
      <c r="C34" s="118" t="s">
        <v>47</v>
      </c>
      <c r="D34" s="118" t="s">
        <v>47</v>
      </c>
      <c r="E34" s="161" t="s">
        <v>47</v>
      </c>
      <c r="F34" s="118" t="s">
        <v>47</v>
      </c>
      <c r="G34" s="118" t="s">
        <v>47</v>
      </c>
      <c r="H34" s="118" t="s">
        <v>47</v>
      </c>
      <c r="I34" s="118" t="s">
        <v>47</v>
      </c>
      <c r="J34" s="118" t="s">
        <v>47</v>
      </c>
      <c r="K34" s="118" t="s">
        <v>47</v>
      </c>
      <c r="L34" s="118" t="s">
        <v>47</v>
      </c>
      <c r="M34" s="118" t="s">
        <v>47</v>
      </c>
      <c r="N34" s="118" t="s">
        <v>47</v>
      </c>
      <c r="O34" s="118" t="s">
        <v>47</v>
      </c>
      <c r="P34" s="118" t="s">
        <v>47</v>
      </c>
      <c r="Q34" s="118" t="s">
        <v>47</v>
      </c>
      <c r="R34" s="118" t="s">
        <v>47</v>
      </c>
      <c r="S34" s="118" t="s">
        <v>47</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47</v>
      </c>
      <c r="AK34" s="118" t="s">
        <v>47</v>
      </c>
      <c r="AL34" s="118" t="s">
        <v>47</v>
      </c>
      <c r="AM34" s="118" t="s">
        <v>47</v>
      </c>
      <c r="AN34" s="118" t="s">
        <v>47</v>
      </c>
      <c r="AO34" s="118" t="s">
        <v>47</v>
      </c>
      <c r="AP34" s="118" t="s">
        <v>47</v>
      </c>
      <c r="AQ34" s="118" t="s">
        <v>47</v>
      </c>
      <c r="AR34" s="118" t="s">
        <v>47</v>
      </c>
      <c r="AS34" s="118" t="s">
        <v>47</v>
      </c>
      <c r="AT34" s="118" t="s">
        <v>47</v>
      </c>
      <c r="AU34" s="118" t="s">
        <v>47</v>
      </c>
    </row>
    <row r="35" spans="2:47" x14ac:dyDescent="0.2">
      <c r="B35" s="127" t="s">
        <v>706</v>
      </c>
      <c r="C35" s="120" t="s">
        <v>47</v>
      </c>
      <c r="D35" s="120" t="s">
        <v>47</v>
      </c>
      <c r="E35" s="163" t="s">
        <v>47</v>
      </c>
      <c r="F35" s="120" t="s">
        <v>47</v>
      </c>
      <c r="G35" s="120" t="s">
        <v>47</v>
      </c>
      <c r="H35" s="120" t="s">
        <v>47</v>
      </c>
      <c r="I35" s="120" t="s">
        <v>47</v>
      </c>
      <c r="J35" s="120" t="s">
        <v>47</v>
      </c>
      <c r="K35" s="120" t="s">
        <v>47</v>
      </c>
      <c r="L35" s="120" t="s">
        <v>47</v>
      </c>
      <c r="M35" s="120" t="s">
        <v>47</v>
      </c>
      <c r="N35" s="120" t="s">
        <v>47</v>
      </c>
      <c r="O35" s="120" t="s">
        <v>47</v>
      </c>
      <c r="P35" s="120" t="s">
        <v>47</v>
      </c>
      <c r="Q35" s="120" t="s">
        <v>47</v>
      </c>
      <c r="R35" s="120" t="s">
        <v>47</v>
      </c>
      <c r="S35" s="120" t="s">
        <v>47</v>
      </c>
      <c r="T35" s="120">
        <v>99306</v>
      </c>
      <c r="U35" s="120">
        <v>98093</v>
      </c>
      <c r="V35" s="120">
        <v>98314</v>
      </c>
      <c r="W35" s="120">
        <v>98083</v>
      </c>
      <c r="X35" s="120">
        <v>51160</v>
      </c>
      <c r="Y35" s="120">
        <v>50140</v>
      </c>
      <c r="Z35" s="120">
        <v>51179</v>
      </c>
      <c r="AA35" s="120">
        <v>50135</v>
      </c>
      <c r="AB35" s="120">
        <f t="shared" ref="AB35:AK35" si="28">SUM(AB31:AB34)</f>
        <v>50891</v>
      </c>
      <c r="AC35" s="120">
        <f t="shared" si="28"/>
        <v>51514</v>
      </c>
      <c r="AD35" s="120">
        <f t="shared" si="28"/>
        <v>25167</v>
      </c>
      <c r="AE35" s="120">
        <f t="shared" si="28"/>
        <v>25047</v>
      </c>
      <c r="AF35" s="120">
        <f t="shared" si="28"/>
        <v>25289</v>
      </c>
      <c r="AG35" s="120">
        <f t="shared" si="28"/>
        <v>25070</v>
      </c>
      <c r="AH35" s="120">
        <f t="shared" si="28"/>
        <v>0</v>
      </c>
      <c r="AI35" s="120">
        <f t="shared" si="28"/>
        <v>0</v>
      </c>
      <c r="AJ35" s="120">
        <f t="shared" si="28"/>
        <v>0</v>
      </c>
      <c r="AK35" s="120">
        <f t="shared" si="28"/>
        <v>0</v>
      </c>
      <c r="AL35" s="120">
        <f t="shared" ref="AL35:AR35" si="29">SUM(AL31:AL34)</f>
        <v>0</v>
      </c>
      <c r="AM35" s="120">
        <f t="shared" si="29"/>
        <v>0</v>
      </c>
      <c r="AN35" s="120">
        <f t="shared" si="29"/>
        <v>0</v>
      </c>
      <c r="AO35" s="120">
        <f t="shared" si="29"/>
        <v>0</v>
      </c>
      <c r="AP35" s="120">
        <f t="shared" si="29"/>
        <v>0</v>
      </c>
      <c r="AQ35" s="120">
        <f t="shared" si="29"/>
        <v>0</v>
      </c>
      <c r="AR35" s="120">
        <f t="shared" si="29"/>
        <v>0</v>
      </c>
      <c r="AS35" s="120">
        <v>0</v>
      </c>
      <c r="AT35" s="120">
        <f>SUM(AT31:AT34)</f>
        <v>0</v>
      </c>
      <c r="AU35" s="120">
        <f>SUM(AU31:AU34)</f>
        <v>0</v>
      </c>
    </row>
    <row r="36" spans="2:47" x14ac:dyDescent="0.2">
      <c r="B36" s="127" t="s">
        <v>36</v>
      </c>
      <c r="C36" s="120" t="s">
        <v>47</v>
      </c>
      <c r="D36" s="120" t="s">
        <v>47</v>
      </c>
      <c r="E36" s="163" t="s">
        <v>47</v>
      </c>
      <c r="F36" s="120" t="s">
        <v>47</v>
      </c>
      <c r="G36" s="120" t="s">
        <v>47</v>
      </c>
      <c r="H36" s="120" t="s">
        <v>47</v>
      </c>
      <c r="I36" s="120" t="s">
        <v>47</v>
      </c>
      <c r="J36" s="120" t="s">
        <v>47</v>
      </c>
      <c r="K36" s="120" t="s">
        <v>47</v>
      </c>
      <c r="L36" s="120" t="s">
        <v>47</v>
      </c>
      <c r="M36" s="120" t="s">
        <v>47</v>
      </c>
      <c r="N36" s="120" t="s">
        <v>47</v>
      </c>
      <c r="O36" s="120" t="s">
        <v>47</v>
      </c>
      <c r="P36" s="120" t="s">
        <v>47</v>
      </c>
      <c r="Q36" s="120" t="s">
        <v>47</v>
      </c>
      <c r="R36" s="120" t="s">
        <v>47</v>
      </c>
      <c r="S36" s="120" t="s">
        <v>47</v>
      </c>
      <c r="T36" s="120">
        <v>154169</v>
      </c>
      <c r="U36" s="120">
        <v>148113</v>
      </c>
      <c r="V36" s="120">
        <v>162858</v>
      </c>
      <c r="W36" s="120">
        <v>160200</v>
      </c>
      <c r="X36" s="120">
        <v>145387</v>
      </c>
      <c r="Y36" s="120">
        <v>140589</v>
      </c>
      <c r="Z36" s="120">
        <v>145999</v>
      </c>
      <c r="AA36" s="120">
        <v>141157</v>
      </c>
      <c r="AB36" s="120">
        <f t="shared" ref="AB36:AG36" si="30">AB30+AB35</f>
        <v>154177</v>
      </c>
      <c r="AC36" s="120">
        <f t="shared" si="30"/>
        <v>247868</v>
      </c>
      <c r="AD36" s="120">
        <f t="shared" si="30"/>
        <v>193443</v>
      </c>
      <c r="AE36" s="120">
        <f t="shared" si="30"/>
        <v>193811</v>
      </c>
      <c r="AF36" s="120">
        <f t="shared" si="30"/>
        <v>194589</v>
      </c>
      <c r="AG36" s="120">
        <f t="shared" si="30"/>
        <v>152313</v>
      </c>
      <c r="AH36" s="120">
        <f t="shared" ref="AH36:AS36" si="31">AH30+AH35</f>
        <v>127676</v>
      </c>
      <c r="AI36" s="120">
        <f t="shared" si="31"/>
        <v>128886</v>
      </c>
      <c r="AJ36" s="120">
        <f t="shared" si="31"/>
        <v>119250</v>
      </c>
      <c r="AK36" s="120">
        <f t="shared" si="31"/>
        <v>68411</v>
      </c>
      <c r="AL36" s="120">
        <f t="shared" si="31"/>
        <v>66432</v>
      </c>
      <c r="AM36" s="120">
        <f t="shared" si="31"/>
        <v>101740</v>
      </c>
      <c r="AN36" s="120">
        <f t="shared" si="31"/>
        <v>90366</v>
      </c>
      <c r="AO36" s="120">
        <f t="shared" si="31"/>
        <v>91267</v>
      </c>
      <c r="AP36" s="120">
        <f t="shared" si="31"/>
        <v>95806</v>
      </c>
      <c r="AQ36" s="120">
        <f t="shared" si="31"/>
        <v>101599</v>
      </c>
      <c r="AR36" s="120">
        <f t="shared" si="31"/>
        <v>107217</v>
      </c>
      <c r="AS36" s="120">
        <f t="shared" si="31"/>
        <v>105966</v>
      </c>
      <c r="AT36" s="120">
        <f>AT30+AT35</f>
        <v>105679</v>
      </c>
      <c r="AU36" s="120">
        <f>AU30+AU35</f>
        <v>105996</v>
      </c>
    </row>
    <row r="38" spans="2:47" x14ac:dyDescent="0.2">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2:47" x14ac:dyDescent="0.2">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2:47" x14ac:dyDescent="0.2">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row>
    <row r="41" spans="2:47" x14ac:dyDescent="0.2">
      <c r="B41" s="99"/>
      <c r="C41" s="103"/>
      <c r="D41" s="103"/>
      <c r="E41" s="103"/>
      <c r="F41" s="103"/>
      <c r="G41" s="103"/>
      <c r="H41" s="103"/>
      <c r="I41" s="103"/>
    </row>
    <row r="42" spans="2:47" x14ac:dyDescent="0.2">
      <c r="B42" s="100"/>
      <c r="C42" s="101"/>
      <c r="D42" s="101"/>
      <c r="E42" s="101"/>
      <c r="F42" s="101"/>
      <c r="G42" s="101"/>
      <c r="H42" s="101"/>
      <c r="I42" s="101"/>
    </row>
    <row r="43" spans="2:47" x14ac:dyDescent="0.2">
      <c r="B43" s="99"/>
    </row>
    <row r="44" spans="2:47" x14ac:dyDescent="0.2">
      <c r="B44" s="99"/>
      <c r="C44" s="105"/>
      <c r="D44" s="105"/>
    </row>
    <row r="45" spans="2:47" x14ac:dyDescent="0.2">
      <c r="B45" s="99"/>
      <c r="C45" s="97"/>
      <c r="D45" s="97"/>
      <c r="E45" s="97"/>
      <c r="F45" s="97"/>
      <c r="G45" s="97"/>
      <c r="H45" s="97"/>
      <c r="I45" s="97"/>
    </row>
    <row r="46" spans="2:47" x14ac:dyDescent="0.2">
      <c r="B46" s="99"/>
      <c r="C46" s="98"/>
      <c r="D46" s="98"/>
      <c r="E46" s="98"/>
      <c r="F46" s="98"/>
      <c r="G46" s="98"/>
      <c r="H46" s="98"/>
      <c r="I46" s="98"/>
    </row>
    <row r="47" spans="2:47" x14ac:dyDescent="0.2">
      <c r="B47" s="99"/>
      <c r="C47" s="48"/>
      <c r="D47" s="48"/>
      <c r="E47" s="48"/>
      <c r="F47" s="48"/>
      <c r="G47" s="48"/>
      <c r="H47" s="103"/>
      <c r="I47" s="48"/>
    </row>
    <row r="48" spans="2:47" x14ac:dyDescent="0.2">
      <c r="B48" s="99"/>
      <c r="C48" s="48"/>
      <c r="D48" s="48"/>
      <c r="E48" s="48"/>
      <c r="F48" s="48"/>
      <c r="G48" s="48"/>
      <c r="H48" s="103"/>
      <c r="I48" s="48"/>
    </row>
    <row r="49" spans="2:9" x14ac:dyDescent="0.2">
      <c r="B49" s="100"/>
      <c r="C49" s="101"/>
      <c r="D49" s="101"/>
      <c r="E49" s="101"/>
      <c r="F49" s="101"/>
      <c r="G49" s="101"/>
      <c r="H49" s="102"/>
      <c r="I49" s="101"/>
    </row>
    <row r="50" spans="2:9" x14ac:dyDescent="0.2">
      <c r="B50" s="99"/>
      <c r="C50" s="48"/>
      <c r="D50" s="48"/>
      <c r="E50" s="48"/>
      <c r="F50" s="48"/>
      <c r="G50" s="48"/>
      <c r="H50" s="48"/>
      <c r="I50" s="48"/>
    </row>
    <row r="51" spans="2:9" x14ac:dyDescent="0.2">
      <c r="B51" s="99"/>
      <c r="C51" s="48"/>
      <c r="D51" s="48"/>
      <c r="E51" s="48"/>
      <c r="F51" s="48"/>
      <c r="G51" s="48"/>
      <c r="H51" s="48"/>
      <c r="I51" s="48"/>
    </row>
    <row r="52" spans="2:9" x14ac:dyDescent="0.2">
      <c r="B52" s="99"/>
      <c r="C52" s="104"/>
      <c r="D52" s="103"/>
      <c r="E52" s="103"/>
      <c r="F52" s="103"/>
      <c r="G52" s="103"/>
      <c r="H52" s="48"/>
      <c r="I52" s="104"/>
    </row>
    <row r="53" spans="2:9" x14ac:dyDescent="0.2">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39">
    <pageSetUpPr autoPageBreaks="0"/>
  </sheetPr>
  <dimension ref="B1:FX51"/>
  <sheetViews>
    <sheetView showGridLines="0" zoomScaleNormal="100" workbookViewId="0">
      <pane xSplit="2" ySplit="6" topLeftCell="FO7" activePane="bottomRight" state="frozen"/>
      <selection activeCell="V51" sqref="V51:W51"/>
      <selection pane="topRight" activeCell="V51" sqref="V51:W51"/>
      <selection pane="bottomLeft" activeCell="V51" sqref="V51:W51"/>
      <selection pane="bottomRight" activeCell="FX6" sqref="FX6"/>
    </sheetView>
  </sheetViews>
  <sheetFormatPr defaultRowHeight="12.75" outlineLevelRow="1" outlineLevelCol="1" x14ac:dyDescent="0.2"/>
  <cols>
    <col min="1" max="1" width="1.42578125" customWidth="1"/>
    <col min="2" max="2" width="39.28515625" customWidth="1"/>
    <col min="3" max="3" width="7.5703125" customWidth="1" outlineLevel="1"/>
    <col min="4" max="5" width="10.28515625" customWidth="1" outlineLevel="1"/>
    <col min="6" max="6" width="7.5703125" customWidth="1" outlineLevel="1"/>
    <col min="7" max="7" width="10.28515625" customWidth="1" outlineLevel="1"/>
    <col min="8" max="8" width="8" customWidth="1" outlineLevel="1"/>
    <col min="9" max="9" width="8.28515625" customWidth="1" outlineLevel="1"/>
    <col min="10" max="10" width="10.28515625" customWidth="1" outlineLevel="1"/>
    <col min="11" max="11" width="7.5703125" customWidth="1" outlineLevel="1"/>
    <col min="12" max="12" width="10.28515625" customWidth="1" outlineLevel="1"/>
    <col min="13" max="13" width="8" customWidth="1" outlineLevel="1"/>
    <col min="14" max="14" width="6.5703125" customWidth="1" outlineLevel="1"/>
    <col min="15" max="15" width="8.28515625" customWidth="1" outlineLevel="1"/>
    <col min="16" max="16" width="10.28515625" customWidth="1" outlineLevel="1"/>
    <col min="17" max="17" width="7.5703125" customWidth="1" outlineLevel="1"/>
    <col min="18" max="18" width="10.28515625" customWidth="1" outlineLevel="1"/>
    <col min="19" max="19" width="8" customWidth="1" outlineLevel="1"/>
    <col min="20" max="20" width="6.5703125" customWidth="1" outlineLevel="1"/>
    <col min="21" max="21" width="8.28515625" customWidth="1" outlineLevel="1"/>
    <col min="22" max="22" width="10.28515625" customWidth="1" outlineLevel="1"/>
    <col min="23" max="23" width="7.5703125" customWidth="1" outlineLevel="1"/>
    <col min="24" max="24" width="8" customWidth="1" outlineLevel="1"/>
    <col min="25" max="26" width="10.28515625" customWidth="1" outlineLevel="1"/>
    <col min="27" max="27" width="7.5703125" customWidth="1" outlineLevel="1"/>
    <col min="28" max="28" width="8" customWidth="1" outlineLevel="1"/>
    <col min="29" max="30" width="10.28515625" customWidth="1" outlineLevel="1"/>
    <col min="31" max="31" width="7.5703125" customWidth="1" outlineLevel="1"/>
    <col min="32" max="32" width="8" customWidth="1" outlineLevel="1"/>
    <col min="33" max="34" width="10.28515625" customWidth="1" outlineLevel="1"/>
    <col min="35" max="35" width="7.5703125" customWidth="1" outlineLevel="1"/>
    <col min="36" max="36" width="8" customWidth="1" outlineLevel="1"/>
    <col min="37" max="38" width="10.28515625" customWidth="1" outlineLevel="1"/>
    <col min="39" max="39" width="5.7109375" customWidth="1"/>
    <col min="40" max="40" width="8" customWidth="1"/>
    <col min="41" max="41" width="11.28515625" customWidth="1"/>
    <col min="42" max="42" width="10.28515625" customWidth="1"/>
    <col min="43" max="43" width="5.7109375" customWidth="1"/>
    <col min="44" max="44" width="8" customWidth="1"/>
    <col min="45" max="46" width="10.28515625" customWidth="1"/>
    <col min="47" max="47" width="5.7109375" customWidth="1"/>
    <col min="48" max="48" width="8" customWidth="1"/>
    <col min="49" max="50" width="10.28515625" customWidth="1"/>
    <col min="51" max="51" width="7.5703125" customWidth="1"/>
    <col min="52" max="52" width="8" customWidth="1"/>
    <col min="53" max="53" width="9.42578125" customWidth="1"/>
    <col min="54" max="54" width="10.28515625" customWidth="1"/>
    <col min="55" max="55" width="7.5703125" customWidth="1"/>
    <col min="56" max="56" width="9.42578125" customWidth="1"/>
    <col min="57" max="57" width="10.28515625" customWidth="1"/>
    <col min="58" max="58" width="7.5703125" customWidth="1"/>
    <col min="59" max="59" width="9.42578125" customWidth="1"/>
    <col min="60" max="60" width="6.5703125" customWidth="1"/>
    <col min="61" max="65" width="10.28515625" customWidth="1"/>
    <col min="66" max="66" width="6" customWidth="1"/>
    <col min="67" max="67" width="12.5703125" bestFit="1" customWidth="1"/>
    <col min="68" max="68" width="6.5703125" customWidth="1"/>
    <col min="69" max="69" width="10.28515625" customWidth="1"/>
    <col min="70" max="70" width="8.7109375" bestFit="1" customWidth="1"/>
    <col min="71" max="71" width="11.28515625" customWidth="1"/>
    <col min="72" max="72" width="6.5703125" customWidth="1"/>
    <col min="73" max="73" width="10.28515625" customWidth="1"/>
    <col min="74" max="74" width="8.7109375" bestFit="1" customWidth="1"/>
    <col min="75" max="75" width="11.28515625" customWidth="1"/>
    <col min="76" max="76" width="6.5703125" customWidth="1"/>
    <col min="77" max="78" width="10.28515625" customWidth="1"/>
    <col min="79" max="79" width="12.5703125" bestFit="1" customWidth="1"/>
    <col min="80" max="81" width="10.28515625" customWidth="1"/>
    <col min="82" max="82" width="8.7109375" bestFit="1" customWidth="1"/>
    <col min="83" max="83" width="10.7109375" customWidth="1"/>
    <col min="84" max="84" width="7.7109375" bestFit="1" customWidth="1"/>
    <col min="85" max="86" width="10.28515625" customWidth="1"/>
    <col min="87" max="87" width="12.5703125" bestFit="1" customWidth="1"/>
    <col min="88" max="88" width="10.28515625" customWidth="1"/>
    <col min="89" max="89" width="8.7109375" bestFit="1" customWidth="1"/>
    <col min="90" max="90" width="12.5703125" bestFit="1" customWidth="1"/>
    <col min="91" max="92" width="10.42578125" customWidth="1"/>
    <col min="93" max="93" width="12.5703125" bestFit="1" customWidth="1"/>
    <col min="94" max="94" width="10.7109375" bestFit="1" customWidth="1"/>
    <col min="95" max="95" width="8.7109375" bestFit="1" customWidth="1"/>
    <col min="96" max="97" width="11.28515625" customWidth="1"/>
    <col min="98" max="98" width="10.28515625" customWidth="1"/>
    <col min="99" max="99" width="12.28515625" bestFit="1" customWidth="1"/>
    <col min="100" max="101" width="11.28515625" customWidth="1"/>
    <col min="102" max="102" width="13.42578125" bestFit="1" customWidth="1"/>
    <col min="103" max="103" width="12.28515625" bestFit="1" customWidth="1"/>
    <col min="104" max="105" width="11.28515625" customWidth="1"/>
    <col min="106" max="106" width="10.28515625" customWidth="1"/>
    <col min="107" max="107" width="12.28515625" bestFit="1" customWidth="1"/>
    <col min="108" max="109" width="11.28515625" customWidth="1"/>
    <col min="110" max="110" width="10.28515625" customWidth="1"/>
    <col min="111" max="111" width="12.28515625" bestFit="1" customWidth="1"/>
    <col min="112" max="113" width="11.28515625" customWidth="1"/>
    <col min="114" max="115" width="12.28515625" bestFit="1" customWidth="1"/>
    <col min="116" max="117" width="11.28515625" customWidth="1"/>
    <col min="118" max="119" width="12.28515625" bestFit="1" customWidth="1"/>
    <col min="120" max="121" width="11.28515625" customWidth="1"/>
    <col min="122" max="123" width="12.28515625" bestFit="1" customWidth="1"/>
    <col min="124" max="125" width="11.28515625" customWidth="1"/>
    <col min="126" max="127" width="12.28515625" bestFit="1" customWidth="1"/>
    <col min="128" max="129" width="11.28515625" customWidth="1"/>
    <col min="130" max="131" width="12.28515625" bestFit="1" customWidth="1"/>
    <col min="132" max="132" width="11.28515625" customWidth="1"/>
    <col min="133" max="133" width="14.28515625" customWidth="1"/>
    <col min="134" max="135" width="12.28515625" bestFit="1" customWidth="1"/>
    <col min="136" max="136" width="11.28515625" customWidth="1"/>
    <col min="137" max="137" width="14.28515625" customWidth="1"/>
    <col min="138" max="138" width="13.7109375" customWidth="1"/>
    <col min="139" max="139" width="12.28515625" bestFit="1" customWidth="1"/>
    <col min="140" max="140" width="11.28515625" customWidth="1"/>
    <col min="141" max="141" width="14.28515625" customWidth="1"/>
    <col min="142" max="142" width="13.7109375" customWidth="1"/>
    <col min="143" max="143" width="12.28515625" bestFit="1" customWidth="1"/>
    <col min="144" max="144" width="11.28515625" customWidth="1"/>
    <col min="145" max="145" width="14.28515625" customWidth="1"/>
    <col min="146" max="146" width="13.7109375" customWidth="1"/>
    <col min="147" max="147" width="12.28515625" bestFit="1" customWidth="1"/>
    <col min="148" max="148" width="11.28515625" customWidth="1"/>
    <col min="149" max="149" width="14.28515625" customWidth="1"/>
    <col min="150" max="150" width="13.7109375" customWidth="1"/>
    <col min="151" max="151" width="12.28515625" bestFit="1" customWidth="1"/>
    <col min="152" max="152" width="11.28515625" customWidth="1"/>
    <col min="153" max="153" width="14.28515625" customWidth="1"/>
    <col min="154" max="154" width="13.7109375" customWidth="1"/>
    <col min="155" max="155" width="12.28515625" bestFit="1" customWidth="1"/>
    <col min="156" max="156" width="11.28515625" customWidth="1"/>
    <col min="157" max="157" width="14.28515625" customWidth="1"/>
    <col min="158" max="158" width="13.7109375" customWidth="1"/>
    <col min="159" max="159" width="12.28515625" bestFit="1" customWidth="1"/>
    <col min="160" max="160" width="11.28515625" customWidth="1"/>
    <col min="161" max="161" width="14.28515625" customWidth="1"/>
    <col min="162" max="162" width="13.7109375" customWidth="1"/>
    <col min="163" max="163" width="12.28515625" bestFit="1" customWidth="1"/>
    <col min="164" max="164" width="11.28515625" customWidth="1"/>
    <col min="165" max="165" width="14.28515625" customWidth="1"/>
    <col min="166" max="174" width="13.7109375" customWidth="1"/>
    <col min="175" max="175" width="12.28515625" bestFit="1" customWidth="1"/>
    <col min="176" max="176" width="12.28515625" customWidth="1"/>
    <col min="177" max="177" width="11.28515625" customWidth="1"/>
    <col min="178" max="179" width="14.28515625" customWidth="1"/>
    <col min="180" max="180" width="13.7109375" customWidth="1"/>
  </cols>
  <sheetData>
    <row r="1" spans="2:180" s="551" customFormat="1" ht="7.5" customHeight="1" x14ac:dyDescent="0.2">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c r="FC1" s="557"/>
      <c r="FD1" s="557"/>
      <c r="FE1" s="557"/>
      <c r="FF1" s="557"/>
      <c r="FG1" s="557"/>
      <c r="FH1" s="557"/>
      <c r="FI1" s="557"/>
      <c r="FJ1" s="557"/>
      <c r="FK1" s="557"/>
      <c r="FL1" s="557"/>
      <c r="FM1" s="557"/>
      <c r="FN1" s="557"/>
      <c r="FO1" s="557"/>
      <c r="FP1" s="557"/>
      <c r="FQ1" s="557"/>
      <c r="FR1" s="557"/>
      <c r="FS1" s="557"/>
      <c r="FT1" s="557"/>
      <c r="FU1" s="557"/>
      <c r="FV1" s="557"/>
      <c r="FW1" s="557"/>
      <c r="FX1" s="557"/>
    </row>
    <row r="2" spans="2:180" s="551" customFormat="1" ht="12.75" customHeight="1" x14ac:dyDescent="0.2">
      <c r="B2" s="587"/>
      <c r="C2" s="588"/>
      <c r="D2" s="842"/>
      <c r="E2" s="842"/>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844"/>
      <c r="BV2" s="557"/>
      <c r="BW2" s="557"/>
      <c r="BX2" s="557"/>
      <c r="BY2" s="844"/>
      <c r="BZ2" s="557"/>
      <c r="CA2" s="557"/>
      <c r="CB2" s="557"/>
      <c r="CC2" s="844"/>
      <c r="CD2" s="557"/>
      <c r="CE2" s="557"/>
      <c r="CF2" s="557"/>
      <c r="CG2" s="844"/>
      <c r="CH2" s="844"/>
      <c r="CI2" s="844"/>
      <c r="CJ2" s="844"/>
      <c r="CK2" s="844"/>
      <c r="CL2" s="557"/>
      <c r="CM2" s="844"/>
      <c r="CN2" s="844"/>
      <c r="CO2" s="557"/>
      <c r="CP2" s="844"/>
      <c r="CQ2" s="844"/>
      <c r="CR2" s="557"/>
      <c r="CS2" s="557"/>
      <c r="CT2" s="844"/>
      <c r="CU2" s="844"/>
      <c r="CV2" s="557"/>
      <c r="CW2" s="557"/>
      <c r="CX2" s="844"/>
      <c r="CY2" s="844"/>
      <c r="CZ2" s="557"/>
      <c r="DA2" s="557"/>
      <c r="DB2" s="844"/>
      <c r="DC2" s="844"/>
      <c r="DD2" s="557"/>
      <c r="DE2" s="557"/>
      <c r="DF2" s="844"/>
      <c r="DG2" s="844"/>
      <c r="DH2" s="557"/>
      <c r="DI2" s="557"/>
      <c r="DJ2" s="844"/>
      <c r="DK2" s="844"/>
      <c r="DL2" s="557"/>
      <c r="DM2" s="557"/>
      <c r="DN2" s="844"/>
      <c r="DO2" s="844"/>
      <c r="DP2" s="557"/>
      <c r="DQ2" s="557"/>
      <c r="DR2" s="844"/>
      <c r="DS2" s="844"/>
      <c r="DT2" s="557"/>
      <c r="DU2" s="557"/>
      <c r="DV2" s="844"/>
      <c r="DW2" s="844"/>
      <c r="DX2" s="557"/>
      <c r="DY2" s="557"/>
      <c r="DZ2" s="844"/>
      <c r="EA2" s="844"/>
      <c r="EB2" s="557"/>
      <c r="EC2" s="557"/>
      <c r="ED2" s="844"/>
      <c r="EE2" s="844"/>
      <c r="EF2" s="557"/>
      <c r="EG2" s="557"/>
      <c r="EH2" s="844"/>
      <c r="EI2" s="844"/>
      <c r="EJ2" s="557"/>
      <c r="EK2" s="557"/>
      <c r="EL2" s="844"/>
      <c r="EM2" s="844"/>
      <c r="EN2" s="557"/>
      <c r="EO2" s="557"/>
      <c r="EP2" s="844"/>
      <c r="EQ2" s="844"/>
      <c r="ER2" s="557"/>
      <c r="ES2" s="557"/>
      <c r="ET2" s="844"/>
      <c r="EU2" s="844"/>
      <c r="EV2" s="557"/>
      <c r="EW2" s="557"/>
      <c r="EX2" s="844"/>
      <c r="EY2" s="844"/>
      <c r="EZ2" s="557"/>
      <c r="FA2" s="557"/>
      <c r="FB2" s="844"/>
      <c r="FC2" s="844"/>
      <c r="FD2" s="557"/>
      <c r="FE2" s="557"/>
      <c r="FF2" s="844"/>
      <c r="FG2" s="844"/>
      <c r="FH2" s="557"/>
      <c r="FI2" s="557"/>
      <c r="FJ2" s="844"/>
      <c r="FK2" s="844"/>
      <c r="FL2" s="557"/>
      <c r="FM2" s="557"/>
      <c r="FN2" s="844"/>
      <c r="FO2" s="844"/>
      <c r="FP2" s="557"/>
      <c r="FQ2" s="557"/>
      <c r="FR2" s="844"/>
      <c r="FS2" s="844"/>
      <c r="FT2" s="844"/>
      <c r="FU2" s="557"/>
      <c r="FV2" s="557"/>
      <c r="FW2" s="557"/>
      <c r="FX2" s="844"/>
    </row>
    <row r="3" spans="2:180" s="551" customFormat="1" ht="12.75" customHeight="1" x14ac:dyDescent="0.2">
      <c r="B3" s="587"/>
      <c r="C3" s="588" t="s">
        <v>471</v>
      </c>
      <c r="D3" s="842"/>
      <c r="E3" s="842"/>
      <c r="F3" s="843" t="s">
        <v>472</v>
      </c>
      <c r="G3" s="843"/>
      <c r="H3" s="843"/>
      <c r="I3" s="843"/>
      <c r="J3" s="843"/>
      <c r="K3" s="843" t="s">
        <v>473</v>
      </c>
      <c r="L3" s="843"/>
      <c r="M3" s="843"/>
      <c r="N3" s="843"/>
      <c r="O3" s="843"/>
      <c r="P3" s="843"/>
      <c r="Q3" s="843" t="s">
        <v>474</v>
      </c>
      <c r="R3" s="843"/>
      <c r="S3" s="843"/>
      <c r="T3" s="843"/>
      <c r="U3" s="843"/>
      <c r="V3" s="843"/>
      <c r="W3" s="843" t="s">
        <v>475</v>
      </c>
      <c r="X3" s="843"/>
      <c r="Y3" s="843"/>
      <c r="Z3" s="557"/>
      <c r="AA3" s="843" t="s">
        <v>476</v>
      </c>
      <c r="AB3" s="843"/>
      <c r="AC3" s="843"/>
      <c r="AD3" s="557"/>
      <c r="AE3" s="557" t="s">
        <v>477</v>
      </c>
      <c r="AF3" s="557"/>
      <c r="AG3" s="557"/>
      <c r="AH3" s="557"/>
      <c r="AI3" s="557" t="s">
        <v>478</v>
      </c>
      <c r="AJ3" s="557"/>
      <c r="AK3" s="557"/>
      <c r="AL3" s="557"/>
      <c r="AM3" s="557" t="s">
        <v>479</v>
      </c>
      <c r="AN3" s="557"/>
      <c r="AO3" s="557"/>
      <c r="AP3" s="557"/>
      <c r="AQ3" s="557" t="s">
        <v>371</v>
      </c>
      <c r="AR3" s="557"/>
      <c r="AS3" s="557"/>
      <c r="AT3" s="557"/>
      <c r="AU3" s="557" t="s">
        <v>372</v>
      </c>
      <c r="AV3" s="557"/>
      <c r="AW3" s="557"/>
      <c r="AX3" s="557"/>
      <c r="AY3" s="557" t="s">
        <v>373</v>
      </c>
      <c r="AZ3" s="557"/>
      <c r="BA3" s="557"/>
      <c r="BB3" s="557"/>
      <c r="BC3" s="557" t="s">
        <v>374</v>
      </c>
      <c r="BD3" s="557"/>
      <c r="BE3" s="557"/>
      <c r="BF3" s="557" t="s">
        <v>375</v>
      </c>
      <c r="BG3" s="557"/>
      <c r="BH3" s="557"/>
      <c r="BI3" s="557"/>
      <c r="BJ3" s="557" t="s">
        <v>376</v>
      </c>
      <c r="BK3" s="557"/>
      <c r="BL3" s="557"/>
      <c r="BM3" s="557"/>
      <c r="BN3" s="557" t="s">
        <v>694</v>
      </c>
      <c r="BO3" s="557"/>
      <c r="BP3" s="557"/>
      <c r="BQ3" s="557"/>
      <c r="BR3" s="557" t="s">
        <v>758</v>
      </c>
      <c r="BS3" s="557"/>
      <c r="BT3" s="557"/>
      <c r="BU3" s="557"/>
      <c r="BV3" s="557" t="s">
        <v>771</v>
      </c>
      <c r="BW3" s="557"/>
      <c r="BX3" s="557"/>
      <c r="BY3" s="557"/>
      <c r="BZ3" s="557" t="s">
        <v>788</v>
      </c>
      <c r="CA3" s="557"/>
      <c r="CB3" s="557"/>
      <c r="CC3" s="557"/>
      <c r="CD3" s="557" t="s">
        <v>844</v>
      </c>
      <c r="CE3" s="557"/>
      <c r="CF3" s="557"/>
      <c r="CG3" s="557"/>
      <c r="CH3" s="557" t="s">
        <v>862</v>
      </c>
      <c r="CI3" s="557"/>
      <c r="CJ3" s="557"/>
      <c r="CK3" s="557" t="s">
        <v>922</v>
      </c>
      <c r="CL3" s="557"/>
      <c r="CM3" s="557"/>
      <c r="CN3" s="557" t="s">
        <v>923</v>
      </c>
      <c r="CO3" s="557"/>
      <c r="CP3" s="557"/>
      <c r="CQ3" s="557" t="s">
        <v>924</v>
      </c>
      <c r="CR3" s="557"/>
      <c r="CS3" s="557"/>
      <c r="CT3" s="557"/>
      <c r="CU3" s="557" t="s">
        <v>995</v>
      </c>
      <c r="CV3" s="557"/>
      <c r="CW3" s="557"/>
      <c r="CX3" s="557"/>
      <c r="CY3" s="557" t="s">
        <v>1027</v>
      </c>
      <c r="CZ3" s="557"/>
      <c r="DA3" s="557"/>
      <c r="DB3" s="557"/>
      <c r="DC3" s="557" t="s">
        <v>1028</v>
      </c>
      <c r="DD3" s="557"/>
      <c r="DE3" s="557"/>
      <c r="DF3" s="557"/>
      <c r="DG3" s="557" t="s">
        <v>993</v>
      </c>
      <c r="DH3" s="557"/>
      <c r="DI3" s="557"/>
      <c r="DJ3" s="557"/>
      <c r="DK3" s="557" t="s">
        <v>1124</v>
      </c>
      <c r="DL3" s="557"/>
      <c r="DM3" s="557"/>
      <c r="DN3" s="557"/>
      <c r="DO3" s="557" t="s">
        <v>1125</v>
      </c>
      <c r="DP3" s="557"/>
      <c r="DQ3" s="557"/>
      <c r="DR3" s="557"/>
      <c r="DS3" s="557" t="s">
        <v>1126</v>
      </c>
      <c r="DT3" s="557"/>
      <c r="DU3" s="557"/>
      <c r="DV3" s="557"/>
      <c r="DW3" s="557" t="s">
        <v>1127</v>
      </c>
      <c r="DX3" s="557"/>
      <c r="DY3" s="557"/>
      <c r="DZ3" s="557"/>
      <c r="EA3" s="557" t="str">
        <f>SUBSTITUTE(EA1,"T","Q")</f>
        <v/>
      </c>
      <c r="EB3" s="557"/>
      <c r="EC3" s="557" t="s">
        <v>1293</v>
      </c>
      <c r="ED3" s="557"/>
      <c r="EE3" s="557" t="str">
        <f>SUBSTITUTE(EE1,"T","Q")</f>
        <v/>
      </c>
      <c r="EF3" s="557"/>
      <c r="EG3" s="557" t="s">
        <v>1293</v>
      </c>
      <c r="EH3" s="557"/>
      <c r="EI3" s="557" t="str">
        <f>SUBSTITUTE(EI1,"T","Q")</f>
        <v/>
      </c>
      <c r="EJ3" s="557"/>
      <c r="EK3" s="557" t="s">
        <v>1293</v>
      </c>
      <c r="EL3" s="557"/>
      <c r="EM3" s="557" t="str">
        <f>SUBSTITUTE(EM1,"T","Q")</f>
        <v/>
      </c>
      <c r="EN3" s="557"/>
      <c r="EO3" s="557" t="s">
        <v>1293</v>
      </c>
      <c r="EP3" s="557"/>
      <c r="EQ3" s="557" t="str">
        <f>SUBSTITUTE(EQ1,"T","Q")</f>
        <v/>
      </c>
      <c r="ER3" s="557"/>
      <c r="ES3" s="557" t="s">
        <v>1293</v>
      </c>
      <c r="ET3" s="557"/>
      <c r="EU3" s="557" t="str">
        <f>SUBSTITUTE(EU1,"T","Q")</f>
        <v/>
      </c>
      <c r="EV3" s="557"/>
      <c r="EW3" s="557" t="s">
        <v>1293</v>
      </c>
      <c r="EX3" s="557"/>
      <c r="EY3" s="557" t="str">
        <f>SUBSTITUTE(EY1,"T","Q")</f>
        <v/>
      </c>
      <c r="EZ3" s="557"/>
      <c r="FA3" s="557" t="s">
        <v>1293</v>
      </c>
      <c r="FB3" s="557"/>
      <c r="FC3" s="557" t="str">
        <f>SUBSTITUTE(FC1,"T","Q")</f>
        <v/>
      </c>
      <c r="FD3" s="557"/>
      <c r="FE3" s="557" t="s">
        <v>1293</v>
      </c>
      <c r="FF3" s="557"/>
      <c r="FG3" s="557" t="str">
        <f>SUBSTITUTE(FG1,"T","Q")</f>
        <v/>
      </c>
      <c r="FH3" s="557"/>
      <c r="FI3" s="557" t="s">
        <v>1293</v>
      </c>
      <c r="FJ3" s="557"/>
      <c r="FK3" s="557" t="str">
        <f>SUBSTITUTE(FK1,"T","Q")</f>
        <v/>
      </c>
      <c r="FL3" s="557"/>
      <c r="FM3" s="557" t="s">
        <v>1293</v>
      </c>
      <c r="FN3" s="557"/>
      <c r="FO3" s="557" t="str">
        <f>SUBSTITUTE(FO1,"T","Q")</f>
        <v/>
      </c>
      <c r="FP3" s="557"/>
      <c r="FQ3" s="557" t="s">
        <v>1293</v>
      </c>
      <c r="FR3" s="557"/>
      <c r="FS3" s="557" t="str">
        <f>SUBSTITUTE(FS1,"T","Q")</f>
        <v/>
      </c>
      <c r="FT3" s="557"/>
      <c r="FU3" s="557"/>
      <c r="FV3" s="557"/>
      <c r="FW3" s="557"/>
      <c r="FX3" s="557"/>
    </row>
    <row r="4" spans="2:180" s="551" customFormat="1" ht="12.75" customHeight="1" x14ac:dyDescent="0.2">
      <c r="B4" s="587"/>
      <c r="C4" s="588" t="s">
        <v>650</v>
      </c>
      <c r="D4" s="842" t="s">
        <v>651</v>
      </c>
      <c r="E4" s="842" t="str">
        <f>TEXT(E2,"m/d/aa;@")</f>
        <v>1/0/00</v>
      </c>
      <c r="F4" s="843" t="s">
        <v>650</v>
      </c>
      <c r="G4" s="843" t="s">
        <v>651</v>
      </c>
      <c r="H4" s="843" t="s">
        <v>652</v>
      </c>
      <c r="I4" s="843" t="s">
        <v>653</v>
      </c>
      <c r="J4" s="843" t="str">
        <f>TEXT(J2,"m/d/aa;@")</f>
        <v>1/0/00</v>
      </c>
      <c r="K4" s="843" t="s">
        <v>650</v>
      </c>
      <c r="L4" s="843" t="s">
        <v>651</v>
      </c>
      <c r="M4" s="843" t="s">
        <v>652</v>
      </c>
      <c r="N4" s="843" t="s">
        <v>224</v>
      </c>
      <c r="O4" s="843" t="s">
        <v>653</v>
      </c>
      <c r="P4" s="843" t="str">
        <f>TEXT(P2,"m/d/aa;@")</f>
        <v>1/0/00</v>
      </c>
      <c r="Q4" s="843" t="s">
        <v>650</v>
      </c>
      <c r="R4" s="843" t="s">
        <v>651</v>
      </c>
      <c r="S4" s="843" t="s">
        <v>652</v>
      </c>
      <c r="T4" s="843" t="s">
        <v>224</v>
      </c>
      <c r="U4" s="843" t="s">
        <v>653</v>
      </c>
      <c r="V4" s="843" t="str">
        <f>TEXT(V2,"m/d/aa;@")</f>
        <v>1/0/00</v>
      </c>
      <c r="W4" s="843" t="s">
        <v>650</v>
      </c>
      <c r="X4" s="843" t="s">
        <v>652</v>
      </c>
      <c r="Y4" s="843" t="s">
        <v>651</v>
      </c>
      <c r="Z4" s="843" t="str">
        <f>TEXT(Z2,"m/d/aa;@")</f>
        <v>1/0/00</v>
      </c>
      <c r="AA4" s="843" t="s">
        <v>650</v>
      </c>
      <c r="AB4" s="843" t="s">
        <v>652</v>
      </c>
      <c r="AC4" s="843" t="s">
        <v>651</v>
      </c>
      <c r="AD4" s="843" t="str">
        <f>TEXT(AD2,"m/d/aa;@")</f>
        <v>1/0/00</v>
      </c>
      <c r="AE4" s="557" t="s">
        <v>650</v>
      </c>
      <c r="AF4" s="557" t="s">
        <v>652</v>
      </c>
      <c r="AG4" s="557" t="s">
        <v>651</v>
      </c>
      <c r="AH4" s="557" t="str">
        <f>TEXT(AH2,"m/d/aa;@")</f>
        <v>1/0/00</v>
      </c>
      <c r="AI4" s="557" t="s">
        <v>650</v>
      </c>
      <c r="AJ4" s="557" t="s">
        <v>652</v>
      </c>
      <c r="AK4" s="557" t="s">
        <v>651</v>
      </c>
      <c r="AL4" s="557" t="str">
        <f>TEXT(AL2,"m/d/aa;@")</f>
        <v>1/0/00</v>
      </c>
      <c r="AM4" s="557" t="s">
        <v>650</v>
      </c>
      <c r="AN4" s="557" t="s">
        <v>652</v>
      </c>
      <c r="AO4" s="557" t="s">
        <v>651</v>
      </c>
      <c r="AP4" s="557" t="str">
        <f>TEXT(AP2,"m/d/aa;@")</f>
        <v>1/0/00</v>
      </c>
      <c r="AQ4" s="557" t="s">
        <v>650</v>
      </c>
      <c r="AR4" s="557" t="s">
        <v>652</v>
      </c>
      <c r="AS4" s="557" t="s">
        <v>651</v>
      </c>
      <c r="AT4" s="557" t="str">
        <f>TEXT(AT2,"m/d/aa;@")</f>
        <v>1/0/00</v>
      </c>
      <c r="AU4" s="557" t="s">
        <v>650</v>
      </c>
      <c r="AV4" s="557" t="s">
        <v>652</v>
      </c>
      <c r="AW4" s="557" t="s">
        <v>651</v>
      </c>
      <c r="AX4" s="557" t="str">
        <f>TEXT(AX2,"m/d/aa;@")</f>
        <v>1/0/00</v>
      </c>
      <c r="AY4" s="557" t="s">
        <v>650</v>
      </c>
      <c r="AZ4" s="557" t="s">
        <v>652</v>
      </c>
      <c r="BA4" s="557" t="s">
        <v>651</v>
      </c>
      <c r="BB4" s="557" t="str">
        <f>TEXT(BB2,"m/d/aa;@")</f>
        <v>1/0/00</v>
      </c>
      <c r="BC4" s="557" t="s">
        <v>650</v>
      </c>
      <c r="BD4" s="557" t="s">
        <v>651</v>
      </c>
      <c r="BE4" s="557" t="str">
        <f>TEXT(BE2,"m/d/aa;@")</f>
        <v>1/0/00</v>
      </c>
      <c r="BF4" s="557" t="s">
        <v>650</v>
      </c>
      <c r="BG4" s="557" t="s">
        <v>651</v>
      </c>
      <c r="BH4" s="557" t="s">
        <v>224</v>
      </c>
      <c r="BI4" s="557" t="str">
        <f>TEXT(BI2,"m/d/aa;@")</f>
        <v>1/0/00</v>
      </c>
      <c r="BJ4" s="557" t="s">
        <v>650</v>
      </c>
      <c r="BK4" s="557" t="s">
        <v>651</v>
      </c>
      <c r="BL4" s="557" t="s">
        <v>224</v>
      </c>
      <c r="BM4" s="557" t="str">
        <f>TEXT(BM2,"m/d/aa;@")</f>
        <v>1/0/00</v>
      </c>
      <c r="BN4" s="557" t="s">
        <v>650</v>
      </c>
      <c r="BO4" s="557" t="s">
        <v>651</v>
      </c>
      <c r="BP4" s="557" t="s">
        <v>224</v>
      </c>
      <c r="BQ4" s="557" t="str">
        <f>TEXT(BQ2,"m/d/aa;@")</f>
        <v>1/0/00</v>
      </c>
      <c r="BR4" s="557" t="s">
        <v>650</v>
      </c>
      <c r="BS4" s="557" t="s">
        <v>651</v>
      </c>
      <c r="BT4" s="557" t="s">
        <v>224</v>
      </c>
      <c r="BU4" s="557" t="str">
        <f>TEXT(BU2,"m/d/aa;@")</f>
        <v>1/0/00</v>
      </c>
      <c r="BV4" s="557" t="s">
        <v>650</v>
      </c>
      <c r="BW4" s="557" t="s">
        <v>651</v>
      </c>
      <c r="BX4" s="557" t="s">
        <v>224</v>
      </c>
      <c r="BY4" s="557" t="str">
        <f>TEXT(BY2,"m/d/aa;@")</f>
        <v>1/0/00</v>
      </c>
      <c r="BZ4" s="557" t="s">
        <v>650</v>
      </c>
      <c r="CA4" s="557" t="s">
        <v>651</v>
      </c>
      <c r="CB4" s="557" t="s">
        <v>224</v>
      </c>
      <c r="CC4" s="557" t="str">
        <f>TEXT(CC2,"m/d/aa;@")</f>
        <v>1/0/00</v>
      </c>
      <c r="CD4" s="557" t="s">
        <v>650</v>
      </c>
      <c r="CE4" s="557" t="s">
        <v>651</v>
      </c>
      <c r="CF4" s="557" t="s">
        <v>224</v>
      </c>
      <c r="CG4" s="557" t="str">
        <f>TEXT(CG2,"m/d/aa;@")</f>
        <v>1/0/00</v>
      </c>
      <c r="CH4" s="557" t="s">
        <v>650</v>
      </c>
      <c r="CI4" s="557" t="s">
        <v>651</v>
      </c>
      <c r="CJ4" s="557" t="s">
        <v>928</v>
      </c>
      <c r="CK4" s="557" t="s">
        <v>650</v>
      </c>
      <c r="CL4" s="557" t="s">
        <v>651</v>
      </c>
      <c r="CM4" s="557" t="str">
        <f>TEXT(CM2,"m/d/aa;@")</f>
        <v>1/0/00</v>
      </c>
      <c r="CN4" s="557" t="s">
        <v>650</v>
      </c>
      <c r="CO4" s="557" t="s">
        <v>651</v>
      </c>
      <c r="CP4" s="557" t="str">
        <f>TEXT(CP2,"m/d/aa;@")</f>
        <v>1/0/00</v>
      </c>
      <c r="CQ4" s="557" t="s">
        <v>650</v>
      </c>
      <c r="CR4" s="557" t="s">
        <v>651</v>
      </c>
      <c r="CS4" s="557" t="s">
        <v>224</v>
      </c>
      <c r="CT4" s="557" t="str">
        <f>TEXT(CT2,"m/d/aa;@")</f>
        <v>1/0/00</v>
      </c>
      <c r="CU4" s="557" t="s">
        <v>650</v>
      </c>
      <c r="CV4" s="557" t="s">
        <v>651</v>
      </c>
      <c r="CW4" s="557" t="s">
        <v>224</v>
      </c>
      <c r="CX4" s="557" t="str">
        <f>TEXT(CX2,"m/d/aa;@")</f>
        <v>1/0/00</v>
      </c>
      <c r="CY4" s="557" t="s">
        <v>650</v>
      </c>
      <c r="CZ4" s="557" t="s">
        <v>651</v>
      </c>
      <c r="DA4" s="557" t="s">
        <v>224</v>
      </c>
      <c r="DB4" s="557" t="str">
        <f>TEXT(DB2,"m/d/aa;@")</f>
        <v>1/0/00</v>
      </c>
      <c r="DC4" s="557" t="s">
        <v>650</v>
      </c>
      <c r="DD4" s="557" t="s">
        <v>651</v>
      </c>
      <c r="DE4" s="557" t="s">
        <v>224</v>
      </c>
      <c r="DF4" s="557" t="str">
        <f>TEXT(DF2,"m/d/aa;@")</f>
        <v>1/0/00</v>
      </c>
      <c r="DG4" s="557" t="s">
        <v>650</v>
      </c>
      <c r="DH4" s="557" t="s">
        <v>651</v>
      </c>
      <c r="DI4" s="557" t="s">
        <v>224</v>
      </c>
      <c r="DJ4" s="557" t="str">
        <f>TEXT(DJ2,"m/d/aa;@")</f>
        <v>1/0/00</v>
      </c>
      <c r="DK4" s="557" t="s">
        <v>650</v>
      </c>
      <c r="DL4" s="557" t="s">
        <v>651</v>
      </c>
      <c r="DM4" s="557" t="s">
        <v>224</v>
      </c>
      <c r="DN4" s="557" t="str">
        <f>TEXT(DN2,"m/d/aa;@")</f>
        <v>1/0/00</v>
      </c>
      <c r="DO4" s="557" t="s">
        <v>650</v>
      </c>
      <c r="DP4" s="557" t="s">
        <v>651</v>
      </c>
      <c r="DQ4" s="557" t="s">
        <v>224</v>
      </c>
      <c r="DR4" s="557" t="str">
        <f>TEXT(DR2,"m/d/aa;@")</f>
        <v>1/0/00</v>
      </c>
      <c r="DS4" s="557" t="s">
        <v>650</v>
      </c>
      <c r="DT4" s="557" t="s">
        <v>651</v>
      </c>
      <c r="DU4" s="557" t="s">
        <v>224</v>
      </c>
      <c r="DV4" s="557" t="s">
        <v>1177</v>
      </c>
      <c r="DW4" s="557" t="s">
        <v>650</v>
      </c>
      <c r="DX4" s="557" t="s">
        <v>651</v>
      </c>
      <c r="DY4" s="557"/>
      <c r="DZ4" s="557" t="str">
        <f>TEXT(DZ2,"m/d/aa;@")</f>
        <v>1/0/00</v>
      </c>
      <c r="EA4" s="557" t="s">
        <v>650</v>
      </c>
      <c r="EB4" s="557" t="s">
        <v>651</v>
      </c>
      <c r="EC4" s="557" t="s">
        <v>224</v>
      </c>
      <c r="ED4" s="557" t="str">
        <f>TEXT(ED2,"m/d/aa;@")</f>
        <v>1/0/00</v>
      </c>
      <c r="EE4" s="557" t="s">
        <v>650</v>
      </c>
      <c r="EF4" s="557" t="s">
        <v>651</v>
      </c>
      <c r="EG4" s="557" t="s">
        <v>224</v>
      </c>
      <c r="EH4" s="557" t="str">
        <f>TEXT(EH2,"m/d/aa;@")</f>
        <v>1/0/00</v>
      </c>
      <c r="EI4" s="557" t="s">
        <v>650</v>
      </c>
      <c r="EJ4" s="557" t="s">
        <v>651</v>
      </c>
      <c r="EK4" s="557" t="s">
        <v>224</v>
      </c>
      <c r="EL4" s="557" t="str">
        <f>TEXT(EL2,"m/d/aa;@")</f>
        <v>1/0/00</v>
      </c>
      <c r="EM4" s="557" t="s">
        <v>650</v>
      </c>
      <c r="EN4" s="557" t="s">
        <v>651</v>
      </c>
      <c r="EO4" s="557" t="s">
        <v>224</v>
      </c>
      <c r="EP4" s="557" t="str">
        <f>TEXT(EP2,"m/d/aa;@")</f>
        <v>1/0/00</v>
      </c>
      <c r="EQ4" s="557" t="s">
        <v>650</v>
      </c>
      <c r="ER4" s="557" t="s">
        <v>651</v>
      </c>
      <c r="ES4" s="557" t="s">
        <v>224</v>
      </c>
      <c r="ET4" s="557" t="str">
        <f>TEXT(ET2,"m/d/aa;@")</f>
        <v>1/0/00</v>
      </c>
      <c r="EU4" s="557" t="s">
        <v>650</v>
      </c>
      <c r="EV4" s="557" t="s">
        <v>651</v>
      </c>
      <c r="EW4" s="557" t="s">
        <v>224</v>
      </c>
      <c r="EX4" s="557" t="str">
        <f>TEXT(EX2,"m/d/aa;@")</f>
        <v>1/0/00</v>
      </c>
      <c r="EY4" s="557" t="s">
        <v>650</v>
      </c>
      <c r="EZ4" s="557" t="s">
        <v>651</v>
      </c>
      <c r="FA4" s="557" t="s">
        <v>1386</v>
      </c>
      <c r="FB4" s="557" t="str">
        <f>TEXT(FB2,"m/d/aa;@")</f>
        <v>1/0/00</v>
      </c>
      <c r="FC4" s="557" t="s">
        <v>650</v>
      </c>
      <c r="FD4" s="557" t="s">
        <v>651</v>
      </c>
      <c r="FE4" s="557" t="s">
        <v>1386</v>
      </c>
      <c r="FF4" s="557" t="str">
        <f>TEXT(FF2,"m/d/aa;@")</f>
        <v>1/0/00</v>
      </c>
      <c r="FG4" s="557" t="s">
        <v>650</v>
      </c>
      <c r="FH4" s="557" t="s">
        <v>651</v>
      </c>
      <c r="FI4" s="557" t="s">
        <v>1386</v>
      </c>
      <c r="FJ4" s="557" t="str">
        <f>TEXT(FJ2,"m/d/aa;@")</f>
        <v>1/0/00</v>
      </c>
      <c r="FK4" s="557" t="s">
        <v>650</v>
      </c>
      <c r="FL4" s="557" t="s">
        <v>651</v>
      </c>
      <c r="FM4" s="557" t="s">
        <v>1386</v>
      </c>
      <c r="FN4" s="557" t="str">
        <f>TEXT(FN2,"m/d/aa;@")</f>
        <v>1/0/00</v>
      </c>
      <c r="FO4" s="557" t="s">
        <v>650</v>
      </c>
      <c r="FP4" s="557" t="s">
        <v>651</v>
      </c>
      <c r="FQ4" s="557" t="s">
        <v>1386</v>
      </c>
      <c r="FR4" s="557" t="str">
        <f>TEXT(FR2,"m/d/aa;@")</f>
        <v>1/0/00</v>
      </c>
      <c r="FS4" s="557" t="s">
        <v>650</v>
      </c>
      <c r="FT4" s="557" t="s">
        <v>1387</v>
      </c>
      <c r="FU4" s="557" t="s">
        <v>651</v>
      </c>
      <c r="FV4" s="557" t="s">
        <v>1386</v>
      </c>
      <c r="FW4" s="557" t="s">
        <v>224</v>
      </c>
      <c r="FX4" s="557" t="str">
        <f>TEXT(FX2,"m/d/aa;@")</f>
        <v>1/0/00</v>
      </c>
    </row>
    <row r="5" spans="2:180" ht="22.5" customHeight="1" x14ac:dyDescent="0.2">
      <c r="B5" s="146" t="s">
        <v>397</v>
      </c>
      <c r="C5" s="547" t="s">
        <v>471</v>
      </c>
      <c r="D5" s="175"/>
      <c r="E5" s="173"/>
      <c r="F5" s="172" t="s">
        <v>472</v>
      </c>
      <c r="G5" s="175"/>
      <c r="H5" s="175"/>
      <c r="I5" s="175"/>
      <c r="J5" s="173"/>
      <c r="K5" s="172" t="s">
        <v>473</v>
      </c>
      <c r="L5" s="175"/>
      <c r="M5" s="175"/>
      <c r="N5" s="175"/>
      <c r="O5" s="175"/>
      <c r="P5" s="173"/>
      <c r="Q5" s="172" t="s">
        <v>474</v>
      </c>
      <c r="R5" s="175"/>
      <c r="S5" s="175"/>
      <c r="T5" s="175"/>
      <c r="U5" s="175"/>
      <c r="V5" s="173"/>
      <c r="W5" s="172" t="s">
        <v>475</v>
      </c>
      <c r="X5" s="175"/>
      <c r="Y5" s="175"/>
      <c r="Z5" s="173"/>
      <c r="AA5" s="172" t="s">
        <v>476</v>
      </c>
      <c r="AB5" s="175"/>
      <c r="AC5" s="175"/>
      <c r="AD5" s="173"/>
      <c r="AE5" s="172" t="s">
        <v>477</v>
      </c>
      <c r="AF5" s="175"/>
      <c r="AG5" s="175"/>
      <c r="AH5" s="173"/>
      <c r="AI5" s="172" t="s">
        <v>478</v>
      </c>
      <c r="AJ5" s="175"/>
      <c r="AK5" s="175"/>
      <c r="AL5" s="173"/>
      <c r="AM5" s="172" t="s">
        <v>479</v>
      </c>
      <c r="AN5" s="175"/>
      <c r="AO5" s="175"/>
      <c r="AP5" s="173"/>
      <c r="AQ5" s="172" t="s">
        <v>371</v>
      </c>
      <c r="AR5" s="175"/>
      <c r="AS5" s="175"/>
      <c r="AT5" s="173"/>
      <c r="AU5" s="172" t="s">
        <v>372</v>
      </c>
      <c r="AV5" s="175"/>
      <c r="AW5" s="175"/>
      <c r="AX5" s="173"/>
      <c r="AY5" s="175" t="s">
        <v>373</v>
      </c>
      <c r="AZ5" s="175"/>
      <c r="BA5" s="175"/>
      <c r="BB5" s="175"/>
      <c r="BC5" s="1267" t="s">
        <v>374</v>
      </c>
      <c r="BD5" s="1268">
        <f>IF(Menu!$A$4=1,BD3,BD1)</f>
        <v>0</v>
      </c>
      <c r="BE5" s="1269">
        <f>IF(Menu!$A$4=1,BE3,BE1)</f>
        <v>0</v>
      </c>
      <c r="BF5" s="175" t="s">
        <v>375</v>
      </c>
      <c r="BG5" s="175"/>
      <c r="BH5" s="175"/>
      <c r="BI5" s="175"/>
      <c r="BJ5" s="172" t="s">
        <v>376</v>
      </c>
      <c r="BK5" s="175"/>
      <c r="BL5" s="175"/>
      <c r="BM5" s="175"/>
      <c r="BN5" s="760" t="s">
        <v>694</v>
      </c>
      <c r="BO5" s="175"/>
      <c r="BP5" s="175"/>
      <c r="BQ5" s="173"/>
      <c r="BR5" s="172" t="s">
        <v>758</v>
      </c>
      <c r="BS5" s="175"/>
      <c r="BT5" s="175"/>
      <c r="BU5" s="173"/>
      <c r="BV5" s="172" t="s">
        <v>771</v>
      </c>
      <c r="BW5" s="175"/>
      <c r="BX5" s="175"/>
      <c r="BY5" s="173"/>
      <c r="BZ5" s="172" t="s">
        <v>788</v>
      </c>
      <c r="CA5" s="716"/>
      <c r="CB5" s="716"/>
      <c r="CC5" s="717"/>
      <c r="CD5" s="547" t="s">
        <v>844</v>
      </c>
      <c r="CE5" s="716"/>
      <c r="CF5" s="716"/>
      <c r="CG5" s="717"/>
      <c r="CH5" s="547" t="s">
        <v>862</v>
      </c>
      <c r="CI5" s="716"/>
      <c r="CJ5" s="716"/>
      <c r="CK5" s="547" t="s">
        <v>922</v>
      </c>
      <c r="CL5" s="716"/>
      <c r="CM5" s="716"/>
      <c r="CN5" s="547" t="s">
        <v>923</v>
      </c>
      <c r="CO5" s="716"/>
      <c r="CP5" s="716"/>
      <c r="CQ5" s="547" t="s">
        <v>924</v>
      </c>
      <c r="CR5" s="716"/>
      <c r="CS5" s="716"/>
      <c r="CT5" s="716"/>
      <c r="CU5" s="547" t="s">
        <v>995</v>
      </c>
      <c r="CV5" s="716"/>
      <c r="CW5" s="716"/>
      <c r="CX5" s="717"/>
      <c r="CY5" s="547" t="s">
        <v>1027</v>
      </c>
      <c r="CZ5" s="716"/>
      <c r="DA5" s="716"/>
      <c r="DB5" s="717"/>
      <c r="DC5" s="547" t="s">
        <v>1028</v>
      </c>
      <c r="DD5" s="716"/>
      <c r="DE5" s="716"/>
      <c r="DF5" s="717"/>
      <c r="DG5" s="547" t="s">
        <v>993</v>
      </c>
      <c r="DH5" s="716"/>
      <c r="DI5" s="716"/>
      <c r="DJ5" s="717"/>
      <c r="DK5" s="547" t="s">
        <v>1124</v>
      </c>
      <c r="DL5" s="716"/>
      <c r="DM5" s="716"/>
      <c r="DN5" s="717"/>
      <c r="DO5" s="547" t="s">
        <v>1125</v>
      </c>
      <c r="DP5" s="716"/>
      <c r="DQ5" s="716"/>
      <c r="DR5" s="717"/>
      <c r="DS5" s="547" t="s">
        <v>1126</v>
      </c>
      <c r="DT5" s="716"/>
      <c r="DU5" s="716"/>
      <c r="DV5" s="717"/>
      <c r="DW5" s="547" t="s">
        <v>1127</v>
      </c>
      <c r="DX5" s="716"/>
      <c r="DY5" s="716"/>
      <c r="DZ5" s="1076"/>
      <c r="EA5" s="547" t="s">
        <v>1181</v>
      </c>
      <c r="EB5" s="716"/>
      <c r="EC5" s="716"/>
      <c r="ED5" s="717"/>
      <c r="EE5" s="547" t="s">
        <v>1189</v>
      </c>
      <c r="EF5" s="716"/>
      <c r="EG5" s="716"/>
      <c r="EH5" s="717"/>
      <c r="EI5" s="547" t="s">
        <v>1191</v>
      </c>
      <c r="EJ5" s="716"/>
      <c r="EK5" s="716"/>
      <c r="EL5" s="717"/>
      <c r="EM5" s="547" t="s">
        <v>1193</v>
      </c>
      <c r="EN5" s="716"/>
      <c r="EO5" s="716"/>
      <c r="EP5" s="717"/>
      <c r="EQ5" s="547" t="s">
        <v>1232</v>
      </c>
      <c r="ER5" s="716"/>
      <c r="ES5" s="716"/>
      <c r="ET5" s="717"/>
      <c r="EU5" s="547" t="s">
        <v>1245</v>
      </c>
      <c r="EV5" s="716"/>
      <c r="EW5" s="716"/>
      <c r="EX5" s="717"/>
      <c r="EY5" s="547" t="s">
        <v>1247</v>
      </c>
      <c r="EZ5" s="716"/>
      <c r="FA5" s="716"/>
      <c r="FB5" s="717"/>
      <c r="FC5" s="547" t="s">
        <v>1249</v>
      </c>
      <c r="FD5" s="716"/>
      <c r="FE5" s="716"/>
      <c r="FF5" s="717"/>
      <c r="FG5" s="547" t="s">
        <v>1306</v>
      </c>
      <c r="FH5" s="716"/>
      <c r="FI5" s="716"/>
      <c r="FJ5" s="717"/>
      <c r="FK5" s="547" t="s">
        <v>1316</v>
      </c>
      <c r="FL5" s="716"/>
      <c r="FM5" s="716"/>
      <c r="FN5" s="717"/>
      <c r="FO5" s="547" t="s">
        <v>1317</v>
      </c>
      <c r="FP5" s="716"/>
      <c r="FQ5" s="716"/>
      <c r="FR5" s="717"/>
      <c r="FS5" s="547" t="s">
        <v>1318</v>
      </c>
      <c r="FT5" s="716"/>
      <c r="FU5" s="716"/>
      <c r="FV5" s="716"/>
      <c r="FW5" s="716"/>
      <c r="FX5" s="717"/>
    </row>
    <row r="6" spans="2:180" ht="25.5" x14ac:dyDescent="0.2">
      <c r="B6" s="171"/>
      <c r="C6" s="174" t="s">
        <v>650</v>
      </c>
      <c r="D6" s="171" t="s">
        <v>651</v>
      </c>
      <c r="E6" s="176" t="s">
        <v>1583</v>
      </c>
      <c r="F6" s="174" t="s">
        <v>650</v>
      </c>
      <c r="G6" s="171" t="s">
        <v>651</v>
      </c>
      <c r="H6" s="171" t="s">
        <v>652</v>
      </c>
      <c r="I6" s="171" t="s">
        <v>653</v>
      </c>
      <c r="J6" s="176" t="s">
        <v>1584</v>
      </c>
      <c r="K6" s="174" t="s">
        <v>650</v>
      </c>
      <c r="L6" s="171" t="s">
        <v>651</v>
      </c>
      <c r="M6" s="171" t="s">
        <v>652</v>
      </c>
      <c r="N6" s="171" t="s">
        <v>224</v>
      </c>
      <c r="O6" s="171" t="s">
        <v>653</v>
      </c>
      <c r="P6" s="176" t="s">
        <v>1585</v>
      </c>
      <c r="Q6" s="174" t="s">
        <v>650</v>
      </c>
      <c r="R6" s="171" t="s">
        <v>651</v>
      </c>
      <c r="S6" s="171" t="s">
        <v>652</v>
      </c>
      <c r="T6" s="171" t="s">
        <v>224</v>
      </c>
      <c r="U6" s="171" t="s">
        <v>653</v>
      </c>
      <c r="V6" s="176" t="s">
        <v>1586</v>
      </c>
      <c r="W6" s="174" t="s">
        <v>650</v>
      </c>
      <c r="X6" s="171" t="s">
        <v>652</v>
      </c>
      <c r="Y6" s="171" t="s">
        <v>651</v>
      </c>
      <c r="Z6" s="176" t="s">
        <v>1587</v>
      </c>
      <c r="AA6" s="174" t="s">
        <v>650</v>
      </c>
      <c r="AB6" s="171" t="s">
        <v>652</v>
      </c>
      <c r="AC6" s="171" t="s">
        <v>651</v>
      </c>
      <c r="AD6" s="176" t="s">
        <v>1588</v>
      </c>
      <c r="AE6" s="174" t="s">
        <v>650</v>
      </c>
      <c r="AF6" s="171" t="s">
        <v>652</v>
      </c>
      <c r="AG6" s="171" t="s">
        <v>651</v>
      </c>
      <c r="AH6" s="176" t="s">
        <v>1589</v>
      </c>
      <c r="AI6" s="174" t="s">
        <v>650</v>
      </c>
      <c r="AJ6" s="171" t="s">
        <v>652</v>
      </c>
      <c r="AK6" s="171" t="s">
        <v>651</v>
      </c>
      <c r="AL6" s="176" t="s">
        <v>1590</v>
      </c>
      <c r="AM6" s="174" t="s">
        <v>650</v>
      </c>
      <c r="AN6" s="171" t="s">
        <v>652</v>
      </c>
      <c r="AO6" s="171" t="s">
        <v>651</v>
      </c>
      <c r="AP6" s="176" t="s">
        <v>1591</v>
      </c>
      <c r="AQ6" s="174" t="s">
        <v>650</v>
      </c>
      <c r="AR6" s="171" t="s">
        <v>652</v>
      </c>
      <c r="AS6" s="171" t="s">
        <v>651</v>
      </c>
      <c r="AT6" s="176" t="s">
        <v>1592</v>
      </c>
      <c r="AU6" s="174" t="s">
        <v>650</v>
      </c>
      <c r="AV6" s="171" t="s">
        <v>652</v>
      </c>
      <c r="AW6" s="171" t="s">
        <v>651</v>
      </c>
      <c r="AX6" s="176" t="s">
        <v>1593</v>
      </c>
      <c r="AY6" s="325" t="s">
        <v>650</v>
      </c>
      <c r="AZ6" s="325" t="s">
        <v>652</v>
      </c>
      <c r="BA6" s="325" t="s">
        <v>651</v>
      </c>
      <c r="BB6" s="325" t="s">
        <v>1594</v>
      </c>
      <c r="BC6" s="332" t="s">
        <v>650</v>
      </c>
      <c r="BD6" s="325" t="s">
        <v>651</v>
      </c>
      <c r="BE6" s="176" t="s">
        <v>1595</v>
      </c>
      <c r="BF6" s="325" t="s">
        <v>650</v>
      </c>
      <c r="BG6" s="325" t="s">
        <v>651</v>
      </c>
      <c r="BH6" s="325" t="s">
        <v>224</v>
      </c>
      <c r="BI6" s="325" t="s">
        <v>1596</v>
      </c>
      <c r="BJ6" s="332" t="s">
        <v>650</v>
      </c>
      <c r="BK6" s="325" t="s">
        <v>651</v>
      </c>
      <c r="BL6" s="325" t="s">
        <v>224</v>
      </c>
      <c r="BM6" s="325" t="s">
        <v>1597</v>
      </c>
      <c r="BN6" s="174" t="s">
        <v>650</v>
      </c>
      <c r="BO6" s="171" t="s">
        <v>651</v>
      </c>
      <c r="BP6" s="171" t="s">
        <v>224</v>
      </c>
      <c r="BQ6" s="176" t="s">
        <v>1598</v>
      </c>
      <c r="BR6" s="174" t="s">
        <v>650</v>
      </c>
      <c r="BS6" s="171" t="s">
        <v>651</v>
      </c>
      <c r="BT6" s="171" t="s">
        <v>224</v>
      </c>
      <c r="BU6" s="176" t="s">
        <v>1599</v>
      </c>
      <c r="BV6" s="174" t="s">
        <v>650</v>
      </c>
      <c r="BW6" s="171" t="s">
        <v>651</v>
      </c>
      <c r="BX6" s="171" t="s">
        <v>224</v>
      </c>
      <c r="BY6" s="176" t="s">
        <v>1600</v>
      </c>
      <c r="BZ6" s="174" t="s">
        <v>650</v>
      </c>
      <c r="CA6" s="171" t="s">
        <v>651</v>
      </c>
      <c r="CB6" s="171" t="s">
        <v>224</v>
      </c>
      <c r="CC6" s="176" t="s">
        <v>1601</v>
      </c>
      <c r="CD6" s="174" t="s">
        <v>650</v>
      </c>
      <c r="CE6" s="171" t="s">
        <v>651</v>
      </c>
      <c r="CF6" s="171" t="s">
        <v>224</v>
      </c>
      <c r="CG6" s="176" t="s">
        <v>1602</v>
      </c>
      <c r="CH6" s="325" t="s">
        <v>73</v>
      </c>
      <c r="CI6" s="325" t="s">
        <v>72</v>
      </c>
      <c r="CJ6" s="325">
        <v>43554</v>
      </c>
      <c r="CK6" s="174" t="s">
        <v>650</v>
      </c>
      <c r="CL6" s="171" t="s">
        <v>651</v>
      </c>
      <c r="CM6" s="176" t="s">
        <v>1603</v>
      </c>
      <c r="CN6" s="174" t="s">
        <v>650</v>
      </c>
      <c r="CO6" s="171" t="s">
        <v>651</v>
      </c>
      <c r="CP6" s="176" t="s">
        <v>1604</v>
      </c>
      <c r="CQ6" s="174" t="s">
        <v>650</v>
      </c>
      <c r="CR6" s="171" t="s">
        <v>651</v>
      </c>
      <c r="CS6" s="171" t="s">
        <v>224</v>
      </c>
      <c r="CT6" s="176" t="s">
        <v>1605</v>
      </c>
      <c r="CU6" s="174" t="s">
        <v>650</v>
      </c>
      <c r="CV6" s="171" t="s">
        <v>651</v>
      </c>
      <c r="CW6" s="171" t="s">
        <v>224</v>
      </c>
      <c r="CX6" s="176" t="s">
        <v>1606</v>
      </c>
      <c r="CY6" s="174" t="s">
        <v>650</v>
      </c>
      <c r="CZ6" s="171" t="s">
        <v>651</v>
      </c>
      <c r="DA6" s="171" t="s">
        <v>224</v>
      </c>
      <c r="DB6" s="176" t="s">
        <v>1033</v>
      </c>
      <c r="DC6" s="174" t="s">
        <v>650</v>
      </c>
      <c r="DD6" s="171" t="s">
        <v>651</v>
      </c>
      <c r="DE6" s="171" t="s">
        <v>224</v>
      </c>
      <c r="DF6" s="176" t="s">
        <v>1096</v>
      </c>
      <c r="DG6" s="174" t="s">
        <v>650</v>
      </c>
      <c r="DH6" s="171" t="s">
        <v>651</v>
      </c>
      <c r="DI6" s="171" t="s">
        <v>224</v>
      </c>
      <c r="DJ6" s="176" t="s">
        <v>1607</v>
      </c>
      <c r="DK6" s="174" t="s">
        <v>650</v>
      </c>
      <c r="DL6" s="171" t="s">
        <v>651</v>
      </c>
      <c r="DM6" s="171" t="s">
        <v>224</v>
      </c>
      <c r="DN6" s="176" t="s">
        <v>1608</v>
      </c>
      <c r="DO6" s="174" t="s">
        <v>650</v>
      </c>
      <c r="DP6" s="171" t="s">
        <v>651</v>
      </c>
      <c r="DQ6" s="171" t="s">
        <v>224</v>
      </c>
      <c r="DR6" s="176" t="s">
        <v>1609</v>
      </c>
      <c r="DS6" s="174" t="s">
        <v>650</v>
      </c>
      <c r="DT6" s="171" t="s">
        <v>651</v>
      </c>
      <c r="DU6" s="171" t="s">
        <v>224</v>
      </c>
      <c r="DV6" s="176" t="s">
        <v>1177</v>
      </c>
      <c r="DW6" s="174" t="s">
        <v>650</v>
      </c>
      <c r="DX6" s="171" t="s">
        <v>651</v>
      </c>
      <c r="DY6" s="171">
        <v>0</v>
      </c>
      <c r="DZ6" s="176" t="s">
        <v>1610</v>
      </c>
      <c r="EA6" s="174" t="s">
        <v>650</v>
      </c>
      <c r="EB6" s="171" t="s">
        <v>651</v>
      </c>
      <c r="EC6" s="171" t="s">
        <v>224</v>
      </c>
      <c r="ED6" s="176" t="s">
        <v>1611</v>
      </c>
      <c r="EE6" s="174" t="s">
        <v>650</v>
      </c>
      <c r="EF6" s="171" t="s">
        <v>651</v>
      </c>
      <c r="EG6" s="171" t="s">
        <v>224</v>
      </c>
      <c r="EH6" s="176" t="s">
        <v>1612</v>
      </c>
      <c r="EI6" s="174" t="s">
        <v>650</v>
      </c>
      <c r="EJ6" s="171" t="s">
        <v>651</v>
      </c>
      <c r="EK6" s="171" t="s">
        <v>224</v>
      </c>
      <c r="EL6" s="176" t="s">
        <v>1613</v>
      </c>
      <c r="EM6" s="174" t="s">
        <v>650</v>
      </c>
      <c r="EN6" s="171" t="s">
        <v>651</v>
      </c>
      <c r="EO6" s="171" t="s">
        <v>224</v>
      </c>
      <c r="EP6" s="176" t="s">
        <v>1614</v>
      </c>
      <c r="EQ6" s="174" t="s">
        <v>650</v>
      </c>
      <c r="ER6" s="171" t="s">
        <v>651</v>
      </c>
      <c r="ES6" s="171" t="s">
        <v>224</v>
      </c>
      <c r="ET6" s="176" t="s">
        <v>1615</v>
      </c>
      <c r="EU6" s="174" t="s">
        <v>650</v>
      </c>
      <c r="EV6" s="171" t="s">
        <v>651</v>
      </c>
      <c r="EW6" s="171" t="s">
        <v>224</v>
      </c>
      <c r="EX6" s="176" t="s">
        <v>1616</v>
      </c>
      <c r="EY6" s="174" t="s">
        <v>650</v>
      </c>
      <c r="EZ6" s="171" t="s">
        <v>651</v>
      </c>
      <c r="FA6" s="171" t="s">
        <v>1386</v>
      </c>
      <c r="FB6" s="176" t="s">
        <v>1617</v>
      </c>
      <c r="FC6" s="174" t="s">
        <v>650</v>
      </c>
      <c r="FD6" s="171" t="s">
        <v>651</v>
      </c>
      <c r="FE6" s="171" t="s">
        <v>1386</v>
      </c>
      <c r="FF6" s="176" t="s">
        <v>1618</v>
      </c>
      <c r="FG6" s="174" t="s">
        <v>650</v>
      </c>
      <c r="FH6" s="171" t="s">
        <v>651</v>
      </c>
      <c r="FI6" s="171" t="s">
        <v>1386</v>
      </c>
      <c r="FJ6" s="176" t="s">
        <v>1619</v>
      </c>
      <c r="FK6" s="174" t="s">
        <v>650</v>
      </c>
      <c r="FL6" s="171" t="s">
        <v>651</v>
      </c>
      <c r="FM6" s="171" t="s">
        <v>1386</v>
      </c>
      <c r="FN6" s="176" t="s">
        <v>1359</v>
      </c>
      <c r="FO6" s="174" t="s">
        <v>650</v>
      </c>
      <c r="FP6" s="171" t="s">
        <v>651</v>
      </c>
      <c r="FQ6" s="171" t="s">
        <v>1386</v>
      </c>
      <c r="FR6" s="176" t="s">
        <v>1620</v>
      </c>
      <c r="FS6" s="174" t="s">
        <v>650</v>
      </c>
      <c r="FT6" s="171" t="s">
        <v>1387</v>
      </c>
      <c r="FU6" s="171" t="s">
        <v>651</v>
      </c>
      <c r="FV6" s="171" t="s">
        <v>1386</v>
      </c>
      <c r="FW6" s="171" t="s">
        <v>224</v>
      </c>
      <c r="FX6" s="176" t="s">
        <v>1621</v>
      </c>
    </row>
    <row r="7" spans="2:180" x14ac:dyDescent="0.2">
      <c r="B7" s="130" t="s">
        <v>35</v>
      </c>
      <c r="C7" s="161">
        <v>10</v>
      </c>
      <c r="D7" s="118">
        <v>-440</v>
      </c>
      <c r="E7" s="162">
        <v>5184</v>
      </c>
      <c r="F7" s="161">
        <v>153</v>
      </c>
      <c r="G7" s="118">
        <v>-439</v>
      </c>
      <c r="H7" s="118">
        <v>0</v>
      </c>
      <c r="I7" s="118">
        <v>0</v>
      </c>
      <c r="J7" s="162">
        <v>4898</v>
      </c>
      <c r="K7" s="161">
        <v>38</v>
      </c>
      <c r="L7" s="118">
        <v>-428</v>
      </c>
      <c r="M7" s="118">
        <v>0</v>
      </c>
      <c r="N7" s="118">
        <v>0</v>
      </c>
      <c r="O7" s="118">
        <v>0</v>
      </c>
      <c r="P7" s="162">
        <v>4508</v>
      </c>
      <c r="Q7" s="161">
        <v>1493</v>
      </c>
      <c r="R7" s="118">
        <v>-1011</v>
      </c>
      <c r="S7" s="118"/>
      <c r="T7" s="118"/>
      <c r="U7" s="118"/>
      <c r="V7" s="162">
        <v>4990</v>
      </c>
      <c r="W7" s="161">
        <v>84</v>
      </c>
      <c r="X7" s="118">
        <v>7125</v>
      </c>
      <c r="Y7" s="118">
        <v>-608</v>
      </c>
      <c r="Z7" s="162">
        <v>11591</v>
      </c>
      <c r="AA7" s="161">
        <v>354</v>
      </c>
      <c r="AB7" s="118">
        <v>1279</v>
      </c>
      <c r="AC7" s="118">
        <v>-840</v>
      </c>
      <c r="AD7" s="162">
        <v>12384</v>
      </c>
      <c r="AE7" s="161">
        <v>75</v>
      </c>
      <c r="AF7" s="118">
        <v>135</v>
      </c>
      <c r="AG7" s="118">
        <v>-920</v>
      </c>
      <c r="AH7" s="162">
        <f>SUM(AD7:AG7)</f>
        <v>11674</v>
      </c>
      <c r="AI7" s="161">
        <v>109</v>
      </c>
      <c r="AJ7" s="118">
        <v>286</v>
      </c>
      <c r="AK7" s="118">
        <v>-979</v>
      </c>
      <c r="AL7" s="162">
        <f>SUM(AH7:AK7)</f>
        <v>11090</v>
      </c>
      <c r="AM7" s="161">
        <v>210</v>
      </c>
      <c r="AN7" s="118">
        <v>44</v>
      </c>
      <c r="AO7" s="118">
        <v>-1132</v>
      </c>
      <c r="AP7" s="162">
        <f>SUM(AL7:AO7)</f>
        <v>10212</v>
      </c>
      <c r="AQ7" s="161">
        <v>886</v>
      </c>
      <c r="AR7" s="118">
        <v>950</v>
      </c>
      <c r="AS7" s="118">
        <v>-895</v>
      </c>
      <c r="AT7" s="162">
        <f>SUM(AP7:AS7)</f>
        <v>11153</v>
      </c>
      <c r="AU7" s="161">
        <v>268</v>
      </c>
      <c r="AV7" s="118">
        <v>-2</v>
      </c>
      <c r="AW7" s="118">
        <v>-889</v>
      </c>
      <c r="AX7" s="162">
        <f>SUM(AT7:AW7)</f>
        <v>10530</v>
      </c>
      <c r="AY7" s="118">
        <v>290</v>
      </c>
      <c r="AZ7" s="118">
        <v>0</v>
      </c>
      <c r="BA7" s="118">
        <v>-885</v>
      </c>
      <c r="BB7" s="118">
        <v>9935</v>
      </c>
      <c r="BC7" s="161">
        <v>1244</v>
      </c>
      <c r="BD7" s="118">
        <v>-901</v>
      </c>
      <c r="BE7" s="162">
        <f>SUM(BB7:BD7)</f>
        <v>10278</v>
      </c>
      <c r="BF7" s="118">
        <v>878</v>
      </c>
      <c r="BG7" s="118">
        <v>-918</v>
      </c>
      <c r="BH7" s="118">
        <v>0</v>
      </c>
      <c r="BI7" s="118">
        <v>10238</v>
      </c>
      <c r="BJ7" s="161">
        <v>846</v>
      </c>
      <c r="BK7" s="118">
        <v>-916</v>
      </c>
      <c r="BL7" s="118">
        <v>0</v>
      </c>
      <c r="BM7" s="118">
        <v>10168</v>
      </c>
      <c r="BN7" s="161">
        <v>1137</v>
      </c>
      <c r="BO7" s="118">
        <v>-946</v>
      </c>
      <c r="BP7" s="118">
        <v>0</v>
      </c>
      <c r="BQ7" s="162">
        <f>SUM(BM7:BP7)</f>
        <v>10359</v>
      </c>
      <c r="BR7" s="161">
        <v>1039</v>
      </c>
      <c r="BS7" s="118">
        <v>-976</v>
      </c>
      <c r="BT7" s="118">
        <v>0</v>
      </c>
      <c r="BU7" s="162">
        <f>SUM(BQ7:BT7)</f>
        <v>10422</v>
      </c>
      <c r="BV7" s="161">
        <f>1868-BR7</f>
        <v>829</v>
      </c>
      <c r="BW7" s="118">
        <f>-2008-BS7</f>
        <v>-1032</v>
      </c>
      <c r="BX7" s="118">
        <v>0</v>
      </c>
      <c r="BY7" s="162">
        <f>SUM(BU7:BX7)</f>
        <v>10219</v>
      </c>
      <c r="BZ7" s="161">
        <f>3115-BV7-BR7</f>
        <v>1247</v>
      </c>
      <c r="CA7" s="118">
        <f>-3068-BW7-BS7</f>
        <v>-1060</v>
      </c>
      <c r="CB7" s="118">
        <v>0</v>
      </c>
      <c r="CC7" s="162">
        <f>SUM(BY7:CB7)</f>
        <v>10406</v>
      </c>
      <c r="CD7" s="161">
        <f>5143-BZ7-BV7-BR7</f>
        <v>2028</v>
      </c>
      <c r="CE7" s="118">
        <f>-4148-CA7-BW7-BS7</f>
        <v>-1080</v>
      </c>
      <c r="CF7" s="118">
        <v>0</v>
      </c>
      <c r="CG7" s="162">
        <f>SUM(CC7:CF7)</f>
        <v>11354</v>
      </c>
      <c r="CH7" s="118">
        <v>1424</v>
      </c>
      <c r="CI7" s="118">
        <v>-1133</v>
      </c>
      <c r="CJ7" s="162">
        <f>SUM(CG7:CI7)</f>
        <v>11645</v>
      </c>
      <c r="CK7" s="161">
        <v>672</v>
      </c>
      <c r="CL7" s="118">
        <v>-1187</v>
      </c>
      <c r="CM7" s="162">
        <f>SUM(CJ7:CL7)</f>
        <v>11130</v>
      </c>
      <c r="CN7" s="161">
        <v>874</v>
      </c>
      <c r="CO7" s="118">
        <v>-1223</v>
      </c>
      <c r="CP7" s="162">
        <v>10781</v>
      </c>
      <c r="CQ7" s="161">
        <v>1208</v>
      </c>
      <c r="CR7" s="118">
        <v>-1255</v>
      </c>
      <c r="CS7" s="118">
        <v>0</v>
      </c>
      <c r="CT7" s="162">
        <v>10734</v>
      </c>
      <c r="CU7" s="161">
        <v>1490</v>
      </c>
      <c r="CV7" s="118">
        <v>-1111</v>
      </c>
      <c r="CW7" s="118">
        <v>0</v>
      </c>
      <c r="CX7" s="162">
        <v>11113</v>
      </c>
      <c r="CY7" s="161">
        <v>938</v>
      </c>
      <c r="CZ7" s="118">
        <v>-952</v>
      </c>
      <c r="DA7" s="118">
        <v>0</v>
      </c>
      <c r="DB7" s="162">
        <f>SUM(CX7:CZ7)</f>
        <v>11099</v>
      </c>
      <c r="DC7" s="161">
        <v>607</v>
      </c>
      <c r="DD7" s="118">
        <v>-962</v>
      </c>
      <c r="DE7" s="118">
        <v>0</v>
      </c>
      <c r="DF7" s="162">
        <f>SUM(DB7:DD7)</f>
        <v>10744</v>
      </c>
      <c r="DG7" s="161">
        <v>717</v>
      </c>
      <c r="DH7" s="118">
        <v>-978</v>
      </c>
      <c r="DI7" s="118">
        <v>67</v>
      </c>
      <c r="DJ7" s="162">
        <f>SUM(DF7:DI7)</f>
        <v>10550</v>
      </c>
      <c r="DK7" s="161">
        <v>1721</v>
      </c>
      <c r="DL7" s="118">
        <v>-1015</v>
      </c>
      <c r="DM7" s="118">
        <v>43</v>
      </c>
      <c r="DN7" s="162">
        <f>SUM(DJ7:DM7)</f>
        <v>11299</v>
      </c>
      <c r="DO7" s="161">
        <v>1083</v>
      </c>
      <c r="DP7" s="118">
        <v>-1028</v>
      </c>
      <c r="DQ7" s="118">
        <v>125</v>
      </c>
      <c r="DR7" s="162">
        <f>SUM(DN7:DQ7)</f>
        <v>11479</v>
      </c>
      <c r="DS7" s="161">
        <v>1226</v>
      </c>
      <c r="DT7" s="118">
        <v>-1055</v>
      </c>
      <c r="DU7" s="118">
        <v>0</v>
      </c>
      <c r="DV7" s="162">
        <f>SUM(DR7:DU7)</f>
        <v>11650</v>
      </c>
      <c r="DW7" s="161">
        <v>1762</v>
      </c>
      <c r="DX7" s="118">
        <v>-1110</v>
      </c>
      <c r="DY7" s="118">
        <v>-4</v>
      </c>
      <c r="DZ7" s="162">
        <f>SUM(DV7:DY7)</f>
        <v>12298</v>
      </c>
      <c r="EA7" s="161">
        <v>2181</v>
      </c>
      <c r="EB7" s="118">
        <v>-1185</v>
      </c>
      <c r="EC7" s="118">
        <v>0</v>
      </c>
      <c r="ED7" s="162">
        <f>SUM(DZ7:EC7)</f>
        <v>13294</v>
      </c>
      <c r="EE7" s="161">
        <v>674</v>
      </c>
      <c r="EF7" s="118">
        <v>-1204</v>
      </c>
      <c r="EG7" s="118">
        <v>0</v>
      </c>
      <c r="EH7" s="162">
        <f>SUM(ED7:EG7)</f>
        <v>12764</v>
      </c>
      <c r="EI7" s="161">
        <v>2158</v>
      </c>
      <c r="EJ7" s="118">
        <v>-1209</v>
      </c>
      <c r="EK7" s="118">
        <v>0</v>
      </c>
      <c r="EL7" s="162">
        <f>SUM(EH7:EK7)</f>
        <v>13713</v>
      </c>
      <c r="EM7" s="161">
        <v>2919</v>
      </c>
      <c r="EN7" s="118">
        <v>-1290</v>
      </c>
      <c r="EO7" s="118">
        <v>-15</v>
      </c>
      <c r="EP7" s="162">
        <f>SUM(EL7:EO7)</f>
        <v>15327</v>
      </c>
      <c r="EQ7" s="161">
        <v>2632</v>
      </c>
      <c r="ER7" s="118">
        <v>-1357</v>
      </c>
      <c r="ES7" s="118">
        <v>-25</v>
      </c>
      <c r="ET7" s="162">
        <f>SUM(EP7:ES7)</f>
        <v>16577</v>
      </c>
      <c r="EU7" s="161">
        <v>1500</v>
      </c>
      <c r="EV7" s="118">
        <v>-1439</v>
      </c>
      <c r="EW7" s="118">
        <v>25</v>
      </c>
      <c r="EX7" s="162">
        <f>SUM(ET7:EW7)</f>
        <v>16663</v>
      </c>
      <c r="EY7" s="161">
        <v>1298</v>
      </c>
      <c r="EZ7" s="118">
        <v>-1473</v>
      </c>
      <c r="FA7" s="118">
        <v>-24</v>
      </c>
      <c r="FB7" s="162">
        <f>SUM(EX7:FA7)</f>
        <v>16464</v>
      </c>
      <c r="FC7" s="161">
        <v>821</v>
      </c>
      <c r="FD7" s="118">
        <v>-1443</v>
      </c>
      <c r="FE7" s="118">
        <v>0</v>
      </c>
      <c r="FF7" s="162">
        <f>SUM(FB7:FE7)</f>
        <v>15842</v>
      </c>
      <c r="FG7" s="161">
        <v>1869</v>
      </c>
      <c r="FH7" s="118">
        <v>-1411</v>
      </c>
      <c r="FI7" s="118">
        <v>0</v>
      </c>
      <c r="FJ7" s="162">
        <f>SUM(FF7:FI7)</f>
        <v>16300</v>
      </c>
      <c r="FK7" s="118">
        <v>309</v>
      </c>
      <c r="FL7" s="118">
        <v>-1417</v>
      </c>
      <c r="FM7" s="118">
        <v>-18</v>
      </c>
      <c r="FN7" s="162">
        <f>SUM(FJ7:FM7)</f>
        <v>15174</v>
      </c>
      <c r="FO7" s="118">
        <v>500</v>
      </c>
      <c r="FP7" s="118">
        <v>-1403</v>
      </c>
      <c r="FQ7" s="118">
        <v>0</v>
      </c>
      <c r="FR7" s="162">
        <f>SUM(FN7:FQ7)</f>
        <v>14271</v>
      </c>
      <c r="FS7" s="161">
        <v>207</v>
      </c>
      <c r="FT7" s="118" t="s">
        <v>47</v>
      </c>
      <c r="FU7" s="118">
        <v>-1656</v>
      </c>
      <c r="FV7" s="118">
        <v>16585</v>
      </c>
      <c r="FW7" s="118">
        <v>-22</v>
      </c>
      <c r="FX7" s="162">
        <f>SUM(FR7:FW7)</f>
        <v>29385</v>
      </c>
    </row>
    <row r="8" spans="2:180" x14ac:dyDescent="0.2">
      <c r="B8" s="130" t="s">
        <v>1332</v>
      </c>
      <c r="C8" s="161">
        <v>0</v>
      </c>
      <c r="D8" s="118"/>
      <c r="E8" s="162"/>
      <c r="F8" s="161"/>
      <c r="G8" s="118"/>
      <c r="H8" s="118">
        <v>0</v>
      </c>
      <c r="I8" s="118">
        <v>0</v>
      </c>
      <c r="J8" s="162"/>
      <c r="K8" s="161">
        <v>0</v>
      </c>
      <c r="L8" s="118">
        <v>0</v>
      </c>
      <c r="M8" s="118">
        <v>0</v>
      </c>
      <c r="N8" s="118">
        <v>0</v>
      </c>
      <c r="O8" s="118">
        <v>0</v>
      </c>
      <c r="P8" s="162"/>
      <c r="Q8" s="161">
        <v>0</v>
      </c>
      <c r="R8" s="118">
        <v>0</v>
      </c>
      <c r="S8" s="118"/>
      <c r="T8" s="118"/>
      <c r="U8" s="118"/>
      <c r="V8" s="162"/>
      <c r="W8" s="161"/>
      <c r="X8" s="118"/>
      <c r="Y8" s="118"/>
      <c r="Z8" s="162"/>
      <c r="AA8" s="161"/>
      <c r="AB8" s="118">
        <v>0</v>
      </c>
      <c r="AC8" s="118">
        <v>0</v>
      </c>
      <c r="AD8" s="162">
        <v>0</v>
      </c>
      <c r="AE8" s="161">
        <v>0</v>
      </c>
      <c r="AF8" s="118">
        <v>0</v>
      </c>
      <c r="AG8" s="118">
        <v>0</v>
      </c>
      <c r="AH8" s="162">
        <v>0</v>
      </c>
      <c r="AI8" s="161">
        <v>0</v>
      </c>
      <c r="AJ8" s="118">
        <v>0</v>
      </c>
      <c r="AK8" s="118">
        <v>0</v>
      </c>
      <c r="AL8" s="162">
        <v>0</v>
      </c>
      <c r="AM8" s="161">
        <v>0</v>
      </c>
      <c r="AN8" s="118">
        <v>0</v>
      </c>
      <c r="AO8" s="118">
        <v>0</v>
      </c>
      <c r="AP8" s="162">
        <v>0</v>
      </c>
      <c r="AQ8" s="161">
        <v>0</v>
      </c>
      <c r="AR8" s="118">
        <v>0</v>
      </c>
      <c r="AS8" s="118">
        <v>0</v>
      </c>
      <c r="AT8" s="162">
        <v>0</v>
      </c>
      <c r="AU8" s="161">
        <v>0</v>
      </c>
      <c r="AV8" s="118">
        <v>0</v>
      </c>
      <c r="AW8" s="118">
        <v>0</v>
      </c>
      <c r="AX8" s="162">
        <v>0</v>
      </c>
      <c r="AY8" s="118">
        <v>0</v>
      </c>
      <c r="AZ8" s="118">
        <v>0</v>
      </c>
      <c r="BA8" s="118">
        <v>0</v>
      </c>
      <c r="BB8" s="118">
        <v>0</v>
      </c>
      <c r="BC8" s="161">
        <v>0</v>
      </c>
      <c r="BD8" s="118">
        <v>0</v>
      </c>
      <c r="BE8" s="162">
        <v>0</v>
      </c>
      <c r="BF8" s="118">
        <v>0</v>
      </c>
      <c r="BG8" s="118">
        <v>0</v>
      </c>
      <c r="BH8" s="118">
        <v>0</v>
      </c>
      <c r="BI8" s="118">
        <v>0</v>
      </c>
      <c r="BJ8" s="161">
        <v>0</v>
      </c>
      <c r="BK8" s="118">
        <v>0</v>
      </c>
      <c r="BL8" s="118">
        <v>0</v>
      </c>
      <c r="BM8" s="118">
        <v>0</v>
      </c>
      <c r="BN8" s="161">
        <v>0</v>
      </c>
      <c r="BO8" s="118">
        <v>0</v>
      </c>
      <c r="BP8" s="118">
        <v>0</v>
      </c>
      <c r="BQ8" s="162">
        <v>0</v>
      </c>
      <c r="BR8" s="161">
        <v>0</v>
      </c>
      <c r="BS8" s="118">
        <v>0</v>
      </c>
      <c r="BT8" s="118">
        <v>0</v>
      </c>
      <c r="BU8" s="162">
        <v>0</v>
      </c>
      <c r="BV8" s="161">
        <v>0</v>
      </c>
      <c r="BW8" s="118">
        <v>0</v>
      </c>
      <c r="BX8" s="118">
        <v>0</v>
      </c>
      <c r="BY8" s="162">
        <v>0</v>
      </c>
      <c r="BZ8" s="161">
        <v>0</v>
      </c>
      <c r="CA8" s="118">
        <v>0</v>
      </c>
      <c r="CB8" s="118">
        <v>0</v>
      </c>
      <c r="CC8" s="162">
        <v>0</v>
      </c>
      <c r="CD8" s="161">
        <v>0</v>
      </c>
      <c r="CE8" s="118">
        <v>0</v>
      </c>
      <c r="CF8" s="118">
        <v>0</v>
      </c>
      <c r="CG8" s="162">
        <v>0</v>
      </c>
      <c r="CH8" s="118">
        <v>0</v>
      </c>
      <c r="CI8" s="118">
        <v>0</v>
      </c>
      <c r="CJ8" s="162">
        <v>0</v>
      </c>
      <c r="CK8" s="161">
        <v>0</v>
      </c>
      <c r="CL8" s="118">
        <v>0</v>
      </c>
      <c r="CM8" s="162">
        <v>0</v>
      </c>
      <c r="CN8" s="161">
        <v>0</v>
      </c>
      <c r="CO8" s="118">
        <v>0</v>
      </c>
      <c r="CP8" s="162">
        <v>0</v>
      </c>
      <c r="CQ8" s="161">
        <v>0</v>
      </c>
      <c r="CR8" s="118">
        <v>0</v>
      </c>
      <c r="CS8" s="118">
        <v>0</v>
      </c>
      <c r="CT8" s="162">
        <v>0</v>
      </c>
      <c r="CU8" s="161">
        <v>0</v>
      </c>
      <c r="CV8" s="118">
        <v>0</v>
      </c>
      <c r="CW8" s="118">
        <v>0</v>
      </c>
      <c r="CX8" s="162">
        <v>0</v>
      </c>
      <c r="CY8" s="161">
        <v>0</v>
      </c>
      <c r="CZ8" s="118">
        <v>0</v>
      </c>
      <c r="DA8" s="118">
        <v>0</v>
      </c>
      <c r="DB8" s="162">
        <v>0</v>
      </c>
      <c r="DC8" s="161">
        <v>0</v>
      </c>
      <c r="DD8" s="118">
        <v>0</v>
      </c>
      <c r="DE8" s="118">
        <v>0</v>
      </c>
      <c r="DF8" s="162">
        <v>0</v>
      </c>
      <c r="DG8" s="161">
        <v>0</v>
      </c>
      <c r="DH8" s="118">
        <v>0</v>
      </c>
      <c r="DI8" s="118">
        <v>0</v>
      </c>
      <c r="DJ8" s="162">
        <v>0</v>
      </c>
      <c r="DK8" s="161">
        <v>0</v>
      </c>
      <c r="DL8" s="118">
        <v>0</v>
      </c>
      <c r="DM8" s="118">
        <v>0</v>
      </c>
      <c r="DN8" s="162">
        <v>0</v>
      </c>
      <c r="DO8" s="161">
        <v>0</v>
      </c>
      <c r="DP8" s="118">
        <v>0</v>
      </c>
      <c r="DQ8" s="118">
        <v>0</v>
      </c>
      <c r="DR8" s="162">
        <v>0</v>
      </c>
      <c r="DS8" s="161">
        <v>0</v>
      </c>
      <c r="DT8" s="118">
        <v>0</v>
      </c>
      <c r="DU8" s="118">
        <v>0</v>
      </c>
      <c r="DV8" s="162">
        <v>0</v>
      </c>
      <c r="DW8" s="161">
        <v>0</v>
      </c>
      <c r="DX8" s="118">
        <v>0</v>
      </c>
      <c r="DY8" s="118">
        <v>0</v>
      </c>
      <c r="DZ8" s="162">
        <v>0</v>
      </c>
      <c r="EA8" s="161">
        <v>0</v>
      </c>
      <c r="EB8" s="118">
        <v>0</v>
      </c>
      <c r="EC8" s="118">
        <v>0</v>
      </c>
      <c r="ED8" s="162">
        <v>0</v>
      </c>
      <c r="EE8" s="161">
        <v>0</v>
      </c>
      <c r="EF8" s="118">
        <v>0</v>
      </c>
      <c r="EG8" s="118">
        <v>0</v>
      </c>
      <c r="EH8" s="162">
        <v>0</v>
      </c>
      <c r="EI8" s="161">
        <v>0</v>
      </c>
      <c r="EJ8" s="118">
        <v>0</v>
      </c>
      <c r="EK8" s="118">
        <v>0</v>
      </c>
      <c r="EL8" s="162">
        <v>0</v>
      </c>
      <c r="EM8" s="161">
        <v>0</v>
      </c>
      <c r="EN8" s="118">
        <v>0</v>
      </c>
      <c r="EO8" s="118">
        <v>0</v>
      </c>
      <c r="EP8" s="162">
        <v>0</v>
      </c>
      <c r="EQ8" s="161">
        <v>0</v>
      </c>
      <c r="ER8" s="118">
        <v>0</v>
      </c>
      <c r="ES8" s="118">
        <v>0</v>
      </c>
      <c r="ET8" s="162">
        <v>0</v>
      </c>
      <c r="EU8" s="161">
        <v>0</v>
      </c>
      <c r="EV8" s="118">
        <v>0</v>
      </c>
      <c r="EW8" s="118">
        <v>0</v>
      </c>
      <c r="EX8" s="162">
        <v>0</v>
      </c>
      <c r="EY8" s="161">
        <v>0</v>
      </c>
      <c r="EZ8" s="118">
        <v>0</v>
      </c>
      <c r="FA8" s="118">
        <v>0</v>
      </c>
      <c r="FB8" s="162">
        <v>0</v>
      </c>
      <c r="FC8" s="161">
        <v>0</v>
      </c>
      <c r="FD8" s="118">
        <v>0</v>
      </c>
      <c r="FE8" s="118">
        <v>0</v>
      </c>
      <c r="FF8" s="162">
        <v>0</v>
      </c>
      <c r="FG8" s="161">
        <v>1222</v>
      </c>
      <c r="FH8" s="118">
        <v>0</v>
      </c>
      <c r="FI8" s="118">
        <v>3638</v>
      </c>
      <c r="FJ8" s="162">
        <f>SUM(FF8:FI8)</f>
        <v>4860</v>
      </c>
      <c r="FK8" s="118">
        <v>2747</v>
      </c>
      <c r="FL8" s="118">
        <v>0</v>
      </c>
      <c r="FM8" s="118">
        <v>18</v>
      </c>
      <c r="FN8" s="162">
        <f>SUM(FJ8:FM8)</f>
        <v>7625</v>
      </c>
      <c r="FO8" s="118">
        <v>4921</v>
      </c>
      <c r="FP8" s="118">
        <v>0</v>
      </c>
      <c r="FQ8" s="118">
        <v>0</v>
      </c>
      <c r="FR8" s="162">
        <f>SUM(FN8:FQ8)</f>
        <v>12546</v>
      </c>
      <c r="FS8" s="161">
        <v>4634</v>
      </c>
      <c r="FT8" s="118">
        <v>-16567</v>
      </c>
      <c r="FU8" s="118">
        <v>0</v>
      </c>
      <c r="FV8" s="118">
        <v>-18</v>
      </c>
      <c r="FW8" s="118" t="s">
        <v>47</v>
      </c>
      <c r="FX8" s="162">
        <f>SUM(FR8:FV8)</f>
        <v>595</v>
      </c>
    </row>
    <row r="9" spans="2:180" x14ac:dyDescent="0.2">
      <c r="B9" s="130" t="s">
        <v>1355</v>
      </c>
      <c r="C9" s="161">
        <v>0</v>
      </c>
      <c r="D9" s="118">
        <v>0</v>
      </c>
      <c r="E9" s="162">
        <v>120877</v>
      </c>
      <c r="F9" s="161">
        <v>0</v>
      </c>
      <c r="G9" s="118">
        <v>0</v>
      </c>
      <c r="H9" s="118">
        <v>0</v>
      </c>
      <c r="I9" s="118">
        <v>0</v>
      </c>
      <c r="J9" s="162">
        <v>120877</v>
      </c>
      <c r="K9" s="161">
        <v>0</v>
      </c>
      <c r="L9" s="118">
        <v>0</v>
      </c>
      <c r="M9" s="118">
        <v>0</v>
      </c>
      <c r="N9" s="118">
        <v>0</v>
      </c>
      <c r="O9" s="118">
        <v>0</v>
      </c>
      <c r="P9" s="162">
        <v>120877</v>
      </c>
      <c r="Q9" s="161">
        <v>0</v>
      </c>
      <c r="R9" s="118">
        <v>0</v>
      </c>
      <c r="S9" s="118"/>
      <c r="T9" s="118"/>
      <c r="U9" s="118"/>
      <c r="V9" s="162">
        <v>120877</v>
      </c>
      <c r="W9" s="161">
        <v>0</v>
      </c>
      <c r="X9" s="118">
        <v>0</v>
      </c>
      <c r="Y9" s="118">
        <v>0</v>
      </c>
      <c r="Z9" s="162">
        <v>120877</v>
      </c>
      <c r="AA9" s="161">
        <v>0</v>
      </c>
      <c r="AB9" s="118">
        <v>0</v>
      </c>
      <c r="AC9" s="118">
        <v>0</v>
      </c>
      <c r="AD9" s="162">
        <v>120877</v>
      </c>
      <c r="AE9" s="161">
        <v>0</v>
      </c>
      <c r="AF9" s="118">
        <v>0</v>
      </c>
      <c r="AG9" s="118">
        <v>0</v>
      </c>
      <c r="AH9" s="162">
        <f>SUM(AD9:AG9)</f>
        <v>120877</v>
      </c>
      <c r="AI9" s="161">
        <v>0</v>
      </c>
      <c r="AJ9" s="118">
        <v>0</v>
      </c>
      <c r="AK9" s="118">
        <v>0</v>
      </c>
      <c r="AL9" s="162">
        <f>SUM(AH9:AK9)</f>
        <v>120877</v>
      </c>
      <c r="AM9" s="161">
        <v>0</v>
      </c>
      <c r="AN9" s="118">
        <v>0</v>
      </c>
      <c r="AO9" s="118">
        <v>0</v>
      </c>
      <c r="AP9" s="162">
        <f>SUM(AL9:AO9)</f>
        <v>120877</v>
      </c>
      <c r="AQ9" s="161">
        <v>0</v>
      </c>
      <c r="AR9" s="118">
        <v>0</v>
      </c>
      <c r="AS9" s="118">
        <v>0</v>
      </c>
      <c r="AT9" s="162">
        <f>SUM(AP9:AS9)</f>
        <v>120877</v>
      </c>
      <c r="AU9" s="161">
        <v>0</v>
      </c>
      <c r="AV9" s="118">
        <v>0</v>
      </c>
      <c r="AW9" s="118">
        <v>0</v>
      </c>
      <c r="AX9" s="162">
        <f>SUM(AT9:AW9)</f>
        <v>120877</v>
      </c>
      <c r="AY9" s="118">
        <v>0</v>
      </c>
      <c r="AZ9" s="118">
        <v>0</v>
      </c>
      <c r="BA9" s="118">
        <v>0</v>
      </c>
      <c r="BB9" s="118">
        <v>120877</v>
      </c>
      <c r="BC9" s="161">
        <v>0</v>
      </c>
      <c r="BD9" s="118">
        <v>0</v>
      </c>
      <c r="BE9" s="162">
        <f>SUM(BB9:BD9)</f>
        <v>120877</v>
      </c>
      <c r="BF9" s="118">
        <v>0</v>
      </c>
      <c r="BG9" s="118">
        <v>0</v>
      </c>
      <c r="BH9" s="118">
        <v>0</v>
      </c>
      <c r="BI9" s="118">
        <v>120877</v>
      </c>
      <c r="BJ9" s="161">
        <v>0</v>
      </c>
      <c r="BK9" s="118">
        <v>0</v>
      </c>
      <c r="BL9" s="118">
        <v>0</v>
      </c>
      <c r="BM9" s="118">
        <v>120877</v>
      </c>
      <c r="BN9" s="161">
        <v>0</v>
      </c>
      <c r="BO9" s="118">
        <v>0</v>
      </c>
      <c r="BP9" s="118">
        <v>0</v>
      </c>
      <c r="BQ9" s="162">
        <f>SUM(BM9:BP9)</f>
        <v>120877</v>
      </c>
      <c r="BR9" s="161" t="s">
        <v>47</v>
      </c>
      <c r="BS9" s="118">
        <v>0</v>
      </c>
      <c r="BT9" s="118">
        <v>0</v>
      </c>
      <c r="BU9" s="162">
        <f>SUM(BQ9:BT9)</f>
        <v>120877</v>
      </c>
      <c r="BV9" s="161" t="s">
        <v>47</v>
      </c>
      <c r="BW9" s="118">
        <v>0</v>
      </c>
      <c r="BX9" s="118">
        <v>0</v>
      </c>
      <c r="BY9" s="162">
        <f>SUM(BU9:BX9)</f>
        <v>120877</v>
      </c>
      <c r="BZ9" s="161" t="s">
        <v>47</v>
      </c>
      <c r="CA9" s="118">
        <v>0</v>
      </c>
      <c r="CB9" s="118">
        <v>0</v>
      </c>
      <c r="CC9" s="162">
        <f>SUM(BY9:CB9)</f>
        <v>120877</v>
      </c>
      <c r="CD9" s="161" t="s">
        <v>47</v>
      </c>
      <c r="CE9" s="118">
        <v>0</v>
      </c>
      <c r="CF9" s="118">
        <v>0</v>
      </c>
      <c r="CG9" s="162">
        <f>SUM(CC9:CF9)</f>
        <v>120877</v>
      </c>
      <c r="CH9" s="118" t="s">
        <v>47</v>
      </c>
      <c r="CI9" s="118">
        <v>0</v>
      </c>
      <c r="CJ9" s="162">
        <f>SUM(CG9:CI9)</f>
        <v>120877</v>
      </c>
      <c r="CK9" s="161" t="s">
        <v>47</v>
      </c>
      <c r="CL9" s="118">
        <v>0</v>
      </c>
      <c r="CM9" s="162">
        <f>SUM(CJ9:CL9)</f>
        <v>120877</v>
      </c>
      <c r="CN9" s="161" t="s">
        <v>47</v>
      </c>
      <c r="CO9" s="118">
        <v>0</v>
      </c>
      <c r="CP9" s="162">
        <v>120877</v>
      </c>
      <c r="CQ9" s="161">
        <v>0</v>
      </c>
      <c r="CR9" s="118">
        <v>0</v>
      </c>
      <c r="CS9" s="118">
        <v>0</v>
      </c>
      <c r="CT9" s="162">
        <v>120877</v>
      </c>
      <c r="CU9" s="161">
        <v>0</v>
      </c>
      <c r="CV9" s="118">
        <v>0</v>
      </c>
      <c r="CW9" s="118">
        <v>0</v>
      </c>
      <c r="CX9" s="162">
        <v>120877</v>
      </c>
      <c r="CY9" s="161">
        <v>0</v>
      </c>
      <c r="CZ9" s="118">
        <v>0</v>
      </c>
      <c r="DA9" s="118">
        <v>0</v>
      </c>
      <c r="DB9" s="162">
        <f>SUM(CX9:CZ9)</f>
        <v>120877</v>
      </c>
      <c r="DC9" s="161">
        <v>0</v>
      </c>
      <c r="DD9" s="118">
        <v>0</v>
      </c>
      <c r="DE9" s="118">
        <v>0</v>
      </c>
      <c r="DF9" s="162">
        <f>SUM(DB9:DD9)</f>
        <v>120877</v>
      </c>
      <c r="DG9" s="161">
        <v>0</v>
      </c>
      <c r="DH9" s="118">
        <v>0</v>
      </c>
      <c r="DI9" s="118">
        <v>0</v>
      </c>
      <c r="DJ9" s="162">
        <f>SUM(DF9:DH9)</f>
        <v>120877</v>
      </c>
      <c r="DK9" s="161">
        <v>0</v>
      </c>
      <c r="DL9" s="118">
        <v>0</v>
      </c>
      <c r="DM9" s="118">
        <v>0</v>
      </c>
      <c r="DN9" s="162">
        <f>SUM(DJ9:DL9)</f>
        <v>120877</v>
      </c>
      <c r="DO9" s="161">
        <v>0</v>
      </c>
      <c r="DP9" s="118">
        <v>0</v>
      </c>
      <c r="DQ9" s="118">
        <v>0</v>
      </c>
      <c r="DR9" s="162">
        <f>SUM(DN9:DP9)</f>
        <v>120877</v>
      </c>
      <c r="DS9" s="161">
        <v>0</v>
      </c>
      <c r="DT9" s="118">
        <v>0</v>
      </c>
      <c r="DU9" s="118">
        <v>0</v>
      </c>
      <c r="DV9" s="162">
        <f>SUM(DR9:DT9)</f>
        <v>120877</v>
      </c>
      <c r="DW9" s="161">
        <v>0</v>
      </c>
      <c r="DX9" s="118">
        <v>0</v>
      </c>
      <c r="DY9" s="118">
        <v>0</v>
      </c>
      <c r="DZ9" s="162">
        <f>SUM(DV9:DX9)</f>
        <v>120877</v>
      </c>
      <c r="EA9" s="161">
        <v>0</v>
      </c>
      <c r="EB9" s="118">
        <v>0</v>
      </c>
      <c r="EC9" s="118">
        <v>0</v>
      </c>
      <c r="ED9" s="162">
        <f>SUM(DZ9:EC9)</f>
        <v>120877</v>
      </c>
      <c r="EE9" s="161">
        <v>0</v>
      </c>
      <c r="EF9" s="118">
        <v>0</v>
      </c>
      <c r="EG9" s="118">
        <v>0</v>
      </c>
      <c r="EH9" s="162">
        <f>SUM(ED9:EG9)</f>
        <v>120877</v>
      </c>
      <c r="EI9" s="161">
        <v>0</v>
      </c>
      <c r="EJ9" s="118">
        <v>0</v>
      </c>
      <c r="EK9" s="118">
        <v>0</v>
      </c>
      <c r="EL9" s="162">
        <f>SUM(EH9:EK9)</f>
        <v>120877</v>
      </c>
      <c r="EM9" s="161">
        <v>0</v>
      </c>
      <c r="EN9" s="118">
        <v>0</v>
      </c>
      <c r="EO9" s="118">
        <v>0</v>
      </c>
      <c r="EP9" s="162">
        <f>SUM(EL9:EO9)</f>
        <v>120877</v>
      </c>
      <c r="EQ9" s="161">
        <v>0</v>
      </c>
      <c r="ER9" s="118">
        <v>0</v>
      </c>
      <c r="ES9" s="118">
        <v>0</v>
      </c>
      <c r="ET9" s="162">
        <f>SUM(EP9:ES9)</f>
        <v>120877</v>
      </c>
      <c r="EU9" s="161">
        <v>0</v>
      </c>
      <c r="EV9" s="118">
        <v>0</v>
      </c>
      <c r="EW9" s="118">
        <v>0</v>
      </c>
      <c r="EX9" s="162">
        <f>SUM(ET9:EW9)</f>
        <v>120877</v>
      </c>
      <c r="EY9" s="161">
        <v>0</v>
      </c>
      <c r="EZ9" s="118">
        <v>0</v>
      </c>
      <c r="FA9" s="118">
        <v>0</v>
      </c>
      <c r="FB9" s="162">
        <f>SUM(EX9:FA9)</f>
        <v>120877</v>
      </c>
      <c r="FC9" s="161">
        <v>0</v>
      </c>
      <c r="FD9" s="118">
        <v>0</v>
      </c>
      <c r="FE9" s="118">
        <v>0</v>
      </c>
      <c r="FF9" s="162">
        <f>SUM(FB9:FE9)</f>
        <v>120877</v>
      </c>
      <c r="FG9" s="161">
        <v>0</v>
      </c>
      <c r="FH9" s="118">
        <v>0</v>
      </c>
      <c r="FI9" s="118">
        <v>0</v>
      </c>
      <c r="FJ9" s="162">
        <f>SUM(FF9:FI9)</f>
        <v>120877</v>
      </c>
      <c r="FK9" s="118">
        <v>0</v>
      </c>
      <c r="FL9" s="118">
        <v>0</v>
      </c>
      <c r="FM9" s="118">
        <v>0</v>
      </c>
      <c r="FN9" s="162">
        <f>SUM(FJ9:FM9)</f>
        <v>120877</v>
      </c>
      <c r="FO9" s="118">
        <v>0</v>
      </c>
      <c r="FP9" s="118">
        <v>0</v>
      </c>
      <c r="FQ9" s="118">
        <v>0</v>
      </c>
      <c r="FR9" s="162">
        <f>SUM(FN9:FQ9)</f>
        <v>120877</v>
      </c>
      <c r="FS9" s="161">
        <v>0</v>
      </c>
      <c r="FT9" s="118" t="s">
        <v>47</v>
      </c>
      <c r="FU9" s="118">
        <v>0</v>
      </c>
      <c r="FV9" s="118">
        <v>0</v>
      </c>
      <c r="FW9" s="118" t="s">
        <v>47</v>
      </c>
      <c r="FX9" s="162">
        <f>SUM(FR9:FV9)</f>
        <v>120877</v>
      </c>
    </row>
    <row r="10" spans="2:180" ht="25.5" x14ac:dyDescent="0.2">
      <c r="B10" s="130" t="s">
        <v>1356</v>
      </c>
      <c r="C10" s="161">
        <v>0</v>
      </c>
      <c r="D10" s="118">
        <v>0</v>
      </c>
      <c r="E10" s="162">
        <v>32791</v>
      </c>
      <c r="F10" s="161">
        <v>0</v>
      </c>
      <c r="G10" s="118">
        <v>0</v>
      </c>
      <c r="H10" s="118">
        <v>0</v>
      </c>
      <c r="I10" s="118">
        <v>0</v>
      </c>
      <c r="J10" s="162">
        <v>32791</v>
      </c>
      <c r="K10" s="161">
        <v>0</v>
      </c>
      <c r="L10" s="118">
        <v>0</v>
      </c>
      <c r="M10" s="118">
        <v>0</v>
      </c>
      <c r="N10" s="118">
        <v>0</v>
      </c>
      <c r="O10" s="118">
        <v>0</v>
      </c>
      <c r="P10" s="162">
        <v>32791</v>
      </c>
      <c r="Q10" s="161">
        <v>0</v>
      </c>
      <c r="R10" s="118">
        <v>0</v>
      </c>
      <c r="S10" s="118"/>
      <c r="T10" s="118"/>
      <c r="U10" s="118"/>
      <c r="V10" s="162">
        <v>32791</v>
      </c>
      <c r="W10" s="161">
        <v>0</v>
      </c>
      <c r="X10" s="118">
        <v>0</v>
      </c>
      <c r="Y10" s="118">
        <v>0</v>
      </c>
      <c r="Z10" s="162">
        <v>32791</v>
      </c>
      <c r="AA10" s="161">
        <v>0</v>
      </c>
      <c r="AB10" s="118">
        <v>0</v>
      </c>
      <c r="AC10" s="118">
        <v>0</v>
      </c>
      <c r="AD10" s="162">
        <v>32791</v>
      </c>
      <c r="AE10" s="161">
        <v>0</v>
      </c>
      <c r="AF10" s="118">
        <v>0</v>
      </c>
      <c r="AG10" s="118">
        <v>0</v>
      </c>
      <c r="AH10" s="162">
        <f>SUM(AD10:AG10)</f>
        <v>32791</v>
      </c>
      <c r="AI10" s="161">
        <v>0</v>
      </c>
      <c r="AJ10" s="118">
        <v>0</v>
      </c>
      <c r="AK10" s="118">
        <v>0</v>
      </c>
      <c r="AL10" s="162">
        <f>SUM(AH10:AK10)</f>
        <v>32791</v>
      </c>
      <c r="AM10" s="161">
        <v>0</v>
      </c>
      <c r="AN10" s="118">
        <v>0</v>
      </c>
      <c r="AO10" s="118">
        <v>0</v>
      </c>
      <c r="AP10" s="162">
        <f>SUM(AL10:AO10)</f>
        <v>32791</v>
      </c>
      <c r="AQ10" s="161">
        <v>0</v>
      </c>
      <c r="AR10" s="118">
        <v>0</v>
      </c>
      <c r="AS10" s="118">
        <v>0</v>
      </c>
      <c r="AT10" s="162">
        <f>SUM(AP10:AS10)</f>
        <v>32791</v>
      </c>
      <c r="AU10" s="161">
        <v>0</v>
      </c>
      <c r="AV10" s="118">
        <v>0</v>
      </c>
      <c r="AW10" s="118">
        <v>0</v>
      </c>
      <c r="AX10" s="162">
        <f>SUM(AT10:AW10)</f>
        <v>32791</v>
      </c>
      <c r="AY10" s="118">
        <v>0</v>
      </c>
      <c r="AZ10" s="118">
        <v>0</v>
      </c>
      <c r="BA10" s="118">
        <v>0</v>
      </c>
      <c r="BB10" s="118">
        <v>32791</v>
      </c>
      <c r="BC10" s="161">
        <v>0</v>
      </c>
      <c r="BD10" s="118">
        <v>0</v>
      </c>
      <c r="BE10" s="162">
        <f>SUM(BB10:BD10)</f>
        <v>32791</v>
      </c>
      <c r="BF10" s="118">
        <v>0</v>
      </c>
      <c r="BG10" s="118">
        <v>0</v>
      </c>
      <c r="BH10" s="118">
        <v>0</v>
      </c>
      <c r="BI10" s="118">
        <v>32791</v>
      </c>
      <c r="BJ10" s="161">
        <v>0</v>
      </c>
      <c r="BK10" s="118">
        <v>0</v>
      </c>
      <c r="BL10" s="118">
        <v>0</v>
      </c>
      <c r="BM10" s="118">
        <v>32791</v>
      </c>
      <c r="BN10" s="161">
        <v>0</v>
      </c>
      <c r="BO10" s="118">
        <v>0</v>
      </c>
      <c r="BP10" s="118">
        <v>0</v>
      </c>
      <c r="BQ10" s="162">
        <f>SUM(BM10:BP10)</f>
        <v>32791</v>
      </c>
      <c r="BR10" s="161" t="s">
        <v>47</v>
      </c>
      <c r="BS10" s="118">
        <v>0</v>
      </c>
      <c r="BT10" s="118">
        <v>0</v>
      </c>
      <c r="BU10" s="162">
        <f>SUM(BQ10:BT10)</f>
        <v>32791</v>
      </c>
      <c r="BV10" s="161" t="s">
        <v>47</v>
      </c>
      <c r="BW10" s="118">
        <v>0</v>
      </c>
      <c r="BX10" s="118">
        <v>0</v>
      </c>
      <c r="BY10" s="162">
        <f>SUM(BU10:BX10)</f>
        <v>32791</v>
      </c>
      <c r="BZ10" s="161" t="s">
        <v>47</v>
      </c>
      <c r="CA10" s="118">
        <v>0</v>
      </c>
      <c r="CB10" s="118">
        <v>0</v>
      </c>
      <c r="CC10" s="162">
        <f>SUM(BY10:CB10)</f>
        <v>32791</v>
      </c>
      <c r="CD10" s="161" t="s">
        <v>47</v>
      </c>
      <c r="CE10" s="118">
        <v>0</v>
      </c>
      <c r="CF10" s="118">
        <v>0</v>
      </c>
      <c r="CG10" s="162">
        <f>SUM(CC10:CF10)</f>
        <v>32791</v>
      </c>
      <c r="CH10" s="118" t="s">
        <v>47</v>
      </c>
      <c r="CI10" s="118">
        <v>0</v>
      </c>
      <c r="CJ10" s="162">
        <f>SUM(CG10:CI10)</f>
        <v>32791</v>
      </c>
      <c r="CK10" s="161" t="s">
        <v>47</v>
      </c>
      <c r="CL10" s="118">
        <v>0</v>
      </c>
      <c r="CM10" s="162">
        <f>SUM(CJ10:CL10)</f>
        <v>32791</v>
      </c>
      <c r="CN10" s="161" t="s">
        <v>47</v>
      </c>
      <c r="CO10" s="118">
        <v>0</v>
      </c>
      <c r="CP10" s="162">
        <v>32791</v>
      </c>
      <c r="CQ10" s="161">
        <v>0</v>
      </c>
      <c r="CR10" s="118">
        <v>0</v>
      </c>
      <c r="CS10" s="118">
        <v>0</v>
      </c>
      <c r="CT10" s="162">
        <v>32791</v>
      </c>
      <c r="CU10" s="161">
        <v>0</v>
      </c>
      <c r="CV10" s="118">
        <v>0</v>
      </c>
      <c r="CW10" s="118">
        <v>0</v>
      </c>
      <c r="CX10" s="162">
        <v>32791</v>
      </c>
      <c r="CY10" s="161">
        <v>0</v>
      </c>
      <c r="CZ10" s="118">
        <v>0</v>
      </c>
      <c r="DA10" s="118">
        <v>0</v>
      </c>
      <c r="DB10" s="162">
        <f>SUM(CX10:CZ10)</f>
        <v>32791</v>
      </c>
      <c r="DC10" s="161">
        <v>0</v>
      </c>
      <c r="DD10" s="118">
        <v>0</v>
      </c>
      <c r="DE10" s="118">
        <v>0</v>
      </c>
      <c r="DF10" s="162">
        <f>SUM(DB10:DD10)</f>
        <v>32791</v>
      </c>
      <c r="DG10" s="161">
        <v>0</v>
      </c>
      <c r="DH10" s="118">
        <v>0</v>
      </c>
      <c r="DI10" s="118">
        <v>0</v>
      </c>
      <c r="DJ10" s="162">
        <f>SUM(DF10:DH10)</f>
        <v>32791</v>
      </c>
      <c r="DK10" s="161">
        <v>0</v>
      </c>
      <c r="DL10" s="118">
        <v>0</v>
      </c>
      <c r="DM10" s="118">
        <v>0</v>
      </c>
      <c r="DN10" s="162">
        <f>SUM(DJ10:DL10)</f>
        <v>32791</v>
      </c>
      <c r="DO10" s="161">
        <v>0</v>
      </c>
      <c r="DP10" s="118">
        <v>0</v>
      </c>
      <c r="DQ10" s="118">
        <v>0</v>
      </c>
      <c r="DR10" s="162">
        <f>SUM(DN10:DP10)</f>
        <v>32791</v>
      </c>
      <c r="DS10" s="161">
        <v>0</v>
      </c>
      <c r="DT10" s="118">
        <v>0</v>
      </c>
      <c r="DU10" s="118">
        <v>0</v>
      </c>
      <c r="DV10" s="162">
        <f>SUM(DR10:DT10)</f>
        <v>32791</v>
      </c>
      <c r="DW10" s="161">
        <v>0</v>
      </c>
      <c r="DX10" s="118">
        <v>0</v>
      </c>
      <c r="DY10" s="118">
        <v>0</v>
      </c>
      <c r="DZ10" s="162">
        <f>SUM(DV10:DX10)</f>
        <v>32791</v>
      </c>
      <c r="EA10" s="161">
        <v>0</v>
      </c>
      <c r="EB10" s="118">
        <v>0</v>
      </c>
      <c r="EC10" s="118">
        <v>0</v>
      </c>
      <c r="ED10" s="162">
        <f>SUM(DZ10:EC10)</f>
        <v>32791</v>
      </c>
      <c r="EE10" s="161">
        <v>0</v>
      </c>
      <c r="EF10" s="118">
        <v>0</v>
      </c>
      <c r="EG10" s="118">
        <v>0</v>
      </c>
      <c r="EH10" s="162">
        <f>SUM(ED10:EG10)</f>
        <v>32791</v>
      </c>
      <c r="EI10" s="161">
        <v>0</v>
      </c>
      <c r="EJ10" s="118">
        <v>0</v>
      </c>
      <c r="EK10" s="118">
        <v>0</v>
      </c>
      <c r="EL10" s="162">
        <f>SUM(EH10:EK10)</f>
        <v>32791</v>
      </c>
      <c r="EM10" s="161">
        <v>0</v>
      </c>
      <c r="EN10" s="118">
        <v>0</v>
      </c>
      <c r="EO10" s="118">
        <v>0</v>
      </c>
      <c r="EP10" s="162">
        <f>SUM(EL10:EO10)</f>
        <v>32791</v>
      </c>
      <c r="EQ10" s="161">
        <v>0</v>
      </c>
      <c r="ER10" s="118">
        <v>0</v>
      </c>
      <c r="ES10" s="118">
        <v>0</v>
      </c>
      <c r="ET10" s="162">
        <f>SUM(EP10:ES10)</f>
        <v>32791</v>
      </c>
      <c r="EU10" s="161">
        <v>0</v>
      </c>
      <c r="EV10" s="118">
        <v>0</v>
      </c>
      <c r="EW10" s="118">
        <v>0</v>
      </c>
      <c r="EX10" s="162">
        <f>SUM(ET10:EW10)</f>
        <v>32791</v>
      </c>
      <c r="EY10" s="161">
        <v>0</v>
      </c>
      <c r="EZ10" s="118">
        <v>0</v>
      </c>
      <c r="FA10" s="118">
        <v>0</v>
      </c>
      <c r="FB10" s="162">
        <f>SUM(EX10:FA10)</f>
        <v>32791</v>
      </c>
      <c r="FC10" s="161">
        <v>0</v>
      </c>
      <c r="FD10" s="118">
        <v>0</v>
      </c>
      <c r="FE10" s="118">
        <v>0</v>
      </c>
      <c r="FF10" s="162">
        <f>SUM(FB10:FE10)</f>
        <v>32791</v>
      </c>
      <c r="FG10" s="161">
        <v>0</v>
      </c>
      <c r="FH10" s="118">
        <v>0</v>
      </c>
      <c r="FI10" s="118">
        <v>0</v>
      </c>
      <c r="FJ10" s="162">
        <f>SUM(FF10:FI10)</f>
        <v>32791</v>
      </c>
      <c r="FK10" s="118">
        <v>0</v>
      </c>
      <c r="FL10" s="118">
        <v>0</v>
      </c>
      <c r="FM10" s="118">
        <v>0</v>
      </c>
      <c r="FN10" s="162">
        <f>SUM(FJ10:FM10)</f>
        <v>32791</v>
      </c>
      <c r="FO10" s="118">
        <v>0</v>
      </c>
      <c r="FP10" s="118">
        <v>0</v>
      </c>
      <c r="FQ10" s="118">
        <v>0</v>
      </c>
      <c r="FR10" s="162">
        <f>SUM(FN10:FQ10)</f>
        <v>32791</v>
      </c>
      <c r="FS10" s="161">
        <v>0</v>
      </c>
      <c r="FT10" s="118" t="s">
        <v>47</v>
      </c>
      <c r="FU10" s="118">
        <v>0</v>
      </c>
      <c r="FV10" s="118">
        <v>0</v>
      </c>
      <c r="FW10" s="118" t="s">
        <v>47</v>
      </c>
      <c r="FX10" s="162">
        <f>SUM(FR10:FV10)</f>
        <v>32791</v>
      </c>
    </row>
    <row r="11" spans="2:180" x14ac:dyDescent="0.2">
      <c r="B11" s="120" t="s">
        <v>36</v>
      </c>
      <c r="C11" s="165">
        <f t="shared" ref="C11:AG11" si="0">SUM(C7:C10)</f>
        <v>10</v>
      </c>
      <c r="D11" s="126">
        <f t="shared" si="0"/>
        <v>-440</v>
      </c>
      <c r="E11" s="166">
        <f t="shared" si="0"/>
        <v>158852</v>
      </c>
      <c r="F11" s="165">
        <f t="shared" si="0"/>
        <v>153</v>
      </c>
      <c r="G11" s="126">
        <f t="shared" si="0"/>
        <v>-439</v>
      </c>
      <c r="H11" s="126">
        <f t="shared" si="0"/>
        <v>0</v>
      </c>
      <c r="I11" s="126">
        <f t="shared" si="0"/>
        <v>0</v>
      </c>
      <c r="J11" s="166">
        <f t="shared" si="0"/>
        <v>158566</v>
      </c>
      <c r="K11" s="165">
        <f t="shared" si="0"/>
        <v>38</v>
      </c>
      <c r="L11" s="126">
        <f t="shared" si="0"/>
        <v>-428</v>
      </c>
      <c r="M11" s="126">
        <f t="shared" si="0"/>
        <v>0</v>
      </c>
      <c r="N11" s="126">
        <f t="shared" si="0"/>
        <v>0</v>
      </c>
      <c r="O11" s="126">
        <f t="shared" si="0"/>
        <v>0</v>
      </c>
      <c r="P11" s="166">
        <f t="shared" si="0"/>
        <v>158176</v>
      </c>
      <c r="Q11" s="165">
        <f t="shared" si="0"/>
        <v>1493</v>
      </c>
      <c r="R11" s="126">
        <f t="shared" si="0"/>
        <v>-1011</v>
      </c>
      <c r="S11" s="126">
        <f t="shared" si="0"/>
        <v>0</v>
      </c>
      <c r="T11" s="126">
        <f t="shared" si="0"/>
        <v>0</v>
      </c>
      <c r="U11" s="126">
        <f t="shared" si="0"/>
        <v>0</v>
      </c>
      <c r="V11" s="166">
        <f t="shared" si="0"/>
        <v>158658</v>
      </c>
      <c r="W11" s="165">
        <f t="shared" si="0"/>
        <v>84</v>
      </c>
      <c r="X11" s="126">
        <f t="shared" si="0"/>
        <v>7125</v>
      </c>
      <c r="Y11" s="126">
        <f t="shared" si="0"/>
        <v>-608</v>
      </c>
      <c r="Z11" s="166">
        <f t="shared" si="0"/>
        <v>165259</v>
      </c>
      <c r="AA11" s="165">
        <f t="shared" si="0"/>
        <v>354</v>
      </c>
      <c r="AB11" s="126">
        <f t="shared" si="0"/>
        <v>1279</v>
      </c>
      <c r="AC11" s="126">
        <f t="shared" si="0"/>
        <v>-840</v>
      </c>
      <c r="AD11" s="166">
        <f t="shared" si="0"/>
        <v>166052</v>
      </c>
      <c r="AE11" s="165">
        <f t="shared" si="0"/>
        <v>75</v>
      </c>
      <c r="AF11" s="126">
        <f t="shared" si="0"/>
        <v>135</v>
      </c>
      <c r="AG11" s="126">
        <f t="shared" si="0"/>
        <v>-920</v>
      </c>
      <c r="AH11" s="166">
        <f>SUM(AD11:AG11)</f>
        <v>165342</v>
      </c>
      <c r="AI11" s="165">
        <f>SUM(AI7:AI10)</f>
        <v>109</v>
      </c>
      <c r="AJ11" s="126">
        <f>SUM(AJ7:AJ10)</f>
        <v>286</v>
      </c>
      <c r="AK11" s="126">
        <f>SUM(AK7:AK10)</f>
        <v>-979</v>
      </c>
      <c r="AL11" s="166">
        <f>SUM(AH11:AK11)</f>
        <v>164758</v>
      </c>
      <c r="AM11" s="165">
        <f>SUM(AM7:AM10)</f>
        <v>210</v>
      </c>
      <c r="AN11" s="126">
        <f>SUM(AN7:AN10)</f>
        <v>44</v>
      </c>
      <c r="AO11" s="126">
        <f>SUM(AO7:AO10)</f>
        <v>-1132</v>
      </c>
      <c r="AP11" s="166">
        <f>SUM(AL11:AO11)</f>
        <v>163880</v>
      </c>
      <c r="AQ11" s="165">
        <f>SUM(AQ7:AQ10)</f>
        <v>886</v>
      </c>
      <c r="AR11" s="126">
        <f>SUM(AR7:AR10)</f>
        <v>950</v>
      </c>
      <c r="AS11" s="126">
        <f>SUM(AS7:AS10)</f>
        <v>-895</v>
      </c>
      <c r="AT11" s="166">
        <f>SUM(AP11:AS11)</f>
        <v>164821</v>
      </c>
      <c r="AU11" s="165">
        <f>SUM(AU7:AU10)</f>
        <v>268</v>
      </c>
      <c r="AV11" s="126">
        <f>SUM(AV7:AV10)</f>
        <v>-2</v>
      </c>
      <c r="AW11" s="126">
        <f>SUM(AW7:AW10)</f>
        <v>-889</v>
      </c>
      <c r="AX11" s="166">
        <f>SUM(AT11:AW11)</f>
        <v>164198</v>
      </c>
      <c r="AY11" s="126">
        <v>290</v>
      </c>
      <c r="AZ11" s="126">
        <v>0</v>
      </c>
      <c r="BA11" s="126">
        <v>-885</v>
      </c>
      <c r="BB11" s="126">
        <v>163603</v>
      </c>
      <c r="BC11" s="126">
        <f>SUM(BC7:BC10)</f>
        <v>1244</v>
      </c>
      <c r="BD11" s="126">
        <f>SUM(BD7:BD10)</f>
        <v>-901</v>
      </c>
      <c r="BE11" s="166">
        <f>SUM(BB11:BD11)</f>
        <v>163946</v>
      </c>
      <c r="BF11" s="126">
        <v>878</v>
      </c>
      <c r="BG11" s="126">
        <v>-918</v>
      </c>
      <c r="BH11" s="126">
        <v>0</v>
      </c>
      <c r="BI11" s="126">
        <v>163906</v>
      </c>
      <c r="BJ11" s="165">
        <f>SUM(BJ7:BJ10)</f>
        <v>846</v>
      </c>
      <c r="BK11" s="126">
        <f>SUM(BK7:BK10)</f>
        <v>-916</v>
      </c>
      <c r="BL11" s="126">
        <v>0</v>
      </c>
      <c r="BM11" s="126">
        <f>SUM(BI11:BL11)</f>
        <v>163836</v>
      </c>
      <c r="BN11" s="165">
        <f>SUM(BN7:BN10)</f>
        <v>1137</v>
      </c>
      <c r="BO11" s="126">
        <f>SUM(BO7:BO10)</f>
        <v>-946</v>
      </c>
      <c r="BP11" s="126">
        <v>0</v>
      </c>
      <c r="BQ11" s="166">
        <f>SUM(BM11:BP11)</f>
        <v>164027</v>
      </c>
      <c r="BR11" s="165">
        <f>SUM(BR7:BR10)</f>
        <v>1039</v>
      </c>
      <c r="BS11" s="126">
        <f>SUM(BS7:BS10)</f>
        <v>-976</v>
      </c>
      <c r="BT11" s="126">
        <v>0</v>
      </c>
      <c r="BU11" s="166">
        <f>SUM(BQ11:BT11)</f>
        <v>164090</v>
      </c>
      <c r="BV11" s="165">
        <f>SUM(BV7:BV10)</f>
        <v>829</v>
      </c>
      <c r="BW11" s="126">
        <f>SUM(BW7:BW10)</f>
        <v>-1032</v>
      </c>
      <c r="BX11" s="126">
        <v>0</v>
      </c>
      <c r="BY11" s="166">
        <f>SUM(BU11:BX11)</f>
        <v>163887</v>
      </c>
      <c r="BZ11" s="165">
        <f>SUM(BZ7:BZ10)</f>
        <v>1247</v>
      </c>
      <c r="CA11" s="126">
        <f>SUM(CA7:CA10)</f>
        <v>-1060</v>
      </c>
      <c r="CB11" s="126">
        <v>0</v>
      </c>
      <c r="CC11" s="166">
        <f>SUM(BY11:CB11)</f>
        <v>164074</v>
      </c>
      <c r="CD11" s="165">
        <f>SUM(CD7:CD10)</f>
        <v>2028</v>
      </c>
      <c r="CE11" s="126">
        <f>SUM(CE7:CE10)</f>
        <v>-1080</v>
      </c>
      <c r="CF11" s="126">
        <v>0</v>
      </c>
      <c r="CG11" s="166">
        <f>SUM(CC11:CF11)</f>
        <v>165022</v>
      </c>
      <c r="CH11" s="165">
        <f>SUM(CH7:CH10)</f>
        <v>1424</v>
      </c>
      <c r="CI11" s="126">
        <f>SUM(CI7:CI10)</f>
        <v>-1133</v>
      </c>
      <c r="CJ11" s="166">
        <f>SUM(CG11:CI11)</f>
        <v>165313</v>
      </c>
      <c r="CK11" s="165">
        <f>SUM(CK7:CK10)</f>
        <v>672</v>
      </c>
      <c r="CL11" s="126">
        <f>SUM(CL7:CL10)</f>
        <v>-1187</v>
      </c>
      <c r="CM11" s="166">
        <f>SUM(CJ11:CL11)</f>
        <v>164798</v>
      </c>
      <c r="CN11" s="165">
        <v>874</v>
      </c>
      <c r="CO11" s="126">
        <v>-1223</v>
      </c>
      <c r="CP11" s="166">
        <v>164449</v>
      </c>
      <c r="CQ11" s="165">
        <f>SUM(CQ7:CQ10)</f>
        <v>1208</v>
      </c>
      <c r="CR11" s="126">
        <f>SUM(CR7:CR10)</f>
        <v>-1255</v>
      </c>
      <c r="CS11" s="126">
        <v>0</v>
      </c>
      <c r="CT11" s="166">
        <f>SUM(CP11:CR11)</f>
        <v>164402</v>
      </c>
      <c r="CU11" s="165">
        <f>SUM(CU7:CU10)</f>
        <v>1490</v>
      </c>
      <c r="CV11" s="126">
        <f>SUM(CV7:CV10)</f>
        <v>-1111</v>
      </c>
      <c r="CW11" s="126">
        <v>0</v>
      </c>
      <c r="CX11" s="166">
        <f>SUM(CT11:CV11)</f>
        <v>164781</v>
      </c>
      <c r="CY11" s="165">
        <f>SUM(CY7:CY10)</f>
        <v>938</v>
      </c>
      <c r="CZ11" s="126">
        <f>SUM(CZ7:CZ10)</f>
        <v>-952</v>
      </c>
      <c r="DA11" s="126">
        <v>0</v>
      </c>
      <c r="DB11" s="166">
        <f>SUM(CX11:CZ11)</f>
        <v>164767</v>
      </c>
      <c r="DC11" s="165">
        <f>SUM(DC7:DC10)</f>
        <v>607</v>
      </c>
      <c r="DD11" s="126">
        <f>SUM(DD7:DD10)</f>
        <v>-962</v>
      </c>
      <c r="DE11" s="126">
        <v>0</v>
      </c>
      <c r="DF11" s="166">
        <f>SUM(DB11:DD11)</f>
        <v>164412</v>
      </c>
      <c r="DG11" s="165">
        <f>SUM(DG7:DG10)</f>
        <v>717</v>
      </c>
      <c r="DH11" s="126">
        <f>SUM(DH7:DH10)</f>
        <v>-978</v>
      </c>
      <c r="DI11" s="126">
        <f>DI7</f>
        <v>67</v>
      </c>
      <c r="DJ11" s="166">
        <f>SUM(DF11:DI11)</f>
        <v>164218</v>
      </c>
      <c r="DK11" s="165">
        <f>SUM(DK7:DK10)</f>
        <v>1721</v>
      </c>
      <c r="DL11" s="126">
        <f>SUM(DL7:DL10)</f>
        <v>-1015</v>
      </c>
      <c r="DM11" s="126">
        <f>DM7</f>
        <v>43</v>
      </c>
      <c r="DN11" s="166">
        <f>SUM(DJ11:DM11)</f>
        <v>164967</v>
      </c>
      <c r="DO11" s="165">
        <f>SUM(DO7:DO10)</f>
        <v>1083</v>
      </c>
      <c r="DP11" s="126">
        <f>SUM(DP7:DP10)</f>
        <v>-1028</v>
      </c>
      <c r="DQ11" s="126">
        <f>DQ7</f>
        <v>125</v>
      </c>
      <c r="DR11" s="166">
        <f>SUM(DN11:DQ11)</f>
        <v>165147</v>
      </c>
      <c r="DS11" s="165">
        <f>SUM(DS7:DS10)</f>
        <v>1226</v>
      </c>
      <c r="DT11" s="126">
        <f>SUM(DT7:DT10)</f>
        <v>-1055</v>
      </c>
      <c r="DU11" s="126">
        <f>DU7</f>
        <v>0</v>
      </c>
      <c r="DV11" s="166">
        <f>SUM(DR11:DU11)</f>
        <v>165318</v>
      </c>
      <c r="DW11" s="165">
        <f>SUM(DW7:DW10)</f>
        <v>1762</v>
      </c>
      <c r="DX11" s="126">
        <f>SUM(DX7:DX10)</f>
        <v>-1110</v>
      </c>
      <c r="DY11" s="126">
        <f>DY7</f>
        <v>-4</v>
      </c>
      <c r="DZ11" s="166">
        <f>SUM(DV11:DY11)</f>
        <v>165966</v>
      </c>
      <c r="EA11" s="165">
        <f>SUM(EA7:EA10)</f>
        <v>2181</v>
      </c>
      <c r="EB11" s="126">
        <f>SUM(EB7:EB10)</f>
        <v>-1185</v>
      </c>
      <c r="EC11" s="126">
        <f>EC7</f>
        <v>0</v>
      </c>
      <c r="ED11" s="166">
        <f>SUM(DZ11:EC11)</f>
        <v>166962</v>
      </c>
      <c r="EE11" s="165">
        <f>SUM(EE7:EE10)</f>
        <v>674</v>
      </c>
      <c r="EF11" s="126">
        <f>SUM(EF7:EF10)</f>
        <v>-1204</v>
      </c>
      <c r="EG11" s="126">
        <f>EG7</f>
        <v>0</v>
      </c>
      <c r="EH11" s="166">
        <f>SUM(ED11:EG11)</f>
        <v>166432</v>
      </c>
      <c r="EI11" s="165">
        <f>SUM(EI7:EI10)</f>
        <v>2158</v>
      </c>
      <c r="EJ11" s="126">
        <f>SUM(EJ7:EJ10)</f>
        <v>-1209</v>
      </c>
      <c r="EK11" s="126">
        <f>EK7</f>
        <v>0</v>
      </c>
      <c r="EL11" s="166">
        <f>SUM(EH11:EK11)</f>
        <v>167381</v>
      </c>
      <c r="EM11" s="165">
        <f>SUM(EM7:EM10)</f>
        <v>2919</v>
      </c>
      <c r="EN11" s="126">
        <f>SUM(EN7:EN10)</f>
        <v>-1290</v>
      </c>
      <c r="EO11" s="126">
        <f>EO7</f>
        <v>-15</v>
      </c>
      <c r="EP11" s="166">
        <f>SUM(EL11:EO11)</f>
        <v>168995</v>
      </c>
      <c r="EQ11" s="165">
        <f>SUM(EQ7:EQ10)</f>
        <v>2632</v>
      </c>
      <c r="ER11" s="126">
        <f>SUM(ER7:ER10)</f>
        <v>-1357</v>
      </c>
      <c r="ES11" s="126">
        <f>ES7</f>
        <v>-25</v>
      </c>
      <c r="ET11" s="166">
        <f>SUM(EP11:ES11)</f>
        <v>170245</v>
      </c>
      <c r="EU11" s="165">
        <f>SUM(EU7:EU10)</f>
        <v>1500</v>
      </c>
      <c r="EV11" s="126">
        <f>SUM(EV7:EV10)</f>
        <v>-1439</v>
      </c>
      <c r="EW11" s="126">
        <f>EW7</f>
        <v>25</v>
      </c>
      <c r="EX11" s="166">
        <f>SUM(ET11:EW11)</f>
        <v>170331</v>
      </c>
      <c r="EY11" s="165">
        <f>SUM(EY7:EY10)</f>
        <v>1298</v>
      </c>
      <c r="EZ11" s="126">
        <f>SUM(EZ7:EZ10)</f>
        <v>-1473</v>
      </c>
      <c r="FA11" s="126">
        <f>FA7</f>
        <v>-24</v>
      </c>
      <c r="FB11" s="166">
        <f>SUM(EX11:FA11)</f>
        <v>170132</v>
      </c>
      <c r="FC11" s="165">
        <f>SUM(FC7:FC10)</f>
        <v>821</v>
      </c>
      <c r="FD11" s="126">
        <f>SUM(FD7:FD10)</f>
        <v>-1443</v>
      </c>
      <c r="FE11" s="126">
        <f>FE7</f>
        <v>0</v>
      </c>
      <c r="FF11" s="166">
        <f>SUM(FB11:FE11)</f>
        <v>169510</v>
      </c>
      <c r="FG11" s="165">
        <f>SUM(FG7:FG10)</f>
        <v>3091</v>
      </c>
      <c r="FH11" s="126">
        <f>SUM(FH7:FH10)</f>
        <v>-1411</v>
      </c>
      <c r="FI11" s="126">
        <f>SUM(FI7:FI10)</f>
        <v>3638</v>
      </c>
      <c r="FJ11" s="166">
        <f>SUM(FF11:FI11)</f>
        <v>174828</v>
      </c>
      <c r="FK11" s="165">
        <f>SUM(FK7:FK10)</f>
        <v>3056</v>
      </c>
      <c r="FL11" s="126">
        <f>SUM(FL7:FL10)</f>
        <v>-1417</v>
      </c>
      <c r="FM11" s="126">
        <f>SUM(FM7:FM10)</f>
        <v>0</v>
      </c>
      <c r="FN11" s="166">
        <f>SUM(FJ11:FM11)</f>
        <v>176467</v>
      </c>
      <c r="FO11" s="165">
        <f>SUM(FO7:FO10)</f>
        <v>5421</v>
      </c>
      <c r="FP11" s="126">
        <f>SUM(FP7:FP10)</f>
        <v>-1403</v>
      </c>
      <c r="FQ11" s="126">
        <f>SUM(FQ7:FQ10)</f>
        <v>0</v>
      </c>
      <c r="FR11" s="166">
        <f>SUM(FN11:FQ11)</f>
        <v>180485</v>
      </c>
      <c r="FS11" s="165">
        <f>SUM(FS7:FS10)</f>
        <v>4841</v>
      </c>
      <c r="FT11" s="126">
        <f>SUM(FT7:FT10)</f>
        <v>-16567</v>
      </c>
      <c r="FU11" s="126">
        <f>SUM(FU7:FU10)</f>
        <v>-1656</v>
      </c>
      <c r="FV11" s="126">
        <f>SUM(FV7:FV10)</f>
        <v>16567</v>
      </c>
      <c r="FW11" s="126">
        <f>SUM(FW7:FW10)</f>
        <v>-22</v>
      </c>
      <c r="FX11" s="166">
        <f>SUM(FR11:FW11)</f>
        <v>183648</v>
      </c>
    </row>
    <row r="12" spans="2:180" s="28" customForma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row>
    <row r="13" spans="2:180" ht="22.5" customHeight="1" x14ac:dyDescent="0.2">
      <c r="B13" s="146" t="s">
        <v>391</v>
      </c>
      <c r="C13" s="547" t="str">
        <f>C5</f>
        <v>1Q14</v>
      </c>
      <c r="D13" s="175"/>
      <c r="E13" s="173"/>
      <c r="F13" s="547" t="str">
        <f>F5</f>
        <v>2Q14</v>
      </c>
      <c r="G13" s="175"/>
      <c r="H13" s="175"/>
      <c r="I13" s="175"/>
      <c r="J13" s="173"/>
      <c r="K13" s="547" t="str">
        <f>K5</f>
        <v>3Q14</v>
      </c>
      <c r="L13" s="175"/>
      <c r="M13" s="175"/>
      <c r="N13" s="175"/>
      <c r="O13" s="175"/>
      <c r="P13" s="173"/>
      <c r="Q13" s="547" t="str">
        <f>Q5</f>
        <v>4Q14</v>
      </c>
      <c r="R13" s="175"/>
      <c r="S13" s="175"/>
      <c r="T13" s="175"/>
      <c r="U13" s="175"/>
      <c r="V13" s="173"/>
      <c r="W13" s="547" t="str">
        <f>W5</f>
        <v>1Q15</v>
      </c>
      <c r="X13" s="175"/>
      <c r="Y13" s="175"/>
      <c r="Z13" s="173"/>
      <c r="AA13" s="547" t="str">
        <f>AA5</f>
        <v>2Q15</v>
      </c>
      <c r="AB13" s="175"/>
      <c r="AC13" s="175"/>
      <c r="AD13" s="173"/>
      <c r="AE13" s="547" t="str">
        <f>AE5</f>
        <v>3Q15</v>
      </c>
      <c r="AF13" s="175"/>
      <c r="AG13" s="175"/>
      <c r="AH13" s="173"/>
      <c r="AI13" s="547" t="str">
        <f>AI5</f>
        <v>4Q15</v>
      </c>
      <c r="AJ13" s="175"/>
      <c r="AK13" s="175"/>
      <c r="AL13" s="173"/>
      <c r="AM13" s="547" t="str">
        <f>AM5</f>
        <v>1Q16</v>
      </c>
      <c r="AN13" s="175"/>
      <c r="AO13" s="175"/>
      <c r="AP13" s="173"/>
      <c r="AQ13" s="547" t="str">
        <f>AQ5</f>
        <v>2Q16</v>
      </c>
      <c r="AR13" s="175"/>
      <c r="AS13" s="175"/>
      <c r="AT13" s="173"/>
      <c r="AU13" s="547" t="str">
        <f>AU5</f>
        <v>3Q16</v>
      </c>
      <c r="AV13" s="175"/>
      <c r="AW13" s="175"/>
      <c r="AX13" s="173"/>
      <c r="AY13" s="547" t="str">
        <f>AY5</f>
        <v>4Q16</v>
      </c>
      <c r="AZ13" s="175"/>
      <c r="BA13" s="175"/>
      <c r="BB13" s="175"/>
      <c r="BC13" s="547" t="str">
        <f>BC5</f>
        <v>1Q17</v>
      </c>
      <c r="BD13" s="175"/>
      <c r="BE13" s="173"/>
      <c r="BF13" s="547" t="str">
        <f>BF5</f>
        <v>2Q17</v>
      </c>
      <c r="BG13" s="175"/>
      <c r="BH13" s="175"/>
      <c r="BI13" s="175"/>
      <c r="BJ13" s="175" t="str">
        <f>BJ5</f>
        <v>3Q17</v>
      </c>
      <c r="BK13" s="175"/>
      <c r="BL13" s="175"/>
      <c r="BM13" s="175"/>
      <c r="BN13" s="547" t="str">
        <f>BN5</f>
        <v>4Q17</v>
      </c>
      <c r="BO13" s="175"/>
      <c r="BP13" s="175"/>
      <c r="BQ13" s="173"/>
      <c r="BR13" s="547" t="str">
        <f>BR5</f>
        <v>1Q18</v>
      </c>
      <c r="BS13" s="175"/>
      <c r="BT13" s="175"/>
      <c r="BU13" s="173"/>
      <c r="BV13" s="547" t="str">
        <f>BV5</f>
        <v>2Q18</v>
      </c>
      <c r="BW13" s="175"/>
      <c r="BX13" s="175"/>
      <c r="BY13" s="173"/>
      <c r="BZ13" s="547" t="str">
        <f>BZ5</f>
        <v>3Q18</v>
      </c>
      <c r="CA13" s="716"/>
      <c r="CB13" s="716"/>
      <c r="CC13" s="717"/>
      <c r="CD13" s="547" t="str">
        <f>CD5</f>
        <v>4Q18</v>
      </c>
      <c r="CE13" s="716"/>
      <c r="CF13" s="716"/>
      <c r="CG13" s="717"/>
      <c r="CH13" s="716" t="s">
        <v>853</v>
      </c>
      <c r="CI13" s="716"/>
      <c r="CJ13" s="716"/>
      <c r="CK13" s="547" t="str">
        <f>CK5</f>
        <v>2Q19</v>
      </c>
      <c r="CL13" s="716"/>
      <c r="CM13" s="716"/>
      <c r="CN13" s="547" t="str">
        <f>CN5</f>
        <v>3Q19</v>
      </c>
      <c r="CO13" s="716"/>
      <c r="CP13" s="716"/>
      <c r="CQ13" s="547" t="str">
        <f>CQ5</f>
        <v>4Q19</v>
      </c>
      <c r="CR13" s="716"/>
      <c r="CS13" s="716"/>
      <c r="CT13" s="716"/>
      <c r="CU13" s="547" t="str">
        <f>CU5</f>
        <v>1Q20</v>
      </c>
      <c r="CV13" s="716"/>
      <c r="CW13" s="716"/>
      <c r="CX13" s="717"/>
      <c r="CY13" s="547" t="str">
        <f>CY5</f>
        <v>2Q20</v>
      </c>
      <c r="CZ13" s="716"/>
      <c r="DA13" s="716"/>
      <c r="DB13" s="717"/>
      <c r="DC13" s="547" t="str">
        <f>DC5</f>
        <v>3Q20</v>
      </c>
      <c r="DD13" s="716"/>
      <c r="DE13" s="716"/>
      <c r="DF13" s="717"/>
      <c r="DG13" s="547" t="str">
        <f>DG5</f>
        <v>4Q20</v>
      </c>
      <c r="DH13" s="716"/>
      <c r="DI13" s="716"/>
      <c r="DJ13" s="717"/>
      <c r="DK13" s="547" t="str">
        <f>DK5</f>
        <v>1Q21</v>
      </c>
      <c r="DL13" s="716"/>
      <c r="DM13" s="716"/>
      <c r="DN13" s="717"/>
      <c r="DO13" s="547" t="str">
        <f>DO5</f>
        <v>2Q21</v>
      </c>
      <c r="DP13" s="716"/>
      <c r="DQ13" s="716"/>
      <c r="DR13" s="717"/>
      <c r="DS13" s="547" t="str">
        <f>DS5</f>
        <v>3Q21</v>
      </c>
      <c r="DT13" s="716"/>
      <c r="DU13" s="716"/>
      <c r="DV13" s="717"/>
      <c r="DW13" s="547" t="str">
        <f>DW5</f>
        <v>4Q21</v>
      </c>
      <c r="DX13" s="716"/>
      <c r="DY13" s="716"/>
      <c r="DZ13" s="717"/>
      <c r="EA13" s="547" t="str">
        <f>EA5</f>
        <v>1Q22</v>
      </c>
      <c r="EB13" s="716"/>
      <c r="EC13" s="716"/>
      <c r="ED13" s="717"/>
      <c r="EE13" s="547" t="str">
        <f>EE5</f>
        <v>2Q22</v>
      </c>
      <c r="EF13" s="716"/>
      <c r="EG13" s="716"/>
      <c r="EH13" s="717"/>
      <c r="EI13" s="547" t="str">
        <f>EI5</f>
        <v>3Q22</v>
      </c>
      <c r="EJ13" s="716"/>
      <c r="EK13" s="716"/>
      <c r="EL13" s="717"/>
      <c r="EM13" s="547" t="str">
        <f>EM5</f>
        <v>4Q22</v>
      </c>
      <c r="EN13" s="716"/>
      <c r="EO13" s="716"/>
      <c r="EP13" s="717"/>
      <c r="EQ13" s="547" t="str">
        <f>EQ5</f>
        <v>1Q23</v>
      </c>
      <c r="ER13" s="716"/>
      <c r="ES13" s="716"/>
      <c r="ET13" s="717"/>
      <c r="EU13" s="547" t="str">
        <f>EU5</f>
        <v>2Q23</v>
      </c>
      <c r="EV13" s="716"/>
      <c r="EW13" s="716"/>
      <c r="EX13" s="717"/>
      <c r="EY13" s="547" t="str">
        <f>EY5</f>
        <v>3Q23</v>
      </c>
      <c r="EZ13" s="716"/>
      <c r="FA13" s="716"/>
      <c r="FB13" s="717"/>
      <c r="FC13" s="547" t="str">
        <f>FC5</f>
        <v>4Q23</v>
      </c>
      <c r="FD13" s="716"/>
      <c r="FE13" s="716"/>
      <c r="FF13" s="717"/>
      <c r="FG13" s="547" t="str">
        <f>FG5</f>
        <v>1Q24</v>
      </c>
      <c r="FH13" s="716"/>
      <c r="FI13" s="716"/>
      <c r="FJ13" s="717"/>
      <c r="FK13" s="547" t="str">
        <f>FK5</f>
        <v>2Q24</v>
      </c>
      <c r="FL13" s="716"/>
      <c r="FM13" s="716"/>
      <c r="FN13" s="717"/>
      <c r="FO13" s="547" t="s">
        <v>1317</v>
      </c>
      <c r="FP13" s="716"/>
      <c r="FQ13" s="716"/>
      <c r="FR13" s="717"/>
      <c r="FS13" s="547" t="str">
        <f>FS5</f>
        <v>4Q24</v>
      </c>
      <c r="FT13" s="716"/>
      <c r="FU13" s="716"/>
      <c r="FV13" s="716"/>
      <c r="FW13" s="716"/>
      <c r="FX13" s="717"/>
    </row>
    <row r="14" spans="2:180" ht="25.5" customHeight="1" x14ac:dyDescent="0.2">
      <c r="B14" s="171"/>
      <c r="C14" s="174" t="str">
        <f>C6</f>
        <v>Addition</v>
      </c>
      <c r="D14" s="171" t="str">
        <f>D6</f>
        <v>Amortization</v>
      </c>
      <c r="E14" s="176" t="str">
        <f>E6</f>
        <v>3/31/14</v>
      </c>
      <c r="F14" s="174" t="str">
        <f>F6</f>
        <v>Addition</v>
      </c>
      <c r="G14" s="171" t="str">
        <f>G6</f>
        <v>Amortization</v>
      </c>
      <c r="H14" s="171" t="str">
        <f>H6</f>
        <v>Transfer</v>
      </c>
      <c r="I14" s="171" t="str">
        <f>I6</f>
        <v>Write-off</v>
      </c>
      <c r="J14" s="176" t="str">
        <f>J6</f>
        <v>6/30/14</v>
      </c>
      <c r="K14" s="174" t="str">
        <f>K6</f>
        <v>Addition</v>
      </c>
      <c r="L14" s="171" t="str">
        <f>L6</f>
        <v>Amortization</v>
      </c>
      <c r="M14" s="171" t="str">
        <f>M6</f>
        <v>Transfer</v>
      </c>
      <c r="N14" s="171" t="str">
        <f>N6</f>
        <v>Others</v>
      </c>
      <c r="O14" s="171" t="str">
        <f>O6</f>
        <v>Write-off</v>
      </c>
      <c r="P14" s="176" t="str">
        <f>P6</f>
        <v>9/30/14</v>
      </c>
      <c r="Q14" s="174" t="str">
        <f>Q6</f>
        <v>Addition</v>
      </c>
      <c r="R14" s="171" t="str">
        <f>R6</f>
        <v>Amortization</v>
      </c>
      <c r="S14" s="171" t="str">
        <f>S6</f>
        <v>Transfer</v>
      </c>
      <c r="T14" s="171" t="str">
        <f>T6</f>
        <v>Others</v>
      </c>
      <c r="U14" s="171" t="str">
        <f>U6</f>
        <v>Write-off</v>
      </c>
      <c r="V14" s="176" t="str">
        <f>V6</f>
        <v>12/31/14</v>
      </c>
      <c r="W14" s="174" t="str">
        <f>W6</f>
        <v>Addition</v>
      </c>
      <c r="X14" s="171" t="str">
        <f>X6</f>
        <v>Transfer</v>
      </c>
      <c r="Y14" s="171" t="str">
        <f>Y6</f>
        <v>Amortization</v>
      </c>
      <c r="Z14" s="176" t="str">
        <f>Z6</f>
        <v>3/31/15</v>
      </c>
      <c r="AA14" s="174" t="str">
        <f>AA6</f>
        <v>Addition</v>
      </c>
      <c r="AB14" s="171" t="str">
        <f>AB6</f>
        <v>Transfer</v>
      </c>
      <c r="AC14" s="171" t="str">
        <f>AC6</f>
        <v>Amortization</v>
      </c>
      <c r="AD14" s="176" t="str">
        <f>AD6</f>
        <v>6/30/15</v>
      </c>
      <c r="AE14" s="174" t="str">
        <f>AE6</f>
        <v>Addition</v>
      </c>
      <c r="AF14" s="171" t="str">
        <f>AF6</f>
        <v>Transfer</v>
      </c>
      <c r="AG14" s="171" t="str">
        <f>AG6</f>
        <v>Amortization</v>
      </c>
      <c r="AH14" s="176" t="str">
        <f>AH6</f>
        <v>9/30/15</v>
      </c>
      <c r="AI14" s="174" t="str">
        <f>AI6</f>
        <v>Addition</v>
      </c>
      <c r="AJ14" s="171" t="str">
        <f>AJ6</f>
        <v>Transfer</v>
      </c>
      <c r="AK14" s="171" t="str">
        <f>AK6</f>
        <v>Amortization</v>
      </c>
      <c r="AL14" s="176" t="str">
        <f>AL6</f>
        <v>12/30/15</v>
      </c>
      <c r="AM14" s="174" t="str">
        <f>AM6</f>
        <v>Addition</v>
      </c>
      <c r="AN14" s="171" t="str">
        <f>AN6</f>
        <v>Transfer</v>
      </c>
      <c r="AO14" s="171" t="str">
        <f>AO6</f>
        <v>Amortization</v>
      </c>
      <c r="AP14" s="176" t="str">
        <f>AP6</f>
        <v>3/31/16</v>
      </c>
      <c r="AQ14" s="174" t="str">
        <f>AQ6</f>
        <v>Addition</v>
      </c>
      <c r="AR14" s="171" t="str">
        <f>AR6</f>
        <v>Transfer</v>
      </c>
      <c r="AS14" s="171" t="str">
        <f>AS6</f>
        <v>Amortization</v>
      </c>
      <c r="AT14" s="176" t="str">
        <f>AT6</f>
        <v>6/30/16</v>
      </c>
      <c r="AU14" s="174" t="str">
        <f>AU6</f>
        <v>Addition</v>
      </c>
      <c r="AV14" s="171" t="str">
        <f>AV6</f>
        <v>Transfer</v>
      </c>
      <c r="AW14" s="171" t="str">
        <f>AW6</f>
        <v>Amortization</v>
      </c>
      <c r="AX14" s="176" t="str">
        <f>AX6</f>
        <v>9/30/16</v>
      </c>
      <c r="AY14" s="325" t="str">
        <f>AY6</f>
        <v>Addition</v>
      </c>
      <c r="AZ14" s="325" t="str">
        <f>AZ6</f>
        <v>Transfer</v>
      </c>
      <c r="BA14" s="325" t="str">
        <f>BA6</f>
        <v>Amortization</v>
      </c>
      <c r="BB14" s="325" t="str">
        <f>BB6</f>
        <v>12/31/16</v>
      </c>
      <c r="BC14" s="332" t="str">
        <f>BC6</f>
        <v>Addition</v>
      </c>
      <c r="BD14" s="325" t="str">
        <f>BD6</f>
        <v>Amortization</v>
      </c>
      <c r="BE14" s="176" t="str">
        <f>BE6</f>
        <v>3/31/17</v>
      </c>
      <c r="BF14" s="325" t="str">
        <f>BF6</f>
        <v>Addition</v>
      </c>
      <c r="BG14" s="325" t="str">
        <f>BG6</f>
        <v>Amortization</v>
      </c>
      <c r="BH14" s="325" t="str">
        <f>BH6</f>
        <v>Others</v>
      </c>
      <c r="BI14" s="325" t="str">
        <f>BI6</f>
        <v>6/30/17</v>
      </c>
      <c r="BJ14" s="174" t="str">
        <f>BJ6</f>
        <v>Addition</v>
      </c>
      <c r="BK14" s="171" t="str">
        <f>BK6</f>
        <v>Amortization</v>
      </c>
      <c r="BL14" s="171" t="str">
        <f>BL6</f>
        <v>Others</v>
      </c>
      <c r="BM14" s="176" t="str">
        <f>BM6</f>
        <v>9/30/17</v>
      </c>
      <c r="BN14" s="174" t="str">
        <f>BN6</f>
        <v>Addition</v>
      </c>
      <c r="BO14" s="171" t="str">
        <f>BO6</f>
        <v>Amortization</v>
      </c>
      <c r="BP14" s="171" t="str">
        <f>BP6</f>
        <v>Others</v>
      </c>
      <c r="BQ14" s="176" t="str">
        <f>BQ6</f>
        <v>12/31/17</v>
      </c>
      <c r="BR14" s="174" t="str">
        <f>BR6</f>
        <v>Addition</v>
      </c>
      <c r="BS14" s="171" t="str">
        <f>BS6</f>
        <v>Amortization</v>
      </c>
      <c r="BT14" s="171" t="str">
        <f>BT6</f>
        <v>Others</v>
      </c>
      <c r="BU14" s="176" t="str">
        <f>BU6</f>
        <v>3/30/18</v>
      </c>
      <c r="BV14" s="174" t="str">
        <f>BV6</f>
        <v>Addition</v>
      </c>
      <c r="BW14" s="171" t="str">
        <f>BW6</f>
        <v>Amortization</v>
      </c>
      <c r="BX14" s="171" t="str">
        <f>BX6</f>
        <v>Others</v>
      </c>
      <c r="BY14" s="176" t="str">
        <f>BY6</f>
        <v>6/30/18</v>
      </c>
      <c r="BZ14" s="174" t="str">
        <f>BZ6</f>
        <v>Addition</v>
      </c>
      <c r="CA14" s="171" t="str">
        <f>CA6</f>
        <v>Amortization</v>
      </c>
      <c r="CB14" s="171" t="str">
        <f>CB6</f>
        <v>Others</v>
      </c>
      <c r="CC14" s="176" t="str">
        <f>CC6</f>
        <v>9/30/18</v>
      </c>
      <c r="CD14" s="174" t="str">
        <f>CD6</f>
        <v>Addition</v>
      </c>
      <c r="CE14" s="171" t="str">
        <f>CE6</f>
        <v>Amortization</v>
      </c>
      <c r="CF14" s="171" t="str">
        <f>CF6</f>
        <v>Others</v>
      </c>
      <c r="CG14" s="176" t="str">
        <f>CG6</f>
        <v>12/30/18</v>
      </c>
      <c r="CH14" s="325" t="s">
        <v>73</v>
      </c>
      <c r="CI14" s="325" t="s">
        <v>72</v>
      </c>
      <c r="CJ14" s="325">
        <v>43554</v>
      </c>
      <c r="CK14" s="174" t="str">
        <f>CK6</f>
        <v>Addition</v>
      </c>
      <c r="CL14" s="171" t="str">
        <f>CL6</f>
        <v>Amortization</v>
      </c>
      <c r="CM14" s="176" t="str">
        <f>CM6</f>
        <v>6/30/19</v>
      </c>
      <c r="CN14" s="174" t="str">
        <f>CN6</f>
        <v>Addition</v>
      </c>
      <c r="CO14" s="171" t="str">
        <f>CO6</f>
        <v>Amortization</v>
      </c>
      <c r="CP14" s="176" t="str">
        <f>CP6</f>
        <v>9/30/19</v>
      </c>
      <c r="CQ14" s="174" t="str">
        <f>CQ6</f>
        <v>Addition</v>
      </c>
      <c r="CR14" s="171" t="str">
        <f>CR6</f>
        <v>Amortization</v>
      </c>
      <c r="CS14" s="171" t="str">
        <f>CS6</f>
        <v>Others</v>
      </c>
      <c r="CT14" s="176" t="str">
        <f>CT6</f>
        <v>12/30/19</v>
      </c>
      <c r="CU14" s="174" t="str">
        <f>CU6</f>
        <v>Addition</v>
      </c>
      <c r="CV14" s="171" t="str">
        <f>CV6</f>
        <v>Amortization</v>
      </c>
      <c r="CW14" s="171" t="str">
        <f>CW6</f>
        <v>Others</v>
      </c>
      <c r="CX14" s="176" t="str">
        <f>CX6</f>
        <v>3/31/20</v>
      </c>
      <c r="CY14" s="174" t="str">
        <f>CY6</f>
        <v>Addition</v>
      </c>
      <c r="CZ14" s="171" t="str">
        <f>CZ6</f>
        <v>Amortization</v>
      </c>
      <c r="DA14" s="171" t="str">
        <f>DA6</f>
        <v>Others</v>
      </c>
      <c r="DB14" s="176" t="str">
        <f>DB6</f>
        <v>31/06/2020</v>
      </c>
      <c r="DC14" s="174" t="str">
        <f>DC6</f>
        <v>Addition</v>
      </c>
      <c r="DD14" s="171" t="str">
        <f>DD6</f>
        <v>Amortization</v>
      </c>
      <c r="DE14" s="171" t="str">
        <f>DE6</f>
        <v>Others</v>
      </c>
      <c r="DF14" s="176" t="str">
        <f>DF6</f>
        <v>31/09/2020</v>
      </c>
      <c r="DG14" s="174" t="str">
        <f>DG6</f>
        <v>Addition</v>
      </c>
      <c r="DH14" s="171" t="str">
        <f>DH6</f>
        <v>Amortization</v>
      </c>
      <c r="DI14" s="171" t="str">
        <f>DI6</f>
        <v>Others</v>
      </c>
      <c r="DJ14" s="176" t="str">
        <f>DJ6</f>
        <v>12/30/20</v>
      </c>
      <c r="DK14" s="174" t="str">
        <f>DK6</f>
        <v>Addition</v>
      </c>
      <c r="DL14" s="171" t="str">
        <f>DL6</f>
        <v>Amortization</v>
      </c>
      <c r="DM14" s="171" t="str">
        <f>DM6</f>
        <v>Others</v>
      </c>
      <c r="DN14" s="176" t="str">
        <f>DN6</f>
        <v>3/31/21</v>
      </c>
      <c r="DO14" s="174" t="str">
        <f>DO6</f>
        <v>Addition</v>
      </c>
      <c r="DP14" s="171" t="str">
        <f>DP6</f>
        <v>Amortization</v>
      </c>
      <c r="DQ14" s="171" t="str">
        <f>DQ6</f>
        <v>Others</v>
      </c>
      <c r="DR14" s="176" t="str">
        <f>DR6</f>
        <v>6/30/21</v>
      </c>
      <c r="DS14" s="174" t="str">
        <f>DS6</f>
        <v>Addition</v>
      </c>
      <c r="DT14" s="171" t="str">
        <f>DT6</f>
        <v>Amortization</v>
      </c>
      <c r="DU14" s="171" t="str">
        <f>DU6</f>
        <v>Others</v>
      </c>
      <c r="DV14" s="176" t="str">
        <f>DV6</f>
        <v>9/30/21</v>
      </c>
      <c r="DW14" s="174" t="str">
        <f>DW6</f>
        <v>Addition</v>
      </c>
      <c r="DX14" s="171" t="str">
        <f>DX6</f>
        <v>Amortization</v>
      </c>
      <c r="DY14" s="171">
        <f>DY6</f>
        <v>0</v>
      </c>
      <c r="DZ14" s="176" t="str">
        <f>DZ6</f>
        <v>12/31/21</v>
      </c>
      <c r="EA14" s="174" t="str">
        <f>EA6</f>
        <v>Addition</v>
      </c>
      <c r="EB14" s="171" t="str">
        <f>EB6</f>
        <v>Amortization</v>
      </c>
      <c r="EC14" s="171" t="str">
        <f>EC6</f>
        <v>Others</v>
      </c>
      <c r="ED14" s="176" t="str">
        <f>ED6</f>
        <v>3/31/22</v>
      </c>
      <c r="EE14" s="174" t="str">
        <f>EE6</f>
        <v>Addition</v>
      </c>
      <c r="EF14" s="171" t="str">
        <f>EF6</f>
        <v>Amortization</v>
      </c>
      <c r="EG14" s="171" t="str">
        <f>EG6</f>
        <v>Others</v>
      </c>
      <c r="EH14" s="176" t="str">
        <f>EH6</f>
        <v>6/30/22</v>
      </c>
      <c r="EI14" s="174" t="str">
        <f>EI6</f>
        <v>Addition</v>
      </c>
      <c r="EJ14" s="171" t="str">
        <f>EJ6</f>
        <v>Amortization</v>
      </c>
      <c r="EK14" s="171" t="str">
        <f>EK6</f>
        <v>Others</v>
      </c>
      <c r="EL14" s="176" t="str">
        <f>EL6</f>
        <v>9/30/22</v>
      </c>
      <c r="EM14" s="174" t="str">
        <f>EM6</f>
        <v>Addition</v>
      </c>
      <c r="EN14" s="171" t="str">
        <f>EN6</f>
        <v>Amortization</v>
      </c>
      <c r="EO14" s="171" t="str">
        <f>EO6</f>
        <v>Others</v>
      </c>
      <c r="EP14" s="176" t="str">
        <f>EP6</f>
        <v>12/31/22</v>
      </c>
      <c r="EQ14" s="174" t="str">
        <f>EQ6</f>
        <v>Addition</v>
      </c>
      <c r="ER14" s="171" t="str">
        <f>ER6</f>
        <v>Amortization</v>
      </c>
      <c r="ES14" s="171" t="str">
        <f>ES6</f>
        <v>Others</v>
      </c>
      <c r="ET14" s="176" t="str">
        <f>ET6</f>
        <v>3/31/23</v>
      </c>
      <c r="EU14" s="174" t="str">
        <f>EU6</f>
        <v>Addition</v>
      </c>
      <c r="EV14" s="171" t="str">
        <f>EV6</f>
        <v>Amortization</v>
      </c>
      <c r="EW14" s="171" t="str">
        <f>EW6</f>
        <v>Others</v>
      </c>
      <c r="EX14" s="176" t="str">
        <f>EX6</f>
        <v>6/30/23</v>
      </c>
      <c r="EY14" s="174" t="str">
        <f>EY6</f>
        <v>Addition</v>
      </c>
      <c r="EZ14" s="171" t="str">
        <f>EZ6</f>
        <v>Amortization</v>
      </c>
      <c r="FA14" s="171" t="str">
        <f>FA6</f>
        <v>Transfers</v>
      </c>
      <c r="FB14" s="176" t="str">
        <f>FB6</f>
        <v>9/30/23</v>
      </c>
      <c r="FC14" s="174" t="str">
        <f>FC6</f>
        <v>Addition</v>
      </c>
      <c r="FD14" s="171" t="str">
        <f>FD6</f>
        <v>Amortization</v>
      </c>
      <c r="FE14" s="171" t="str">
        <f>FE6</f>
        <v>Transfers</v>
      </c>
      <c r="FF14" s="176" t="str">
        <f>FF6</f>
        <v>12/31/23</v>
      </c>
      <c r="FG14" s="174" t="str">
        <f>FG6</f>
        <v>Addition</v>
      </c>
      <c r="FH14" s="171" t="str">
        <f>FH6</f>
        <v>Amortization</v>
      </c>
      <c r="FI14" s="171" t="str">
        <f>FI6</f>
        <v>Transfers</v>
      </c>
      <c r="FJ14" s="176" t="str">
        <f>FJ6</f>
        <v>3/31/24</v>
      </c>
      <c r="FK14" s="174" t="str">
        <f>FK6</f>
        <v>Addition</v>
      </c>
      <c r="FL14" s="171" t="str">
        <f>FL6</f>
        <v>Amortization</v>
      </c>
      <c r="FM14" s="171" t="str">
        <f>FM6</f>
        <v>Transfers</v>
      </c>
      <c r="FN14" s="176" t="str">
        <f>FN6</f>
        <v>31/06/2024</v>
      </c>
      <c r="FO14" s="174" t="s">
        <v>1317</v>
      </c>
      <c r="FP14" s="171" t="s">
        <v>651</v>
      </c>
      <c r="FQ14" s="171" t="s">
        <v>1386</v>
      </c>
      <c r="FR14" s="176" t="s">
        <v>1620</v>
      </c>
      <c r="FS14" s="174" t="str">
        <f>FS6</f>
        <v>Addition</v>
      </c>
      <c r="FT14" s="171" t="str">
        <f>FT6</f>
        <v>Activation</v>
      </c>
      <c r="FU14" s="171" t="str">
        <f>FU6</f>
        <v>Amortization</v>
      </c>
      <c r="FV14" s="171" t="str">
        <f>FV6</f>
        <v>Transfers</v>
      </c>
      <c r="FW14" s="171" t="str">
        <f>FW6</f>
        <v>Others</v>
      </c>
      <c r="FX14" s="176" t="str">
        <f>FX6</f>
        <v>12/31/24</v>
      </c>
    </row>
    <row r="15" spans="2:180" x14ac:dyDescent="0.2">
      <c r="B15" s="130" t="s">
        <v>35</v>
      </c>
      <c r="C15" s="161">
        <v>851</v>
      </c>
      <c r="D15" s="118">
        <v>-703</v>
      </c>
      <c r="E15" s="162">
        <v>9847</v>
      </c>
      <c r="F15" s="161">
        <v>-608</v>
      </c>
      <c r="G15" s="118">
        <v>-524</v>
      </c>
      <c r="H15" s="118">
        <v>-1107</v>
      </c>
      <c r="I15" s="118">
        <v>0</v>
      </c>
      <c r="J15" s="162">
        <v>7608</v>
      </c>
      <c r="K15" s="161">
        <v>35</v>
      </c>
      <c r="L15" s="118">
        <v>-603</v>
      </c>
      <c r="M15" s="118">
        <v>0</v>
      </c>
      <c r="N15" s="118">
        <v>0</v>
      </c>
      <c r="O15" s="118">
        <v>0</v>
      </c>
      <c r="P15" s="162">
        <v>7040</v>
      </c>
      <c r="Q15" s="161">
        <v>1497</v>
      </c>
      <c r="R15" s="118">
        <v>-1184</v>
      </c>
      <c r="S15" s="118">
        <v>0</v>
      </c>
      <c r="T15" s="118">
        <v>0</v>
      </c>
      <c r="U15" s="118">
        <v>-39</v>
      </c>
      <c r="V15" s="162">
        <v>7314</v>
      </c>
      <c r="W15" s="161">
        <v>93</v>
      </c>
      <c r="X15" s="118">
        <v>7206</v>
      </c>
      <c r="Y15" s="118">
        <v>-783</v>
      </c>
      <c r="Z15" s="162">
        <v>13830</v>
      </c>
      <c r="AA15" s="161">
        <v>357</v>
      </c>
      <c r="AB15" s="118">
        <v>1395</v>
      </c>
      <c r="AC15" s="118">
        <v>-1018</v>
      </c>
      <c r="AD15" s="162">
        <v>14564</v>
      </c>
      <c r="AE15" s="161">
        <v>245</v>
      </c>
      <c r="AF15" s="118">
        <v>1326</v>
      </c>
      <c r="AG15" s="118">
        <v>-1215</v>
      </c>
      <c r="AH15" s="162">
        <f>SUM(AD15:AG15)</f>
        <v>14920</v>
      </c>
      <c r="AI15" s="161">
        <v>160</v>
      </c>
      <c r="AJ15" s="118">
        <v>1024</v>
      </c>
      <c r="AK15" s="118">
        <v>-1401</v>
      </c>
      <c r="AL15" s="162">
        <f>SUM(AH15:AK15)</f>
        <v>14703</v>
      </c>
      <c r="AM15" s="213">
        <v>323</v>
      </c>
      <c r="AN15" s="212">
        <v>44</v>
      </c>
      <c r="AO15" s="212">
        <v>-1408</v>
      </c>
      <c r="AP15" s="214">
        <f>SUM(AL15:AO15)</f>
        <v>13662</v>
      </c>
      <c r="AQ15" s="213">
        <v>908</v>
      </c>
      <c r="AR15" s="212">
        <v>1981</v>
      </c>
      <c r="AS15" s="212">
        <v>-1192</v>
      </c>
      <c r="AT15" s="214">
        <f>SUM(AP15:AS15)</f>
        <v>15359</v>
      </c>
      <c r="AU15" s="213">
        <v>311</v>
      </c>
      <c r="AV15" s="212">
        <v>-708</v>
      </c>
      <c r="AW15" s="212">
        <v>-1200</v>
      </c>
      <c r="AX15" s="214">
        <f>SUM(AT15:AW15)</f>
        <v>13762</v>
      </c>
      <c r="AY15" s="212">
        <v>318</v>
      </c>
      <c r="AZ15" s="212">
        <v>1</v>
      </c>
      <c r="BA15" s="212">
        <v>-1184</v>
      </c>
      <c r="BB15" s="212">
        <v>12897</v>
      </c>
      <c r="BC15" s="213">
        <v>1244</v>
      </c>
      <c r="BD15" s="212">
        <v>-1172</v>
      </c>
      <c r="BE15" s="214">
        <f>SUM(BB15:BD15)</f>
        <v>12969</v>
      </c>
      <c r="BF15" s="212">
        <v>878</v>
      </c>
      <c r="BG15" s="212">
        <v>-1181</v>
      </c>
      <c r="BH15" s="212">
        <v>0</v>
      </c>
      <c r="BI15" s="214">
        <f>SUM(BE15:BH15)</f>
        <v>12666</v>
      </c>
      <c r="BJ15" s="212">
        <v>976</v>
      </c>
      <c r="BK15" s="212">
        <v>-1161</v>
      </c>
      <c r="BL15" s="212">
        <v>0</v>
      </c>
      <c r="BM15" s="212">
        <v>12481</v>
      </c>
      <c r="BN15" s="213">
        <v>1273</v>
      </c>
      <c r="BO15" s="212">
        <v>-1186</v>
      </c>
      <c r="BP15" s="212">
        <v>0</v>
      </c>
      <c r="BQ15" s="214">
        <f>SUM(BM15:BP15)</f>
        <v>12568</v>
      </c>
      <c r="BR15" s="213">
        <v>1039</v>
      </c>
      <c r="BS15" s="212">
        <v>-1154</v>
      </c>
      <c r="BT15" s="212">
        <v>-1036</v>
      </c>
      <c r="BU15" s="214">
        <f>SUM(BQ15:BT15)</f>
        <v>11417</v>
      </c>
      <c r="BV15" s="213">
        <v>897</v>
      </c>
      <c r="BW15" s="212">
        <v>-1158</v>
      </c>
      <c r="BX15" s="212">
        <v>0</v>
      </c>
      <c r="BY15" s="214">
        <f>SUM(BU15:BX15)</f>
        <v>11156</v>
      </c>
      <c r="BZ15" s="213">
        <v>1443</v>
      </c>
      <c r="CA15" s="212">
        <v>-1193</v>
      </c>
      <c r="CB15" s="212" t="s">
        <v>47</v>
      </c>
      <c r="CC15" s="214">
        <f>SUM(BY15:CB15)</f>
        <v>11406</v>
      </c>
      <c r="CD15" s="213">
        <v>2222</v>
      </c>
      <c r="CE15" s="212">
        <v>-1185</v>
      </c>
      <c r="CF15" s="212">
        <v>-21</v>
      </c>
      <c r="CG15" s="214">
        <f>SUM(CC15:CF15)</f>
        <v>12422</v>
      </c>
      <c r="CH15" s="212">
        <v>1424</v>
      </c>
      <c r="CI15" s="212">
        <v>-1232</v>
      </c>
      <c r="CJ15" s="214">
        <f>SUM(CG15:CI15)</f>
        <v>12614</v>
      </c>
      <c r="CK15" s="213">
        <v>672</v>
      </c>
      <c r="CL15" s="212">
        <v>-1284</v>
      </c>
      <c r="CM15" s="214">
        <f>SUM(CJ15:CL15)</f>
        <v>12002</v>
      </c>
      <c r="CN15" s="213">
        <v>874</v>
      </c>
      <c r="CO15" s="212">
        <v>-1319</v>
      </c>
      <c r="CP15" s="214">
        <v>11557</v>
      </c>
      <c r="CQ15" s="213">
        <v>1227</v>
      </c>
      <c r="CR15" s="212">
        <v>-1349</v>
      </c>
      <c r="CS15" s="212">
        <v>-21</v>
      </c>
      <c r="CT15" s="214">
        <v>11414</v>
      </c>
      <c r="CU15" s="213">
        <v>1497</v>
      </c>
      <c r="CV15" s="212">
        <v>-1200</v>
      </c>
      <c r="CW15" s="212">
        <v>-21</v>
      </c>
      <c r="CX15" s="214">
        <v>11690</v>
      </c>
      <c r="CY15" s="213">
        <v>961</v>
      </c>
      <c r="CZ15" s="212">
        <v>-1042</v>
      </c>
      <c r="DA15" s="212">
        <v>51</v>
      </c>
      <c r="DB15" s="214">
        <f>SUM(CX15:DA15)</f>
        <v>11660</v>
      </c>
      <c r="DC15" s="213">
        <v>633</v>
      </c>
      <c r="DD15" s="212">
        <v>-1051</v>
      </c>
      <c r="DE15" s="212">
        <v>-50</v>
      </c>
      <c r="DF15" s="214">
        <f>SUM(DB15:DE15)</f>
        <v>11192</v>
      </c>
      <c r="DG15" s="213">
        <v>766</v>
      </c>
      <c r="DH15" s="212">
        <v>-1026</v>
      </c>
      <c r="DI15" s="212">
        <v>-195</v>
      </c>
      <c r="DJ15" s="214">
        <f>SUM(DF15:DI15)</f>
        <v>10737</v>
      </c>
      <c r="DK15" s="213">
        <v>1791</v>
      </c>
      <c r="DL15" s="212">
        <v>-1028</v>
      </c>
      <c r="DM15" s="212">
        <v>43</v>
      </c>
      <c r="DN15" s="214">
        <f>SUM(DJ15:DM15)</f>
        <v>11543</v>
      </c>
      <c r="DO15" s="213">
        <v>1091</v>
      </c>
      <c r="DP15" s="212">
        <v>-1046</v>
      </c>
      <c r="DQ15" s="212">
        <v>125</v>
      </c>
      <c r="DR15" s="214">
        <v>11713</v>
      </c>
      <c r="DS15" s="213">
        <v>1227</v>
      </c>
      <c r="DT15" s="212">
        <v>-1074</v>
      </c>
      <c r="DU15" s="212">
        <v>0</v>
      </c>
      <c r="DV15" s="214">
        <v>11866</v>
      </c>
      <c r="DW15" s="213">
        <v>1786</v>
      </c>
      <c r="DX15" s="212">
        <v>-1125</v>
      </c>
      <c r="DY15" s="212">
        <v>-6</v>
      </c>
      <c r="DZ15" s="214">
        <f>SUM(DV15:DY15)</f>
        <v>12521</v>
      </c>
      <c r="EA15" s="213">
        <v>2182</v>
      </c>
      <c r="EB15" s="212">
        <v>-1203</v>
      </c>
      <c r="EC15" s="212">
        <v>0</v>
      </c>
      <c r="ED15" s="214">
        <f>SUM(DZ15:EC15)</f>
        <v>13500</v>
      </c>
      <c r="EE15" s="213">
        <v>886</v>
      </c>
      <c r="EF15" s="212">
        <v>-1223</v>
      </c>
      <c r="EG15" s="212">
        <v>3</v>
      </c>
      <c r="EH15" s="214">
        <f>SUM(ED15:EG15)</f>
        <v>13166</v>
      </c>
      <c r="EI15" s="213">
        <v>2323</v>
      </c>
      <c r="EJ15" s="212">
        <v>-1240</v>
      </c>
      <c r="EK15" s="212">
        <v>-3</v>
      </c>
      <c r="EL15" s="214">
        <f>SUM(EH15:EK15)</f>
        <v>14246</v>
      </c>
      <c r="EM15" s="213">
        <v>3171</v>
      </c>
      <c r="EN15" s="212">
        <v>-1330</v>
      </c>
      <c r="EO15" s="212">
        <v>-15</v>
      </c>
      <c r="EP15" s="214">
        <f>SUM(EL15:EO15)</f>
        <v>16072</v>
      </c>
      <c r="EQ15" s="213">
        <v>2642</v>
      </c>
      <c r="ER15" s="212">
        <v>-1407</v>
      </c>
      <c r="ES15" s="212">
        <v>-25</v>
      </c>
      <c r="ET15" s="214">
        <f>SUM(EP15:ES15)</f>
        <v>17282</v>
      </c>
      <c r="EU15" s="213">
        <v>1536</v>
      </c>
      <c r="EV15" s="212">
        <v>-1490</v>
      </c>
      <c r="EW15" s="212">
        <v>25</v>
      </c>
      <c r="EX15" s="214">
        <f>SUM(ET15:EW15)</f>
        <v>17353</v>
      </c>
      <c r="EY15" s="213">
        <v>1381</v>
      </c>
      <c r="EZ15" s="212">
        <v>-1523</v>
      </c>
      <c r="FA15" s="212">
        <v>-24</v>
      </c>
      <c r="FB15" s="214">
        <f>SUM(EX15:FA15)</f>
        <v>17187</v>
      </c>
      <c r="FC15" s="213">
        <v>1057</v>
      </c>
      <c r="FD15" s="212">
        <v>-1496</v>
      </c>
      <c r="FE15" s="212">
        <v>0</v>
      </c>
      <c r="FF15" s="214">
        <f>SUM(FB15:FE15)</f>
        <v>16748</v>
      </c>
      <c r="FG15" s="213">
        <v>2137</v>
      </c>
      <c r="FH15" s="212">
        <v>-1477</v>
      </c>
      <c r="FI15" s="212">
        <v>0</v>
      </c>
      <c r="FJ15" s="214">
        <f>SUM(FF15:FI15)</f>
        <v>17408</v>
      </c>
      <c r="FK15" s="212">
        <v>338</v>
      </c>
      <c r="FL15" s="212">
        <v>-1492</v>
      </c>
      <c r="FM15" s="212">
        <v>-18</v>
      </c>
      <c r="FN15" s="214">
        <f>SUM(FJ15:FM15)</f>
        <v>16236</v>
      </c>
      <c r="FO15" s="212">
        <v>338</v>
      </c>
      <c r="FP15" s="212">
        <v>-1492</v>
      </c>
      <c r="FQ15" s="212">
        <v>-18</v>
      </c>
      <c r="FR15" s="214">
        <f>SUM(FN15:FQ15)</f>
        <v>15064</v>
      </c>
      <c r="FS15" s="213">
        <v>389</v>
      </c>
      <c r="FT15" s="212">
        <v>16603</v>
      </c>
      <c r="FU15" s="212">
        <v>-1718</v>
      </c>
      <c r="FV15" s="212">
        <v>0</v>
      </c>
      <c r="FW15" s="212">
        <v>-22</v>
      </c>
      <c r="FX15" s="214">
        <f>SUM(FR15:FW15)</f>
        <v>30316</v>
      </c>
    </row>
    <row r="16" spans="2:180" x14ac:dyDescent="0.2">
      <c r="B16" s="130" t="s">
        <v>481</v>
      </c>
      <c r="C16" s="161">
        <v>0</v>
      </c>
      <c r="D16" s="118">
        <v>0</v>
      </c>
      <c r="E16" s="162">
        <v>0</v>
      </c>
      <c r="F16" s="161">
        <v>0</v>
      </c>
      <c r="G16" s="118">
        <v>0</v>
      </c>
      <c r="H16" s="118">
        <v>0</v>
      </c>
      <c r="I16" s="118">
        <v>0</v>
      </c>
      <c r="J16" s="162">
        <v>0</v>
      </c>
      <c r="K16" s="161">
        <v>0</v>
      </c>
      <c r="L16" s="118">
        <v>0</v>
      </c>
      <c r="M16" s="118">
        <v>0</v>
      </c>
      <c r="N16" s="118">
        <v>0</v>
      </c>
      <c r="O16" s="118">
        <v>0</v>
      </c>
      <c r="P16" s="162">
        <v>0</v>
      </c>
      <c r="Q16" s="161">
        <v>0</v>
      </c>
      <c r="R16" s="118">
        <v>0</v>
      </c>
      <c r="S16" s="118">
        <v>0</v>
      </c>
      <c r="T16" s="118">
        <v>0</v>
      </c>
      <c r="U16" s="118">
        <v>0</v>
      </c>
      <c r="V16" s="162">
        <v>0</v>
      </c>
      <c r="W16" s="161"/>
      <c r="X16" s="118"/>
      <c r="Y16" s="118"/>
      <c r="Z16" s="162"/>
      <c r="AA16" s="161">
        <v>0</v>
      </c>
      <c r="AB16" s="118">
        <v>0</v>
      </c>
      <c r="AC16" s="118">
        <v>0</v>
      </c>
      <c r="AD16" s="162"/>
      <c r="AE16" s="161">
        <v>0</v>
      </c>
      <c r="AF16" s="118">
        <v>0</v>
      </c>
      <c r="AG16" s="118">
        <v>0</v>
      </c>
      <c r="AH16" s="162"/>
      <c r="AI16" s="161">
        <v>0</v>
      </c>
      <c r="AJ16" s="118">
        <v>0</v>
      </c>
      <c r="AK16" s="118">
        <v>0</v>
      </c>
      <c r="AL16" s="162"/>
      <c r="AM16" s="213">
        <v>0</v>
      </c>
      <c r="AN16" s="212">
        <v>0</v>
      </c>
      <c r="AO16" s="212">
        <v>0</v>
      </c>
      <c r="AP16" s="214">
        <v>0</v>
      </c>
      <c r="AQ16" s="213">
        <v>0</v>
      </c>
      <c r="AR16" s="212">
        <v>0</v>
      </c>
      <c r="AS16" s="212">
        <v>0</v>
      </c>
      <c r="AT16" s="214">
        <v>0</v>
      </c>
      <c r="AU16" s="213">
        <v>0</v>
      </c>
      <c r="AV16" s="212">
        <v>0</v>
      </c>
      <c r="AW16" s="212">
        <v>0</v>
      </c>
      <c r="AX16" s="214">
        <v>0</v>
      </c>
      <c r="AY16" s="212">
        <v>0</v>
      </c>
      <c r="AZ16" s="212">
        <v>0</v>
      </c>
      <c r="BA16" s="212">
        <v>0</v>
      </c>
      <c r="BB16" s="212">
        <v>0</v>
      </c>
      <c r="BC16" s="213">
        <v>0</v>
      </c>
      <c r="BD16" s="212">
        <v>0</v>
      </c>
      <c r="BE16" s="214">
        <v>0</v>
      </c>
      <c r="BF16" s="212">
        <v>0</v>
      </c>
      <c r="BG16" s="212">
        <v>0</v>
      </c>
      <c r="BH16" s="212">
        <v>0</v>
      </c>
      <c r="BI16" s="212">
        <v>0</v>
      </c>
      <c r="BJ16" s="213">
        <v>0</v>
      </c>
      <c r="BK16" s="212">
        <v>0</v>
      </c>
      <c r="BL16" s="212">
        <v>0</v>
      </c>
      <c r="BM16" s="212">
        <v>0</v>
      </c>
      <c r="BN16" s="213">
        <v>0</v>
      </c>
      <c r="BO16" s="212">
        <v>0</v>
      </c>
      <c r="BP16" s="212">
        <v>0</v>
      </c>
      <c r="BQ16" s="214">
        <f>SUM(BI16:BP16)</f>
        <v>0</v>
      </c>
      <c r="BR16" s="213">
        <v>0</v>
      </c>
      <c r="BS16" s="212">
        <v>0</v>
      </c>
      <c r="BT16" s="212">
        <v>0</v>
      </c>
      <c r="BU16" s="214">
        <f>SUM(BM16:BT16)</f>
        <v>0</v>
      </c>
      <c r="BV16" s="213">
        <v>0</v>
      </c>
      <c r="BW16" s="212">
        <v>0</v>
      </c>
      <c r="BX16" s="212">
        <v>0</v>
      </c>
      <c r="BY16" s="214">
        <f>SUM(BQ16:BX16)</f>
        <v>0</v>
      </c>
      <c r="BZ16" s="213">
        <v>0</v>
      </c>
      <c r="CA16" s="212">
        <v>0</v>
      </c>
      <c r="CB16" s="212">
        <v>0</v>
      </c>
      <c r="CC16" s="214">
        <f>SUM(BQ16:CB16)</f>
        <v>0</v>
      </c>
      <c r="CD16" s="213">
        <v>0</v>
      </c>
      <c r="CE16" s="212">
        <v>0</v>
      </c>
      <c r="CF16" s="212">
        <v>0</v>
      </c>
      <c r="CG16" s="214">
        <f>SUM(BU16:CF16)</f>
        <v>0</v>
      </c>
      <c r="CH16" s="212">
        <v>0</v>
      </c>
      <c r="CI16" s="212">
        <v>0</v>
      </c>
      <c r="CJ16" s="214">
        <f>SUM(BY16:CI16)</f>
        <v>0</v>
      </c>
      <c r="CK16" s="213">
        <v>0</v>
      </c>
      <c r="CL16" s="212">
        <v>0</v>
      </c>
      <c r="CM16" s="214">
        <f>SUM(CC16:CL16)</f>
        <v>0</v>
      </c>
      <c r="CN16" s="213">
        <v>0</v>
      </c>
      <c r="CO16" s="212">
        <v>0</v>
      </c>
      <c r="CP16" s="214">
        <v>0</v>
      </c>
      <c r="CQ16" s="213">
        <v>0</v>
      </c>
      <c r="CR16" s="212">
        <v>0</v>
      </c>
      <c r="CS16" s="212">
        <v>0</v>
      </c>
      <c r="CT16" s="214">
        <v>0</v>
      </c>
      <c r="CU16" s="213">
        <v>0</v>
      </c>
      <c r="CV16" s="212">
        <v>0</v>
      </c>
      <c r="CW16" s="212">
        <v>0</v>
      </c>
      <c r="CX16" s="214">
        <v>0</v>
      </c>
      <c r="CY16" s="213">
        <v>0</v>
      </c>
      <c r="CZ16" s="212">
        <v>0</v>
      </c>
      <c r="DA16" s="212">
        <v>0</v>
      </c>
      <c r="DB16" s="214">
        <f>SUM(CR16:CZ16)</f>
        <v>0</v>
      </c>
      <c r="DC16" s="213">
        <v>0</v>
      </c>
      <c r="DD16" s="212">
        <v>0</v>
      </c>
      <c r="DE16" s="212">
        <v>0</v>
      </c>
      <c r="DF16" s="214">
        <f>SUM(CV16:DD16)</f>
        <v>0</v>
      </c>
      <c r="DG16" s="213">
        <v>0</v>
      </c>
      <c r="DH16" s="212">
        <v>0</v>
      </c>
      <c r="DI16" s="212">
        <v>0</v>
      </c>
      <c r="DJ16" s="214">
        <f>SUM(CZ16:DH16)</f>
        <v>0</v>
      </c>
      <c r="DK16" s="213">
        <v>0</v>
      </c>
      <c r="DL16" s="212">
        <v>0</v>
      </c>
      <c r="DM16" s="212">
        <v>0</v>
      </c>
      <c r="DN16" s="214">
        <f>SUM(DD16:DL16)</f>
        <v>0</v>
      </c>
      <c r="DO16" s="213">
        <v>0</v>
      </c>
      <c r="DP16" s="212">
        <v>0</v>
      </c>
      <c r="DQ16" s="212">
        <v>0</v>
      </c>
      <c r="DR16" s="214">
        <f>SUM(DH16:DP16)</f>
        <v>0</v>
      </c>
      <c r="DS16" s="213">
        <v>0</v>
      </c>
      <c r="DT16" s="212">
        <v>0</v>
      </c>
      <c r="DU16" s="212">
        <v>0</v>
      </c>
      <c r="DV16" s="214">
        <v>0</v>
      </c>
      <c r="DW16" s="213">
        <v>0</v>
      </c>
      <c r="DX16" s="212">
        <v>0</v>
      </c>
      <c r="DY16" s="212">
        <v>0</v>
      </c>
      <c r="DZ16" s="214">
        <f>SUM(DP16:DX16)</f>
        <v>0</v>
      </c>
      <c r="EA16" s="213">
        <v>0</v>
      </c>
      <c r="EB16" s="212">
        <v>0</v>
      </c>
      <c r="EC16" s="212">
        <v>0</v>
      </c>
      <c r="ED16" s="214">
        <f>SUM(DP16:EB16)</f>
        <v>0</v>
      </c>
      <c r="EE16" s="213">
        <v>0</v>
      </c>
      <c r="EF16" s="212">
        <v>0</v>
      </c>
      <c r="EG16" s="212">
        <v>0</v>
      </c>
      <c r="EH16" s="214">
        <f>SUM(DT16:EF16)</f>
        <v>0</v>
      </c>
      <c r="EI16" s="213">
        <v>0</v>
      </c>
      <c r="EJ16" s="212">
        <v>0</v>
      </c>
      <c r="EK16" s="212">
        <v>0</v>
      </c>
      <c r="EL16" s="214">
        <f>SUM(DX16:EJ16)</f>
        <v>0</v>
      </c>
      <c r="EM16" s="213">
        <v>0</v>
      </c>
      <c r="EN16" s="212">
        <v>0</v>
      </c>
      <c r="EO16" s="212">
        <v>0</v>
      </c>
      <c r="EP16" s="214">
        <f>SUM(EB16:EN16)</f>
        <v>0</v>
      </c>
      <c r="EQ16" s="213">
        <v>0</v>
      </c>
      <c r="ER16" s="212">
        <v>0</v>
      </c>
      <c r="ES16" s="212">
        <v>0</v>
      </c>
      <c r="ET16" s="214">
        <f>SUM(EF16:ER16)</f>
        <v>0</v>
      </c>
      <c r="EU16" s="213">
        <v>0</v>
      </c>
      <c r="EV16" s="212">
        <v>0</v>
      </c>
      <c r="EW16" s="212">
        <v>0</v>
      </c>
      <c r="EX16" s="214">
        <f>SUM(EJ16:EV16)</f>
        <v>0</v>
      </c>
      <c r="EY16" s="213">
        <v>0</v>
      </c>
      <c r="EZ16" s="212">
        <v>0</v>
      </c>
      <c r="FA16" s="212">
        <v>0</v>
      </c>
      <c r="FB16" s="214">
        <f>SUM(EN16:EZ16)</f>
        <v>0</v>
      </c>
      <c r="FC16" s="213">
        <v>0</v>
      </c>
      <c r="FD16" s="212">
        <v>0</v>
      </c>
      <c r="FE16" s="212">
        <v>0</v>
      </c>
      <c r="FF16" s="214">
        <f>SUM(ER16:FD16)</f>
        <v>0</v>
      </c>
      <c r="FG16" s="213">
        <v>0</v>
      </c>
      <c r="FH16" s="212">
        <v>0</v>
      </c>
      <c r="FI16" s="212">
        <v>0</v>
      </c>
      <c r="FJ16" s="214">
        <f>SUM(FF16:FI16)</f>
        <v>0</v>
      </c>
      <c r="FK16" s="212">
        <v>0</v>
      </c>
      <c r="FL16" s="212">
        <v>0</v>
      </c>
      <c r="FM16" s="212">
        <v>0</v>
      </c>
      <c r="FN16" s="214">
        <f>SUM(FJ16:FM16)</f>
        <v>0</v>
      </c>
      <c r="FO16" s="212">
        <v>0</v>
      </c>
      <c r="FP16" s="212">
        <v>0</v>
      </c>
      <c r="FQ16" s="212">
        <v>0</v>
      </c>
      <c r="FR16" s="214">
        <f>SUM(FN16:FQ16)</f>
        <v>0</v>
      </c>
      <c r="FS16" s="213">
        <v>0</v>
      </c>
      <c r="FT16" s="212" t="s">
        <v>47</v>
      </c>
      <c r="FU16" s="212">
        <v>0</v>
      </c>
      <c r="FV16" s="212">
        <v>0</v>
      </c>
      <c r="FW16" s="212" t="s">
        <v>47</v>
      </c>
      <c r="FX16" s="214">
        <f>SUM(FN16:FV16)</f>
        <v>0</v>
      </c>
    </row>
    <row r="17" spans="2:180" x14ac:dyDescent="0.2">
      <c r="B17" s="130" t="s">
        <v>1332</v>
      </c>
      <c r="C17" s="161">
        <v>0</v>
      </c>
      <c r="D17" s="118">
        <v>0</v>
      </c>
      <c r="E17" s="162">
        <v>0</v>
      </c>
      <c r="F17" s="161">
        <v>0</v>
      </c>
      <c r="G17" s="118">
        <v>0</v>
      </c>
      <c r="H17" s="118">
        <v>0</v>
      </c>
      <c r="I17" s="118">
        <v>0</v>
      </c>
      <c r="J17" s="162">
        <v>0</v>
      </c>
      <c r="K17" s="161">
        <v>0</v>
      </c>
      <c r="L17" s="118">
        <v>0</v>
      </c>
      <c r="M17" s="118">
        <v>0</v>
      </c>
      <c r="N17" s="118">
        <v>0</v>
      </c>
      <c r="O17" s="118">
        <v>0</v>
      </c>
      <c r="P17" s="162">
        <v>0</v>
      </c>
      <c r="Q17" s="161">
        <v>0</v>
      </c>
      <c r="R17" s="118">
        <v>0</v>
      </c>
      <c r="S17" s="118">
        <v>0</v>
      </c>
      <c r="T17" s="118">
        <v>0</v>
      </c>
      <c r="U17" s="118">
        <v>0</v>
      </c>
      <c r="V17" s="162">
        <v>0</v>
      </c>
      <c r="W17" s="161"/>
      <c r="X17" s="118"/>
      <c r="Y17" s="118"/>
      <c r="Z17" s="162"/>
      <c r="AA17" s="161">
        <v>0</v>
      </c>
      <c r="AB17" s="118">
        <v>0</v>
      </c>
      <c r="AC17" s="118">
        <v>0</v>
      </c>
      <c r="AD17" s="162"/>
      <c r="AE17" s="161">
        <v>0</v>
      </c>
      <c r="AF17" s="118">
        <v>0</v>
      </c>
      <c r="AG17" s="118">
        <v>0</v>
      </c>
      <c r="AH17" s="162"/>
      <c r="AI17" s="161">
        <v>0</v>
      </c>
      <c r="AJ17" s="118">
        <v>0</v>
      </c>
      <c r="AK17" s="118">
        <v>0</v>
      </c>
      <c r="AL17" s="162"/>
      <c r="AM17" s="213">
        <v>0</v>
      </c>
      <c r="AN17" s="212">
        <v>0</v>
      </c>
      <c r="AO17" s="212">
        <v>0</v>
      </c>
      <c r="AP17" s="214">
        <v>0</v>
      </c>
      <c r="AQ17" s="213">
        <v>0</v>
      </c>
      <c r="AR17" s="212">
        <v>0</v>
      </c>
      <c r="AS17" s="212">
        <v>0</v>
      </c>
      <c r="AT17" s="214">
        <v>0</v>
      </c>
      <c r="AU17" s="213">
        <v>0</v>
      </c>
      <c r="AV17" s="212">
        <v>0</v>
      </c>
      <c r="AW17" s="212">
        <v>0</v>
      </c>
      <c r="AX17" s="214">
        <v>0</v>
      </c>
      <c r="AY17" s="212">
        <v>0</v>
      </c>
      <c r="AZ17" s="212">
        <v>0</v>
      </c>
      <c r="BA17" s="212">
        <v>0</v>
      </c>
      <c r="BB17" s="212">
        <v>0</v>
      </c>
      <c r="BC17" s="213">
        <v>0</v>
      </c>
      <c r="BD17" s="212">
        <v>0</v>
      </c>
      <c r="BE17" s="214">
        <v>0</v>
      </c>
      <c r="BF17" s="212">
        <v>0</v>
      </c>
      <c r="BG17" s="212">
        <v>0</v>
      </c>
      <c r="BH17" s="212">
        <v>0</v>
      </c>
      <c r="BI17" s="212">
        <v>0</v>
      </c>
      <c r="BJ17" s="213">
        <v>0</v>
      </c>
      <c r="BK17" s="212">
        <v>0</v>
      </c>
      <c r="BL17" s="212">
        <v>0</v>
      </c>
      <c r="BM17" s="212">
        <v>0</v>
      </c>
      <c r="BN17" s="213">
        <v>0</v>
      </c>
      <c r="BO17" s="212">
        <v>0</v>
      </c>
      <c r="BP17" s="212">
        <v>0</v>
      </c>
      <c r="BQ17" s="214">
        <f>SUM(BI17:BP17)</f>
        <v>0</v>
      </c>
      <c r="BR17" s="213">
        <v>0</v>
      </c>
      <c r="BS17" s="212">
        <v>0</v>
      </c>
      <c r="BT17" s="212">
        <v>0</v>
      </c>
      <c r="BU17" s="214">
        <f>SUM(BM17:BT17)</f>
        <v>0</v>
      </c>
      <c r="BV17" s="213">
        <v>0</v>
      </c>
      <c r="BW17" s="212">
        <v>0</v>
      </c>
      <c r="BX17" s="212">
        <v>0</v>
      </c>
      <c r="BY17" s="214">
        <f>SUM(BQ17:BX17)</f>
        <v>0</v>
      </c>
      <c r="BZ17" s="213">
        <v>0</v>
      </c>
      <c r="CA17" s="212">
        <v>0</v>
      </c>
      <c r="CB17" s="212">
        <v>0</v>
      </c>
      <c r="CC17" s="214">
        <f>SUM(BQ17:CB17)</f>
        <v>0</v>
      </c>
      <c r="CD17" s="213">
        <v>0</v>
      </c>
      <c r="CE17" s="212">
        <v>0</v>
      </c>
      <c r="CF17" s="212">
        <v>0</v>
      </c>
      <c r="CG17" s="214">
        <f>SUM(BU17:CF17)</f>
        <v>0</v>
      </c>
      <c r="CH17" s="212">
        <v>0</v>
      </c>
      <c r="CI17" s="212">
        <v>0</v>
      </c>
      <c r="CJ17" s="214">
        <f>SUM(BY17:CI17)</f>
        <v>0</v>
      </c>
      <c r="CK17" s="213">
        <v>0</v>
      </c>
      <c r="CL17" s="212">
        <v>0</v>
      </c>
      <c r="CM17" s="214">
        <f>SUM(CC17:CL17)</f>
        <v>0</v>
      </c>
      <c r="CN17" s="213">
        <v>0</v>
      </c>
      <c r="CO17" s="212">
        <v>0</v>
      </c>
      <c r="CP17" s="214">
        <v>0</v>
      </c>
      <c r="CQ17" s="213">
        <v>0</v>
      </c>
      <c r="CR17" s="212">
        <v>0</v>
      </c>
      <c r="CS17" s="212">
        <v>0</v>
      </c>
      <c r="CT17" s="214">
        <v>0</v>
      </c>
      <c r="CU17" s="213">
        <v>0</v>
      </c>
      <c r="CV17" s="212">
        <v>0</v>
      </c>
      <c r="CW17" s="212">
        <v>0</v>
      </c>
      <c r="CX17" s="214">
        <v>0</v>
      </c>
      <c r="CY17" s="213">
        <v>0</v>
      </c>
      <c r="CZ17" s="212">
        <v>0</v>
      </c>
      <c r="DA17" s="212">
        <v>0</v>
      </c>
      <c r="DB17" s="214">
        <f>SUM(CR17:CZ17)</f>
        <v>0</v>
      </c>
      <c r="DC17" s="213">
        <v>0</v>
      </c>
      <c r="DD17" s="212">
        <v>0</v>
      </c>
      <c r="DE17" s="212">
        <v>0</v>
      </c>
      <c r="DF17" s="214">
        <f>SUM(CV17:DD17)</f>
        <v>0</v>
      </c>
      <c r="DG17" s="213">
        <v>0</v>
      </c>
      <c r="DH17" s="212">
        <v>0</v>
      </c>
      <c r="DI17" s="212">
        <v>0</v>
      </c>
      <c r="DJ17" s="214">
        <f>SUM(CZ17:DH17)</f>
        <v>0</v>
      </c>
      <c r="DK17" s="213">
        <v>0</v>
      </c>
      <c r="DL17" s="212">
        <v>0</v>
      </c>
      <c r="DM17" s="212">
        <v>0</v>
      </c>
      <c r="DN17" s="214">
        <f>SUM(DD17:DL17)</f>
        <v>0</v>
      </c>
      <c r="DO17" s="213">
        <v>0</v>
      </c>
      <c r="DP17" s="212">
        <v>0</v>
      </c>
      <c r="DQ17" s="212">
        <v>0</v>
      </c>
      <c r="DR17" s="214">
        <f>SUM(DH17:DP17)</f>
        <v>0</v>
      </c>
      <c r="DS17" s="213">
        <v>0</v>
      </c>
      <c r="DT17" s="212">
        <v>0</v>
      </c>
      <c r="DU17" s="212">
        <v>0</v>
      </c>
      <c r="DV17" s="214">
        <v>0</v>
      </c>
      <c r="DW17" s="213">
        <v>0</v>
      </c>
      <c r="DX17" s="212">
        <v>0</v>
      </c>
      <c r="DY17" s="212">
        <v>0</v>
      </c>
      <c r="DZ17" s="214">
        <f>SUM(DP17:DX17)</f>
        <v>0</v>
      </c>
      <c r="EA17" s="213">
        <v>0</v>
      </c>
      <c r="EB17" s="212">
        <v>0</v>
      </c>
      <c r="EC17" s="212">
        <v>0</v>
      </c>
      <c r="ED17" s="214">
        <f>SUM(DP17:EB17)</f>
        <v>0</v>
      </c>
      <c r="EE17" s="213">
        <v>0</v>
      </c>
      <c r="EF17" s="212">
        <v>0</v>
      </c>
      <c r="EG17" s="212">
        <v>0</v>
      </c>
      <c r="EH17" s="214">
        <f>SUM(DT17:EF17)</f>
        <v>0</v>
      </c>
      <c r="EI17" s="213">
        <v>0</v>
      </c>
      <c r="EJ17" s="212">
        <v>0</v>
      </c>
      <c r="EK17" s="212">
        <v>0</v>
      </c>
      <c r="EL17" s="214">
        <f>SUM(DX17:EJ17)</f>
        <v>0</v>
      </c>
      <c r="EM17" s="213">
        <v>0</v>
      </c>
      <c r="EN17" s="212">
        <v>0</v>
      </c>
      <c r="EO17" s="212">
        <v>0</v>
      </c>
      <c r="EP17" s="214">
        <f>SUM(EB17:EN17)</f>
        <v>0</v>
      </c>
      <c r="EQ17" s="213">
        <v>0</v>
      </c>
      <c r="ER17" s="212">
        <v>0</v>
      </c>
      <c r="ES17" s="212">
        <v>0</v>
      </c>
      <c r="ET17" s="214">
        <f>SUM(EF17:ER17)</f>
        <v>0</v>
      </c>
      <c r="EU17" s="213">
        <v>0</v>
      </c>
      <c r="EV17" s="212">
        <v>0</v>
      </c>
      <c r="EW17" s="212">
        <v>0</v>
      </c>
      <c r="EX17" s="214">
        <f>SUM(EJ17:EV17)</f>
        <v>0</v>
      </c>
      <c r="EY17" s="213">
        <v>0</v>
      </c>
      <c r="EZ17" s="212">
        <v>0</v>
      </c>
      <c r="FA17" s="212">
        <v>0</v>
      </c>
      <c r="FB17" s="214">
        <f>SUM(EN17:EZ17)</f>
        <v>0</v>
      </c>
      <c r="FC17" s="213">
        <v>0</v>
      </c>
      <c r="FD17" s="212">
        <v>0</v>
      </c>
      <c r="FE17" s="212">
        <v>0</v>
      </c>
      <c r="FF17" s="214">
        <f>SUM(ER17:FD17)</f>
        <v>0</v>
      </c>
      <c r="FG17" s="213">
        <v>1222</v>
      </c>
      <c r="FH17" s="212">
        <v>0</v>
      </c>
      <c r="FI17" s="212">
        <v>3638</v>
      </c>
      <c r="FJ17" s="214">
        <f>SUM(FF17:FI17)</f>
        <v>4860</v>
      </c>
      <c r="FK17" s="212">
        <v>2747</v>
      </c>
      <c r="FL17" s="212">
        <v>0</v>
      </c>
      <c r="FM17" s="212">
        <v>18</v>
      </c>
      <c r="FN17" s="214">
        <f>SUM(FJ17:FM17)</f>
        <v>7625</v>
      </c>
      <c r="FO17" s="212">
        <v>2747</v>
      </c>
      <c r="FP17" s="212">
        <v>0</v>
      </c>
      <c r="FQ17" s="212">
        <v>18</v>
      </c>
      <c r="FR17" s="214">
        <f>SUM(FN17:FQ17)</f>
        <v>10390</v>
      </c>
      <c r="FS17" s="213">
        <v>6808</v>
      </c>
      <c r="FT17" s="212">
        <v>-16567</v>
      </c>
      <c r="FU17" s="212">
        <v>0</v>
      </c>
      <c r="FV17" s="212">
        <v>0</v>
      </c>
      <c r="FW17" s="212" t="s">
        <v>47</v>
      </c>
      <c r="FX17" s="214">
        <f>SUM(FR17:FV17)</f>
        <v>631</v>
      </c>
    </row>
    <row r="18" spans="2:180" x14ac:dyDescent="0.2">
      <c r="B18" s="120" t="s">
        <v>36</v>
      </c>
      <c r="C18" s="163">
        <f t="shared" ref="C18:AD18" si="1">SUM(C15:C16)</f>
        <v>851</v>
      </c>
      <c r="D18" s="120">
        <f t="shared" si="1"/>
        <v>-703</v>
      </c>
      <c r="E18" s="164">
        <f t="shared" si="1"/>
        <v>9847</v>
      </c>
      <c r="F18" s="163">
        <f t="shared" si="1"/>
        <v>-608</v>
      </c>
      <c r="G18" s="120">
        <f t="shared" si="1"/>
        <v>-524</v>
      </c>
      <c r="H18" s="120">
        <f t="shared" si="1"/>
        <v>-1107</v>
      </c>
      <c r="I18" s="120">
        <f t="shared" si="1"/>
        <v>0</v>
      </c>
      <c r="J18" s="164">
        <f t="shared" si="1"/>
        <v>7608</v>
      </c>
      <c r="K18" s="163">
        <f t="shared" si="1"/>
        <v>35</v>
      </c>
      <c r="L18" s="120">
        <f t="shared" si="1"/>
        <v>-603</v>
      </c>
      <c r="M18" s="120">
        <f t="shared" si="1"/>
        <v>0</v>
      </c>
      <c r="N18" s="120">
        <f t="shared" si="1"/>
        <v>0</v>
      </c>
      <c r="O18" s="120">
        <f t="shared" si="1"/>
        <v>0</v>
      </c>
      <c r="P18" s="164">
        <f t="shared" si="1"/>
        <v>7040</v>
      </c>
      <c r="Q18" s="163">
        <f t="shared" si="1"/>
        <v>1497</v>
      </c>
      <c r="R18" s="120">
        <f t="shared" si="1"/>
        <v>-1184</v>
      </c>
      <c r="S18" s="120">
        <f t="shared" si="1"/>
        <v>0</v>
      </c>
      <c r="T18" s="120">
        <f t="shared" si="1"/>
        <v>0</v>
      </c>
      <c r="U18" s="120">
        <f t="shared" si="1"/>
        <v>-39</v>
      </c>
      <c r="V18" s="164">
        <f t="shared" si="1"/>
        <v>7314</v>
      </c>
      <c r="W18" s="163">
        <f t="shared" si="1"/>
        <v>93</v>
      </c>
      <c r="X18" s="120">
        <f t="shared" si="1"/>
        <v>7206</v>
      </c>
      <c r="Y18" s="120">
        <f t="shared" si="1"/>
        <v>-783</v>
      </c>
      <c r="Z18" s="164">
        <f t="shared" si="1"/>
        <v>13830</v>
      </c>
      <c r="AA18" s="163">
        <f t="shared" si="1"/>
        <v>357</v>
      </c>
      <c r="AB18" s="120">
        <f t="shared" si="1"/>
        <v>1395</v>
      </c>
      <c r="AC18" s="120">
        <f t="shared" si="1"/>
        <v>-1018</v>
      </c>
      <c r="AD18" s="164">
        <f t="shared" si="1"/>
        <v>14564</v>
      </c>
      <c r="AE18" s="163">
        <f t="shared" ref="AE18:AL18" si="2">SUM(AE15:AE16)</f>
        <v>245</v>
      </c>
      <c r="AF18" s="120">
        <f t="shared" si="2"/>
        <v>1326</v>
      </c>
      <c r="AG18" s="120">
        <f t="shared" si="2"/>
        <v>-1215</v>
      </c>
      <c r="AH18" s="164">
        <f t="shared" si="2"/>
        <v>14920</v>
      </c>
      <c r="AI18" s="163">
        <f t="shared" si="2"/>
        <v>160</v>
      </c>
      <c r="AJ18" s="120">
        <f t="shared" si="2"/>
        <v>1024</v>
      </c>
      <c r="AK18" s="120">
        <f t="shared" si="2"/>
        <v>-1401</v>
      </c>
      <c r="AL18" s="164">
        <f t="shared" si="2"/>
        <v>14703</v>
      </c>
      <c r="AM18" s="163">
        <f t="shared" ref="AM18:AX18" si="3">SUM(AM15:AM16)</f>
        <v>323</v>
      </c>
      <c r="AN18" s="120">
        <f t="shared" si="3"/>
        <v>44</v>
      </c>
      <c r="AO18" s="120">
        <f t="shared" si="3"/>
        <v>-1408</v>
      </c>
      <c r="AP18" s="164">
        <f t="shared" si="3"/>
        <v>13662</v>
      </c>
      <c r="AQ18" s="163">
        <f t="shared" si="3"/>
        <v>908</v>
      </c>
      <c r="AR18" s="120">
        <f t="shared" si="3"/>
        <v>1981</v>
      </c>
      <c r="AS18" s="120">
        <f t="shared" si="3"/>
        <v>-1192</v>
      </c>
      <c r="AT18" s="164">
        <f t="shared" si="3"/>
        <v>15359</v>
      </c>
      <c r="AU18" s="163">
        <f t="shared" si="3"/>
        <v>311</v>
      </c>
      <c r="AV18" s="120">
        <f t="shared" si="3"/>
        <v>-708</v>
      </c>
      <c r="AW18" s="120">
        <f t="shared" si="3"/>
        <v>-1200</v>
      </c>
      <c r="AX18" s="164">
        <f t="shared" si="3"/>
        <v>13762</v>
      </c>
      <c r="AY18" s="120">
        <v>318</v>
      </c>
      <c r="AZ18" s="120">
        <v>1</v>
      </c>
      <c r="BA18" s="120">
        <v>-1184</v>
      </c>
      <c r="BB18" s="120">
        <v>12897</v>
      </c>
      <c r="BC18" s="163">
        <v>1244</v>
      </c>
      <c r="BD18" s="120">
        <v>-1172</v>
      </c>
      <c r="BE18" s="164">
        <f>SUM(BB18:BD18)</f>
        <v>12969</v>
      </c>
      <c r="BF18" s="120">
        <v>878</v>
      </c>
      <c r="BG18" s="120">
        <v>-1181</v>
      </c>
      <c r="BH18" s="120">
        <v>0</v>
      </c>
      <c r="BI18" s="164">
        <f>SUM(BE18:BH18)</f>
        <v>12666</v>
      </c>
      <c r="BJ18" s="163">
        <f t="shared" ref="BJ18:BP18" si="4">SUM(BJ15:BJ16)</f>
        <v>976</v>
      </c>
      <c r="BK18" s="120">
        <f t="shared" si="4"/>
        <v>-1161</v>
      </c>
      <c r="BL18" s="120">
        <f t="shared" si="4"/>
        <v>0</v>
      </c>
      <c r="BM18" s="164">
        <f t="shared" si="4"/>
        <v>12481</v>
      </c>
      <c r="BN18" s="163">
        <f t="shared" si="4"/>
        <v>1273</v>
      </c>
      <c r="BO18" s="120">
        <f t="shared" si="4"/>
        <v>-1186</v>
      </c>
      <c r="BP18" s="120">
        <f t="shared" si="4"/>
        <v>0</v>
      </c>
      <c r="BQ18" s="164">
        <f t="shared" ref="BQ18:CI18" si="5">SUM(BQ15:BQ16)</f>
        <v>12568</v>
      </c>
      <c r="BR18" s="163">
        <f t="shared" si="5"/>
        <v>1039</v>
      </c>
      <c r="BS18" s="120">
        <f t="shared" si="5"/>
        <v>-1154</v>
      </c>
      <c r="BT18" s="120">
        <f t="shared" si="5"/>
        <v>-1036</v>
      </c>
      <c r="BU18" s="164">
        <f t="shared" si="5"/>
        <v>11417</v>
      </c>
      <c r="BV18" s="163">
        <f t="shared" si="5"/>
        <v>897</v>
      </c>
      <c r="BW18" s="120">
        <f t="shared" si="5"/>
        <v>-1158</v>
      </c>
      <c r="BX18" s="120">
        <f t="shared" si="5"/>
        <v>0</v>
      </c>
      <c r="BY18" s="164">
        <f t="shared" si="5"/>
        <v>11156</v>
      </c>
      <c r="BZ18" s="163">
        <f>SUM(BZ15:BZ16)</f>
        <v>1443</v>
      </c>
      <c r="CA18" s="120">
        <f>SUM(CA15:CA16)</f>
        <v>-1193</v>
      </c>
      <c r="CB18" s="120">
        <f>SUM(CB15:CB16)</f>
        <v>0</v>
      </c>
      <c r="CC18" s="164">
        <f>SUM(CC15:CC16)</f>
        <v>11406</v>
      </c>
      <c r="CD18" s="163">
        <f t="shared" si="5"/>
        <v>2222</v>
      </c>
      <c r="CE18" s="120">
        <f t="shared" si="5"/>
        <v>-1185</v>
      </c>
      <c r="CF18" s="120">
        <f t="shared" si="5"/>
        <v>-21</v>
      </c>
      <c r="CG18" s="164">
        <f t="shared" si="5"/>
        <v>12422</v>
      </c>
      <c r="CH18" s="163">
        <f t="shared" si="5"/>
        <v>1424</v>
      </c>
      <c r="CI18" s="120">
        <f t="shared" si="5"/>
        <v>-1232</v>
      </c>
      <c r="CJ18" s="164">
        <f>SUM(CJ15:CJ16)</f>
        <v>12614</v>
      </c>
      <c r="CK18" s="163">
        <f>SUM(CK15:CK16)</f>
        <v>672</v>
      </c>
      <c r="CL18" s="120">
        <f>SUM(CL15:CL16)</f>
        <v>-1284</v>
      </c>
      <c r="CM18" s="164">
        <f>SUM(CM15:CM16)</f>
        <v>12002</v>
      </c>
      <c r="CN18" s="163">
        <v>874</v>
      </c>
      <c r="CO18" s="120">
        <v>-1319</v>
      </c>
      <c r="CP18" s="164">
        <v>11557</v>
      </c>
      <c r="CQ18" s="163">
        <f t="shared" ref="CQ18:CX18" si="6">SUM(CQ15:CQ16)</f>
        <v>1227</v>
      </c>
      <c r="CR18" s="120">
        <f t="shared" si="6"/>
        <v>-1349</v>
      </c>
      <c r="CS18" s="120">
        <f t="shared" si="6"/>
        <v>-21</v>
      </c>
      <c r="CT18" s="164">
        <f t="shared" si="6"/>
        <v>11414</v>
      </c>
      <c r="CU18" s="163">
        <f t="shared" si="6"/>
        <v>1497</v>
      </c>
      <c r="CV18" s="120">
        <f t="shared" si="6"/>
        <v>-1200</v>
      </c>
      <c r="CW18" s="120">
        <f t="shared" si="6"/>
        <v>-21</v>
      </c>
      <c r="CX18" s="164">
        <f t="shared" si="6"/>
        <v>11690</v>
      </c>
      <c r="CY18" s="163">
        <f t="shared" ref="CY18:DF18" si="7">SUM(CY15:CY16)</f>
        <v>961</v>
      </c>
      <c r="CZ18" s="120">
        <f t="shared" si="7"/>
        <v>-1042</v>
      </c>
      <c r="DA18" s="120">
        <f t="shared" si="7"/>
        <v>51</v>
      </c>
      <c r="DB18" s="164">
        <f t="shared" si="7"/>
        <v>11660</v>
      </c>
      <c r="DC18" s="163">
        <f t="shared" si="7"/>
        <v>633</v>
      </c>
      <c r="DD18" s="120">
        <f t="shared" si="7"/>
        <v>-1051</v>
      </c>
      <c r="DE18" s="120">
        <f t="shared" si="7"/>
        <v>-50</v>
      </c>
      <c r="DF18" s="164">
        <f t="shared" si="7"/>
        <v>11192</v>
      </c>
      <c r="DG18" s="163">
        <f t="shared" ref="DG18:DN18" si="8">SUM(DG15:DG16)</f>
        <v>766</v>
      </c>
      <c r="DH18" s="120">
        <f t="shared" si="8"/>
        <v>-1026</v>
      </c>
      <c r="DI18" s="120">
        <f t="shared" si="8"/>
        <v>-195</v>
      </c>
      <c r="DJ18" s="164">
        <f t="shared" si="8"/>
        <v>10737</v>
      </c>
      <c r="DK18" s="163">
        <f t="shared" si="8"/>
        <v>1791</v>
      </c>
      <c r="DL18" s="120">
        <f t="shared" si="8"/>
        <v>-1028</v>
      </c>
      <c r="DM18" s="120">
        <f t="shared" si="8"/>
        <v>43</v>
      </c>
      <c r="DN18" s="164">
        <f t="shared" si="8"/>
        <v>11543</v>
      </c>
      <c r="DO18" s="163">
        <f t="shared" ref="DO18:EG18" si="9">SUM(DO15:DO16)</f>
        <v>1091</v>
      </c>
      <c r="DP18" s="120">
        <f t="shared" si="9"/>
        <v>-1046</v>
      </c>
      <c r="DQ18" s="120">
        <f t="shared" si="9"/>
        <v>125</v>
      </c>
      <c r="DR18" s="164">
        <f t="shared" si="9"/>
        <v>11713</v>
      </c>
      <c r="DS18" s="163">
        <f t="shared" si="9"/>
        <v>1227</v>
      </c>
      <c r="DT18" s="120">
        <f t="shared" si="9"/>
        <v>-1074</v>
      </c>
      <c r="DU18" s="120">
        <f t="shared" si="9"/>
        <v>0</v>
      </c>
      <c r="DV18" s="164">
        <f t="shared" si="9"/>
        <v>11866</v>
      </c>
      <c r="DW18" s="163">
        <f t="shared" si="9"/>
        <v>1786</v>
      </c>
      <c r="DX18" s="120">
        <f t="shared" si="9"/>
        <v>-1125</v>
      </c>
      <c r="DY18" s="120">
        <f t="shared" si="9"/>
        <v>-6</v>
      </c>
      <c r="DZ18" s="164">
        <f t="shared" si="9"/>
        <v>12521</v>
      </c>
      <c r="EA18" s="163">
        <f>SUM(EA15:EA16)</f>
        <v>2182</v>
      </c>
      <c r="EB18" s="120">
        <f>SUM(EB15:EB16)</f>
        <v>-1203</v>
      </c>
      <c r="EC18" s="120">
        <f>SUM(EC15:EC16)</f>
        <v>0</v>
      </c>
      <c r="ED18" s="164">
        <f>SUM(ED15:ED16)</f>
        <v>13500</v>
      </c>
      <c r="EE18" s="163">
        <f t="shared" si="9"/>
        <v>886</v>
      </c>
      <c r="EF18" s="120">
        <f t="shared" si="9"/>
        <v>-1223</v>
      </c>
      <c r="EG18" s="120">
        <f t="shared" si="9"/>
        <v>3</v>
      </c>
      <c r="EH18" s="164">
        <f>SUM(ED18:EG18)</f>
        <v>13166</v>
      </c>
      <c r="EI18" s="163">
        <f>SUM(EI15:EI16)</f>
        <v>2323</v>
      </c>
      <c r="EJ18" s="120">
        <f>SUM(EJ15:EJ16)</f>
        <v>-1240</v>
      </c>
      <c r="EK18" s="120">
        <f>SUM(EK15:EK16)</f>
        <v>-3</v>
      </c>
      <c r="EL18" s="164">
        <f>SUM(EH18:EK18)</f>
        <v>14246</v>
      </c>
      <c r="EM18" s="163">
        <f>SUM(EM15:EM16)</f>
        <v>3171</v>
      </c>
      <c r="EN18" s="120">
        <f>SUM(EN15:EN16)</f>
        <v>-1330</v>
      </c>
      <c r="EO18" s="120">
        <f>SUM(EO15:EO16)</f>
        <v>-15</v>
      </c>
      <c r="EP18" s="164">
        <f>SUM(EL18:EO18)</f>
        <v>16072</v>
      </c>
      <c r="EQ18" s="163">
        <f>SUM(EQ15:EQ16)</f>
        <v>2642</v>
      </c>
      <c r="ER18" s="120">
        <f>SUM(ER15:ER16)</f>
        <v>-1407</v>
      </c>
      <c r="ES18" s="120">
        <f>SUM(ES15:ES16)</f>
        <v>-25</v>
      </c>
      <c r="ET18" s="164">
        <f>SUM(EP18:ES18)</f>
        <v>17282</v>
      </c>
      <c r="EU18" s="163">
        <f>SUM(EU15:EU16)</f>
        <v>1536</v>
      </c>
      <c r="EV18" s="120">
        <f>SUM(EV15:EV16)</f>
        <v>-1490</v>
      </c>
      <c r="EW18" s="120">
        <f>SUM(EW15:EW16)</f>
        <v>25</v>
      </c>
      <c r="EX18" s="164">
        <f>SUM(ET18:EW18)</f>
        <v>17353</v>
      </c>
      <c r="EY18" s="163">
        <f>SUM(EY15:EY16)</f>
        <v>1381</v>
      </c>
      <c r="EZ18" s="120">
        <f>SUM(EZ15:EZ16)</f>
        <v>-1523</v>
      </c>
      <c r="FA18" s="120">
        <f>SUM(FA15:FA16)</f>
        <v>-24</v>
      </c>
      <c r="FB18" s="164">
        <f>SUM(EX18:FA18)</f>
        <v>17187</v>
      </c>
      <c r="FC18" s="163">
        <f>SUM(FC15:FC16)</f>
        <v>1057</v>
      </c>
      <c r="FD18" s="120">
        <f>SUM(FD15:FD16)</f>
        <v>-1496</v>
      </c>
      <c r="FE18" s="120">
        <f>SUM(FE15:FE16)</f>
        <v>0</v>
      </c>
      <c r="FF18" s="164">
        <f>SUM(FB18:FE18)</f>
        <v>16748</v>
      </c>
      <c r="FG18" s="163">
        <f t="shared" ref="FG18:FX18" si="10">SUM(FG15:FG17)</f>
        <v>3359</v>
      </c>
      <c r="FH18" s="120">
        <f t="shared" si="10"/>
        <v>-1477</v>
      </c>
      <c r="FI18" s="120">
        <f t="shared" si="10"/>
        <v>3638</v>
      </c>
      <c r="FJ18" s="164">
        <f t="shared" si="10"/>
        <v>22268</v>
      </c>
      <c r="FK18" s="163">
        <f t="shared" si="10"/>
        <v>3085</v>
      </c>
      <c r="FL18" s="120">
        <f t="shared" si="10"/>
        <v>-1492</v>
      </c>
      <c r="FM18" s="120">
        <f t="shared" si="10"/>
        <v>0</v>
      </c>
      <c r="FN18" s="164">
        <f t="shared" si="10"/>
        <v>23861</v>
      </c>
      <c r="FO18" s="163">
        <f t="shared" ref="FO18:FR18" si="11">SUM(FO15:FO17)</f>
        <v>3085</v>
      </c>
      <c r="FP18" s="120">
        <f t="shared" si="11"/>
        <v>-1492</v>
      </c>
      <c r="FQ18" s="120">
        <f t="shared" si="11"/>
        <v>0</v>
      </c>
      <c r="FR18" s="164">
        <f t="shared" si="11"/>
        <v>25454</v>
      </c>
      <c r="FS18" s="163">
        <f t="shared" si="10"/>
        <v>7197</v>
      </c>
      <c r="FT18" s="208" t="s">
        <v>47</v>
      </c>
      <c r="FU18" s="120">
        <f t="shared" si="10"/>
        <v>-1718</v>
      </c>
      <c r="FV18" s="120">
        <f t="shared" si="10"/>
        <v>0</v>
      </c>
      <c r="FW18" s="120">
        <f t="shared" si="10"/>
        <v>-22</v>
      </c>
      <c r="FX18" s="164">
        <f t="shared" si="10"/>
        <v>30947</v>
      </c>
    </row>
    <row r="19" spans="2:180" s="233" customFormat="1" hidden="1" outlineLevel="1" x14ac:dyDescent="0.2">
      <c r="B19" s="250" t="s">
        <v>482</v>
      </c>
      <c r="C19" s="220"/>
      <c r="D19" s="219"/>
      <c r="E19" s="771"/>
      <c r="F19" s="220">
        <v>0</v>
      </c>
      <c r="G19" s="219">
        <v>0</v>
      </c>
      <c r="H19" s="219"/>
      <c r="I19" s="219"/>
      <c r="J19" s="771">
        <v>0</v>
      </c>
      <c r="K19" s="220">
        <v>0</v>
      </c>
      <c r="L19" s="219">
        <v>0</v>
      </c>
      <c r="M19" s="219">
        <v>0</v>
      </c>
      <c r="N19" s="219"/>
      <c r="O19" s="219">
        <v>0</v>
      </c>
      <c r="P19" s="771"/>
      <c r="Q19" s="220">
        <v>0</v>
      </c>
      <c r="R19" s="219">
        <v>0</v>
      </c>
      <c r="S19" s="219">
        <v>0</v>
      </c>
      <c r="T19" s="219">
        <v>0</v>
      </c>
      <c r="U19" s="219">
        <v>0</v>
      </c>
      <c r="V19" s="771"/>
      <c r="W19" s="772"/>
      <c r="X19" s="219"/>
      <c r="Y19" s="219"/>
      <c r="Z19" s="771"/>
      <c r="AA19" s="220">
        <v>0</v>
      </c>
      <c r="AB19" s="219">
        <v>0</v>
      </c>
      <c r="AC19" s="219">
        <v>0</v>
      </c>
      <c r="AD19" s="771"/>
      <c r="AE19" s="220">
        <v>0</v>
      </c>
      <c r="AF19" s="219">
        <v>0</v>
      </c>
      <c r="AG19" s="219">
        <v>0</v>
      </c>
      <c r="AH19" s="771"/>
      <c r="AI19" s="220">
        <v>0</v>
      </c>
      <c r="AJ19" s="219">
        <v>0</v>
      </c>
      <c r="AK19" s="219">
        <v>0</v>
      </c>
      <c r="AL19" s="771"/>
      <c r="AM19" s="220">
        <v>0</v>
      </c>
      <c r="AN19" s="219">
        <v>0</v>
      </c>
      <c r="AO19" s="219">
        <v>0</v>
      </c>
      <c r="AP19" s="771">
        <f t="shared" ref="AP19:AP25" si="12">SUM(AL19:AO19)</f>
        <v>0</v>
      </c>
      <c r="AQ19" s="220">
        <v>0</v>
      </c>
      <c r="AR19" s="219">
        <v>0</v>
      </c>
      <c r="AS19" s="219">
        <v>0</v>
      </c>
      <c r="AT19" s="771">
        <f t="shared" ref="AT19:AT25" si="13">SUM(AP19:AS19)</f>
        <v>0</v>
      </c>
      <c r="AU19" s="220">
        <v>0</v>
      </c>
      <c r="AV19" s="219">
        <v>0</v>
      </c>
      <c r="AW19" s="219">
        <v>0</v>
      </c>
      <c r="AX19" s="771">
        <f t="shared" ref="AX19:AX25" si="14">SUM(AT19:AW19)</f>
        <v>0</v>
      </c>
      <c r="AY19" s="219">
        <v>0</v>
      </c>
      <c r="AZ19" s="219">
        <v>0</v>
      </c>
      <c r="BA19" s="219">
        <v>0</v>
      </c>
      <c r="BB19" s="219">
        <v>0</v>
      </c>
      <c r="BC19" s="220">
        <v>0</v>
      </c>
      <c r="BD19" s="219">
        <v>0</v>
      </c>
      <c r="BE19" s="771">
        <v>0</v>
      </c>
      <c r="BF19" s="219">
        <v>0</v>
      </c>
      <c r="BG19" s="219">
        <v>0</v>
      </c>
      <c r="BH19" s="219">
        <v>0</v>
      </c>
      <c r="BI19" s="219">
        <v>0</v>
      </c>
      <c r="BJ19" s="220">
        <v>0</v>
      </c>
      <c r="BK19" s="219">
        <v>0</v>
      </c>
      <c r="BL19" s="219">
        <v>0</v>
      </c>
      <c r="BM19" s="773">
        <f t="shared" ref="BM19:BM25" si="15">SUM(BE19:BL19)</f>
        <v>0</v>
      </c>
      <c r="BN19" s="220">
        <v>0</v>
      </c>
      <c r="BO19" s="219">
        <v>0</v>
      </c>
      <c r="BP19" s="219">
        <v>0</v>
      </c>
      <c r="BQ19" s="773">
        <f t="shared" ref="BQ19:BQ25" si="16">SUM(BI19:BP19)</f>
        <v>0</v>
      </c>
      <c r="BR19" s="220">
        <v>0</v>
      </c>
      <c r="BS19" s="219">
        <v>0</v>
      </c>
      <c r="BT19" s="219">
        <v>0</v>
      </c>
      <c r="BU19" s="773">
        <f t="shared" ref="BU19:BU25" si="17">SUM(BM19:BT19)</f>
        <v>0</v>
      </c>
      <c r="BV19" s="220">
        <v>0</v>
      </c>
      <c r="BW19" s="219">
        <v>0</v>
      </c>
      <c r="BX19" s="219">
        <v>0</v>
      </c>
      <c r="BY19" s="773">
        <f t="shared" ref="BY19:BY25" si="18">SUM(BQ19:BX19)</f>
        <v>0</v>
      </c>
      <c r="BZ19" s="220">
        <v>0</v>
      </c>
      <c r="CA19" s="219">
        <v>0</v>
      </c>
      <c r="CB19" s="219">
        <v>0</v>
      </c>
      <c r="CC19" s="773">
        <f t="shared" ref="CC19:CC25" si="19">SUM(BQ19:CB19)</f>
        <v>0</v>
      </c>
      <c r="CD19" s="220">
        <v>0</v>
      </c>
      <c r="CE19" s="219">
        <v>0</v>
      </c>
      <c r="CF19" s="219">
        <v>0</v>
      </c>
      <c r="CG19" s="773">
        <f t="shared" ref="CG19:CG25" si="20">SUM(BU19:CF19)</f>
        <v>0</v>
      </c>
      <c r="CH19" s="774">
        <v>0</v>
      </c>
      <c r="CI19" s="774">
        <v>0</v>
      </c>
      <c r="CJ19" s="773">
        <f t="shared" ref="CJ19:CJ25" si="21">SUM(BY19:CI19)</f>
        <v>0</v>
      </c>
      <c r="CK19" s="220">
        <v>0</v>
      </c>
      <c r="CL19" s="219">
        <v>0</v>
      </c>
      <c r="CM19" s="773">
        <f t="shared" ref="CM19:CM25" si="22">SUM(CC19:CL19)</f>
        <v>0</v>
      </c>
      <c r="CN19" s="220">
        <v>0</v>
      </c>
      <c r="CO19" s="219">
        <v>0</v>
      </c>
      <c r="CP19" s="773">
        <v>0</v>
      </c>
      <c r="CQ19" s="220">
        <v>0</v>
      </c>
      <c r="CR19" s="219">
        <v>0</v>
      </c>
      <c r="CS19" s="219">
        <v>0</v>
      </c>
      <c r="CT19" s="773">
        <f t="shared" ref="CT19:CT25" si="23">SUM(CJ19:CR19)</f>
        <v>0</v>
      </c>
      <c r="CU19" s="220">
        <v>0</v>
      </c>
      <c r="CV19" s="219">
        <v>0</v>
      </c>
      <c r="CW19" s="219">
        <v>0</v>
      </c>
      <c r="CX19" s="773">
        <f t="shared" ref="CX19:CX25" si="24">SUM(CN19:CV19)</f>
        <v>0</v>
      </c>
      <c r="CY19" s="220">
        <v>0</v>
      </c>
      <c r="CZ19" s="219">
        <v>0</v>
      </c>
      <c r="DA19" s="219">
        <v>0</v>
      </c>
      <c r="DB19" s="773">
        <f t="shared" ref="DB19:DB25" si="25">SUM(CR19:CZ19)</f>
        <v>0</v>
      </c>
      <c r="DC19" s="220">
        <v>0</v>
      </c>
      <c r="DD19" s="219">
        <v>0</v>
      </c>
      <c r="DE19" s="219">
        <v>0</v>
      </c>
      <c r="DF19" s="773">
        <f t="shared" ref="DF19:DF25" si="26">SUM(CV19:DD19)</f>
        <v>0</v>
      </c>
      <c r="DG19" s="220">
        <v>0</v>
      </c>
      <c r="DH19" s="219">
        <v>0</v>
      </c>
      <c r="DI19" s="219">
        <v>0</v>
      </c>
      <c r="DJ19" s="773">
        <f t="shared" ref="DJ19:DJ25" si="27">SUM(CZ19:DH19)</f>
        <v>0</v>
      </c>
      <c r="DK19" s="220">
        <v>0</v>
      </c>
      <c r="DL19" s="219">
        <v>0</v>
      </c>
      <c r="DM19" s="219">
        <v>0</v>
      </c>
      <c r="DN19" s="773">
        <f t="shared" ref="DN19:DN25" si="28">SUM(DD19:DL19)</f>
        <v>0</v>
      </c>
      <c r="DO19" s="220">
        <v>0</v>
      </c>
      <c r="DP19" s="219">
        <v>0</v>
      </c>
      <c r="DQ19" s="219">
        <v>0</v>
      </c>
      <c r="DR19" s="773">
        <f t="shared" ref="DR19:DR25" si="29">SUM(DH19:DP19)</f>
        <v>0</v>
      </c>
      <c r="DS19" s="220">
        <v>0</v>
      </c>
      <c r="DT19" s="219">
        <v>0</v>
      </c>
      <c r="DU19" s="219">
        <v>0</v>
      </c>
      <c r="DV19" s="773">
        <f t="shared" ref="DV19:DV25" si="30">SUM(DL19:DT19)</f>
        <v>0</v>
      </c>
      <c r="DW19" s="220">
        <v>0</v>
      </c>
      <c r="DX19" s="219">
        <v>0</v>
      </c>
      <c r="DY19" s="219">
        <v>0</v>
      </c>
      <c r="DZ19" s="773">
        <f t="shared" ref="DZ19:DZ25" si="31">SUM(DP19:DX19)</f>
        <v>0</v>
      </c>
      <c r="EA19" s="220">
        <v>0</v>
      </c>
      <c r="EB19" s="219">
        <v>0</v>
      </c>
      <c r="EC19" s="219">
        <v>0</v>
      </c>
      <c r="ED19" s="773">
        <f t="shared" ref="ED19:ED25" si="32">SUM(DP19:EB19)</f>
        <v>0</v>
      </c>
      <c r="EE19" s="220">
        <v>0</v>
      </c>
      <c r="EF19" s="219">
        <v>0</v>
      </c>
      <c r="EG19" s="219">
        <v>0</v>
      </c>
      <c r="EH19" s="773">
        <f t="shared" ref="EH19:EH25" si="33">SUM(DT19:EF19)</f>
        <v>0</v>
      </c>
      <c r="EI19" s="220">
        <v>0</v>
      </c>
      <c r="EJ19" s="219">
        <v>0</v>
      </c>
      <c r="EK19" s="219">
        <v>0</v>
      </c>
      <c r="EL19" s="773">
        <f t="shared" ref="EL19:EL25" si="34">SUM(DX19:EJ19)</f>
        <v>0</v>
      </c>
      <c r="EM19" s="220">
        <v>0</v>
      </c>
      <c r="EN19" s="219">
        <v>0</v>
      </c>
      <c r="EO19" s="219">
        <v>0</v>
      </c>
      <c r="EP19" s="773">
        <f t="shared" ref="EP19:EP25" si="35">SUM(EB19:EN19)</f>
        <v>0</v>
      </c>
      <c r="EQ19" s="220">
        <v>0</v>
      </c>
      <c r="ER19" s="219">
        <v>0</v>
      </c>
      <c r="ES19" s="219">
        <v>0</v>
      </c>
      <c r="ET19" s="773">
        <f t="shared" ref="ET19:ET25" si="36">SUM(EF19:ER19)</f>
        <v>0</v>
      </c>
      <c r="EU19" s="220">
        <v>0</v>
      </c>
      <c r="EV19" s="219">
        <v>0</v>
      </c>
      <c r="EW19" s="219">
        <v>0</v>
      </c>
      <c r="EX19" s="773">
        <f t="shared" ref="EX19:EX25" si="37">SUM(EJ19:EV19)</f>
        <v>0</v>
      </c>
      <c r="EY19" s="220">
        <v>0</v>
      </c>
      <c r="EZ19" s="219">
        <v>0</v>
      </c>
      <c r="FA19" s="219">
        <v>0</v>
      </c>
      <c r="FB19" s="773">
        <f t="shared" ref="FB19:FB25" si="38">SUM(EN19:EZ19)</f>
        <v>0</v>
      </c>
      <c r="FC19" s="220">
        <v>0</v>
      </c>
      <c r="FD19" s="219">
        <v>0</v>
      </c>
      <c r="FE19" s="219">
        <v>0</v>
      </c>
      <c r="FF19" s="773">
        <f t="shared" ref="FF19:FF25" si="39">SUM(ER19:FD19)</f>
        <v>0</v>
      </c>
      <c r="FG19" s="220">
        <v>0</v>
      </c>
      <c r="FH19" s="219">
        <v>0</v>
      </c>
      <c r="FI19" s="219">
        <v>0</v>
      </c>
      <c r="FJ19" s="773">
        <f t="shared" ref="FJ19:FJ25" si="40">SUM(EV19:FH19)</f>
        <v>0</v>
      </c>
      <c r="FK19" s="774" t="s">
        <v>47</v>
      </c>
      <c r="FL19" s="774" t="s">
        <v>47</v>
      </c>
      <c r="FM19" s="774" t="s">
        <v>47</v>
      </c>
      <c r="FN19" s="773">
        <f t="shared" ref="FN19:FN25" si="41">SUM(EZ19:FL19)</f>
        <v>0</v>
      </c>
      <c r="FO19" s="774" t="s">
        <v>47</v>
      </c>
      <c r="FP19" s="774" t="s">
        <v>47</v>
      </c>
      <c r="FQ19" s="774" t="s">
        <v>47</v>
      </c>
      <c r="FR19" s="773">
        <f t="shared" ref="FR19:FR25" si="42">SUM(FD19:FP19)</f>
        <v>0</v>
      </c>
      <c r="FS19" s="220">
        <v>0</v>
      </c>
      <c r="FT19" s="118" t="s">
        <v>47</v>
      </c>
      <c r="FU19" s="219">
        <v>0</v>
      </c>
      <c r="FV19" s="219">
        <v>0</v>
      </c>
      <c r="FW19" s="118" t="s">
        <v>47</v>
      </c>
      <c r="FX19" s="773">
        <f t="shared" ref="FX19:FX25" si="43">SUM(EZ19:FU19)</f>
        <v>0</v>
      </c>
    </row>
    <row r="20" spans="2:180" s="233" customFormat="1" hidden="1" outlineLevel="1" x14ac:dyDescent="0.2">
      <c r="B20" s="250" t="s">
        <v>483</v>
      </c>
      <c r="C20" s="220">
        <v>0</v>
      </c>
      <c r="D20" s="219">
        <v>-175</v>
      </c>
      <c r="E20" s="771">
        <v>5494</v>
      </c>
      <c r="F20" s="220">
        <v>0</v>
      </c>
      <c r="G20" s="219">
        <v>175</v>
      </c>
      <c r="H20" s="219">
        <v>-5669</v>
      </c>
      <c r="I20" s="219">
        <v>0</v>
      </c>
      <c r="J20" s="771">
        <v>0</v>
      </c>
      <c r="K20" s="220">
        <v>0</v>
      </c>
      <c r="L20" s="219">
        <v>0</v>
      </c>
      <c r="M20" s="219">
        <v>0</v>
      </c>
      <c r="N20" s="219">
        <v>0</v>
      </c>
      <c r="O20" s="219">
        <v>0</v>
      </c>
      <c r="P20" s="771">
        <v>0</v>
      </c>
      <c r="Q20" s="220">
        <v>0</v>
      </c>
      <c r="R20" s="219">
        <v>0</v>
      </c>
      <c r="S20" s="219">
        <v>0</v>
      </c>
      <c r="T20" s="219">
        <v>0</v>
      </c>
      <c r="U20" s="219">
        <v>0</v>
      </c>
      <c r="V20" s="771">
        <v>0</v>
      </c>
      <c r="W20" s="772">
        <v>0</v>
      </c>
      <c r="X20" s="219">
        <v>0</v>
      </c>
      <c r="Y20" s="219">
        <v>0</v>
      </c>
      <c r="Z20" s="771">
        <v>0</v>
      </c>
      <c r="AA20" s="220">
        <v>0</v>
      </c>
      <c r="AB20" s="219">
        <v>0</v>
      </c>
      <c r="AC20" s="219">
        <v>0</v>
      </c>
      <c r="AD20" s="771">
        <v>0</v>
      </c>
      <c r="AE20" s="220">
        <v>0</v>
      </c>
      <c r="AF20" s="219">
        <v>0</v>
      </c>
      <c r="AG20" s="219">
        <v>0</v>
      </c>
      <c r="AH20" s="771">
        <v>0</v>
      </c>
      <c r="AI20" s="220">
        <v>0</v>
      </c>
      <c r="AJ20" s="219">
        <v>0</v>
      </c>
      <c r="AK20" s="219">
        <v>0</v>
      </c>
      <c r="AL20" s="771">
        <v>0</v>
      </c>
      <c r="AM20" s="220">
        <v>0</v>
      </c>
      <c r="AN20" s="219">
        <v>0</v>
      </c>
      <c r="AO20" s="219">
        <v>0</v>
      </c>
      <c r="AP20" s="771">
        <f t="shared" si="12"/>
        <v>0</v>
      </c>
      <c r="AQ20" s="220">
        <v>0</v>
      </c>
      <c r="AR20" s="219">
        <v>0</v>
      </c>
      <c r="AS20" s="219">
        <v>0</v>
      </c>
      <c r="AT20" s="771">
        <f t="shared" si="13"/>
        <v>0</v>
      </c>
      <c r="AU20" s="220">
        <v>0</v>
      </c>
      <c r="AV20" s="219">
        <v>0</v>
      </c>
      <c r="AW20" s="219">
        <v>0</v>
      </c>
      <c r="AX20" s="771">
        <f t="shared" si="14"/>
        <v>0</v>
      </c>
      <c r="AY20" s="219">
        <v>0</v>
      </c>
      <c r="AZ20" s="219">
        <v>0</v>
      </c>
      <c r="BA20" s="219">
        <v>0</v>
      </c>
      <c r="BB20" s="219">
        <v>0</v>
      </c>
      <c r="BC20" s="220">
        <v>0</v>
      </c>
      <c r="BD20" s="219">
        <v>0</v>
      </c>
      <c r="BE20" s="771">
        <v>0</v>
      </c>
      <c r="BF20" s="219">
        <v>0</v>
      </c>
      <c r="BG20" s="219">
        <v>0</v>
      </c>
      <c r="BH20" s="219">
        <v>0</v>
      </c>
      <c r="BI20" s="219">
        <v>0</v>
      </c>
      <c r="BJ20" s="220">
        <v>0</v>
      </c>
      <c r="BK20" s="219">
        <v>0</v>
      </c>
      <c r="BL20" s="219">
        <v>0</v>
      </c>
      <c r="BM20" s="773">
        <f t="shared" si="15"/>
        <v>0</v>
      </c>
      <c r="BN20" s="220">
        <v>0</v>
      </c>
      <c r="BO20" s="219">
        <v>0</v>
      </c>
      <c r="BP20" s="219">
        <v>0</v>
      </c>
      <c r="BQ20" s="773">
        <f t="shared" si="16"/>
        <v>0</v>
      </c>
      <c r="BR20" s="220">
        <v>0</v>
      </c>
      <c r="BS20" s="219">
        <v>0</v>
      </c>
      <c r="BT20" s="219">
        <v>0</v>
      </c>
      <c r="BU20" s="773">
        <f t="shared" si="17"/>
        <v>0</v>
      </c>
      <c r="BV20" s="220">
        <v>0</v>
      </c>
      <c r="BW20" s="219">
        <v>0</v>
      </c>
      <c r="BX20" s="219">
        <v>0</v>
      </c>
      <c r="BY20" s="773">
        <f t="shared" si="18"/>
        <v>0</v>
      </c>
      <c r="BZ20" s="220">
        <v>0</v>
      </c>
      <c r="CA20" s="219">
        <v>0</v>
      </c>
      <c r="CB20" s="219">
        <v>0</v>
      </c>
      <c r="CC20" s="773">
        <f t="shared" si="19"/>
        <v>0</v>
      </c>
      <c r="CD20" s="220">
        <v>0</v>
      </c>
      <c r="CE20" s="219">
        <v>0</v>
      </c>
      <c r="CF20" s="219">
        <v>0</v>
      </c>
      <c r="CG20" s="773">
        <f t="shared" si="20"/>
        <v>0</v>
      </c>
      <c r="CH20" s="774">
        <v>0</v>
      </c>
      <c r="CI20" s="774">
        <v>0</v>
      </c>
      <c r="CJ20" s="773">
        <f t="shared" si="21"/>
        <v>0</v>
      </c>
      <c r="CK20" s="220">
        <v>0</v>
      </c>
      <c r="CL20" s="219">
        <v>0</v>
      </c>
      <c r="CM20" s="773">
        <f t="shared" si="22"/>
        <v>0</v>
      </c>
      <c r="CN20" s="220">
        <v>0</v>
      </c>
      <c r="CO20" s="219">
        <v>0</v>
      </c>
      <c r="CP20" s="773">
        <v>0</v>
      </c>
      <c r="CQ20" s="220">
        <v>0</v>
      </c>
      <c r="CR20" s="219">
        <v>0</v>
      </c>
      <c r="CS20" s="219">
        <v>0</v>
      </c>
      <c r="CT20" s="773">
        <f t="shared" si="23"/>
        <v>0</v>
      </c>
      <c r="CU20" s="220">
        <v>0</v>
      </c>
      <c r="CV20" s="219">
        <v>0</v>
      </c>
      <c r="CW20" s="219">
        <v>0</v>
      </c>
      <c r="CX20" s="773">
        <f t="shared" si="24"/>
        <v>0</v>
      </c>
      <c r="CY20" s="220">
        <v>0</v>
      </c>
      <c r="CZ20" s="219">
        <v>0</v>
      </c>
      <c r="DA20" s="219">
        <v>0</v>
      </c>
      <c r="DB20" s="773">
        <f t="shared" si="25"/>
        <v>0</v>
      </c>
      <c r="DC20" s="220">
        <v>0</v>
      </c>
      <c r="DD20" s="219">
        <v>0</v>
      </c>
      <c r="DE20" s="219">
        <v>0</v>
      </c>
      <c r="DF20" s="773">
        <f t="shared" si="26"/>
        <v>0</v>
      </c>
      <c r="DG20" s="220">
        <v>0</v>
      </c>
      <c r="DH20" s="219">
        <v>0</v>
      </c>
      <c r="DI20" s="219">
        <v>0</v>
      </c>
      <c r="DJ20" s="773">
        <f t="shared" si="27"/>
        <v>0</v>
      </c>
      <c r="DK20" s="220">
        <v>0</v>
      </c>
      <c r="DL20" s="219">
        <v>0</v>
      </c>
      <c r="DM20" s="219">
        <v>0</v>
      </c>
      <c r="DN20" s="773">
        <f t="shared" si="28"/>
        <v>0</v>
      </c>
      <c r="DO20" s="220">
        <v>0</v>
      </c>
      <c r="DP20" s="219">
        <v>0</v>
      </c>
      <c r="DQ20" s="219">
        <v>0</v>
      </c>
      <c r="DR20" s="773">
        <f t="shared" si="29"/>
        <v>0</v>
      </c>
      <c r="DS20" s="220">
        <v>0</v>
      </c>
      <c r="DT20" s="219">
        <v>0</v>
      </c>
      <c r="DU20" s="219">
        <v>0</v>
      </c>
      <c r="DV20" s="773">
        <f t="shared" si="30"/>
        <v>0</v>
      </c>
      <c r="DW20" s="220">
        <v>0</v>
      </c>
      <c r="DX20" s="219">
        <v>0</v>
      </c>
      <c r="DY20" s="219">
        <v>0</v>
      </c>
      <c r="DZ20" s="773">
        <f t="shared" si="31"/>
        <v>0</v>
      </c>
      <c r="EA20" s="220">
        <v>0</v>
      </c>
      <c r="EB20" s="219">
        <v>0</v>
      </c>
      <c r="EC20" s="219">
        <v>0</v>
      </c>
      <c r="ED20" s="773">
        <f t="shared" si="32"/>
        <v>0</v>
      </c>
      <c r="EE20" s="220">
        <v>0</v>
      </c>
      <c r="EF20" s="219">
        <v>0</v>
      </c>
      <c r="EG20" s="219">
        <v>0</v>
      </c>
      <c r="EH20" s="773">
        <f t="shared" si="33"/>
        <v>0</v>
      </c>
      <c r="EI20" s="220">
        <v>0</v>
      </c>
      <c r="EJ20" s="219">
        <v>0</v>
      </c>
      <c r="EK20" s="219">
        <v>0</v>
      </c>
      <c r="EL20" s="773">
        <f t="shared" si="34"/>
        <v>0</v>
      </c>
      <c r="EM20" s="220">
        <v>0</v>
      </c>
      <c r="EN20" s="219">
        <v>0</v>
      </c>
      <c r="EO20" s="219">
        <v>0</v>
      </c>
      <c r="EP20" s="773">
        <f t="shared" si="35"/>
        <v>0</v>
      </c>
      <c r="EQ20" s="220">
        <v>0</v>
      </c>
      <c r="ER20" s="219">
        <v>0</v>
      </c>
      <c r="ES20" s="219">
        <v>0</v>
      </c>
      <c r="ET20" s="773">
        <f t="shared" si="36"/>
        <v>0</v>
      </c>
      <c r="EU20" s="220">
        <v>0</v>
      </c>
      <c r="EV20" s="219">
        <v>0</v>
      </c>
      <c r="EW20" s="219">
        <v>0</v>
      </c>
      <c r="EX20" s="773">
        <f t="shared" si="37"/>
        <v>0</v>
      </c>
      <c r="EY20" s="220">
        <v>0</v>
      </c>
      <c r="EZ20" s="219">
        <v>0</v>
      </c>
      <c r="FA20" s="219">
        <v>0</v>
      </c>
      <c r="FB20" s="773">
        <f t="shared" si="38"/>
        <v>0</v>
      </c>
      <c r="FC20" s="220">
        <v>0</v>
      </c>
      <c r="FD20" s="219">
        <v>0</v>
      </c>
      <c r="FE20" s="219">
        <v>0</v>
      </c>
      <c r="FF20" s="773">
        <f t="shared" si="39"/>
        <v>0</v>
      </c>
      <c r="FG20" s="220">
        <v>0</v>
      </c>
      <c r="FH20" s="219">
        <v>0</v>
      </c>
      <c r="FI20" s="219">
        <v>0</v>
      </c>
      <c r="FJ20" s="773">
        <f t="shared" si="40"/>
        <v>0</v>
      </c>
      <c r="FK20" s="774" t="s">
        <v>47</v>
      </c>
      <c r="FL20" s="774" t="s">
        <v>47</v>
      </c>
      <c r="FM20" s="774" t="s">
        <v>47</v>
      </c>
      <c r="FN20" s="773">
        <f t="shared" si="41"/>
        <v>0</v>
      </c>
      <c r="FO20" s="774" t="s">
        <v>47</v>
      </c>
      <c r="FP20" s="774" t="s">
        <v>47</v>
      </c>
      <c r="FQ20" s="774" t="s">
        <v>47</v>
      </c>
      <c r="FR20" s="773">
        <f t="shared" si="42"/>
        <v>0</v>
      </c>
      <c r="FS20" s="220">
        <v>0</v>
      </c>
      <c r="FT20" s="118" t="s">
        <v>47</v>
      </c>
      <c r="FU20" s="219">
        <v>0</v>
      </c>
      <c r="FV20" s="219">
        <v>0</v>
      </c>
      <c r="FW20" s="118" t="s">
        <v>47</v>
      </c>
      <c r="FX20" s="773">
        <f t="shared" si="43"/>
        <v>0</v>
      </c>
    </row>
    <row r="21" spans="2:180" s="233" customFormat="1" hidden="1" outlineLevel="1" x14ac:dyDescent="0.2">
      <c r="B21" s="250" t="s">
        <v>484</v>
      </c>
      <c r="C21" s="220">
        <v>0</v>
      </c>
      <c r="D21" s="219">
        <v>-173</v>
      </c>
      <c r="E21" s="771">
        <v>5407</v>
      </c>
      <c r="F21" s="220">
        <v>0</v>
      </c>
      <c r="G21" s="219">
        <v>173</v>
      </c>
      <c r="H21" s="219">
        <v>-5580</v>
      </c>
      <c r="I21" s="219">
        <v>0</v>
      </c>
      <c r="J21" s="771">
        <v>0</v>
      </c>
      <c r="K21" s="220">
        <v>0</v>
      </c>
      <c r="L21" s="219">
        <v>0</v>
      </c>
      <c r="M21" s="219">
        <v>0</v>
      </c>
      <c r="N21" s="219">
        <v>0</v>
      </c>
      <c r="O21" s="219">
        <v>0</v>
      </c>
      <c r="P21" s="771">
        <v>0</v>
      </c>
      <c r="Q21" s="220">
        <v>0</v>
      </c>
      <c r="R21" s="219">
        <v>0</v>
      </c>
      <c r="S21" s="219">
        <v>0</v>
      </c>
      <c r="T21" s="219">
        <v>0</v>
      </c>
      <c r="U21" s="219">
        <v>0</v>
      </c>
      <c r="V21" s="771">
        <v>0</v>
      </c>
      <c r="W21" s="772">
        <v>0</v>
      </c>
      <c r="X21" s="219">
        <v>0</v>
      </c>
      <c r="Y21" s="219">
        <v>0</v>
      </c>
      <c r="Z21" s="771">
        <v>0</v>
      </c>
      <c r="AA21" s="220">
        <v>0</v>
      </c>
      <c r="AB21" s="219">
        <v>0</v>
      </c>
      <c r="AC21" s="219">
        <v>0</v>
      </c>
      <c r="AD21" s="771">
        <v>0</v>
      </c>
      <c r="AE21" s="220">
        <v>0</v>
      </c>
      <c r="AF21" s="219">
        <v>0</v>
      </c>
      <c r="AG21" s="219">
        <v>0</v>
      </c>
      <c r="AH21" s="771">
        <v>0</v>
      </c>
      <c r="AI21" s="220">
        <v>0</v>
      </c>
      <c r="AJ21" s="219">
        <v>0</v>
      </c>
      <c r="AK21" s="219">
        <v>0</v>
      </c>
      <c r="AL21" s="771">
        <v>0</v>
      </c>
      <c r="AM21" s="220">
        <v>0</v>
      </c>
      <c r="AN21" s="219">
        <v>0</v>
      </c>
      <c r="AO21" s="219">
        <v>0</v>
      </c>
      <c r="AP21" s="771">
        <f t="shared" si="12"/>
        <v>0</v>
      </c>
      <c r="AQ21" s="220">
        <v>0</v>
      </c>
      <c r="AR21" s="219">
        <v>0</v>
      </c>
      <c r="AS21" s="219">
        <v>0</v>
      </c>
      <c r="AT21" s="771">
        <f t="shared" si="13"/>
        <v>0</v>
      </c>
      <c r="AU21" s="220">
        <v>0</v>
      </c>
      <c r="AV21" s="219">
        <v>0</v>
      </c>
      <c r="AW21" s="219">
        <v>0</v>
      </c>
      <c r="AX21" s="771">
        <f t="shared" si="14"/>
        <v>0</v>
      </c>
      <c r="AY21" s="219">
        <v>0</v>
      </c>
      <c r="AZ21" s="219">
        <v>0</v>
      </c>
      <c r="BA21" s="219">
        <v>0</v>
      </c>
      <c r="BB21" s="219">
        <v>0</v>
      </c>
      <c r="BC21" s="220">
        <v>0</v>
      </c>
      <c r="BD21" s="219">
        <v>0</v>
      </c>
      <c r="BE21" s="771">
        <v>0</v>
      </c>
      <c r="BF21" s="219">
        <v>0</v>
      </c>
      <c r="BG21" s="219">
        <v>0</v>
      </c>
      <c r="BH21" s="219">
        <v>0</v>
      </c>
      <c r="BI21" s="219">
        <v>0</v>
      </c>
      <c r="BJ21" s="220">
        <v>0</v>
      </c>
      <c r="BK21" s="219">
        <v>0</v>
      </c>
      <c r="BL21" s="219">
        <v>0</v>
      </c>
      <c r="BM21" s="773">
        <f t="shared" si="15"/>
        <v>0</v>
      </c>
      <c r="BN21" s="220">
        <v>0</v>
      </c>
      <c r="BO21" s="219">
        <v>0</v>
      </c>
      <c r="BP21" s="219">
        <v>0</v>
      </c>
      <c r="BQ21" s="773">
        <f>SUM(BI21:BP21)</f>
        <v>0</v>
      </c>
      <c r="BR21" s="220">
        <v>0</v>
      </c>
      <c r="BS21" s="219">
        <v>0</v>
      </c>
      <c r="BT21" s="219">
        <v>0</v>
      </c>
      <c r="BU21" s="773">
        <f t="shared" si="17"/>
        <v>0</v>
      </c>
      <c r="BV21" s="220">
        <v>0</v>
      </c>
      <c r="BW21" s="219">
        <v>0</v>
      </c>
      <c r="BX21" s="219">
        <v>0</v>
      </c>
      <c r="BY21" s="773">
        <f t="shared" si="18"/>
        <v>0</v>
      </c>
      <c r="BZ21" s="220">
        <v>0</v>
      </c>
      <c r="CA21" s="219">
        <v>0</v>
      </c>
      <c r="CB21" s="219">
        <v>0</v>
      </c>
      <c r="CC21" s="773">
        <f t="shared" si="19"/>
        <v>0</v>
      </c>
      <c r="CD21" s="220">
        <v>0</v>
      </c>
      <c r="CE21" s="219">
        <v>0</v>
      </c>
      <c r="CF21" s="219">
        <v>0</v>
      </c>
      <c r="CG21" s="773">
        <f t="shared" si="20"/>
        <v>0</v>
      </c>
      <c r="CH21" s="774">
        <v>0</v>
      </c>
      <c r="CI21" s="774">
        <v>0</v>
      </c>
      <c r="CJ21" s="773">
        <f t="shared" si="21"/>
        <v>0</v>
      </c>
      <c r="CK21" s="220">
        <v>0</v>
      </c>
      <c r="CL21" s="219">
        <v>0</v>
      </c>
      <c r="CM21" s="773">
        <f t="shared" si="22"/>
        <v>0</v>
      </c>
      <c r="CN21" s="220">
        <v>0</v>
      </c>
      <c r="CO21" s="219">
        <v>0</v>
      </c>
      <c r="CP21" s="773">
        <v>0</v>
      </c>
      <c r="CQ21" s="220">
        <v>0</v>
      </c>
      <c r="CR21" s="219">
        <v>0</v>
      </c>
      <c r="CS21" s="219">
        <v>0</v>
      </c>
      <c r="CT21" s="773">
        <f t="shared" si="23"/>
        <v>0</v>
      </c>
      <c r="CU21" s="220">
        <v>0</v>
      </c>
      <c r="CV21" s="219">
        <v>0</v>
      </c>
      <c r="CW21" s="219">
        <v>0</v>
      </c>
      <c r="CX21" s="773">
        <f t="shared" si="24"/>
        <v>0</v>
      </c>
      <c r="CY21" s="220">
        <v>0</v>
      </c>
      <c r="CZ21" s="219">
        <v>0</v>
      </c>
      <c r="DA21" s="219">
        <v>0</v>
      </c>
      <c r="DB21" s="773">
        <f t="shared" si="25"/>
        <v>0</v>
      </c>
      <c r="DC21" s="220">
        <v>0</v>
      </c>
      <c r="DD21" s="219">
        <v>0</v>
      </c>
      <c r="DE21" s="219">
        <v>0</v>
      </c>
      <c r="DF21" s="773">
        <f t="shared" si="26"/>
        <v>0</v>
      </c>
      <c r="DG21" s="220">
        <v>0</v>
      </c>
      <c r="DH21" s="219">
        <v>0</v>
      </c>
      <c r="DI21" s="219">
        <v>0</v>
      </c>
      <c r="DJ21" s="773">
        <f t="shared" si="27"/>
        <v>0</v>
      </c>
      <c r="DK21" s="220">
        <v>0</v>
      </c>
      <c r="DL21" s="219">
        <v>0</v>
      </c>
      <c r="DM21" s="219">
        <v>0</v>
      </c>
      <c r="DN21" s="773">
        <f t="shared" si="28"/>
        <v>0</v>
      </c>
      <c r="DO21" s="220">
        <v>0</v>
      </c>
      <c r="DP21" s="219">
        <v>0</v>
      </c>
      <c r="DQ21" s="219">
        <v>0</v>
      </c>
      <c r="DR21" s="773">
        <f t="shared" si="29"/>
        <v>0</v>
      </c>
      <c r="DS21" s="220">
        <v>0</v>
      </c>
      <c r="DT21" s="219">
        <v>0</v>
      </c>
      <c r="DU21" s="219">
        <v>0</v>
      </c>
      <c r="DV21" s="773">
        <f t="shared" si="30"/>
        <v>0</v>
      </c>
      <c r="DW21" s="220">
        <v>0</v>
      </c>
      <c r="DX21" s="219">
        <v>0</v>
      </c>
      <c r="DY21" s="219">
        <v>0</v>
      </c>
      <c r="DZ21" s="773">
        <f t="shared" si="31"/>
        <v>0</v>
      </c>
      <c r="EA21" s="220">
        <v>0</v>
      </c>
      <c r="EB21" s="219">
        <v>0</v>
      </c>
      <c r="EC21" s="219">
        <v>0</v>
      </c>
      <c r="ED21" s="773">
        <f t="shared" si="32"/>
        <v>0</v>
      </c>
      <c r="EE21" s="220">
        <v>0</v>
      </c>
      <c r="EF21" s="219">
        <v>0</v>
      </c>
      <c r="EG21" s="219">
        <v>0</v>
      </c>
      <c r="EH21" s="773">
        <f t="shared" si="33"/>
        <v>0</v>
      </c>
      <c r="EI21" s="220">
        <v>0</v>
      </c>
      <c r="EJ21" s="219">
        <v>0</v>
      </c>
      <c r="EK21" s="219">
        <v>0</v>
      </c>
      <c r="EL21" s="773">
        <f t="shared" si="34"/>
        <v>0</v>
      </c>
      <c r="EM21" s="220">
        <v>0</v>
      </c>
      <c r="EN21" s="219">
        <v>0</v>
      </c>
      <c r="EO21" s="219">
        <v>0</v>
      </c>
      <c r="EP21" s="773">
        <f t="shared" si="35"/>
        <v>0</v>
      </c>
      <c r="EQ21" s="220">
        <v>0</v>
      </c>
      <c r="ER21" s="219">
        <v>0</v>
      </c>
      <c r="ES21" s="219">
        <v>0</v>
      </c>
      <c r="ET21" s="773">
        <f t="shared" si="36"/>
        <v>0</v>
      </c>
      <c r="EU21" s="220">
        <v>0</v>
      </c>
      <c r="EV21" s="219">
        <v>0</v>
      </c>
      <c r="EW21" s="219">
        <v>0</v>
      </c>
      <c r="EX21" s="773">
        <f t="shared" si="37"/>
        <v>0</v>
      </c>
      <c r="EY21" s="220">
        <v>0</v>
      </c>
      <c r="EZ21" s="219">
        <v>0</v>
      </c>
      <c r="FA21" s="219">
        <v>0</v>
      </c>
      <c r="FB21" s="773">
        <f t="shared" si="38"/>
        <v>0</v>
      </c>
      <c r="FC21" s="220">
        <v>0</v>
      </c>
      <c r="FD21" s="219">
        <v>0</v>
      </c>
      <c r="FE21" s="219">
        <v>0</v>
      </c>
      <c r="FF21" s="773">
        <f t="shared" si="39"/>
        <v>0</v>
      </c>
      <c r="FG21" s="220">
        <v>0</v>
      </c>
      <c r="FH21" s="219">
        <v>0</v>
      </c>
      <c r="FI21" s="219">
        <v>0</v>
      </c>
      <c r="FJ21" s="773">
        <f t="shared" si="40"/>
        <v>0</v>
      </c>
      <c r="FK21" s="774" t="s">
        <v>47</v>
      </c>
      <c r="FL21" s="774" t="s">
        <v>47</v>
      </c>
      <c r="FM21" s="774" t="s">
        <v>47</v>
      </c>
      <c r="FN21" s="773">
        <f t="shared" si="41"/>
        <v>0</v>
      </c>
      <c r="FO21" s="774" t="s">
        <v>47</v>
      </c>
      <c r="FP21" s="774" t="s">
        <v>47</v>
      </c>
      <c r="FQ21" s="774" t="s">
        <v>47</v>
      </c>
      <c r="FR21" s="773">
        <f t="shared" si="42"/>
        <v>0</v>
      </c>
      <c r="FS21" s="220">
        <v>0</v>
      </c>
      <c r="FT21" s="118" t="s">
        <v>47</v>
      </c>
      <c r="FU21" s="219">
        <v>0</v>
      </c>
      <c r="FV21" s="219">
        <v>0</v>
      </c>
      <c r="FW21" s="118" t="s">
        <v>47</v>
      </c>
      <c r="FX21" s="773">
        <f t="shared" si="43"/>
        <v>0</v>
      </c>
    </row>
    <row r="22" spans="2:180" s="233" customFormat="1" hidden="1" outlineLevel="1" x14ac:dyDescent="0.2">
      <c r="B22" s="250" t="s">
        <v>485</v>
      </c>
      <c r="C22" s="220"/>
      <c r="D22" s="219"/>
      <c r="E22" s="771"/>
      <c r="F22" s="220">
        <v>0</v>
      </c>
      <c r="G22" s="219">
        <v>0</v>
      </c>
      <c r="H22" s="219"/>
      <c r="I22" s="219"/>
      <c r="J22" s="771">
        <v>0</v>
      </c>
      <c r="K22" s="220">
        <v>0</v>
      </c>
      <c r="L22" s="219">
        <v>0</v>
      </c>
      <c r="M22" s="219">
        <v>0</v>
      </c>
      <c r="N22" s="219"/>
      <c r="O22" s="219">
        <v>0</v>
      </c>
      <c r="P22" s="771"/>
      <c r="Q22" s="220">
        <v>0</v>
      </c>
      <c r="R22" s="219">
        <v>0</v>
      </c>
      <c r="S22" s="219">
        <v>0</v>
      </c>
      <c r="T22" s="219">
        <v>0</v>
      </c>
      <c r="U22" s="219">
        <v>0</v>
      </c>
      <c r="V22" s="771"/>
      <c r="W22" s="772"/>
      <c r="X22" s="219"/>
      <c r="Y22" s="219"/>
      <c r="Z22" s="771"/>
      <c r="AA22" s="220">
        <v>0</v>
      </c>
      <c r="AB22" s="219">
        <v>0</v>
      </c>
      <c r="AC22" s="219">
        <v>0</v>
      </c>
      <c r="AD22" s="771"/>
      <c r="AE22" s="220">
        <v>0</v>
      </c>
      <c r="AF22" s="219">
        <v>0</v>
      </c>
      <c r="AG22" s="219">
        <v>0</v>
      </c>
      <c r="AH22" s="771"/>
      <c r="AI22" s="220">
        <v>0</v>
      </c>
      <c r="AJ22" s="219">
        <v>0</v>
      </c>
      <c r="AK22" s="219">
        <v>0</v>
      </c>
      <c r="AL22" s="771"/>
      <c r="AM22" s="220">
        <v>0</v>
      </c>
      <c r="AN22" s="219">
        <v>0</v>
      </c>
      <c r="AO22" s="219">
        <v>0</v>
      </c>
      <c r="AP22" s="771">
        <f t="shared" si="12"/>
        <v>0</v>
      </c>
      <c r="AQ22" s="220">
        <v>0</v>
      </c>
      <c r="AR22" s="219">
        <v>0</v>
      </c>
      <c r="AS22" s="219">
        <v>0</v>
      </c>
      <c r="AT22" s="771">
        <f t="shared" si="13"/>
        <v>0</v>
      </c>
      <c r="AU22" s="220">
        <v>0</v>
      </c>
      <c r="AV22" s="219">
        <v>0</v>
      </c>
      <c r="AW22" s="219">
        <v>0</v>
      </c>
      <c r="AX22" s="771">
        <f t="shared" si="14"/>
        <v>0</v>
      </c>
      <c r="AY22" s="219">
        <v>0</v>
      </c>
      <c r="AZ22" s="219">
        <v>0</v>
      </c>
      <c r="BA22" s="219">
        <v>0</v>
      </c>
      <c r="BB22" s="219">
        <v>0</v>
      </c>
      <c r="BC22" s="220">
        <v>0</v>
      </c>
      <c r="BD22" s="219">
        <v>0</v>
      </c>
      <c r="BE22" s="771">
        <v>0</v>
      </c>
      <c r="BF22" s="219">
        <v>0</v>
      </c>
      <c r="BG22" s="219">
        <v>0</v>
      </c>
      <c r="BH22" s="219">
        <v>0</v>
      </c>
      <c r="BI22" s="219">
        <v>0</v>
      </c>
      <c r="BJ22" s="220">
        <v>0</v>
      </c>
      <c r="BK22" s="219">
        <v>0</v>
      </c>
      <c r="BL22" s="219">
        <v>0</v>
      </c>
      <c r="BM22" s="773">
        <f t="shared" si="15"/>
        <v>0</v>
      </c>
      <c r="BN22" s="220">
        <v>0</v>
      </c>
      <c r="BO22" s="219">
        <v>0</v>
      </c>
      <c r="BP22" s="219">
        <v>0</v>
      </c>
      <c r="BQ22" s="773">
        <f t="shared" si="16"/>
        <v>0</v>
      </c>
      <c r="BR22" s="220">
        <v>0</v>
      </c>
      <c r="BS22" s="219">
        <v>0</v>
      </c>
      <c r="BT22" s="219">
        <v>0</v>
      </c>
      <c r="BU22" s="773">
        <f t="shared" si="17"/>
        <v>0</v>
      </c>
      <c r="BV22" s="220">
        <v>0</v>
      </c>
      <c r="BW22" s="219">
        <v>0</v>
      </c>
      <c r="BX22" s="219">
        <v>0</v>
      </c>
      <c r="BY22" s="773">
        <f t="shared" si="18"/>
        <v>0</v>
      </c>
      <c r="BZ22" s="220">
        <v>0</v>
      </c>
      <c r="CA22" s="219">
        <v>0</v>
      </c>
      <c r="CB22" s="219">
        <v>0</v>
      </c>
      <c r="CC22" s="773">
        <f t="shared" si="19"/>
        <v>0</v>
      </c>
      <c r="CD22" s="220">
        <v>0</v>
      </c>
      <c r="CE22" s="219">
        <v>0</v>
      </c>
      <c r="CF22" s="219">
        <v>0</v>
      </c>
      <c r="CG22" s="773">
        <f t="shared" si="20"/>
        <v>0</v>
      </c>
      <c r="CH22" s="774">
        <v>0</v>
      </c>
      <c r="CI22" s="774">
        <v>0</v>
      </c>
      <c r="CJ22" s="773">
        <f t="shared" si="21"/>
        <v>0</v>
      </c>
      <c r="CK22" s="220">
        <v>0</v>
      </c>
      <c r="CL22" s="219">
        <v>0</v>
      </c>
      <c r="CM22" s="773">
        <f t="shared" si="22"/>
        <v>0</v>
      </c>
      <c r="CN22" s="220">
        <v>0</v>
      </c>
      <c r="CO22" s="219">
        <v>0</v>
      </c>
      <c r="CP22" s="773">
        <v>0</v>
      </c>
      <c r="CQ22" s="220">
        <v>0</v>
      </c>
      <c r="CR22" s="219">
        <v>0</v>
      </c>
      <c r="CS22" s="219">
        <v>0</v>
      </c>
      <c r="CT22" s="773">
        <f t="shared" si="23"/>
        <v>0</v>
      </c>
      <c r="CU22" s="220">
        <v>0</v>
      </c>
      <c r="CV22" s="219">
        <v>0</v>
      </c>
      <c r="CW22" s="219">
        <v>0</v>
      </c>
      <c r="CX22" s="773">
        <f t="shared" si="24"/>
        <v>0</v>
      </c>
      <c r="CY22" s="220">
        <v>0</v>
      </c>
      <c r="CZ22" s="219">
        <v>0</v>
      </c>
      <c r="DA22" s="219">
        <v>0</v>
      </c>
      <c r="DB22" s="773">
        <f t="shared" si="25"/>
        <v>0</v>
      </c>
      <c r="DC22" s="220">
        <v>0</v>
      </c>
      <c r="DD22" s="219">
        <v>0</v>
      </c>
      <c r="DE22" s="219">
        <v>0</v>
      </c>
      <c r="DF22" s="773">
        <f t="shared" si="26"/>
        <v>0</v>
      </c>
      <c r="DG22" s="220">
        <v>0</v>
      </c>
      <c r="DH22" s="219">
        <v>0</v>
      </c>
      <c r="DI22" s="219">
        <v>0</v>
      </c>
      <c r="DJ22" s="773">
        <f t="shared" si="27"/>
        <v>0</v>
      </c>
      <c r="DK22" s="220">
        <v>0</v>
      </c>
      <c r="DL22" s="219">
        <v>0</v>
      </c>
      <c r="DM22" s="219">
        <v>0</v>
      </c>
      <c r="DN22" s="773">
        <f t="shared" si="28"/>
        <v>0</v>
      </c>
      <c r="DO22" s="220">
        <v>0</v>
      </c>
      <c r="DP22" s="219">
        <v>0</v>
      </c>
      <c r="DQ22" s="219">
        <v>0</v>
      </c>
      <c r="DR22" s="773">
        <f t="shared" si="29"/>
        <v>0</v>
      </c>
      <c r="DS22" s="220">
        <v>0</v>
      </c>
      <c r="DT22" s="219">
        <v>0</v>
      </c>
      <c r="DU22" s="219">
        <v>0</v>
      </c>
      <c r="DV22" s="773">
        <f t="shared" si="30"/>
        <v>0</v>
      </c>
      <c r="DW22" s="220">
        <v>0</v>
      </c>
      <c r="DX22" s="219">
        <v>0</v>
      </c>
      <c r="DY22" s="219">
        <v>0</v>
      </c>
      <c r="DZ22" s="773">
        <f t="shared" si="31"/>
        <v>0</v>
      </c>
      <c r="EA22" s="220">
        <v>0</v>
      </c>
      <c r="EB22" s="219">
        <v>0</v>
      </c>
      <c r="EC22" s="219">
        <v>0</v>
      </c>
      <c r="ED22" s="773">
        <f t="shared" si="32"/>
        <v>0</v>
      </c>
      <c r="EE22" s="220">
        <v>0</v>
      </c>
      <c r="EF22" s="219">
        <v>0</v>
      </c>
      <c r="EG22" s="219">
        <v>0</v>
      </c>
      <c r="EH22" s="773">
        <f t="shared" si="33"/>
        <v>0</v>
      </c>
      <c r="EI22" s="220">
        <v>0</v>
      </c>
      <c r="EJ22" s="219">
        <v>0</v>
      </c>
      <c r="EK22" s="219">
        <v>0</v>
      </c>
      <c r="EL22" s="773">
        <f t="shared" si="34"/>
        <v>0</v>
      </c>
      <c r="EM22" s="220">
        <v>0</v>
      </c>
      <c r="EN22" s="219">
        <v>0</v>
      </c>
      <c r="EO22" s="219">
        <v>0</v>
      </c>
      <c r="EP22" s="773">
        <f t="shared" si="35"/>
        <v>0</v>
      </c>
      <c r="EQ22" s="220">
        <v>0</v>
      </c>
      <c r="ER22" s="219">
        <v>0</v>
      </c>
      <c r="ES22" s="219">
        <v>0</v>
      </c>
      <c r="ET22" s="773">
        <f t="shared" si="36"/>
        <v>0</v>
      </c>
      <c r="EU22" s="220">
        <v>0</v>
      </c>
      <c r="EV22" s="219">
        <v>0</v>
      </c>
      <c r="EW22" s="219">
        <v>0</v>
      </c>
      <c r="EX22" s="773">
        <f t="shared" si="37"/>
        <v>0</v>
      </c>
      <c r="EY22" s="220">
        <v>0</v>
      </c>
      <c r="EZ22" s="219">
        <v>0</v>
      </c>
      <c r="FA22" s="219">
        <v>0</v>
      </c>
      <c r="FB22" s="773">
        <f t="shared" si="38"/>
        <v>0</v>
      </c>
      <c r="FC22" s="220">
        <v>0</v>
      </c>
      <c r="FD22" s="219">
        <v>0</v>
      </c>
      <c r="FE22" s="219">
        <v>0</v>
      </c>
      <c r="FF22" s="773">
        <f t="shared" si="39"/>
        <v>0</v>
      </c>
      <c r="FG22" s="220">
        <v>0</v>
      </c>
      <c r="FH22" s="219">
        <v>0</v>
      </c>
      <c r="FI22" s="219">
        <v>0</v>
      </c>
      <c r="FJ22" s="773">
        <f t="shared" si="40"/>
        <v>0</v>
      </c>
      <c r="FK22" s="774" t="s">
        <v>47</v>
      </c>
      <c r="FL22" s="774" t="s">
        <v>47</v>
      </c>
      <c r="FM22" s="774" t="s">
        <v>47</v>
      </c>
      <c r="FN22" s="773">
        <f t="shared" si="41"/>
        <v>0</v>
      </c>
      <c r="FO22" s="774" t="s">
        <v>47</v>
      </c>
      <c r="FP22" s="774" t="s">
        <v>47</v>
      </c>
      <c r="FQ22" s="774" t="s">
        <v>47</v>
      </c>
      <c r="FR22" s="773">
        <f t="shared" si="42"/>
        <v>0</v>
      </c>
      <c r="FS22" s="220">
        <v>0</v>
      </c>
      <c r="FT22" s="118" t="s">
        <v>47</v>
      </c>
      <c r="FU22" s="219">
        <v>0</v>
      </c>
      <c r="FV22" s="219">
        <v>0</v>
      </c>
      <c r="FW22" s="118" t="s">
        <v>47</v>
      </c>
      <c r="FX22" s="773">
        <f t="shared" si="43"/>
        <v>0</v>
      </c>
    </row>
    <row r="23" spans="2:180" s="233" customFormat="1" hidden="1" outlineLevel="1" x14ac:dyDescent="0.2">
      <c r="B23" s="250" t="s">
        <v>486</v>
      </c>
      <c r="C23" s="220">
        <v>0</v>
      </c>
      <c r="D23" s="219">
        <v>0</v>
      </c>
      <c r="E23" s="771">
        <v>12581</v>
      </c>
      <c r="F23" s="220">
        <v>0</v>
      </c>
      <c r="G23" s="219">
        <v>0</v>
      </c>
      <c r="H23" s="219">
        <v>0</v>
      </c>
      <c r="I23" s="219">
        <v>-12581</v>
      </c>
      <c r="J23" s="771">
        <v>0</v>
      </c>
      <c r="K23" s="220">
        <v>0</v>
      </c>
      <c r="L23" s="219">
        <v>0</v>
      </c>
      <c r="M23" s="219">
        <v>0</v>
      </c>
      <c r="N23" s="219">
        <v>0</v>
      </c>
      <c r="O23" s="219">
        <v>0</v>
      </c>
      <c r="P23" s="771">
        <v>0</v>
      </c>
      <c r="Q23" s="220">
        <v>0</v>
      </c>
      <c r="R23" s="219">
        <v>0</v>
      </c>
      <c r="S23" s="219">
        <v>0</v>
      </c>
      <c r="T23" s="219">
        <v>0</v>
      </c>
      <c r="U23" s="219">
        <v>0</v>
      </c>
      <c r="V23" s="771">
        <v>0</v>
      </c>
      <c r="W23" s="772">
        <v>0</v>
      </c>
      <c r="X23" s="219">
        <v>0</v>
      </c>
      <c r="Y23" s="219">
        <v>0</v>
      </c>
      <c r="Z23" s="771">
        <v>0</v>
      </c>
      <c r="AA23" s="220">
        <v>0</v>
      </c>
      <c r="AB23" s="219">
        <v>0</v>
      </c>
      <c r="AC23" s="219">
        <v>0</v>
      </c>
      <c r="AD23" s="771">
        <v>0</v>
      </c>
      <c r="AE23" s="220">
        <v>0</v>
      </c>
      <c r="AF23" s="219">
        <v>0</v>
      </c>
      <c r="AG23" s="219">
        <v>0</v>
      </c>
      <c r="AH23" s="771">
        <v>0</v>
      </c>
      <c r="AI23" s="220">
        <v>0</v>
      </c>
      <c r="AJ23" s="219">
        <v>0</v>
      </c>
      <c r="AK23" s="219">
        <v>0</v>
      </c>
      <c r="AL23" s="771">
        <v>0</v>
      </c>
      <c r="AM23" s="220">
        <v>0</v>
      </c>
      <c r="AN23" s="219">
        <v>0</v>
      </c>
      <c r="AO23" s="219">
        <v>0</v>
      </c>
      <c r="AP23" s="771">
        <f t="shared" si="12"/>
        <v>0</v>
      </c>
      <c r="AQ23" s="220">
        <v>0</v>
      </c>
      <c r="AR23" s="219">
        <v>0</v>
      </c>
      <c r="AS23" s="219">
        <v>0</v>
      </c>
      <c r="AT23" s="771">
        <f t="shared" si="13"/>
        <v>0</v>
      </c>
      <c r="AU23" s="220">
        <v>0</v>
      </c>
      <c r="AV23" s="219">
        <v>0</v>
      </c>
      <c r="AW23" s="219">
        <v>0</v>
      </c>
      <c r="AX23" s="771">
        <f t="shared" si="14"/>
        <v>0</v>
      </c>
      <c r="AY23" s="219">
        <v>0</v>
      </c>
      <c r="AZ23" s="219">
        <v>0</v>
      </c>
      <c r="BA23" s="219">
        <v>0</v>
      </c>
      <c r="BB23" s="219">
        <v>0</v>
      </c>
      <c r="BC23" s="220">
        <v>0</v>
      </c>
      <c r="BD23" s="219">
        <v>0</v>
      </c>
      <c r="BE23" s="771">
        <v>0</v>
      </c>
      <c r="BF23" s="219">
        <v>0</v>
      </c>
      <c r="BG23" s="219">
        <v>0</v>
      </c>
      <c r="BH23" s="219">
        <v>0</v>
      </c>
      <c r="BI23" s="219">
        <v>0</v>
      </c>
      <c r="BJ23" s="220">
        <v>0</v>
      </c>
      <c r="BK23" s="219">
        <v>0</v>
      </c>
      <c r="BL23" s="219">
        <v>0</v>
      </c>
      <c r="BM23" s="773">
        <f t="shared" si="15"/>
        <v>0</v>
      </c>
      <c r="BN23" s="220">
        <v>0</v>
      </c>
      <c r="BO23" s="219">
        <v>0</v>
      </c>
      <c r="BP23" s="219">
        <v>0</v>
      </c>
      <c r="BQ23" s="773">
        <f>SUM(BI23:BP23)</f>
        <v>0</v>
      </c>
      <c r="BR23" s="220">
        <v>0</v>
      </c>
      <c r="BS23" s="219">
        <v>0</v>
      </c>
      <c r="BT23" s="219">
        <v>0</v>
      </c>
      <c r="BU23" s="773">
        <f t="shared" si="17"/>
        <v>0</v>
      </c>
      <c r="BV23" s="220">
        <v>0</v>
      </c>
      <c r="BW23" s="219">
        <v>0</v>
      </c>
      <c r="BX23" s="219">
        <v>0</v>
      </c>
      <c r="BY23" s="773">
        <f t="shared" si="18"/>
        <v>0</v>
      </c>
      <c r="BZ23" s="220">
        <v>0</v>
      </c>
      <c r="CA23" s="219">
        <v>0</v>
      </c>
      <c r="CB23" s="219">
        <v>0</v>
      </c>
      <c r="CC23" s="773">
        <f t="shared" si="19"/>
        <v>0</v>
      </c>
      <c r="CD23" s="220">
        <v>0</v>
      </c>
      <c r="CE23" s="219">
        <v>0</v>
      </c>
      <c r="CF23" s="219">
        <v>0</v>
      </c>
      <c r="CG23" s="773">
        <f t="shared" si="20"/>
        <v>0</v>
      </c>
      <c r="CH23" s="774">
        <v>0</v>
      </c>
      <c r="CI23" s="774">
        <v>0</v>
      </c>
      <c r="CJ23" s="773">
        <f t="shared" si="21"/>
        <v>0</v>
      </c>
      <c r="CK23" s="220">
        <v>0</v>
      </c>
      <c r="CL23" s="219">
        <v>0</v>
      </c>
      <c r="CM23" s="773">
        <f t="shared" si="22"/>
        <v>0</v>
      </c>
      <c r="CN23" s="220">
        <v>0</v>
      </c>
      <c r="CO23" s="219">
        <v>0</v>
      </c>
      <c r="CP23" s="773">
        <v>0</v>
      </c>
      <c r="CQ23" s="220">
        <v>0</v>
      </c>
      <c r="CR23" s="219">
        <v>0</v>
      </c>
      <c r="CS23" s="219">
        <v>0</v>
      </c>
      <c r="CT23" s="773">
        <f t="shared" si="23"/>
        <v>0</v>
      </c>
      <c r="CU23" s="220">
        <v>0</v>
      </c>
      <c r="CV23" s="219">
        <v>0</v>
      </c>
      <c r="CW23" s="219">
        <v>0</v>
      </c>
      <c r="CX23" s="773">
        <f t="shared" si="24"/>
        <v>0</v>
      </c>
      <c r="CY23" s="220">
        <v>0</v>
      </c>
      <c r="CZ23" s="219">
        <v>0</v>
      </c>
      <c r="DA23" s="219">
        <v>0</v>
      </c>
      <c r="DB23" s="773">
        <f t="shared" si="25"/>
        <v>0</v>
      </c>
      <c r="DC23" s="220">
        <v>0</v>
      </c>
      <c r="DD23" s="219">
        <v>0</v>
      </c>
      <c r="DE23" s="219">
        <v>0</v>
      </c>
      <c r="DF23" s="773">
        <f t="shared" si="26"/>
        <v>0</v>
      </c>
      <c r="DG23" s="220">
        <v>0</v>
      </c>
      <c r="DH23" s="219">
        <v>0</v>
      </c>
      <c r="DI23" s="219">
        <v>0</v>
      </c>
      <c r="DJ23" s="773">
        <f t="shared" si="27"/>
        <v>0</v>
      </c>
      <c r="DK23" s="220">
        <v>0</v>
      </c>
      <c r="DL23" s="219">
        <v>0</v>
      </c>
      <c r="DM23" s="219">
        <v>0</v>
      </c>
      <c r="DN23" s="773">
        <f t="shared" si="28"/>
        <v>0</v>
      </c>
      <c r="DO23" s="220">
        <v>0</v>
      </c>
      <c r="DP23" s="219">
        <v>0</v>
      </c>
      <c r="DQ23" s="219">
        <v>0</v>
      </c>
      <c r="DR23" s="773">
        <f t="shared" si="29"/>
        <v>0</v>
      </c>
      <c r="DS23" s="220">
        <v>0</v>
      </c>
      <c r="DT23" s="219">
        <v>0</v>
      </c>
      <c r="DU23" s="219">
        <v>0</v>
      </c>
      <c r="DV23" s="773">
        <f t="shared" si="30"/>
        <v>0</v>
      </c>
      <c r="DW23" s="220">
        <v>0</v>
      </c>
      <c r="DX23" s="219">
        <v>0</v>
      </c>
      <c r="DY23" s="219">
        <v>0</v>
      </c>
      <c r="DZ23" s="773">
        <f t="shared" si="31"/>
        <v>0</v>
      </c>
      <c r="EA23" s="220">
        <v>0</v>
      </c>
      <c r="EB23" s="219">
        <v>0</v>
      </c>
      <c r="EC23" s="219">
        <v>0</v>
      </c>
      <c r="ED23" s="773">
        <f t="shared" si="32"/>
        <v>0</v>
      </c>
      <c r="EE23" s="220">
        <v>0</v>
      </c>
      <c r="EF23" s="219">
        <v>0</v>
      </c>
      <c r="EG23" s="219">
        <v>0</v>
      </c>
      <c r="EH23" s="773">
        <f t="shared" si="33"/>
        <v>0</v>
      </c>
      <c r="EI23" s="220">
        <v>0</v>
      </c>
      <c r="EJ23" s="219">
        <v>0</v>
      </c>
      <c r="EK23" s="219">
        <v>0</v>
      </c>
      <c r="EL23" s="773">
        <f t="shared" si="34"/>
        <v>0</v>
      </c>
      <c r="EM23" s="220">
        <v>0</v>
      </c>
      <c r="EN23" s="219">
        <v>0</v>
      </c>
      <c r="EO23" s="219">
        <v>0</v>
      </c>
      <c r="EP23" s="773">
        <f t="shared" si="35"/>
        <v>0</v>
      </c>
      <c r="EQ23" s="220">
        <v>0</v>
      </c>
      <c r="ER23" s="219">
        <v>0</v>
      </c>
      <c r="ES23" s="219">
        <v>0</v>
      </c>
      <c r="ET23" s="773">
        <f t="shared" si="36"/>
        <v>0</v>
      </c>
      <c r="EU23" s="220">
        <v>0</v>
      </c>
      <c r="EV23" s="219">
        <v>0</v>
      </c>
      <c r="EW23" s="219">
        <v>0</v>
      </c>
      <c r="EX23" s="773">
        <f t="shared" si="37"/>
        <v>0</v>
      </c>
      <c r="EY23" s="220">
        <v>0</v>
      </c>
      <c r="EZ23" s="219">
        <v>0</v>
      </c>
      <c r="FA23" s="219">
        <v>0</v>
      </c>
      <c r="FB23" s="773">
        <f t="shared" si="38"/>
        <v>0</v>
      </c>
      <c r="FC23" s="220">
        <v>0</v>
      </c>
      <c r="FD23" s="219">
        <v>0</v>
      </c>
      <c r="FE23" s="219">
        <v>0</v>
      </c>
      <c r="FF23" s="773">
        <f t="shared" si="39"/>
        <v>0</v>
      </c>
      <c r="FG23" s="220">
        <v>0</v>
      </c>
      <c r="FH23" s="219">
        <v>0</v>
      </c>
      <c r="FI23" s="219">
        <v>0</v>
      </c>
      <c r="FJ23" s="773">
        <f t="shared" si="40"/>
        <v>0</v>
      </c>
      <c r="FK23" s="774" t="s">
        <v>47</v>
      </c>
      <c r="FL23" s="774" t="s">
        <v>47</v>
      </c>
      <c r="FM23" s="774" t="s">
        <v>47</v>
      </c>
      <c r="FN23" s="773">
        <f t="shared" si="41"/>
        <v>0</v>
      </c>
      <c r="FO23" s="774" t="s">
        <v>47</v>
      </c>
      <c r="FP23" s="774" t="s">
        <v>47</v>
      </c>
      <c r="FQ23" s="774" t="s">
        <v>47</v>
      </c>
      <c r="FR23" s="773">
        <f t="shared" si="42"/>
        <v>0</v>
      </c>
      <c r="FS23" s="220">
        <v>0</v>
      </c>
      <c r="FT23" s="118" t="s">
        <v>47</v>
      </c>
      <c r="FU23" s="219">
        <v>0</v>
      </c>
      <c r="FV23" s="219">
        <v>0</v>
      </c>
      <c r="FW23" s="118" t="s">
        <v>47</v>
      </c>
      <c r="FX23" s="773">
        <f t="shared" si="43"/>
        <v>0</v>
      </c>
    </row>
    <row r="24" spans="2:180" s="233" customFormat="1" hidden="1" outlineLevel="1" x14ac:dyDescent="0.2">
      <c r="B24" s="250" t="s">
        <v>487</v>
      </c>
      <c r="C24" s="220">
        <v>0</v>
      </c>
      <c r="D24" s="219">
        <v>-493</v>
      </c>
      <c r="E24" s="771">
        <v>7341</v>
      </c>
      <c r="F24" s="220">
        <v>0</v>
      </c>
      <c r="G24" s="219">
        <v>-493</v>
      </c>
      <c r="H24" s="219">
        <v>0</v>
      </c>
      <c r="I24" s="219">
        <v>-6848</v>
      </c>
      <c r="J24" s="771">
        <v>0</v>
      </c>
      <c r="K24" s="220">
        <v>0</v>
      </c>
      <c r="L24" s="219">
        <v>0</v>
      </c>
      <c r="M24" s="219">
        <v>0</v>
      </c>
      <c r="N24" s="219">
        <v>0</v>
      </c>
      <c r="O24" s="219">
        <v>0</v>
      </c>
      <c r="P24" s="771">
        <v>0</v>
      </c>
      <c r="Q24" s="220">
        <v>0</v>
      </c>
      <c r="R24" s="219">
        <v>0</v>
      </c>
      <c r="S24" s="219">
        <v>0</v>
      </c>
      <c r="T24" s="219">
        <v>0</v>
      </c>
      <c r="U24" s="219">
        <v>0</v>
      </c>
      <c r="V24" s="771">
        <v>0</v>
      </c>
      <c r="W24" s="772">
        <v>0</v>
      </c>
      <c r="X24" s="219">
        <v>0</v>
      </c>
      <c r="Y24" s="219">
        <v>0</v>
      </c>
      <c r="Z24" s="771">
        <v>0</v>
      </c>
      <c r="AA24" s="220">
        <v>0</v>
      </c>
      <c r="AB24" s="219">
        <v>0</v>
      </c>
      <c r="AC24" s="219">
        <v>0</v>
      </c>
      <c r="AD24" s="771">
        <v>0</v>
      </c>
      <c r="AE24" s="220">
        <v>0</v>
      </c>
      <c r="AF24" s="219">
        <v>0</v>
      </c>
      <c r="AG24" s="219">
        <v>0</v>
      </c>
      <c r="AH24" s="771">
        <v>0</v>
      </c>
      <c r="AI24" s="220">
        <v>0</v>
      </c>
      <c r="AJ24" s="219">
        <v>0</v>
      </c>
      <c r="AK24" s="219">
        <v>0</v>
      </c>
      <c r="AL24" s="771">
        <v>0</v>
      </c>
      <c r="AM24" s="220">
        <v>0</v>
      </c>
      <c r="AN24" s="219">
        <v>0</v>
      </c>
      <c r="AO24" s="219">
        <v>0</v>
      </c>
      <c r="AP24" s="771">
        <f t="shared" si="12"/>
        <v>0</v>
      </c>
      <c r="AQ24" s="220">
        <v>0</v>
      </c>
      <c r="AR24" s="219">
        <v>0</v>
      </c>
      <c r="AS24" s="219">
        <v>0</v>
      </c>
      <c r="AT24" s="771">
        <f t="shared" si="13"/>
        <v>0</v>
      </c>
      <c r="AU24" s="220">
        <v>0</v>
      </c>
      <c r="AV24" s="219">
        <v>0</v>
      </c>
      <c r="AW24" s="219">
        <v>0</v>
      </c>
      <c r="AX24" s="771">
        <f t="shared" si="14"/>
        <v>0</v>
      </c>
      <c r="AY24" s="219">
        <v>0</v>
      </c>
      <c r="AZ24" s="219">
        <v>0</v>
      </c>
      <c r="BA24" s="219">
        <v>0</v>
      </c>
      <c r="BB24" s="219">
        <v>0</v>
      </c>
      <c r="BC24" s="220">
        <v>0</v>
      </c>
      <c r="BD24" s="219">
        <v>0</v>
      </c>
      <c r="BE24" s="771">
        <v>0</v>
      </c>
      <c r="BF24" s="219">
        <v>0</v>
      </c>
      <c r="BG24" s="219">
        <v>0</v>
      </c>
      <c r="BH24" s="219">
        <v>0</v>
      </c>
      <c r="BI24" s="219">
        <v>0</v>
      </c>
      <c r="BJ24" s="220">
        <v>0</v>
      </c>
      <c r="BK24" s="219">
        <v>0</v>
      </c>
      <c r="BL24" s="219">
        <v>0</v>
      </c>
      <c r="BM24" s="773">
        <f t="shared" si="15"/>
        <v>0</v>
      </c>
      <c r="BN24" s="220">
        <v>0</v>
      </c>
      <c r="BO24" s="219">
        <v>0</v>
      </c>
      <c r="BP24" s="219">
        <v>0</v>
      </c>
      <c r="BQ24" s="773">
        <f t="shared" si="16"/>
        <v>0</v>
      </c>
      <c r="BR24" s="220">
        <v>0</v>
      </c>
      <c r="BS24" s="219">
        <v>0</v>
      </c>
      <c r="BT24" s="219">
        <v>0</v>
      </c>
      <c r="BU24" s="773">
        <f t="shared" si="17"/>
        <v>0</v>
      </c>
      <c r="BV24" s="220">
        <v>0</v>
      </c>
      <c r="BW24" s="219">
        <v>0</v>
      </c>
      <c r="BX24" s="219">
        <v>0</v>
      </c>
      <c r="BY24" s="773">
        <f t="shared" si="18"/>
        <v>0</v>
      </c>
      <c r="BZ24" s="220">
        <v>0</v>
      </c>
      <c r="CA24" s="219">
        <v>0</v>
      </c>
      <c r="CB24" s="219">
        <v>0</v>
      </c>
      <c r="CC24" s="773">
        <f t="shared" si="19"/>
        <v>0</v>
      </c>
      <c r="CD24" s="220">
        <v>0</v>
      </c>
      <c r="CE24" s="219">
        <v>0</v>
      </c>
      <c r="CF24" s="219">
        <v>0</v>
      </c>
      <c r="CG24" s="773">
        <f t="shared" si="20"/>
        <v>0</v>
      </c>
      <c r="CH24" s="774">
        <v>0</v>
      </c>
      <c r="CI24" s="774">
        <v>0</v>
      </c>
      <c r="CJ24" s="773">
        <f t="shared" si="21"/>
        <v>0</v>
      </c>
      <c r="CK24" s="220">
        <v>0</v>
      </c>
      <c r="CL24" s="219">
        <v>0</v>
      </c>
      <c r="CM24" s="773">
        <f t="shared" si="22"/>
        <v>0</v>
      </c>
      <c r="CN24" s="220">
        <v>0</v>
      </c>
      <c r="CO24" s="219">
        <v>0</v>
      </c>
      <c r="CP24" s="773">
        <v>0</v>
      </c>
      <c r="CQ24" s="220">
        <v>0</v>
      </c>
      <c r="CR24" s="219">
        <v>0</v>
      </c>
      <c r="CS24" s="219">
        <v>0</v>
      </c>
      <c r="CT24" s="773">
        <f t="shared" si="23"/>
        <v>0</v>
      </c>
      <c r="CU24" s="220">
        <v>0</v>
      </c>
      <c r="CV24" s="219">
        <v>0</v>
      </c>
      <c r="CW24" s="219">
        <v>0</v>
      </c>
      <c r="CX24" s="773">
        <f t="shared" si="24"/>
        <v>0</v>
      </c>
      <c r="CY24" s="220">
        <v>0</v>
      </c>
      <c r="CZ24" s="219">
        <v>0</v>
      </c>
      <c r="DA24" s="219">
        <v>0</v>
      </c>
      <c r="DB24" s="773">
        <f t="shared" si="25"/>
        <v>0</v>
      </c>
      <c r="DC24" s="220">
        <v>0</v>
      </c>
      <c r="DD24" s="219">
        <v>0</v>
      </c>
      <c r="DE24" s="219">
        <v>0</v>
      </c>
      <c r="DF24" s="773">
        <f t="shared" si="26"/>
        <v>0</v>
      </c>
      <c r="DG24" s="220">
        <v>0</v>
      </c>
      <c r="DH24" s="219">
        <v>0</v>
      </c>
      <c r="DI24" s="219">
        <v>0</v>
      </c>
      <c r="DJ24" s="773">
        <f t="shared" si="27"/>
        <v>0</v>
      </c>
      <c r="DK24" s="220">
        <v>0</v>
      </c>
      <c r="DL24" s="219">
        <v>0</v>
      </c>
      <c r="DM24" s="219">
        <v>0</v>
      </c>
      <c r="DN24" s="773">
        <f t="shared" si="28"/>
        <v>0</v>
      </c>
      <c r="DO24" s="220">
        <v>0</v>
      </c>
      <c r="DP24" s="219">
        <v>0</v>
      </c>
      <c r="DQ24" s="219">
        <v>0</v>
      </c>
      <c r="DR24" s="773">
        <f t="shared" si="29"/>
        <v>0</v>
      </c>
      <c r="DS24" s="220">
        <v>0</v>
      </c>
      <c r="DT24" s="219">
        <v>0</v>
      </c>
      <c r="DU24" s="219">
        <v>0</v>
      </c>
      <c r="DV24" s="773">
        <f t="shared" si="30"/>
        <v>0</v>
      </c>
      <c r="DW24" s="220">
        <v>0</v>
      </c>
      <c r="DX24" s="219">
        <v>0</v>
      </c>
      <c r="DY24" s="219">
        <v>0</v>
      </c>
      <c r="DZ24" s="773">
        <f t="shared" si="31"/>
        <v>0</v>
      </c>
      <c r="EA24" s="220">
        <v>0</v>
      </c>
      <c r="EB24" s="219">
        <v>0</v>
      </c>
      <c r="EC24" s="219">
        <v>0</v>
      </c>
      <c r="ED24" s="773">
        <f t="shared" si="32"/>
        <v>0</v>
      </c>
      <c r="EE24" s="220">
        <v>0</v>
      </c>
      <c r="EF24" s="219">
        <v>0</v>
      </c>
      <c r="EG24" s="219">
        <v>0</v>
      </c>
      <c r="EH24" s="773">
        <f t="shared" si="33"/>
        <v>0</v>
      </c>
      <c r="EI24" s="220">
        <v>0</v>
      </c>
      <c r="EJ24" s="219">
        <v>0</v>
      </c>
      <c r="EK24" s="219">
        <v>0</v>
      </c>
      <c r="EL24" s="773">
        <f t="shared" si="34"/>
        <v>0</v>
      </c>
      <c r="EM24" s="220">
        <v>0</v>
      </c>
      <c r="EN24" s="219">
        <v>0</v>
      </c>
      <c r="EO24" s="219">
        <v>0</v>
      </c>
      <c r="EP24" s="773">
        <f t="shared" si="35"/>
        <v>0</v>
      </c>
      <c r="EQ24" s="220">
        <v>0</v>
      </c>
      <c r="ER24" s="219">
        <v>0</v>
      </c>
      <c r="ES24" s="219">
        <v>0</v>
      </c>
      <c r="ET24" s="773">
        <f t="shared" si="36"/>
        <v>0</v>
      </c>
      <c r="EU24" s="220">
        <v>0</v>
      </c>
      <c r="EV24" s="219">
        <v>0</v>
      </c>
      <c r="EW24" s="219">
        <v>0</v>
      </c>
      <c r="EX24" s="773">
        <f t="shared" si="37"/>
        <v>0</v>
      </c>
      <c r="EY24" s="220">
        <v>0</v>
      </c>
      <c r="EZ24" s="219">
        <v>0</v>
      </c>
      <c r="FA24" s="219">
        <v>0</v>
      </c>
      <c r="FB24" s="773">
        <f t="shared" si="38"/>
        <v>0</v>
      </c>
      <c r="FC24" s="220">
        <v>0</v>
      </c>
      <c r="FD24" s="219">
        <v>0</v>
      </c>
      <c r="FE24" s="219">
        <v>0</v>
      </c>
      <c r="FF24" s="773">
        <f t="shared" si="39"/>
        <v>0</v>
      </c>
      <c r="FG24" s="220">
        <v>0</v>
      </c>
      <c r="FH24" s="219">
        <v>0</v>
      </c>
      <c r="FI24" s="219">
        <v>0</v>
      </c>
      <c r="FJ24" s="773">
        <f t="shared" si="40"/>
        <v>0</v>
      </c>
      <c r="FK24" s="774" t="s">
        <v>47</v>
      </c>
      <c r="FL24" s="774" t="s">
        <v>47</v>
      </c>
      <c r="FM24" s="774" t="s">
        <v>47</v>
      </c>
      <c r="FN24" s="773">
        <f t="shared" si="41"/>
        <v>0</v>
      </c>
      <c r="FO24" s="774" t="s">
        <v>47</v>
      </c>
      <c r="FP24" s="774" t="s">
        <v>47</v>
      </c>
      <c r="FQ24" s="774" t="s">
        <v>47</v>
      </c>
      <c r="FR24" s="773">
        <f t="shared" si="42"/>
        <v>0</v>
      </c>
      <c r="FS24" s="220">
        <v>0</v>
      </c>
      <c r="FT24" s="118" t="s">
        <v>47</v>
      </c>
      <c r="FU24" s="219">
        <v>0</v>
      </c>
      <c r="FV24" s="219">
        <v>0</v>
      </c>
      <c r="FW24" s="118" t="s">
        <v>47</v>
      </c>
      <c r="FX24" s="773">
        <f t="shared" si="43"/>
        <v>0</v>
      </c>
    </row>
    <row r="25" spans="2:180" s="233" customFormat="1" hidden="1" outlineLevel="1" x14ac:dyDescent="0.2">
      <c r="B25" s="250" t="s">
        <v>488</v>
      </c>
      <c r="C25" s="220">
        <v>0</v>
      </c>
      <c r="D25" s="219">
        <v>-125</v>
      </c>
      <c r="E25" s="771">
        <v>1416</v>
      </c>
      <c r="F25" s="220">
        <v>0</v>
      </c>
      <c r="G25" s="219">
        <v>-125</v>
      </c>
      <c r="H25" s="219">
        <v>0</v>
      </c>
      <c r="I25" s="219">
        <v>-1291</v>
      </c>
      <c r="J25" s="771">
        <v>0</v>
      </c>
      <c r="K25" s="220">
        <v>0</v>
      </c>
      <c r="L25" s="219">
        <v>0</v>
      </c>
      <c r="M25" s="219">
        <v>0</v>
      </c>
      <c r="N25" s="219">
        <v>0</v>
      </c>
      <c r="O25" s="219">
        <v>0</v>
      </c>
      <c r="P25" s="771">
        <v>0</v>
      </c>
      <c r="Q25" s="220">
        <v>0</v>
      </c>
      <c r="R25" s="219">
        <v>0</v>
      </c>
      <c r="S25" s="219">
        <v>0</v>
      </c>
      <c r="T25" s="219">
        <v>0</v>
      </c>
      <c r="U25" s="219">
        <v>0</v>
      </c>
      <c r="V25" s="771">
        <v>0</v>
      </c>
      <c r="W25" s="772">
        <v>0</v>
      </c>
      <c r="X25" s="219">
        <v>0</v>
      </c>
      <c r="Y25" s="219">
        <v>0</v>
      </c>
      <c r="Z25" s="771">
        <v>0</v>
      </c>
      <c r="AA25" s="220">
        <v>0</v>
      </c>
      <c r="AB25" s="219">
        <v>0</v>
      </c>
      <c r="AC25" s="219">
        <v>0</v>
      </c>
      <c r="AD25" s="771">
        <v>0</v>
      </c>
      <c r="AE25" s="220">
        <v>0</v>
      </c>
      <c r="AF25" s="219">
        <v>0</v>
      </c>
      <c r="AG25" s="219">
        <v>0</v>
      </c>
      <c r="AH25" s="771">
        <v>0</v>
      </c>
      <c r="AI25" s="220">
        <v>0</v>
      </c>
      <c r="AJ25" s="219">
        <v>0</v>
      </c>
      <c r="AK25" s="219">
        <v>0</v>
      </c>
      <c r="AL25" s="771">
        <v>0</v>
      </c>
      <c r="AM25" s="220">
        <v>0</v>
      </c>
      <c r="AN25" s="219">
        <v>0</v>
      </c>
      <c r="AO25" s="219">
        <v>0</v>
      </c>
      <c r="AP25" s="771">
        <f t="shared" si="12"/>
        <v>0</v>
      </c>
      <c r="AQ25" s="220">
        <v>0</v>
      </c>
      <c r="AR25" s="219">
        <v>0</v>
      </c>
      <c r="AS25" s="219">
        <v>0</v>
      </c>
      <c r="AT25" s="771">
        <f t="shared" si="13"/>
        <v>0</v>
      </c>
      <c r="AU25" s="220">
        <v>0</v>
      </c>
      <c r="AV25" s="219">
        <v>0</v>
      </c>
      <c r="AW25" s="219">
        <v>0</v>
      </c>
      <c r="AX25" s="771">
        <f t="shared" si="14"/>
        <v>0</v>
      </c>
      <c r="AY25" s="219">
        <v>0</v>
      </c>
      <c r="AZ25" s="219">
        <v>0</v>
      </c>
      <c r="BA25" s="219">
        <v>0</v>
      </c>
      <c r="BB25" s="219">
        <v>0</v>
      </c>
      <c r="BC25" s="220">
        <v>0</v>
      </c>
      <c r="BD25" s="219">
        <v>0</v>
      </c>
      <c r="BE25" s="771">
        <v>0</v>
      </c>
      <c r="BF25" s="219">
        <v>0</v>
      </c>
      <c r="BG25" s="219">
        <v>0</v>
      </c>
      <c r="BH25" s="219">
        <v>0</v>
      </c>
      <c r="BI25" s="219">
        <v>0</v>
      </c>
      <c r="BJ25" s="220">
        <v>0</v>
      </c>
      <c r="BK25" s="219">
        <v>0</v>
      </c>
      <c r="BL25" s="219">
        <v>0</v>
      </c>
      <c r="BM25" s="773">
        <f t="shared" si="15"/>
        <v>0</v>
      </c>
      <c r="BN25" s="220">
        <v>0</v>
      </c>
      <c r="BO25" s="219">
        <v>0</v>
      </c>
      <c r="BP25" s="219">
        <v>0</v>
      </c>
      <c r="BQ25" s="773">
        <f t="shared" si="16"/>
        <v>0</v>
      </c>
      <c r="BR25" s="220">
        <v>0</v>
      </c>
      <c r="BS25" s="219">
        <v>0</v>
      </c>
      <c r="BT25" s="219">
        <v>0</v>
      </c>
      <c r="BU25" s="773">
        <f t="shared" si="17"/>
        <v>0</v>
      </c>
      <c r="BV25" s="220">
        <v>0</v>
      </c>
      <c r="BW25" s="219">
        <v>0</v>
      </c>
      <c r="BX25" s="219">
        <v>0</v>
      </c>
      <c r="BY25" s="773">
        <f t="shared" si="18"/>
        <v>0</v>
      </c>
      <c r="BZ25" s="220">
        <v>0</v>
      </c>
      <c r="CA25" s="219">
        <v>0</v>
      </c>
      <c r="CB25" s="219">
        <v>0</v>
      </c>
      <c r="CC25" s="773">
        <f t="shared" si="19"/>
        <v>0</v>
      </c>
      <c r="CD25" s="220">
        <v>0</v>
      </c>
      <c r="CE25" s="219">
        <v>0</v>
      </c>
      <c r="CF25" s="219">
        <v>0</v>
      </c>
      <c r="CG25" s="773">
        <f t="shared" si="20"/>
        <v>0</v>
      </c>
      <c r="CH25" s="774">
        <v>0</v>
      </c>
      <c r="CI25" s="774">
        <v>0</v>
      </c>
      <c r="CJ25" s="773">
        <f t="shared" si="21"/>
        <v>0</v>
      </c>
      <c r="CK25" s="220">
        <v>0</v>
      </c>
      <c r="CL25" s="219">
        <v>0</v>
      </c>
      <c r="CM25" s="773">
        <f t="shared" si="22"/>
        <v>0</v>
      </c>
      <c r="CN25" s="220">
        <v>0</v>
      </c>
      <c r="CO25" s="219">
        <v>0</v>
      </c>
      <c r="CP25" s="773">
        <v>0</v>
      </c>
      <c r="CQ25" s="220">
        <v>0</v>
      </c>
      <c r="CR25" s="219">
        <v>0</v>
      </c>
      <c r="CS25" s="219">
        <v>0</v>
      </c>
      <c r="CT25" s="773">
        <f t="shared" si="23"/>
        <v>0</v>
      </c>
      <c r="CU25" s="220">
        <v>0</v>
      </c>
      <c r="CV25" s="219">
        <v>0</v>
      </c>
      <c r="CW25" s="219">
        <v>0</v>
      </c>
      <c r="CX25" s="773">
        <f t="shared" si="24"/>
        <v>0</v>
      </c>
      <c r="CY25" s="220">
        <v>0</v>
      </c>
      <c r="CZ25" s="219">
        <v>0</v>
      </c>
      <c r="DA25" s="219">
        <v>0</v>
      </c>
      <c r="DB25" s="773">
        <f t="shared" si="25"/>
        <v>0</v>
      </c>
      <c r="DC25" s="220">
        <v>0</v>
      </c>
      <c r="DD25" s="219">
        <v>0</v>
      </c>
      <c r="DE25" s="219">
        <v>0</v>
      </c>
      <c r="DF25" s="773">
        <f t="shared" si="26"/>
        <v>0</v>
      </c>
      <c r="DG25" s="220">
        <v>0</v>
      </c>
      <c r="DH25" s="219">
        <v>0</v>
      </c>
      <c r="DI25" s="219">
        <v>0</v>
      </c>
      <c r="DJ25" s="773">
        <f t="shared" si="27"/>
        <v>0</v>
      </c>
      <c r="DK25" s="220">
        <v>0</v>
      </c>
      <c r="DL25" s="219">
        <v>0</v>
      </c>
      <c r="DM25" s="219">
        <v>0</v>
      </c>
      <c r="DN25" s="773">
        <f t="shared" si="28"/>
        <v>0</v>
      </c>
      <c r="DO25" s="220">
        <v>0</v>
      </c>
      <c r="DP25" s="219">
        <v>0</v>
      </c>
      <c r="DQ25" s="219">
        <v>0</v>
      </c>
      <c r="DR25" s="773">
        <f t="shared" si="29"/>
        <v>0</v>
      </c>
      <c r="DS25" s="220">
        <v>0</v>
      </c>
      <c r="DT25" s="219">
        <v>0</v>
      </c>
      <c r="DU25" s="219">
        <v>0</v>
      </c>
      <c r="DV25" s="773">
        <f t="shared" si="30"/>
        <v>0</v>
      </c>
      <c r="DW25" s="220">
        <v>0</v>
      </c>
      <c r="DX25" s="219">
        <v>0</v>
      </c>
      <c r="DY25" s="219">
        <v>0</v>
      </c>
      <c r="DZ25" s="773">
        <f t="shared" si="31"/>
        <v>0</v>
      </c>
      <c r="EA25" s="220">
        <v>0</v>
      </c>
      <c r="EB25" s="219">
        <v>0</v>
      </c>
      <c r="EC25" s="219">
        <v>0</v>
      </c>
      <c r="ED25" s="773">
        <f t="shared" si="32"/>
        <v>0</v>
      </c>
      <c r="EE25" s="220">
        <v>0</v>
      </c>
      <c r="EF25" s="219">
        <v>0</v>
      </c>
      <c r="EG25" s="219">
        <v>0</v>
      </c>
      <c r="EH25" s="773">
        <f t="shared" si="33"/>
        <v>0</v>
      </c>
      <c r="EI25" s="220">
        <v>0</v>
      </c>
      <c r="EJ25" s="219">
        <v>0</v>
      </c>
      <c r="EK25" s="219">
        <v>0</v>
      </c>
      <c r="EL25" s="773">
        <f t="shared" si="34"/>
        <v>0</v>
      </c>
      <c r="EM25" s="220">
        <v>0</v>
      </c>
      <c r="EN25" s="219">
        <v>0</v>
      </c>
      <c r="EO25" s="219">
        <v>0</v>
      </c>
      <c r="EP25" s="773">
        <f t="shared" si="35"/>
        <v>0</v>
      </c>
      <c r="EQ25" s="220">
        <v>0</v>
      </c>
      <c r="ER25" s="219">
        <v>0</v>
      </c>
      <c r="ES25" s="219">
        <v>0</v>
      </c>
      <c r="ET25" s="773">
        <f t="shared" si="36"/>
        <v>0</v>
      </c>
      <c r="EU25" s="220">
        <v>0</v>
      </c>
      <c r="EV25" s="219">
        <v>0</v>
      </c>
      <c r="EW25" s="219">
        <v>0</v>
      </c>
      <c r="EX25" s="773">
        <f t="shared" si="37"/>
        <v>0</v>
      </c>
      <c r="EY25" s="220">
        <v>0</v>
      </c>
      <c r="EZ25" s="219">
        <v>0</v>
      </c>
      <c r="FA25" s="219">
        <v>0</v>
      </c>
      <c r="FB25" s="773">
        <f t="shared" si="38"/>
        <v>0</v>
      </c>
      <c r="FC25" s="220">
        <v>0</v>
      </c>
      <c r="FD25" s="219">
        <v>0</v>
      </c>
      <c r="FE25" s="219">
        <v>0</v>
      </c>
      <c r="FF25" s="773">
        <f t="shared" si="39"/>
        <v>0</v>
      </c>
      <c r="FG25" s="220">
        <v>0</v>
      </c>
      <c r="FH25" s="219">
        <v>0</v>
      </c>
      <c r="FI25" s="219">
        <v>0</v>
      </c>
      <c r="FJ25" s="773">
        <f t="shared" si="40"/>
        <v>0</v>
      </c>
      <c r="FK25" s="774" t="s">
        <v>47</v>
      </c>
      <c r="FL25" s="774" t="s">
        <v>47</v>
      </c>
      <c r="FM25" s="774" t="s">
        <v>47</v>
      </c>
      <c r="FN25" s="773">
        <f t="shared" si="41"/>
        <v>0</v>
      </c>
      <c r="FO25" s="774" t="s">
        <v>47</v>
      </c>
      <c r="FP25" s="774" t="s">
        <v>47</v>
      </c>
      <c r="FQ25" s="774" t="s">
        <v>47</v>
      </c>
      <c r="FR25" s="773">
        <f t="shared" si="42"/>
        <v>0</v>
      </c>
      <c r="FS25" s="220">
        <v>0</v>
      </c>
      <c r="FT25" s="118" t="s">
        <v>47</v>
      </c>
      <c r="FU25" s="219">
        <v>0</v>
      </c>
      <c r="FV25" s="219">
        <v>0</v>
      </c>
      <c r="FW25" s="118" t="s">
        <v>47</v>
      </c>
      <c r="FX25" s="773">
        <f t="shared" si="43"/>
        <v>0</v>
      </c>
    </row>
    <row r="26" spans="2:180" collapsed="1" x14ac:dyDescent="0.2">
      <c r="B26" s="120" t="s">
        <v>489</v>
      </c>
      <c r="C26" s="163">
        <f t="shared" ref="C26:AD26" si="44">SUM(C19:C25)</f>
        <v>0</v>
      </c>
      <c r="D26" s="120">
        <f t="shared" si="44"/>
        <v>-966</v>
      </c>
      <c r="E26" s="164">
        <f t="shared" si="44"/>
        <v>32239</v>
      </c>
      <c r="F26" s="163">
        <f t="shared" si="44"/>
        <v>0</v>
      </c>
      <c r="G26" s="120">
        <f t="shared" si="44"/>
        <v>-270</v>
      </c>
      <c r="H26" s="120">
        <f t="shared" si="44"/>
        <v>-11249</v>
      </c>
      <c r="I26" s="120">
        <f t="shared" si="44"/>
        <v>-20720</v>
      </c>
      <c r="J26" s="164">
        <f t="shared" si="44"/>
        <v>0</v>
      </c>
      <c r="K26" s="163">
        <f t="shared" si="44"/>
        <v>0</v>
      </c>
      <c r="L26" s="120">
        <f t="shared" si="44"/>
        <v>0</v>
      </c>
      <c r="M26" s="120">
        <f t="shared" si="44"/>
        <v>0</v>
      </c>
      <c r="N26" s="120">
        <f t="shared" si="44"/>
        <v>0</v>
      </c>
      <c r="O26" s="120">
        <f t="shared" si="44"/>
        <v>0</v>
      </c>
      <c r="P26" s="164">
        <f t="shared" si="44"/>
        <v>0</v>
      </c>
      <c r="Q26" s="163">
        <f t="shared" si="44"/>
        <v>0</v>
      </c>
      <c r="R26" s="120">
        <f t="shared" si="44"/>
        <v>0</v>
      </c>
      <c r="S26" s="120">
        <f t="shared" si="44"/>
        <v>0</v>
      </c>
      <c r="T26" s="120">
        <f t="shared" si="44"/>
        <v>0</v>
      </c>
      <c r="U26" s="120">
        <f t="shared" si="44"/>
        <v>0</v>
      </c>
      <c r="V26" s="164">
        <f t="shared" si="44"/>
        <v>0</v>
      </c>
      <c r="W26" s="163">
        <f t="shared" si="44"/>
        <v>0</v>
      </c>
      <c r="X26" s="120">
        <f t="shared" si="44"/>
        <v>0</v>
      </c>
      <c r="Y26" s="120">
        <f t="shared" si="44"/>
        <v>0</v>
      </c>
      <c r="Z26" s="164">
        <f t="shared" si="44"/>
        <v>0</v>
      </c>
      <c r="AA26" s="163">
        <f t="shared" si="44"/>
        <v>0</v>
      </c>
      <c r="AB26" s="120">
        <f t="shared" si="44"/>
        <v>0</v>
      </c>
      <c r="AC26" s="120">
        <f t="shared" si="44"/>
        <v>0</v>
      </c>
      <c r="AD26" s="164">
        <f t="shared" si="44"/>
        <v>0</v>
      </c>
      <c r="AE26" s="163">
        <f t="shared" ref="AE26:AL26" si="45">SUM(AE19:AE25)</f>
        <v>0</v>
      </c>
      <c r="AF26" s="120">
        <f t="shared" si="45"/>
        <v>0</v>
      </c>
      <c r="AG26" s="120">
        <f t="shared" si="45"/>
        <v>0</v>
      </c>
      <c r="AH26" s="164">
        <f t="shared" si="45"/>
        <v>0</v>
      </c>
      <c r="AI26" s="163">
        <f t="shared" si="45"/>
        <v>0</v>
      </c>
      <c r="AJ26" s="120">
        <f t="shared" si="45"/>
        <v>0</v>
      </c>
      <c r="AK26" s="120">
        <f t="shared" si="45"/>
        <v>0</v>
      </c>
      <c r="AL26" s="164">
        <f t="shared" si="45"/>
        <v>0</v>
      </c>
      <c r="AM26" s="163">
        <f t="shared" ref="AM26:AX26" si="46">SUM(AM19:AM25)</f>
        <v>0</v>
      </c>
      <c r="AN26" s="120">
        <f t="shared" si="46"/>
        <v>0</v>
      </c>
      <c r="AO26" s="120">
        <f t="shared" si="46"/>
        <v>0</v>
      </c>
      <c r="AP26" s="164">
        <f t="shared" si="46"/>
        <v>0</v>
      </c>
      <c r="AQ26" s="163">
        <f t="shared" si="46"/>
        <v>0</v>
      </c>
      <c r="AR26" s="120">
        <f t="shared" si="46"/>
        <v>0</v>
      </c>
      <c r="AS26" s="120">
        <f t="shared" si="46"/>
        <v>0</v>
      </c>
      <c r="AT26" s="164">
        <f t="shared" si="46"/>
        <v>0</v>
      </c>
      <c r="AU26" s="163">
        <f t="shared" si="46"/>
        <v>0</v>
      </c>
      <c r="AV26" s="120">
        <f t="shared" si="46"/>
        <v>0</v>
      </c>
      <c r="AW26" s="120">
        <f t="shared" si="46"/>
        <v>0</v>
      </c>
      <c r="AX26" s="164">
        <f t="shared" si="46"/>
        <v>0</v>
      </c>
      <c r="AY26" s="120">
        <v>0</v>
      </c>
      <c r="AZ26" s="120">
        <v>0</v>
      </c>
      <c r="BA26" s="120">
        <v>0</v>
      </c>
      <c r="BB26" s="120">
        <v>0</v>
      </c>
      <c r="BC26" s="163">
        <v>0</v>
      </c>
      <c r="BD26" s="120">
        <v>0</v>
      </c>
      <c r="BE26" s="164">
        <v>0</v>
      </c>
      <c r="BF26" s="120">
        <v>0</v>
      </c>
      <c r="BG26" s="120">
        <v>0</v>
      </c>
      <c r="BH26" s="120">
        <v>0</v>
      </c>
      <c r="BI26" s="120">
        <v>0</v>
      </c>
      <c r="BJ26" s="163">
        <f>SUM(BJ19:BJ25)</f>
        <v>0</v>
      </c>
      <c r="BK26" s="120">
        <f>SUM(BK19:BK25)</f>
        <v>0</v>
      </c>
      <c r="BL26" s="120">
        <f>SUM(BL19:BL25)</f>
        <v>0</v>
      </c>
      <c r="BM26" s="164">
        <f>SUM(BM19:BM25)</f>
        <v>0</v>
      </c>
      <c r="BN26" s="163">
        <v>0</v>
      </c>
      <c r="BO26" s="120">
        <v>0</v>
      </c>
      <c r="BP26" s="120">
        <v>0</v>
      </c>
      <c r="BQ26" s="164">
        <f t="shared" ref="BQ26:CI26" si="47">SUM(BQ19:BQ25)</f>
        <v>0</v>
      </c>
      <c r="BR26" s="163">
        <f t="shared" si="47"/>
        <v>0</v>
      </c>
      <c r="BS26" s="120">
        <f t="shared" si="47"/>
        <v>0</v>
      </c>
      <c r="BT26" s="120">
        <f t="shared" si="47"/>
        <v>0</v>
      </c>
      <c r="BU26" s="164">
        <f t="shared" si="47"/>
        <v>0</v>
      </c>
      <c r="BV26" s="163">
        <f t="shared" si="47"/>
        <v>0</v>
      </c>
      <c r="BW26" s="120">
        <f t="shared" si="47"/>
        <v>0</v>
      </c>
      <c r="BX26" s="120">
        <f t="shared" si="47"/>
        <v>0</v>
      </c>
      <c r="BY26" s="164">
        <f t="shared" si="47"/>
        <v>0</v>
      </c>
      <c r="BZ26" s="163">
        <f>SUM(BZ19:BZ25)</f>
        <v>0</v>
      </c>
      <c r="CA26" s="120">
        <f>SUM(CA19:CA25)</f>
        <v>0</v>
      </c>
      <c r="CB26" s="120">
        <f>SUM(CB19:CB25)</f>
        <v>0</v>
      </c>
      <c r="CC26" s="164">
        <f>SUM(CC19:CC25)</f>
        <v>0</v>
      </c>
      <c r="CD26" s="163">
        <f t="shared" si="47"/>
        <v>0</v>
      </c>
      <c r="CE26" s="120">
        <f t="shared" si="47"/>
        <v>0</v>
      </c>
      <c r="CF26" s="120">
        <f t="shared" si="47"/>
        <v>0</v>
      </c>
      <c r="CG26" s="164">
        <f t="shared" si="47"/>
        <v>0</v>
      </c>
      <c r="CH26" s="163">
        <f t="shared" si="47"/>
        <v>0</v>
      </c>
      <c r="CI26" s="120">
        <f t="shared" si="47"/>
        <v>0</v>
      </c>
      <c r="CJ26" s="164">
        <f>SUM(CJ19:CJ25)</f>
        <v>0</v>
      </c>
      <c r="CK26" s="163">
        <f>SUM(CK19:CK25)</f>
        <v>0</v>
      </c>
      <c r="CL26" s="120">
        <f>SUM(CL19:CL25)</f>
        <v>0</v>
      </c>
      <c r="CM26" s="164">
        <f>SUM(CM19:CM25)</f>
        <v>0</v>
      </c>
      <c r="CN26" s="163">
        <v>0</v>
      </c>
      <c r="CO26" s="120">
        <v>0</v>
      </c>
      <c r="CP26" s="164">
        <v>0</v>
      </c>
      <c r="CQ26" s="163">
        <f t="shared" ref="CQ26:CX26" si="48">SUM(CQ19:CQ25)</f>
        <v>0</v>
      </c>
      <c r="CR26" s="120">
        <f t="shared" si="48"/>
        <v>0</v>
      </c>
      <c r="CS26" s="120">
        <f t="shared" si="48"/>
        <v>0</v>
      </c>
      <c r="CT26" s="164">
        <f t="shared" si="48"/>
        <v>0</v>
      </c>
      <c r="CU26" s="163">
        <f t="shared" si="48"/>
        <v>0</v>
      </c>
      <c r="CV26" s="120">
        <f t="shared" si="48"/>
        <v>0</v>
      </c>
      <c r="CW26" s="120">
        <f t="shared" si="48"/>
        <v>0</v>
      </c>
      <c r="CX26" s="164">
        <f t="shared" si="48"/>
        <v>0</v>
      </c>
      <c r="CY26" s="163">
        <f t="shared" ref="CY26:DF26" si="49">SUM(CY19:CY25)</f>
        <v>0</v>
      </c>
      <c r="CZ26" s="120">
        <f t="shared" si="49"/>
        <v>0</v>
      </c>
      <c r="DA26" s="120">
        <f t="shared" si="49"/>
        <v>0</v>
      </c>
      <c r="DB26" s="164">
        <f t="shared" si="49"/>
        <v>0</v>
      </c>
      <c r="DC26" s="163">
        <f t="shared" si="49"/>
        <v>0</v>
      </c>
      <c r="DD26" s="120">
        <f t="shared" si="49"/>
        <v>0</v>
      </c>
      <c r="DE26" s="120">
        <f t="shared" si="49"/>
        <v>0</v>
      </c>
      <c r="DF26" s="164">
        <f t="shared" si="49"/>
        <v>0</v>
      </c>
      <c r="DG26" s="163">
        <f t="shared" ref="DG26:DN26" si="50">SUM(DG19:DG25)</f>
        <v>0</v>
      </c>
      <c r="DH26" s="120">
        <f t="shared" si="50"/>
        <v>0</v>
      </c>
      <c r="DI26" s="120">
        <f t="shared" si="50"/>
        <v>0</v>
      </c>
      <c r="DJ26" s="164">
        <f t="shared" si="50"/>
        <v>0</v>
      </c>
      <c r="DK26" s="163">
        <f t="shared" si="50"/>
        <v>0</v>
      </c>
      <c r="DL26" s="120">
        <f t="shared" si="50"/>
        <v>0</v>
      </c>
      <c r="DM26" s="120">
        <f t="shared" si="50"/>
        <v>0</v>
      </c>
      <c r="DN26" s="164">
        <f t="shared" si="50"/>
        <v>0</v>
      </c>
      <c r="DO26" s="163">
        <f t="shared" ref="DO26:EH26" si="51">SUM(DO19:DO25)</f>
        <v>0</v>
      </c>
      <c r="DP26" s="120">
        <f t="shared" si="51"/>
        <v>0</v>
      </c>
      <c r="DQ26" s="120">
        <f t="shared" si="51"/>
        <v>0</v>
      </c>
      <c r="DR26" s="164">
        <f t="shared" si="51"/>
        <v>0</v>
      </c>
      <c r="DS26" s="163">
        <f t="shared" si="51"/>
        <v>0</v>
      </c>
      <c r="DT26" s="120">
        <f t="shared" si="51"/>
        <v>0</v>
      </c>
      <c r="DU26" s="120">
        <f t="shared" si="51"/>
        <v>0</v>
      </c>
      <c r="DV26" s="164">
        <f t="shared" si="51"/>
        <v>0</v>
      </c>
      <c r="DW26" s="163">
        <f t="shared" si="51"/>
        <v>0</v>
      </c>
      <c r="DX26" s="120">
        <f t="shared" si="51"/>
        <v>0</v>
      </c>
      <c r="DY26" s="120">
        <f t="shared" si="51"/>
        <v>0</v>
      </c>
      <c r="DZ26" s="164">
        <f t="shared" si="51"/>
        <v>0</v>
      </c>
      <c r="EA26" s="163">
        <f>SUM(EA19:EA25)</f>
        <v>0</v>
      </c>
      <c r="EB26" s="120">
        <f>SUM(EB19:EB25)</f>
        <v>0</v>
      </c>
      <c r="EC26" s="120">
        <f>SUM(EC19:EC25)</f>
        <v>0</v>
      </c>
      <c r="ED26" s="164">
        <f>SUM(ED19:ED25)</f>
        <v>0</v>
      </c>
      <c r="EE26" s="163">
        <f t="shared" si="51"/>
        <v>0</v>
      </c>
      <c r="EF26" s="120">
        <f t="shared" si="51"/>
        <v>0</v>
      </c>
      <c r="EG26" s="120">
        <f t="shared" si="51"/>
        <v>0</v>
      </c>
      <c r="EH26" s="164">
        <f t="shared" si="51"/>
        <v>0</v>
      </c>
      <c r="EI26" s="163">
        <f t="shared" ref="EI26:FJ26" si="52">SUM(EI19:EI25)</f>
        <v>0</v>
      </c>
      <c r="EJ26" s="120">
        <f t="shared" si="52"/>
        <v>0</v>
      </c>
      <c r="EK26" s="120">
        <f t="shared" si="52"/>
        <v>0</v>
      </c>
      <c r="EL26" s="164">
        <f t="shared" si="52"/>
        <v>0</v>
      </c>
      <c r="EM26" s="163">
        <f t="shared" si="52"/>
        <v>0</v>
      </c>
      <c r="EN26" s="120">
        <f t="shared" si="52"/>
        <v>0</v>
      </c>
      <c r="EO26" s="120">
        <f t="shared" si="52"/>
        <v>0</v>
      </c>
      <c r="EP26" s="164">
        <f t="shared" si="52"/>
        <v>0</v>
      </c>
      <c r="EQ26" s="163">
        <f t="shared" si="52"/>
        <v>0</v>
      </c>
      <c r="ER26" s="120">
        <f t="shared" si="52"/>
        <v>0</v>
      </c>
      <c r="ES26" s="120">
        <f t="shared" si="52"/>
        <v>0</v>
      </c>
      <c r="ET26" s="164">
        <f t="shared" si="52"/>
        <v>0</v>
      </c>
      <c r="EU26" s="163">
        <f t="shared" si="52"/>
        <v>0</v>
      </c>
      <c r="EV26" s="120">
        <f t="shared" si="52"/>
        <v>0</v>
      </c>
      <c r="EW26" s="120">
        <f t="shared" si="52"/>
        <v>0</v>
      </c>
      <c r="EX26" s="164">
        <f t="shared" si="52"/>
        <v>0</v>
      </c>
      <c r="EY26" s="163">
        <f t="shared" si="52"/>
        <v>0</v>
      </c>
      <c r="EZ26" s="120">
        <f t="shared" si="52"/>
        <v>0</v>
      </c>
      <c r="FA26" s="120">
        <f t="shared" si="52"/>
        <v>0</v>
      </c>
      <c r="FB26" s="164">
        <f t="shared" si="52"/>
        <v>0</v>
      </c>
      <c r="FC26" s="163">
        <f t="shared" si="52"/>
        <v>0</v>
      </c>
      <c r="FD26" s="120">
        <f t="shared" si="52"/>
        <v>0</v>
      </c>
      <c r="FE26" s="120">
        <f t="shared" si="52"/>
        <v>0</v>
      </c>
      <c r="FF26" s="164">
        <f t="shared" si="52"/>
        <v>0</v>
      </c>
      <c r="FG26" s="163">
        <f t="shared" si="52"/>
        <v>0</v>
      </c>
      <c r="FH26" s="120">
        <f t="shared" si="52"/>
        <v>0</v>
      </c>
      <c r="FI26" s="120">
        <f t="shared" si="52"/>
        <v>0</v>
      </c>
      <c r="FJ26" s="164">
        <f t="shared" si="52"/>
        <v>0</v>
      </c>
      <c r="FK26" s="120" t="s">
        <v>47</v>
      </c>
      <c r="FL26" s="120" t="s">
        <v>47</v>
      </c>
      <c r="FM26" s="120" t="s">
        <v>47</v>
      </c>
      <c r="FN26" s="164">
        <f t="shared" ref="FN26" si="53">SUM(FN19:FN25)</f>
        <v>0</v>
      </c>
      <c r="FO26" s="120" t="s">
        <v>47</v>
      </c>
      <c r="FP26" s="120" t="s">
        <v>47</v>
      </c>
      <c r="FQ26" s="120" t="s">
        <v>47</v>
      </c>
      <c r="FR26" s="164">
        <f t="shared" ref="FR26" si="54">SUM(FR19:FR25)</f>
        <v>0</v>
      </c>
      <c r="FS26" s="163">
        <f>SUM(FS19:FS25)</f>
        <v>0</v>
      </c>
      <c r="FT26" s="208" t="s">
        <v>47</v>
      </c>
      <c r="FU26" s="120">
        <f>SUM(FU19:FU25)</f>
        <v>0</v>
      </c>
      <c r="FV26" s="120">
        <f>SUM(FV19:FV25)</f>
        <v>0</v>
      </c>
      <c r="FW26" s="208" t="s">
        <v>47</v>
      </c>
      <c r="FX26" s="164">
        <f>SUM(FX19:FX25)</f>
        <v>0</v>
      </c>
    </row>
    <row r="27" spans="2:180" x14ac:dyDescent="0.2">
      <c r="B27" s="130" t="s">
        <v>80</v>
      </c>
      <c r="C27" s="161">
        <v>0</v>
      </c>
      <c r="D27" s="118">
        <v>0</v>
      </c>
      <c r="E27" s="162">
        <v>120877</v>
      </c>
      <c r="F27" s="161">
        <v>0</v>
      </c>
      <c r="G27" s="118">
        <v>0</v>
      </c>
      <c r="H27" s="118">
        <v>0</v>
      </c>
      <c r="I27" s="118">
        <v>0</v>
      </c>
      <c r="J27" s="162">
        <v>120877</v>
      </c>
      <c r="K27" s="161">
        <v>0</v>
      </c>
      <c r="L27" s="118">
        <v>0</v>
      </c>
      <c r="M27" s="118">
        <v>0</v>
      </c>
      <c r="N27" s="118">
        <v>0</v>
      </c>
      <c r="O27" s="118">
        <v>0</v>
      </c>
      <c r="P27" s="162">
        <v>120877</v>
      </c>
      <c r="Q27" s="161">
        <v>0</v>
      </c>
      <c r="R27" s="118">
        <v>0</v>
      </c>
      <c r="S27" s="118">
        <v>0</v>
      </c>
      <c r="T27" s="118">
        <v>0</v>
      </c>
      <c r="U27" s="118">
        <v>0</v>
      </c>
      <c r="V27" s="162">
        <v>120877</v>
      </c>
      <c r="W27" s="177">
        <v>0</v>
      </c>
      <c r="X27" s="118">
        <v>0</v>
      </c>
      <c r="Y27" s="118">
        <v>0</v>
      </c>
      <c r="Z27" s="162">
        <v>120877</v>
      </c>
      <c r="AA27" s="161">
        <v>0</v>
      </c>
      <c r="AB27" s="118">
        <v>0</v>
      </c>
      <c r="AC27" s="118">
        <v>0</v>
      </c>
      <c r="AD27" s="162">
        <v>120877</v>
      </c>
      <c r="AE27" s="161">
        <v>0</v>
      </c>
      <c r="AF27" s="118">
        <v>0</v>
      </c>
      <c r="AG27" s="118">
        <v>0</v>
      </c>
      <c r="AH27" s="162">
        <v>120877</v>
      </c>
      <c r="AI27" s="161">
        <v>0</v>
      </c>
      <c r="AJ27" s="118">
        <v>0</v>
      </c>
      <c r="AK27" s="118">
        <v>0</v>
      </c>
      <c r="AL27" s="162">
        <v>120877</v>
      </c>
      <c r="AM27" s="161">
        <v>0</v>
      </c>
      <c r="AN27" s="118">
        <v>0</v>
      </c>
      <c r="AO27" s="118">
        <v>0</v>
      </c>
      <c r="AP27" s="162">
        <f t="shared" ref="AP27:AP34" si="55">SUM(AL27:AO27)</f>
        <v>120877</v>
      </c>
      <c r="AQ27" s="161">
        <v>0</v>
      </c>
      <c r="AR27" s="118">
        <v>0</v>
      </c>
      <c r="AS27" s="118">
        <v>0</v>
      </c>
      <c r="AT27" s="162">
        <f t="shared" ref="AT27:AT34" si="56">SUM(AP27:AS27)</f>
        <v>120877</v>
      </c>
      <c r="AU27" s="161">
        <v>0</v>
      </c>
      <c r="AV27" s="118">
        <v>0</v>
      </c>
      <c r="AW27" s="118">
        <v>0</v>
      </c>
      <c r="AX27" s="162">
        <f t="shared" ref="AX27:AX34" si="57">SUM(AT27:AW27)</f>
        <v>120877</v>
      </c>
      <c r="AY27" s="118">
        <v>0</v>
      </c>
      <c r="AZ27" s="118">
        <v>0</v>
      </c>
      <c r="BA27" s="118">
        <v>0</v>
      </c>
      <c r="BB27" s="118">
        <v>120877</v>
      </c>
      <c r="BC27" s="161">
        <v>0</v>
      </c>
      <c r="BD27" s="118">
        <v>0</v>
      </c>
      <c r="BE27" s="162">
        <v>120877</v>
      </c>
      <c r="BF27" s="118">
        <v>0</v>
      </c>
      <c r="BG27" s="118">
        <v>0</v>
      </c>
      <c r="BH27" s="118">
        <v>0</v>
      </c>
      <c r="BI27" s="118">
        <v>120877</v>
      </c>
      <c r="BJ27" s="161">
        <v>0</v>
      </c>
      <c r="BK27" s="118">
        <v>0</v>
      </c>
      <c r="BL27" s="118">
        <v>0</v>
      </c>
      <c r="BM27" s="214">
        <f>SUM(BI27:BL27)</f>
        <v>120877</v>
      </c>
      <c r="BN27" s="161">
        <v>0</v>
      </c>
      <c r="BO27" s="118">
        <v>0</v>
      </c>
      <c r="BP27" s="118">
        <v>0</v>
      </c>
      <c r="BQ27" s="214">
        <f>SUM(BJ27:BP27)</f>
        <v>120877</v>
      </c>
      <c r="BR27" s="161">
        <v>0</v>
      </c>
      <c r="BS27" s="118">
        <v>0</v>
      </c>
      <c r="BT27" s="118">
        <v>0</v>
      </c>
      <c r="BU27" s="214">
        <f>SUM(BQ27:BT27)</f>
        <v>120877</v>
      </c>
      <c r="BV27" s="161">
        <v>0</v>
      </c>
      <c r="BW27" s="118">
        <v>0</v>
      </c>
      <c r="BX27" s="118">
        <v>0</v>
      </c>
      <c r="BY27" s="214">
        <f>SUM(BU27:BX27)</f>
        <v>120877</v>
      </c>
      <c r="BZ27" s="161">
        <v>0</v>
      </c>
      <c r="CA27" s="118">
        <v>0</v>
      </c>
      <c r="CB27" s="118">
        <v>0</v>
      </c>
      <c r="CC27" s="214">
        <f>SUM(BY27:CB27)</f>
        <v>120877</v>
      </c>
      <c r="CD27" s="161">
        <v>0</v>
      </c>
      <c r="CE27" s="118">
        <v>0</v>
      </c>
      <c r="CF27" s="118">
        <v>0</v>
      </c>
      <c r="CG27" s="214">
        <f>SUM(CC27:CF27)</f>
        <v>120877</v>
      </c>
      <c r="CH27" s="212">
        <v>0</v>
      </c>
      <c r="CI27" s="212">
        <v>0</v>
      </c>
      <c r="CJ27" s="214">
        <f>SUM(CG27:CI27)</f>
        <v>120877</v>
      </c>
      <c r="CK27" s="161">
        <v>0</v>
      </c>
      <c r="CL27" s="118">
        <v>0</v>
      </c>
      <c r="CM27" s="214">
        <f>SUM(CJ27:CL27)</f>
        <v>120877</v>
      </c>
      <c r="CN27" s="161">
        <v>0</v>
      </c>
      <c r="CO27" s="118">
        <v>0</v>
      </c>
      <c r="CP27" s="214">
        <v>120877</v>
      </c>
      <c r="CQ27" s="161">
        <v>0</v>
      </c>
      <c r="CR27" s="118">
        <v>0</v>
      </c>
      <c r="CS27" s="118">
        <v>0</v>
      </c>
      <c r="CT27" s="214">
        <v>120877</v>
      </c>
      <c r="CU27" s="161">
        <v>0</v>
      </c>
      <c r="CV27" s="118">
        <v>0</v>
      </c>
      <c r="CW27" s="118">
        <v>0</v>
      </c>
      <c r="CX27" s="214">
        <v>120877</v>
      </c>
      <c r="CY27" s="161">
        <v>0</v>
      </c>
      <c r="CZ27" s="118">
        <v>0</v>
      </c>
      <c r="DA27" s="118">
        <v>0</v>
      </c>
      <c r="DB27" s="214">
        <f>SUM(CX27:CZ27)</f>
        <v>120877</v>
      </c>
      <c r="DC27" s="161">
        <v>0</v>
      </c>
      <c r="DD27" s="118">
        <v>0</v>
      </c>
      <c r="DE27" s="118">
        <v>0</v>
      </c>
      <c r="DF27" s="214">
        <f>SUM(DB27:DD27)</f>
        <v>120877</v>
      </c>
      <c r="DG27" s="161">
        <v>0</v>
      </c>
      <c r="DH27" s="118">
        <v>0</v>
      </c>
      <c r="DI27" s="118">
        <v>0</v>
      </c>
      <c r="DJ27" s="214">
        <f>SUM(DF27:DH27)</f>
        <v>120877</v>
      </c>
      <c r="DK27" s="161">
        <v>0</v>
      </c>
      <c r="DL27" s="118">
        <v>0</v>
      </c>
      <c r="DM27" s="118">
        <v>0</v>
      </c>
      <c r="DN27" s="214">
        <f>SUM(DJ27:DL27)</f>
        <v>120877</v>
      </c>
      <c r="DO27" s="161">
        <v>0</v>
      </c>
      <c r="DP27" s="118">
        <v>0</v>
      </c>
      <c r="DQ27" s="118">
        <v>0</v>
      </c>
      <c r="DR27" s="214">
        <f>SUM(DN27:DP27)</f>
        <v>120877</v>
      </c>
      <c r="DS27" s="161">
        <v>0</v>
      </c>
      <c r="DT27" s="118">
        <v>0</v>
      </c>
      <c r="DU27" s="118">
        <v>0</v>
      </c>
      <c r="DV27" s="214">
        <v>120877</v>
      </c>
      <c r="DW27" s="161">
        <v>0</v>
      </c>
      <c r="DX27" s="118">
        <v>0</v>
      </c>
      <c r="DY27" s="118">
        <v>0</v>
      </c>
      <c r="DZ27" s="214">
        <f>SUM(DV27:DX27)</f>
        <v>120877</v>
      </c>
      <c r="EA27" s="161">
        <v>0</v>
      </c>
      <c r="EB27" s="118">
        <v>0</v>
      </c>
      <c r="EC27" s="118">
        <v>0</v>
      </c>
      <c r="ED27" s="214">
        <f>SUM(DZ27:EC27)</f>
        <v>120877</v>
      </c>
      <c r="EE27" s="161">
        <v>0</v>
      </c>
      <c r="EF27" s="118">
        <v>0</v>
      </c>
      <c r="EG27" s="118">
        <v>-1</v>
      </c>
      <c r="EH27" s="214">
        <f>SUM(ED27:EG27)</f>
        <v>120876</v>
      </c>
      <c r="EI27" s="161">
        <v>0</v>
      </c>
      <c r="EJ27" s="118">
        <v>0</v>
      </c>
      <c r="EK27" s="118">
        <v>1</v>
      </c>
      <c r="EL27" s="214">
        <f>SUM(EH27:EK27)</f>
        <v>120877</v>
      </c>
      <c r="EM27" s="161">
        <v>0</v>
      </c>
      <c r="EN27" s="118">
        <v>0</v>
      </c>
      <c r="EO27" s="118">
        <v>0</v>
      </c>
      <c r="EP27" s="214">
        <f>SUM(EL27:EO27)</f>
        <v>120877</v>
      </c>
      <c r="EQ27" s="161">
        <v>0</v>
      </c>
      <c r="ER27" s="118">
        <v>0</v>
      </c>
      <c r="ES27" s="118">
        <v>0</v>
      </c>
      <c r="ET27" s="214">
        <f>SUM(EP27:ES27)</f>
        <v>120877</v>
      </c>
      <c r="EU27" s="161">
        <v>0</v>
      </c>
      <c r="EV27" s="118">
        <v>0</v>
      </c>
      <c r="EW27" s="118">
        <v>0</v>
      </c>
      <c r="EX27" s="214">
        <f>SUM(ET27:EW27)</f>
        <v>120877</v>
      </c>
      <c r="EY27" s="161">
        <v>0</v>
      </c>
      <c r="EZ27" s="118">
        <v>0</v>
      </c>
      <c r="FA27" s="118">
        <v>0</v>
      </c>
      <c r="FB27" s="214">
        <f>SUM(EX27:FA27)</f>
        <v>120877</v>
      </c>
      <c r="FC27" s="161">
        <v>0</v>
      </c>
      <c r="FD27" s="118">
        <v>0</v>
      </c>
      <c r="FE27" s="118">
        <v>0</v>
      </c>
      <c r="FF27" s="214">
        <f>SUM(FB27:FE27)</f>
        <v>120877</v>
      </c>
      <c r="FG27" s="161">
        <v>0</v>
      </c>
      <c r="FH27" s="118">
        <v>0</v>
      </c>
      <c r="FI27" s="118">
        <v>0</v>
      </c>
      <c r="FJ27" s="214">
        <f>SUM(FF27:FI27)</f>
        <v>120877</v>
      </c>
      <c r="FK27" s="212" t="s">
        <v>47</v>
      </c>
      <c r="FL27" s="212" t="s">
        <v>47</v>
      </c>
      <c r="FM27" s="212" t="s">
        <v>47</v>
      </c>
      <c r="FN27" s="214">
        <f>SUM(FJ27:FM27)</f>
        <v>120877</v>
      </c>
      <c r="FO27" s="212" t="s">
        <v>47</v>
      </c>
      <c r="FP27" s="212" t="s">
        <v>47</v>
      </c>
      <c r="FQ27" s="212" t="s">
        <v>47</v>
      </c>
      <c r="FR27" s="214">
        <f>SUM(FN27:FQ27)</f>
        <v>120877</v>
      </c>
      <c r="FS27" s="161">
        <v>0</v>
      </c>
      <c r="FT27" s="118" t="s">
        <v>47</v>
      </c>
      <c r="FU27" s="118">
        <v>0</v>
      </c>
      <c r="FV27" s="118">
        <v>0</v>
      </c>
      <c r="FW27" s="118" t="s">
        <v>47</v>
      </c>
      <c r="FX27" s="214">
        <f t="shared" ref="FX27:FX36" si="58">SUM(FR27:FV27)</f>
        <v>120877</v>
      </c>
    </row>
    <row r="28" spans="2:180" x14ac:dyDescent="0.2">
      <c r="B28" s="130" t="s">
        <v>81</v>
      </c>
      <c r="C28" s="161">
        <v>0</v>
      </c>
      <c r="D28" s="118">
        <v>0</v>
      </c>
      <c r="E28" s="162">
        <v>32791</v>
      </c>
      <c r="F28" s="161">
        <v>0</v>
      </c>
      <c r="G28" s="118">
        <v>0</v>
      </c>
      <c r="H28" s="118">
        <v>0</v>
      </c>
      <c r="I28" s="118">
        <v>0</v>
      </c>
      <c r="J28" s="162">
        <v>32791</v>
      </c>
      <c r="K28" s="161">
        <v>0</v>
      </c>
      <c r="L28" s="118">
        <v>0</v>
      </c>
      <c r="M28" s="118">
        <v>0</v>
      </c>
      <c r="N28" s="118">
        <v>0</v>
      </c>
      <c r="O28" s="118">
        <v>0</v>
      </c>
      <c r="P28" s="162">
        <v>32791</v>
      </c>
      <c r="Q28" s="161">
        <v>0</v>
      </c>
      <c r="R28" s="118">
        <v>0</v>
      </c>
      <c r="S28" s="118">
        <v>0</v>
      </c>
      <c r="T28" s="118">
        <v>0</v>
      </c>
      <c r="U28" s="118">
        <v>0</v>
      </c>
      <c r="V28" s="162">
        <v>32791</v>
      </c>
      <c r="W28" s="177">
        <v>0</v>
      </c>
      <c r="X28" s="118">
        <v>0</v>
      </c>
      <c r="Y28" s="118">
        <v>0</v>
      </c>
      <c r="Z28" s="162">
        <v>32791</v>
      </c>
      <c r="AA28" s="161">
        <v>0</v>
      </c>
      <c r="AB28" s="118">
        <v>0</v>
      </c>
      <c r="AC28" s="118">
        <v>0</v>
      </c>
      <c r="AD28" s="162">
        <v>32791</v>
      </c>
      <c r="AE28" s="161">
        <v>0</v>
      </c>
      <c r="AF28" s="118">
        <v>0</v>
      </c>
      <c r="AG28" s="118">
        <v>0</v>
      </c>
      <c r="AH28" s="162">
        <v>32791</v>
      </c>
      <c r="AI28" s="161">
        <v>0</v>
      </c>
      <c r="AJ28" s="118">
        <v>0</v>
      </c>
      <c r="AK28" s="118">
        <v>0</v>
      </c>
      <c r="AL28" s="162">
        <v>32791</v>
      </c>
      <c r="AM28" s="161">
        <v>0</v>
      </c>
      <c r="AN28" s="118">
        <v>0</v>
      </c>
      <c r="AO28" s="118">
        <v>0</v>
      </c>
      <c r="AP28" s="162">
        <f t="shared" si="55"/>
        <v>32791</v>
      </c>
      <c r="AQ28" s="161">
        <v>0</v>
      </c>
      <c r="AR28" s="118">
        <v>0</v>
      </c>
      <c r="AS28" s="118">
        <v>0</v>
      </c>
      <c r="AT28" s="162">
        <f t="shared" si="56"/>
        <v>32791</v>
      </c>
      <c r="AU28" s="161">
        <v>0</v>
      </c>
      <c r="AV28" s="118">
        <v>0</v>
      </c>
      <c r="AW28" s="118">
        <v>0</v>
      </c>
      <c r="AX28" s="162">
        <f t="shared" si="57"/>
        <v>32791</v>
      </c>
      <c r="AY28" s="118">
        <v>0</v>
      </c>
      <c r="AZ28" s="118">
        <v>0</v>
      </c>
      <c r="BA28" s="118">
        <v>0</v>
      </c>
      <c r="BB28" s="118">
        <v>32791</v>
      </c>
      <c r="BC28" s="161">
        <v>0</v>
      </c>
      <c r="BD28" s="118">
        <v>0</v>
      </c>
      <c r="BE28" s="162">
        <v>32791</v>
      </c>
      <c r="BF28" s="118">
        <v>0</v>
      </c>
      <c r="BG28" s="118">
        <v>0</v>
      </c>
      <c r="BH28" s="118">
        <v>0</v>
      </c>
      <c r="BI28" s="118">
        <v>32791</v>
      </c>
      <c r="BJ28" s="161">
        <v>0</v>
      </c>
      <c r="BK28" s="118">
        <v>0</v>
      </c>
      <c r="BL28" s="118">
        <v>0</v>
      </c>
      <c r="BM28" s="214">
        <f t="shared" ref="BM28:BM34" si="59">SUM(BI28:BL28)</f>
        <v>32791</v>
      </c>
      <c r="BN28" s="161">
        <v>0</v>
      </c>
      <c r="BO28" s="118">
        <v>0</v>
      </c>
      <c r="BP28" s="118">
        <v>0</v>
      </c>
      <c r="BQ28" s="214">
        <f t="shared" ref="BQ28:BQ34" si="60">SUM(BJ28:BP28)</f>
        <v>32791</v>
      </c>
      <c r="BR28" s="161">
        <v>0</v>
      </c>
      <c r="BS28" s="118">
        <v>0</v>
      </c>
      <c r="BT28" s="118">
        <v>0</v>
      </c>
      <c r="BU28" s="214">
        <f t="shared" ref="BU28:BU35" si="61">SUM(BQ28:BT28)</f>
        <v>32791</v>
      </c>
      <c r="BV28" s="161">
        <v>0</v>
      </c>
      <c r="BW28" s="118">
        <v>0</v>
      </c>
      <c r="BX28" s="118">
        <v>0</v>
      </c>
      <c r="BY28" s="214">
        <f t="shared" ref="BY28:BY35" si="62">SUM(BU28:BX28)</f>
        <v>32791</v>
      </c>
      <c r="BZ28" s="161">
        <v>0</v>
      </c>
      <c r="CA28" s="118">
        <v>0</v>
      </c>
      <c r="CB28" s="118">
        <v>0</v>
      </c>
      <c r="CC28" s="214">
        <f>SUM(BY28:CB28)</f>
        <v>32791</v>
      </c>
      <c r="CD28" s="161">
        <v>0</v>
      </c>
      <c r="CE28" s="118">
        <v>0</v>
      </c>
      <c r="CF28" s="118">
        <v>0</v>
      </c>
      <c r="CG28" s="214">
        <f>SUM(CC28:CF28)</f>
        <v>32791</v>
      </c>
      <c r="CH28" s="212">
        <v>0</v>
      </c>
      <c r="CI28" s="212">
        <v>0</v>
      </c>
      <c r="CJ28" s="214">
        <f>SUM(CG28:CI28)</f>
        <v>32791</v>
      </c>
      <c r="CK28" s="161">
        <v>0</v>
      </c>
      <c r="CL28" s="118">
        <v>0</v>
      </c>
      <c r="CM28" s="214">
        <f>SUM(CJ28:CL28)</f>
        <v>32791</v>
      </c>
      <c r="CN28" s="161">
        <v>0</v>
      </c>
      <c r="CO28" s="118">
        <v>0</v>
      </c>
      <c r="CP28" s="214">
        <v>32791</v>
      </c>
      <c r="CQ28" s="161">
        <v>0</v>
      </c>
      <c r="CR28" s="118">
        <v>0</v>
      </c>
      <c r="CS28" s="118">
        <v>0</v>
      </c>
      <c r="CT28" s="214">
        <v>32791</v>
      </c>
      <c r="CU28" s="161">
        <v>0</v>
      </c>
      <c r="CV28" s="118">
        <v>0</v>
      </c>
      <c r="CW28" s="118">
        <v>0</v>
      </c>
      <c r="CX28" s="214">
        <v>32791</v>
      </c>
      <c r="CY28" s="161">
        <v>0</v>
      </c>
      <c r="CZ28" s="118">
        <v>0</v>
      </c>
      <c r="DA28" s="118">
        <v>0</v>
      </c>
      <c r="DB28" s="214">
        <f>SUM(CX28:CZ28)</f>
        <v>32791</v>
      </c>
      <c r="DC28" s="161">
        <v>0</v>
      </c>
      <c r="DD28" s="118">
        <v>0</v>
      </c>
      <c r="DE28" s="118">
        <v>0</v>
      </c>
      <c r="DF28" s="214">
        <f>SUM(DB28:DD28)</f>
        <v>32791</v>
      </c>
      <c r="DG28" s="161">
        <v>0</v>
      </c>
      <c r="DH28" s="118">
        <v>0</v>
      </c>
      <c r="DI28" s="118">
        <v>0</v>
      </c>
      <c r="DJ28" s="214">
        <f>SUM(DF28:DH28)</f>
        <v>32791</v>
      </c>
      <c r="DK28" s="161">
        <v>0</v>
      </c>
      <c r="DL28" s="118">
        <v>0</v>
      </c>
      <c r="DM28" s="118">
        <v>0</v>
      </c>
      <c r="DN28" s="214">
        <f>SUM(DJ28:DL28)</f>
        <v>32791</v>
      </c>
      <c r="DO28" s="161">
        <v>0</v>
      </c>
      <c r="DP28" s="118">
        <v>0</v>
      </c>
      <c r="DQ28" s="118">
        <v>0</v>
      </c>
      <c r="DR28" s="214">
        <f>SUM(DN28:DP28)</f>
        <v>32791</v>
      </c>
      <c r="DS28" s="161">
        <v>0</v>
      </c>
      <c r="DT28" s="118">
        <v>0</v>
      </c>
      <c r="DU28" s="118">
        <v>0</v>
      </c>
      <c r="DV28" s="214">
        <v>32791</v>
      </c>
      <c r="DW28" s="161">
        <v>0</v>
      </c>
      <c r="DX28" s="118">
        <v>0</v>
      </c>
      <c r="DY28" s="118">
        <v>0</v>
      </c>
      <c r="DZ28" s="214">
        <f>SUM(DV28:DX28)</f>
        <v>32791</v>
      </c>
      <c r="EA28" s="161">
        <v>0</v>
      </c>
      <c r="EB28" s="118">
        <v>0</v>
      </c>
      <c r="EC28" s="118">
        <v>0</v>
      </c>
      <c r="ED28" s="214">
        <f>SUM(DZ28:EC28)</f>
        <v>32791</v>
      </c>
      <c r="EE28" s="161">
        <v>0</v>
      </c>
      <c r="EF28" s="118">
        <v>0</v>
      </c>
      <c r="EG28" s="118">
        <v>0</v>
      </c>
      <c r="EH28" s="214">
        <f>SUM(ED28:EG28)</f>
        <v>32791</v>
      </c>
      <c r="EI28" s="161">
        <v>0</v>
      </c>
      <c r="EJ28" s="118">
        <v>0</v>
      </c>
      <c r="EK28" s="118">
        <v>0</v>
      </c>
      <c r="EL28" s="214">
        <f>SUM(EH28:EK28)</f>
        <v>32791</v>
      </c>
      <c r="EM28" s="161">
        <v>0</v>
      </c>
      <c r="EN28" s="118">
        <v>0</v>
      </c>
      <c r="EO28" s="118">
        <v>0</v>
      </c>
      <c r="EP28" s="214">
        <f>SUM(EL28:EO28)</f>
        <v>32791</v>
      </c>
      <c r="EQ28" s="161">
        <v>0</v>
      </c>
      <c r="ER28" s="118">
        <v>0</v>
      </c>
      <c r="ES28" s="118">
        <v>0</v>
      </c>
      <c r="ET28" s="214">
        <f>SUM(EP28:ES28)</f>
        <v>32791</v>
      </c>
      <c r="EU28" s="161">
        <v>0</v>
      </c>
      <c r="EV28" s="118">
        <v>0</v>
      </c>
      <c r="EW28" s="118">
        <v>0</v>
      </c>
      <c r="EX28" s="214">
        <f>SUM(ET28:EW28)</f>
        <v>32791</v>
      </c>
      <c r="EY28" s="161">
        <v>0</v>
      </c>
      <c r="EZ28" s="118">
        <v>0</v>
      </c>
      <c r="FA28" s="118">
        <v>0</v>
      </c>
      <c r="FB28" s="214">
        <f>SUM(EX28:FA28)</f>
        <v>32791</v>
      </c>
      <c r="FC28" s="161">
        <v>0</v>
      </c>
      <c r="FD28" s="118">
        <v>0</v>
      </c>
      <c r="FE28" s="118">
        <v>0</v>
      </c>
      <c r="FF28" s="214">
        <f>SUM(FB28:FE28)</f>
        <v>32791</v>
      </c>
      <c r="FG28" s="161">
        <v>0</v>
      </c>
      <c r="FH28" s="118">
        <v>0</v>
      </c>
      <c r="FI28" s="118">
        <v>0</v>
      </c>
      <c r="FJ28" s="214">
        <f>SUM(FF28:FI28)</f>
        <v>32791</v>
      </c>
      <c r="FK28" s="212" t="s">
        <v>47</v>
      </c>
      <c r="FL28" s="212" t="s">
        <v>47</v>
      </c>
      <c r="FM28" s="212" t="s">
        <v>47</v>
      </c>
      <c r="FN28" s="214">
        <f>SUM(FJ28:FM28)</f>
        <v>32791</v>
      </c>
      <c r="FO28" s="212" t="s">
        <v>47</v>
      </c>
      <c r="FP28" s="212" t="s">
        <v>47</v>
      </c>
      <c r="FQ28" s="212" t="s">
        <v>47</v>
      </c>
      <c r="FR28" s="214">
        <f>SUM(FN28:FQ28)</f>
        <v>32791</v>
      </c>
      <c r="FS28" s="161">
        <v>0</v>
      </c>
      <c r="FT28" s="118" t="s">
        <v>47</v>
      </c>
      <c r="FU28" s="118">
        <v>0</v>
      </c>
      <c r="FV28" s="118">
        <v>0</v>
      </c>
      <c r="FW28" s="118" t="s">
        <v>47</v>
      </c>
      <c r="FX28" s="214">
        <f t="shared" si="58"/>
        <v>32791</v>
      </c>
    </row>
    <row r="29" spans="2:180" s="233" customFormat="1" hidden="1" outlineLevel="1" x14ac:dyDescent="0.2">
      <c r="B29" s="250" t="s">
        <v>74</v>
      </c>
      <c r="C29" s="220">
        <v>0</v>
      </c>
      <c r="D29" s="219">
        <v>0</v>
      </c>
      <c r="E29" s="771">
        <v>59536</v>
      </c>
      <c r="F29" s="220">
        <v>0</v>
      </c>
      <c r="G29" s="219">
        <v>0</v>
      </c>
      <c r="H29" s="219">
        <v>0</v>
      </c>
      <c r="I29" s="219">
        <v>-59536</v>
      </c>
      <c r="J29" s="771">
        <v>0</v>
      </c>
      <c r="K29" s="220">
        <v>0</v>
      </c>
      <c r="L29" s="219">
        <v>0</v>
      </c>
      <c r="M29" s="219">
        <v>0</v>
      </c>
      <c r="N29" s="219">
        <v>655</v>
      </c>
      <c r="O29" s="219">
        <v>-655</v>
      </c>
      <c r="P29" s="771">
        <v>0</v>
      </c>
      <c r="Q29" s="220">
        <v>0</v>
      </c>
      <c r="R29" s="219">
        <v>0</v>
      </c>
      <c r="S29" s="219">
        <v>0</v>
      </c>
      <c r="T29" s="219">
        <v>0</v>
      </c>
      <c r="U29" s="219">
        <v>0</v>
      </c>
      <c r="V29" s="771">
        <v>0</v>
      </c>
      <c r="W29" s="772">
        <v>0</v>
      </c>
      <c r="X29" s="219">
        <v>0</v>
      </c>
      <c r="Y29" s="219">
        <v>0</v>
      </c>
      <c r="Z29" s="771">
        <v>0</v>
      </c>
      <c r="AA29" s="220">
        <v>0</v>
      </c>
      <c r="AB29" s="219">
        <v>0</v>
      </c>
      <c r="AC29" s="219">
        <v>0</v>
      </c>
      <c r="AD29" s="771">
        <v>0</v>
      </c>
      <c r="AE29" s="220">
        <v>0</v>
      </c>
      <c r="AF29" s="219">
        <v>0</v>
      </c>
      <c r="AG29" s="219">
        <v>0</v>
      </c>
      <c r="AH29" s="771">
        <v>0</v>
      </c>
      <c r="AI29" s="220">
        <v>0</v>
      </c>
      <c r="AJ29" s="219">
        <v>0</v>
      </c>
      <c r="AK29" s="219">
        <v>0</v>
      </c>
      <c r="AL29" s="771">
        <v>0</v>
      </c>
      <c r="AM29" s="220">
        <v>0</v>
      </c>
      <c r="AN29" s="219">
        <v>0</v>
      </c>
      <c r="AO29" s="219">
        <v>0</v>
      </c>
      <c r="AP29" s="771">
        <f t="shared" si="55"/>
        <v>0</v>
      </c>
      <c r="AQ29" s="220">
        <v>0</v>
      </c>
      <c r="AR29" s="219">
        <v>0</v>
      </c>
      <c r="AS29" s="219">
        <v>0</v>
      </c>
      <c r="AT29" s="771">
        <f t="shared" si="56"/>
        <v>0</v>
      </c>
      <c r="AU29" s="220">
        <v>0</v>
      </c>
      <c r="AV29" s="219">
        <v>0</v>
      </c>
      <c r="AW29" s="219">
        <v>0</v>
      </c>
      <c r="AX29" s="771">
        <f t="shared" si="57"/>
        <v>0</v>
      </c>
      <c r="AY29" s="219">
        <v>0</v>
      </c>
      <c r="AZ29" s="219">
        <v>0</v>
      </c>
      <c r="BA29" s="219">
        <v>0</v>
      </c>
      <c r="BB29" s="219">
        <v>0</v>
      </c>
      <c r="BC29" s="220">
        <v>0</v>
      </c>
      <c r="BD29" s="219">
        <v>0</v>
      </c>
      <c r="BE29" s="771">
        <v>0</v>
      </c>
      <c r="BF29" s="219">
        <v>0</v>
      </c>
      <c r="BG29" s="219">
        <v>0</v>
      </c>
      <c r="BH29" s="219">
        <v>0</v>
      </c>
      <c r="BI29" s="219">
        <v>0</v>
      </c>
      <c r="BJ29" s="220">
        <v>0</v>
      </c>
      <c r="BK29" s="219">
        <v>0</v>
      </c>
      <c r="BL29" s="219">
        <v>0</v>
      </c>
      <c r="BM29" s="773">
        <f t="shared" si="59"/>
        <v>0</v>
      </c>
      <c r="BN29" s="220">
        <v>0</v>
      </c>
      <c r="BO29" s="219">
        <v>0</v>
      </c>
      <c r="BP29" s="219">
        <v>0</v>
      </c>
      <c r="BQ29" s="773">
        <f t="shared" si="60"/>
        <v>0</v>
      </c>
      <c r="BR29" s="220">
        <v>0</v>
      </c>
      <c r="BS29" s="219">
        <v>0</v>
      </c>
      <c r="BT29" s="219">
        <v>0</v>
      </c>
      <c r="BU29" s="773">
        <f t="shared" si="61"/>
        <v>0</v>
      </c>
      <c r="BV29" s="220">
        <v>0</v>
      </c>
      <c r="BW29" s="219">
        <v>0</v>
      </c>
      <c r="BX29" s="219">
        <v>0</v>
      </c>
      <c r="BY29" s="773">
        <f t="shared" si="62"/>
        <v>0</v>
      </c>
      <c r="BZ29" s="220">
        <v>0</v>
      </c>
      <c r="CA29" s="219">
        <v>0</v>
      </c>
      <c r="CB29" s="219">
        <v>0</v>
      </c>
      <c r="CC29" s="773">
        <f t="shared" ref="CC29:CC35" si="63">SUM(BY29:CB29)</f>
        <v>0</v>
      </c>
      <c r="CD29" s="220">
        <v>0</v>
      </c>
      <c r="CE29" s="219">
        <v>0</v>
      </c>
      <c r="CF29" s="219">
        <v>0</v>
      </c>
      <c r="CG29" s="773">
        <f>SUM(CC29:CF29)</f>
        <v>0</v>
      </c>
      <c r="CH29" s="774">
        <v>0</v>
      </c>
      <c r="CI29" s="774">
        <v>0</v>
      </c>
      <c r="CJ29" s="773">
        <f>SUM(CG29:CI29)</f>
        <v>0</v>
      </c>
      <c r="CK29" s="220">
        <v>0</v>
      </c>
      <c r="CL29" s="219">
        <v>0</v>
      </c>
      <c r="CM29" s="773">
        <f>SUM(CJ29:CL29)</f>
        <v>0</v>
      </c>
      <c r="CN29" s="220">
        <v>0</v>
      </c>
      <c r="CO29" s="219">
        <v>0</v>
      </c>
      <c r="CP29" s="773">
        <v>0</v>
      </c>
      <c r="CQ29" s="220">
        <v>0</v>
      </c>
      <c r="CR29" s="219">
        <v>0</v>
      </c>
      <c r="CS29" s="219">
        <v>0</v>
      </c>
      <c r="CT29" s="773">
        <v>0</v>
      </c>
      <c r="CU29" s="220">
        <v>0</v>
      </c>
      <c r="CV29" s="219">
        <v>0</v>
      </c>
      <c r="CW29" s="219">
        <v>0</v>
      </c>
      <c r="CX29" s="773">
        <v>0</v>
      </c>
      <c r="CY29" s="220">
        <v>0</v>
      </c>
      <c r="CZ29" s="219">
        <v>0</v>
      </c>
      <c r="DA29" s="219">
        <v>0</v>
      </c>
      <c r="DB29" s="773">
        <f>SUM(CX29:CZ29)</f>
        <v>0</v>
      </c>
      <c r="DC29" s="220">
        <v>0</v>
      </c>
      <c r="DD29" s="219">
        <v>0</v>
      </c>
      <c r="DE29" s="219">
        <v>0</v>
      </c>
      <c r="DF29" s="773">
        <f>SUM(DB29:DD29)</f>
        <v>0</v>
      </c>
      <c r="DG29" s="220">
        <v>0</v>
      </c>
      <c r="DH29" s="219">
        <v>0</v>
      </c>
      <c r="DI29" s="219">
        <v>0</v>
      </c>
      <c r="DJ29" s="773">
        <f>SUM(DF29:DH29)</f>
        <v>0</v>
      </c>
      <c r="DK29" s="220">
        <v>0</v>
      </c>
      <c r="DL29" s="219">
        <v>0</v>
      </c>
      <c r="DM29" s="219">
        <v>0</v>
      </c>
      <c r="DN29" s="773">
        <f>SUM(DJ29:DL29)</f>
        <v>0</v>
      </c>
      <c r="DO29" s="220">
        <v>0</v>
      </c>
      <c r="DP29" s="219">
        <v>0</v>
      </c>
      <c r="DQ29" s="219">
        <v>0</v>
      </c>
      <c r="DR29" s="773">
        <f>SUM(DN29:DP29)</f>
        <v>0</v>
      </c>
      <c r="DS29" s="220">
        <v>0</v>
      </c>
      <c r="DT29" s="219">
        <v>0</v>
      </c>
      <c r="DU29" s="219">
        <v>0</v>
      </c>
      <c r="DV29" s="773">
        <v>0</v>
      </c>
      <c r="DW29" s="220">
        <v>0</v>
      </c>
      <c r="DX29" s="219">
        <v>0</v>
      </c>
      <c r="DY29" s="219">
        <v>0</v>
      </c>
      <c r="DZ29" s="773">
        <f>SUM(DV29:DX29)</f>
        <v>0</v>
      </c>
      <c r="EA29" s="220">
        <v>0</v>
      </c>
      <c r="EB29" s="219">
        <v>0</v>
      </c>
      <c r="EC29" s="219">
        <v>0</v>
      </c>
      <c r="ED29" s="773">
        <f>SUM(DV29:EB29)</f>
        <v>0</v>
      </c>
      <c r="EE29" s="220">
        <v>0</v>
      </c>
      <c r="EF29" s="219">
        <v>0</v>
      </c>
      <c r="EG29" s="219">
        <v>0</v>
      </c>
      <c r="EH29" s="773">
        <f>SUM(DZ29:EF29)</f>
        <v>0</v>
      </c>
      <c r="EI29" s="220">
        <v>0</v>
      </c>
      <c r="EJ29" s="219">
        <v>0</v>
      </c>
      <c r="EK29" s="219">
        <v>0</v>
      </c>
      <c r="EL29" s="773">
        <f>SUM(ED29:EJ29)</f>
        <v>0</v>
      </c>
      <c r="EM29" s="220">
        <v>0</v>
      </c>
      <c r="EN29" s="219">
        <v>0</v>
      </c>
      <c r="EO29" s="219">
        <v>0</v>
      </c>
      <c r="EP29" s="773">
        <f>SUM(EH29:EN29)</f>
        <v>0</v>
      </c>
      <c r="EQ29" s="220">
        <v>0</v>
      </c>
      <c r="ER29" s="219">
        <v>0</v>
      </c>
      <c r="ES29" s="219">
        <v>0</v>
      </c>
      <c r="ET29" s="773">
        <f>SUM(EL29:ER29)</f>
        <v>0</v>
      </c>
      <c r="EU29" s="220">
        <v>0</v>
      </c>
      <c r="EV29" s="219">
        <v>0</v>
      </c>
      <c r="EW29" s="219">
        <v>0</v>
      </c>
      <c r="EX29" s="773">
        <f>SUM(EP29:EV29)</f>
        <v>0</v>
      </c>
      <c r="EY29" s="220">
        <v>0</v>
      </c>
      <c r="EZ29" s="219">
        <v>0</v>
      </c>
      <c r="FA29" s="219">
        <v>0</v>
      </c>
      <c r="FB29" s="773">
        <f>SUM(ET29:EZ29)</f>
        <v>0</v>
      </c>
      <c r="FC29" s="220">
        <v>0</v>
      </c>
      <c r="FD29" s="219">
        <v>0</v>
      </c>
      <c r="FE29" s="219">
        <v>0</v>
      </c>
      <c r="FF29" s="773">
        <f>SUM(EX29:FD29)</f>
        <v>0</v>
      </c>
      <c r="FG29" s="220">
        <v>0</v>
      </c>
      <c r="FH29" s="219">
        <v>0</v>
      </c>
      <c r="FI29" s="219">
        <v>0</v>
      </c>
      <c r="FJ29" s="773">
        <f>SUM(FB29:FH29)</f>
        <v>0</v>
      </c>
      <c r="FK29" s="774" t="s">
        <v>47</v>
      </c>
      <c r="FL29" s="774" t="s">
        <v>47</v>
      </c>
      <c r="FM29" s="774" t="s">
        <v>47</v>
      </c>
      <c r="FN29" s="773">
        <f>SUM(FF29:FL29)</f>
        <v>0</v>
      </c>
      <c r="FO29" s="774" t="s">
        <v>47</v>
      </c>
      <c r="FP29" s="774" t="s">
        <v>47</v>
      </c>
      <c r="FQ29" s="774" t="s">
        <v>47</v>
      </c>
      <c r="FR29" s="773">
        <f>SUM(FJ29:FP29)</f>
        <v>0</v>
      </c>
      <c r="FS29" s="220">
        <v>0</v>
      </c>
      <c r="FT29" s="118" t="s">
        <v>47</v>
      </c>
      <c r="FU29" s="219">
        <v>0</v>
      </c>
      <c r="FV29" s="219">
        <v>0</v>
      </c>
      <c r="FW29" s="118" t="s">
        <v>47</v>
      </c>
      <c r="FX29" s="773">
        <f t="shared" si="58"/>
        <v>0</v>
      </c>
    </row>
    <row r="30" spans="2:180" s="233" customFormat="1" hidden="1" outlineLevel="1" x14ac:dyDescent="0.2">
      <c r="B30" s="250" t="s">
        <v>75</v>
      </c>
      <c r="C30" s="220">
        <v>0</v>
      </c>
      <c r="D30" s="219">
        <v>0</v>
      </c>
      <c r="E30" s="771">
        <v>11015</v>
      </c>
      <c r="F30" s="220">
        <v>0</v>
      </c>
      <c r="G30" s="219">
        <v>0</v>
      </c>
      <c r="H30" s="219">
        <v>-11015</v>
      </c>
      <c r="I30" s="219">
        <v>0</v>
      </c>
      <c r="J30" s="771">
        <v>0</v>
      </c>
      <c r="K30" s="220">
        <v>0</v>
      </c>
      <c r="L30" s="219">
        <v>0</v>
      </c>
      <c r="M30" s="219">
        <v>0</v>
      </c>
      <c r="N30" s="219">
        <v>0</v>
      </c>
      <c r="O30" s="219">
        <v>0</v>
      </c>
      <c r="P30" s="771">
        <v>0</v>
      </c>
      <c r="Q30" s="220">
        <v>0</v>
      </c>
      <c r="R30" s="219">
        <v>0</v>
      </c>
      <c r="S30" s="219">
        <v>0</v>
      </c>
      <c r="T30" s="219">
        <v>0</v>
      </c>
      <c r="U30" s="219">
        <v>0</v>
      </c>
      <c r="V30" s="771">
        <v>0</v>
      </c>
      <c r="W30" s="772">
        <v>0</v>
      </c>
      <c r="X30" s="219">
        <v>0</v>
      </c>
      <c r="Y30" s="219">
        <v>0</v>
      </c>
      <c r="Z30" s="771">
        <v>0</v>
      </c>
      <c r="AA30" s="220">
        <v>0</v>
      </c>
      <c r="AB30" s="219">
        <v>0</v>
      </c>
      <c r="AC30" s="219">
        <v>0</v>
      </c>
      <c r="AD30" s="771">
        <v>0</v>
      </c>
      <c r="AE30" s="220">
        <v>0</v>
      </c>
      <c r="AF30" s="219">
        <v>0</v>
      </c>
      <c r="AG30" s="219">
        <v>0</v>
      </c>
      <c r="AH30" s="771">
        <v>0</v>
      </c>
      <c r="AI30" s="220">
        <v>0</v>
      </c>
      <c r="AJ30" s="219">
        <v>0</v>
      </c>
      <c r="AK30" s="219">
        <v>0</v>
      </c>
      <c r="AL30" s="771">
        <v>0</v>
      </c>
      <c r="AM30" s="220">
        <v>0</v>
      </c>
      <c r="AN30" s="219">
        <v>0</v>
      </c>
      <c r="AO30" s="219">
        <v>0</v>
      </c>
      <c r="AP30" s="771">
        <f t="shared" si="55"/>
        <v>0</v>
      </c>
      <c r="AQ30" s="220">
        <v>0</v>
      </c>
      <c r="AR30" s="219">
        <v>0</v>
      </c>
      <c r="AS30" s="219">
        <v>0</v>
      </c>
      <c r="AT30" s="771">
        <f t="shared" si="56"/>
        <v>0</v>
      </c>
      <c r="AU30" s="220">
        <v>0</v>
      </c>
      <c r="AV30" s="219">
        <v>0</v>
      </c>
      <c r="AW30" s="219">
        <v>0</v>
      </c>
      <c r="AX30" s="771">
        <f t="shared" si="57"/>
        <v>0</v>
      </c>
      <c r="AY30" s="219">
        <v>0</v>
      </c>
      <c r="AZ30" s="219">
        <v>0</v>
      </c>
      <c r="BA30" s="219">
        <v>0</v>
      </c>
      <c r="BB30" s="219">
        <v>0</v>
      </c>
      <c r="BC30" s="220">
        <v>0</v>
      </c>
      <c r="BD30" s="219">
        <v>0</v>
      </c>
      <c r="BE30" s="771">
        <v>0</v>
      </c>
      <c r="BF30" s="219">
        <v>0</v>
      </c>
      <c r="BG30" s="219">
        <v>0</v>
      </c>
      <c r="BH30" s="219">
        <v>0</v>
      </c>
      <c r="BI30" s="219">
        <v>0</v>
      </c>
      <c r="BJ30" s="220">
        <v>0</v>
      </c>
      <c r="BK30" s="219">
        <v>0</v>
      </c>
      <c r="BL30" s="219">
        <v>0</v>
      </c>
      <c r="BM30" s="773">
        <f t="shared" si="59"/>
        <v>0</v>
      </c>
      <c r="BN30" s="220">
        <v>0</v>
      </c>
      <c r="BO30" s="219">
        <v>0</v>
      </c>
      <c r="BP30" s="219">
        <v>0</v>
      </c>
      <c r="BQ30" s="773">
        <f t="shared" si="60"/>
        <v>0</v>
      </c>
      <c r="BR30" s="220">
        <v>0</v>
      </c>
      <c r="BS30" s="219">
        <v>0</v>
      </c>
      <c r="BT30" s="219">
        <v>0</v>
      </c>
      <c r="BU30" s="773">
        <f t="shared" si="61"/>
        <v>0</v>
      </c>
      <c r="BV30" s="220">
        <v>0</v>
      </c>
      <c r="BW30" s="219">
        <v>0</v>
      </c>
      <c r="BX30" s="219">
        <v>0</v>
      </c>
      <c r="BY30" s="773">
        <f t="shared" si="62"/>
        <v>0</v>
      </c>
      <c r="BZ30" s="220">
        <v>0</v>
      </c>
      <c r="CA30" s="219">
        <v>0</v>
      </c>
      <c r="CB30" s="219">
        <v>0</v>
      </c>
      <c r="CC30" s="773">
        <f t="shared" si="63"/>
        <v>0</v>
      </c>
      <c r="CD30" s="220">
        <v>0</v>
      </c>
      <c r="CE30" s="219">
        <v>0</v>
      </c>
      <c r="CF30" s="219">
        <v>0</v>
      </c>
      <c r="CG30" s="773">
        <f>SUM(CC30:CF30)</f>
        <v>0</v>
      </c>
      <c r="CH30" s="774">
        <v>0</v>
      </c>
      <c r="CI30" s="774">
        <v>0</v>
      </c>
      <c r="CJ30" s="773">
        <f>SUM(CG30:CI30)</f>
        <v>0</v>
      </c>
      <c r="CK30" s="220">
        <v>0</v>
      </c>
      <c r="CL30" s="219">
        <v>0</v>
      </c>
      <c r="CM30" s="773">
        <f>SUM(CJ30:CL30)</f>
        <v>0</v>
      </c>
      <c r="CN30" s="220">
        <v>0</v>
      </c>
      <c r="CO30" s="219">
        <v>0</v>
      </c>
      <c r="CP30" s="773">
        <v>0</v>
      </c>
      <c r="CQ30" s="220">
        <v>0</v>
      </c>
      <c r="CR30" s="219">
        <v>0</v>
      </c>
      <c r="CS30" s="219">
        <v>0</v>
      </c>
      <c r="CT30" s="773">
        <v>0</v>
      </c>
      <c r="CU30" s="220">
        <v>0</v>
      </c>
      <c r="CV30" s="219">
        <v>0</v>
      </c>
      <c r="CW30" s="219">
        <v>0</v>
      </c>
      <c r="CX30" s="773">
        <v>0</v>
      </c>
      <c r="CY30" s="220">
        <v>0</v>
      </c>
      <c r="CZ30" s="219">
        <v>0</v>
      </c>
      <c r="DA30" s="219">
        <v>0</v>
      </c>
      <c r="DB30" s="773">
        <f>SUM(CX30:CZ30)</f>
        <v>0</v>
      </c>
      <c r="DC30" s="220">
        <v>0</v>
      </c>
      <c r="DD30" s="219">
        <v>0</v>
      </c>
      <c r="DE30" s="219">
        <v>0</v>
      </c>
      <c r="DF30" s="773">
        <f>SUM(DB30:DD30)</f>
        <v>0</v>
      </c>
      <c r="DG30" s="220">
        <v>0</v>
      </c>
      <c r="DH30" s="219">
        <v>0</v>
      </c>
      <c r="DI30" s="219">
        <v>0</v>
      </c>
      <c r="DJ30" s="773">
        <f>SUM(DF30:DH30)</f>
        <v>0</v>
      </c>
      <c r="DK30" s="220">
        <v>0</v>
      </c>
      <c r="DL30" s="219">
        <v>0</v>
      </c>
      <c r="DM30" s="219">
        <v>0</v>
      </c>
      <c r="DN30" s="773">
        <f>SUM(DJ30:DL30)</f>
        <v>0</v>
      </c>
      <c r="DO30" s="220">
        <v>0</v>
      </c>
      <c r="DP30" s="219">
        <v>0</v>
      </c>
      <c r="DQ30" s="219">
        <v>0</v>
      </c>
      <c r="DR30" s="773">
        <f>SUM(DN30:DP30)</f>
        <v>0</v>
      </c>
      <c r="DS30" s="220">
        <v>0</v>
      </c>
      <c r="DT30" s="219">
        <v>0</v>
      </c>
      <c r="DU30" s="219">
        <v>0</v>
      </c>
      <c r="DV30" s="773">
        <v>0</v>
      </c>
      <c r="DW30" s="220">
        <v>0</v>
      </c>
      <c r="DX30" s="219">
        <v>0</v>
      </c>
      <c r="DY30" s="219">
        <v>0</v>
      </c>
      <c r="DZ30" s="773">
        <f>SUM(DV30:DX30)</f>
        <v>0</v>
      </c>
      <c r="EA30" s="220">
        <v>0</v>
      </c>
      <c r="EB30" s="219">
        <v>0</v>
      </c>
      <c r="EC30" s="219">
        <v>0</v>
      </c>
      <c r="ED30" s="773">
        <f>SUM(DV30:EB30)</f>
        <v>0</v>
      </c>
      <c r="EE30" s="220">
        <v>0</v>
      </c>
      <c r="EF30" s="219">
        <v>0</v>
      </c>
      <c r="EG30" s="219">
        <v>0</v>
      </c>
      <c r="EH30" s="773">
        <f>SUM(DZ30:EF30)</f>
        <v>0</v>
      </c>
      <c r="EI30" s="220">
        <v>0</v>
      </c>
      <c r="EJ30" s="219">
        <v>0</v>
      </c>
      <c r="EK30" s="219">
        <v>0</v>
      </c>
      <c r="EL30" s="773">
        <f>SUM(ED30:EJ30)</f>
        <v>0</v>
      </c>
      <c r="EM30" s="220">
        <v>0</v>
      </c>
      <c r="EN30" s="219">
        <v>0</v>
      </c>
      <c r="EO30" s="219">
        <v>0</v>
      </c>
      <c r="EP30" s="773">
        <f>SUM(EH30:EN30)</f>
        <v>0</v>
      </c>
      <c r="EQ30" s="220">
        <v>0</v>
      </c>
      <c r="ER30" s="219">
        <v>0</v>
      </c>
      <c r="ES30" s="219">
        <v>0</v>
      </c>
      <c r="ET30" s="773">
        <f>SUM(EL30:ER30)</f>
        <v>0</v>
      </c>
      <c r="EU30" s="220">
        <v>0</v>
      </c>
      <c r="EV30" s="219">
        <v>0</v>
      </c>
      <c r="EW30" s="219">
        <v>0</v>
      </c>
      <c r="EX30" s="773">
        <f>SUM(EP30:EV30)</f>
        <v>0</v>
      </c>
      <c r="EY30" s="220">
        <v>0</v>
      </c>
      <c r="EZ30" s="219">
        <v>0</v>
      </c>
      <c r="FA30" s="219">
        <v>0</v>
      </c>
      <c r="FB30" s="773">
        <f>SUM(ET30:EZ30)</f>
        <v>0</v>
      </c>
      <c r="FC30" s="220">
        <v>0</v>
      </c>
      <c r="FD30" s="219">
        <v>0</v>
      </c>
      <c r="FE30" s="219">
        <v>0</v>
      </c>
      <c r="FF30" s="773">
        <f>SUM(EX30:FD30)</f>
        <v>0</v>
      </c>
      <c r="FG30" s="220">
        <v>0</v>
      </c>
      <c r="FH30" s="219">
        <v>0</v>
      </c>
      <c r="FI30" s="219">
        <v>0</v>
      </c>
      <c r="FJ30" s="773">
        <f>SUM(FB30:FH30)</f>
        <v>0</v>
      </c>
      <c r="FK30" s="774" t="s">
        <v>47</v>
      </c>
      <c r="FL30" s="774" t="s">
        <v>47</v>
      </c>
      <c r="FM30" s="774" t="s">
        <v>47</v>
      </c>
      <c r="FN30" s="773">
        <f>SUM(FF30:FL30)</f>
        <v>0</v>
      </c>
      <c r="FO30" s="774" t="s">
        <v>47</v>
      </c>
      <c r="FP30" s="774" t="s">
        <v>47</v>
      </c>
      <c r="FQ30" s="774" t="s">
        <v>47</v>
      </c>
      <c r="FR30" s="773">
        <f>SUM(FJ30:FP30)</f>
        <v>0</v>
      </c>
      <c r="FS30" s="220">
        <v>0</v>
      </c>
      <c r="FT30" s="118" t="s">
        <v>47</v>
      </c>
      <c r="FU30" s="219">
        <v>0</v>
      </c>
      <c r="FV30" s="219">
        <v>0</v>
      </c>
      <c r="FW30" s="118" t="s">
        <v>47</v>
      </c>
      <c r="FX30" s="773">
        <f t="shared" si="58"/>
        <v>0</v>
      </c>
    </row>
    <row r="31" spans="2:180" s="233" customFormat="1" hidden="1" outlineLevel="1" x14ac:dyDescent="0.2">
      <c r="B31" s="250" t="s">
        <v>78</v>
      </c>
      <c r="C31" s="220">
        <v>0</v>
      </c>
      <c r="D31" s="219">
        <v>0</v>
      </c>
      <c r="E31" s="771">
        <v>1365</v>
      </c>
      <c r="F31" s="220">
        <v>0</v>
      </c>
      <c r="G31" s="219">
        <v>0</v>
      </c>
      <c r="H31" s="219">
        <v>0</v>
      </c>
      <c r="I31" s="219">
        <v>0</v>
      </c>
      <c r="J31" s="771">
        <v>1365</v>
      </c>
      <c r="K31" s="220">
        <v>0</v>
      </c>
      <c r="L31" s="219">
        <v>0</v>
      </c>
      <c r="M31" s="219">
        <v>0</v>
      </c>
      <c r="N31" s="219">
        <v>0</v>
      </c>
      <c r="O31" s="219">
        <v>0</v>
      </c>
      <c r="P31" s="771">
        <v>1365</v>
      </c>
      <c r="Q31" s="220">
        <v>0</v>
      </c>
      <c r="R31" s="219">
        <v>0</v>
      </c>
      <c r="S31" s="219">
        <v>0</v>
      </c>
      <c r="T31" s="219">
        <v>0</v>
      </c>
      <c r="U31" s="219">
        <v>0</v>
      </c>
      <c r="V31" s="771">
        <v>1365</v>
      </c>
      <c r="W31" s="772">
        <v>0</v>
      </c>
      <c r="X31" s="219">
        <v>0</v>
      </c>
      <c r="Y31" s="219">
        <v>0</v>
      </c>
      <c r="Z31" s="771">
        <v>1365</v>
      </c>
      <c r="AA31" s="220">
        <v>0</v>
      </c>
      <c r="AB31" s="219">
        <v>0</v>
      </c>
      <c r="AC31" s="219">
        <v>0</v>
      </c>
      <c r="AD31" s="771">
        <v>1365</v>
      </c>
      <c r="AE31" s="220">
        <v>0</v>
      </c>
      <c r="AF31" s="219">
        <v>0</v>
      </c>
      <c r="AG31" s="219">
        <v>0</v>
      </c>
      <c r="AH31" s="771">
        <v>1365</v>
      </c>
      <c r="AI31" s="220">
        <v>0</v>
      </c>
      <c r="AJ31" s="219">
        <v>0</v>
      </c>
      <c r="AK31" s="219">
        <v>0</v>
      </c>
      <c r="AL31" s="771">
        <v>1365</v>
      </c>
      <c r="AM31" s="220">
        <v>0</v>
      </c>
      <c r="AN31" s="219">
        <v>0</v>
      </c>
      <c r="AO31" s="219">
        <v>0</v>
      </c>
      <c r="AP31" s="771">
        <f>SUM(AL31:AO31)</f>
        <v>1365</v>
      </c>
      <c r="AQ31" s="220">
        <v>0</v>
      </c>
      <c r="AR31" s="219">
        <v>0</v>
      </c>
      <c r="AS31" s="219">
        <v>0</v>
      </c>
      <c r="AT31" s="771">
        <f>SUM(AP31:AS31)</f>
        <v>1365</v>
      </c>
      <c r="AU31" s="220">
        <v>0</v>
      </c>
      <c r="AV31" s="219">
        <v>0</v>
      </c>
      <c r="AW31" s="219">
        <v>0</v>
      </c>
      <c r="AX31" s="771">
        <f>SUM(AT31:AW31)</f>
        <v>1365</v>
      </c>
      <c r="AY31" s="219">
        <v>0</v>
      </c>
      <c r="AZ31" s="219">
        <v>0</v>
      </c>
      <c r="BA31" s="219">
        <v>0</v>
      </c>
      <c r="BB31" s="219">
        <v>1365</v>
      </c>
      <c r="BC31" s="220">
        <v>0</v>
      </c>
      <c r="BD31" s="219">
        <v>0</v>
      </c>
      <c r="BE31" s="771">
        <v>1365</v>
      </c>
      <c r="BF31" s="219">
        <v>0</v>
      </c>
      <c r="BG31" s="219">
        <v>0</v>
      </c>
      <c r="BH31" s="219">
        <v>-1364.59871</v>
      </c>
      <c r="BI31" s="219">
        <v>0.40129000000001724</v>
      </c>
      <c r="BJ31" s="220">
        <v>0</v>
      </c>
      <c r="BK31" s="219">
        <v>0</v>
      </c>
      <c r="BL31" s="219">
        <v>0</v>
      </c>
      <c r="BM31" s="773">
        <f>SUM(BI31:BL31)</f>
        <v>0.40129000000001724</v>
      </c>
      <c r="BN31" s="220">
        <v>0</v>
      </c>
      <c r="BO31" s="219">
        <v>0</v>
      </c>
      <c r="BP31" s="219">
        <v>-0.40129000000001724</v>
      </c>
      <c r="BQ31" s="773">
        <f>SUM(BJ31:BP31)</f>
        <v>0</v>
      </c>
      <c r="BR31" s="220">
        <v>0</v>
      </c>
      <c r="BS31" s="219">
        <v>0</v>
      </c>
      <c r="BT31" s="219"/>
      <c r="BU31" s="773">
        <f>SUM(BQ31:BT31)</f>
        <v>0</v>
      </c>
      <c r="BV31" s="220">
        <v>0</v>
      </c>
      <c r="BW31" s="219">
        <v>0</v>
      </c>
      <c r="BX31" s="219"/>
      <c r="BY31" s="773">
        <f>SUM(BU31:BX31)</f>
        <v>0</v>
      </c>
      <c r="BZ31" s="220">
        <v>0</v>
      </c>
      <c r="CA31" s="219">
        <v>0</v>
      </c>
      <c r="CB31" s="219">
        <v>0</v>
      </c>
      <c r="CC31" s="773">
        <f>SUM(BY31:CB31)</f>
        <v>0</v>
      </c>
      <c r="CD31" s="220">
        <v>0</v>
      </c>
      <c r="CE31" s="219">
        <v>0</v>
      </c>
      <c r="CF31" s="219">
        <v>0</v>
      </c>
      <c r="CG31" s="773">
        <f>SUM(CC31:CF31)</f>
        <v>0</v>
      </c>
      <c r="CH31" s="774">
        <v>0</v>
      </c>
      <c r="CI31" s="774">
        <v>0</v>
      </c>
      <c r="CJ31" s="773">
        <f>SUM(CG31:CI31)</f>
        <v>0</v>
      </c>
      <c r="CK31" s="220">
        <v>0</v>
      </c>
      <c r="CL31" s="219">
        <v>0</v>
      </c>
      <c r="CM31" s="773">
        <f>SUM(CJ31:CL31)</f>
        <v>0</v>
      </c>
      <c r="CN31" s="220">
        <v>0</v>
      </c>
      <c r="CO31" s="219">
        <v>0</v>
      </c>
      <c r="CP31" s="773">
        <v>0</v>
      </c>
      <c r="CQ31" s="220">
        <v>0</v>
      </c>
      <c r="CR31" s="219">
        <v>0</v>
      </c>
      <c r="CS31" s="219">
        <v>0</v>
      </c>
      <c r="CT31" s="773">
        <v>0</v>
      </c>
      <c r="CU31" s="220">
        <v>0</v>
      </c>
      <c r="CV31" s="219">
        <v>0</v>
      </c>
      <c r="CW31" s="219">
        <v>0</v>
      </c>
      <c r="CX31" s="773">
        <v>0</v>
      </c>
      <c r="CY31" s="220">
        <v>0</v>
      </c>
      <c r="CZ31" s="219">
        <v>0</v>
      </c>
      <c r="DA31" s="219">
        <v>0</v>
      </c>
      <c r="DB31" s="773">
        <f>SUM(CX31:CZ31)</f>
        <v>0</v>
      </c>
      <c r="DC31" s="220">
        <v>0</v>
      </c>
      <c r="DD31" s="219">
        <v>0</v>
      </c>
      <c r="DE31" s="219">
        <v>0</v>
      </c>
      <c r="DF31" s="773">
        <f>SUM(DB31:DD31)</f>
        <v>0</v>
      </c>
      <c r="DG31" s="220">
        <v>0</v>
      </c>
      <c r="DH31" s="219">
        <v>0</v>
      </c>
      <c r="DI31" s="219">
        <v>0</v>
      </c>
      <c r="DJ31" s="773">
        <f>SUM(DF31:DH31)</f>
        <v>0</v>
      </c>
      <c r="DK31" s="220">
        <v>0</v>
      </c>
      <c r="DL31" s="219">
        <v>0</v>
      </c>
      <c r="DM31" s="219">
        <v>0</v>
      </c>
      <c r="DN31" s="773">
        <f>SUM(DJ31:DL31)</f>
        <v>0</v>
      </c>
      <c r="DO31" s="220">
        <v>0</v>
      </c>
      <c r="DP31" s="219">
        <v>0</v>
      </c>
      <c r="DQ31" s="219">
        <v>0</v>
      </c>
      <c r="DR31" s="773">
        <f>SUM(DN31:DP31)</f>
        <v>0</v>
      </c>
      <c r="DS31" s="220">
        <v>0</v>
      </c>
      <c r="DT31" s="219">
        <v>0</v>
      </c>
      <c r="DU31" s="219">
        <v>0</v>
      </c>
      <c r="DV31" s="773">
        <v>0</v>
      </c>
      <c r="DW31" s="220">
        <v>0</v>
      </c>
      <c r="DX31" s="219">
        <v>0</v>
      </c>
      <c r="DY31" s="219">
        <v>0</v>
      </c>
      <c r="DZ31" s="773">
        <f>SUM(DV31:DX31)</f>
        <v>0</v>
      </c>
      <c r="EA31" s="220">
        <v>0</v>
      </c>
      <c r="EB31" s="219">
        <v>0</v>
      </c>
      <c r="EC31" s="219">
        <v>0</v>
      </c>
      <c r="ED31" s="773">
        <f>SUM(DV31:EB31)</f>
        <v>0</v>
      </c>
      <c r="EE31" s="220">
        <v>0</v>
      </c>
      <c r="EF31" s="219">
        <v>0</v>
      </c>
      <c r="EG31" s="219">
        <v>0</v>
      </c>
      <c r="EH31" s="773">
        <f>SUM(DZ31:EF31)</f>
        <v>0</v>
      </c>
      <c r="EI31" s="220">
        <v>0</v>
      </c>
      <c r="EJ31" s="219">
        <v>0</v>
      </c>
      <c r="EK31" s="219">
        <v>0</v>
      </c>
      <c r="EL31" s="773">
        <f>SUM(ED31:EJ31)</f>
        <v>0</v>
      </c>
      <c r="EM31" s="220">
        <v>0</v>
      </c>
      <c r="EN31" s="219">
        <v>0</v>
      </c>
      <c r="EO31" s="219">
        <v>0</v>
      </c>
      <c r="EP31" s="773">
        <f>SUM(EH31:EN31)</f>
        <v>0</v>
      </c>
      <c r="EQ31" s="220">
        <v>0</v>
      </c>
      <c r="ER31" s="219">
        <v>0</v>
      </c>
      <c r="ES31" s="219">
        <v>0</v>
      </c>
      <c r="ET31" s="773">
        <f>SUM(EL31:ER31)</f>
        <v>0</v>
      </c>
      <c r="EU31" s="220">
        <v>0</v>
      </c>
      <c r="EV31" s="219">
        <v>0</v>
      </c>
      <c r="EW31" s="219">
        <v>0</v>
      </c>
      <c r="EX31" s="773">
        <f>SUM(EP31:EV31)</f>
        <v>0</v>
      </c>
      <c r="EY31" s="220">
        <v>0</v>
      </c>
      <c r="EZ31" s="219">
        <v>0</v>
      </c>
      <c r="FA31" s="219">
        <v>0</v>
      </c>
      <c r="FB31" s="773">
        <f>SUM(ET31:EZ31)</f>
        <v>0</v>
      </c>
      <c r="FC31" s="220">
        <v>0</v>
      </c>
      <c r="FD31" s="219">
        <v>0</v>
      </c>
      <c r="FE31" s="219">
        <v>0</v>
      </c>
      <c r="FF31" s="773">
        <f>SUM(EX31:FD31)</f>
        <v>0</v>
      </c>
      <c r="FG31" s="220">
        <v>0</v>
      </c>
      <c r="FH31" s="219">
        <v>0</v>
      </c>
      <c r="FI31" s="219">
        <v>0</v>
      </c>
      <c r="FJ31" s="773">
        <f>SUM(FB31:FH31)</f>
        <v>0</v>
      </c>
      <c r="FK31" s="774" t="s">
        <v>47</v>
      </c>
      <c r="FL31" s="774" t="s">
        <v>47</v>
      </c>
      <c r="FM31" s="774" t="s">
        <v>47</v>
      </c>
      <c r="FN31" s="773">
        <f>SUM(FF31:FL31)</f>
        <v>0</v>
      </c>
      <c r="FO31" s="774" t="s">
        <v>47</v>
      </c>
      <c r="FP31" s="774" t="s">
        <v>47</v>
      </c>
      <c r="FQ31" s="774" t="s">
        <v>47</v>
      </c>
      <c r="FR31" s="773">
        <f>SUM(FJ31:FP31)</f>
        <v>0</v>
      </c>
      <c r="FS31" s="220">
        <v>0</v>
      </c>
      <c r="FT31" s="118" t="s">
        <v>47</v>
      </c>
      <c r="FU31" s="219">
        <v>0</v>
      </c>
      <c r="FV31" s="219">
        <v>0</v>
      </c>
      <c r="FW31" s="118" t="s">
        <v>47</v>
      </c>
      <c r="FX31" s="773">
        <f t="shared" si="58"/>
        <v>0</v>
      </c>
    </row>
    <row r="32" spans="2:180" collapsed="1" x14ac:dyDescent="0.2">
      <c r="B32" s="130" t="s">
        <v>76</v>
      </c>
      <c r="C32" s="161">
        <v>0</v>
      </c>
      <c r="D32" s="118">
        <v>0</v>
      </c>
      <c r="E32" s="162">
        <v>2491</v>
      </c>
      <c r="F32" s="161">
        <v>0</v>
      </c>
      <c r="G32" s="118">
        <v>0</v>
      </c>
      <c r="H32" s="118">
        <v>0</v>
      </c>
      <c r="I32" s="118">
        <v>0</v>
      </c>
      <c r="J32" s="162">
        <v>2491</v>
      </c>
      <c r="K32" s="161">
        <v>0</v>
      </c>
      <c r="L32" s="118">
        <v>0</v>
      </c>
      <c r="M32" s="118">
        <v>0</v>
      </c>
      <c r="N32" s="118">
        <v>0</v>
      </c>
      <c r="O32" s="118">
        <v>0</v>
      </c>
      <c r="P32" s="162">
        <v>2491</v>
      </c>
      <c r="Q32" s="161">
        <v>0</v>
      </c>
      <c r="R32" s="118">
        <v>0</v>
      </c>
      <c r="S32" s="118">
        <v>0</v>
      </c>
      <c r="T32" s="118">
        <v>0</v>
      </c>
      <c r="U32" s="118">
        <v>0</v>
      </c>
      <c r="V32" s="162">
        <v>2491</v>
      </c>
      <c r="W32" s="177">
        <v>0</v>
      </c>
      <c r="X32" s="118">
        <v>0</v>
      </c>
      <c r="Y32" s="118">
        <v>0</v>
      </c>
      <c r="Z32" s="162">
        <v>2491</v>
      </c>
      <c r="AA32" s="161">
        <v>0</v>
      </c>
      <c r="AB32" s="118">
        <v>0</v>
      </c>
      <c r="AC32" s="118">
        <v>0</v>
      </c>
      <c r="AD32" s="162">
        <v>2491</v>
      </c>
      <c r="AE32" s="161">
        <v>0</v>
      </c>
      <c r="AF32" s="118">
        <v>0</v>
      </c>
      <c r="AG32" s="118">
        <v>0</v>
      </c>
      <c r="AH32" s="162">
        <v>2491</v>
      </c>
      <c r="AI32" s="161">
        <v>0</v>
      </c>
      <c r="AJ32" s="118">
        <v>0</v>
      </c>
      <c r="AK32" s="118">
        <v>0</v>
      </c>
      <c r="AL32" s="162">
        <v>2491</v>
      </c>
      <c r="AM32" s="161">
        <v>0</v>
      </c>
      <c r="AN32" s="118">
        <v>0</v>
      </c>
      <c r="AO32" s="118">
        <v>0</v>
      </c>
      <c r="AP32" s="162">
        <f t="shared" si="55"/>
        <v>2491</v>
      </c>
      <c r="AQ32" s="161">
        <v>0</v>
      </c>
      <c r="AR32" s="118">
        <v>0</v>
      </c>
      <c r="AS32" s="118">
        <v>0</v>
      </c>
      <c r="AT32" s="162">
        <f t="shared" si="56"/>
        <v>2491</v>
      </c>
      <c r="AU32" s="161">
        <v>0</v>
      </c>
      <c r="AV32" s="118">
        <v>0</v>
      </c>
      <c r="AW32" s="118">
        <v>0</v>
      </c>
      <c r="AX32" s="162">
        <f t="shared" si="57"/>
        <v>2491</v>
      </c>
      <c r="AY32" s="118">
        <v>0</v>
      </c>
      <c r="AZ32" s="118">
        <v>0</v>
      </c>
      <c r="BA32" s="118">
        <v>0</v>
      </c>
      <c r="BB32" s="118">
        <v>2491</v>
      </c>
      <c r="BC32" s="161">
        <v>0</v>
      </c>
      <c r="BD32" s="118">
        <v>0</v>
      </c>
      <c r="BE32" s="162">
        <v>2491</v>
      </c>
      <c r="BF32" s="118">
        <v>0</v>
      </c>
      <c r="BG32" s="118">
        <v>0</v>
      </c>
      <c r="BH32" s="118">
        <v>0</v>
      </c>
      <c r="BI32" s="118">
        <v>2491</v>
      </c>
      <c r="BJ32" s="161">
        <v>0</v>
      </c>
      <c r="BK32" s="118">
        <v>0</v>
      </c>
      <c r="BL32" s="118">
        <v>0</v>
      </c>
      <c r="BM32" s="214">
        <f t="shared" si="59"/>
        <v>2491</v>
      </c>
      <c r="BN32" s="161">
        <v>0</v>
      </c>
      <c r="BO32" s="118">
        <v>0</v>
      </c>
      <c r="BP32" s="118">
        <v>0</v>
      </c>
      <c r="BQ32" s="214">
        <f t="shared" si="60"/>
        <v>2491</v>
      </c>
      <c r="BR32" s="161">
        <v>0</v>
      </c>
      <c r="BS32" s="118">
        <v>0</v>
      </c>
      <c r="BT32" s="118">
        <v>-2491</v>
      </c>
      <c r="BU32" s="214">
        <f t="shared" si="61"/>
        <v>0</v>
      </c>
      <c r="BV32" s="161">
        <v>0</v>
      </c>
      <c r="BW32" s="118">
        <v>0</v>
      </c>
      <c r="BX32" s="118">
        <v>0</v>
      </c>
      <c r="BY32" s="214">
        <f t="shared" si="62"/>
        <v>0</v>
      </c>
      <c r="BZ32" s="161">
        <v>0</v>
      </c>
      <c r="CA32" s="118">
        <v>0</v>
      </c>
      <c r="CB32" s="118">
        <v>0</v>
      </c>
      <c r="CC32" s="214">
        <f t="shared" si="63"/>
        <v>0</v>
      </c>
      <c r="CD32" s="161">
        <v>0</v>
      </c>
      <c r="CE32" s="118">
        <v>0</v>
      </c>
      <c r="CF32" s="118">
        <v>0</v>
      </c>
      <c r="CG32" s="214"/>
      <c r="CH32" s="212">
        <v>0</v>
      </c>
      <c r="CI32" s="212">
        <v>0</v>
      </c>
      <c r="CJ32" s="214" t="s">
        <v>47</v>
      </c>
      <c r="CK32" s="161">
        <v>0</v>
      </c>
      <c r="CL32" s="118">
        <v>0</v>
      </c>
      <c r="CM32" s="214" t="s">
        <v>47</v>
      </c>
      <c r="CN32" s="161">
        <v>0</v>
      </c>
      <c r="CO32" s="118">
        <v>0</v>
      </c>
      <c r="CP32" s="214" t="s">
        <v>47</v>
      </c>
      <c r="CQ32" s="161">
        <v>0</v>
      </c>
      <c r="CR32" s="118">
        <v>0</v>
      </c>
      <c r="CS32" s="118">
        <v>0</v>
      </c>
      <c r="CT32" s="214" t="s">
        <v>47</v>
      </c>
      <c r="CU32" s="161">
        <v>0</v>
      </c>
      <c r="CV32" s="118">
        <v>0</v>
      </c>
      <c r="CW32" s="118">
        <v>0</v>
      </c>
      <c r="CX32" s="214" t="s">
        <v>47</v>
      </c>
      <c r="CY32" s="161">
        <v>0</v>
      </c>
      <c r="CZ32" s="118">
        <v>0</v>
      </c>
      <c r="DA32" s="118">
        <v>0</v>
      </c>
      <c r="DB32" s="214" t="s">
        <v>47</v>
      </c>
      <c r="DC32" s="161">
        <v>0</v>
      </c>
      <c r="DD32" s="118">
        <v>0</v>
      </c>
      <c r="DE32" s="118">
        <v>0</v>
      </c>
      <c r="DF32" s="214" t="s">
        <v>47</v>
      </c>
      <c r="DG32" s="161">
        <v>0</v>
      </c>
      <c r="DH32" s="118">
        <v>0</v>
      </c>
      <c r="DI32" s="118">
        <v>0</v>
      </c>
      <c r="DJ32" s="214" t="s">
        <v>47</v>
      </c>
      <c r="DK32" s="161">
        <v>0</v>
      </c>
      <c r="DL32" s="118">
        <v>0</v>
      </c>
      <c r="DM32" s="118">
        <v>0</v>
      </c>
      <c r="DN32" s="214" t="s">
        <v>47</v>
      </c>
      <c r="DO32" s="161">
        <v>0</v>
      </c>
      <c r="DP32" s="118">
        <v>0</v>
      </c>
      <c r="DQ32" s="118">
        <v>0</v>
      </c>
      <c r="DR32" s="214" t="s">
        <v>47</v>
      </c>
      <c r="DS32" s="161">
        <v>0</v>
      </c>
      <c r="DT32" s="118">
        <v>0</v>
      </c>
      <c r="DU32" s="118">
        <v>0</v>
      </c>
      <c r="DV32" s="214" t="s">
        <v>47</v>
      </c>
      <c r="DW32" s="161">
        <v>0</v>
      </c>
      <c r="DX32" s="118">
        <v>0</v>
      </c>
      <c r="DY32" s="118">
        <v>0</v>
      </c>
      <c r="DZ32" s="214" t="s">
        <v>47</v>
      </c>
      <c r="EA32" s="161">
        <v>0</v>
      </c>
      <c r="EB32" s="118">
        <v>0</v>
      </c>
      <c r="EC32" s="118">
        <v>0</v>
      </c>
      <c r="ED32" s="214" t="s">
        <v>47</v>
      </c>
      <c r="EE32" s="161">
        <v>0</v>
      </c>
      <c r="EF32" s="118">
        <v>0</v>
      </c>
      <c r="EG32" s="118">
        <v>0</v>
      </c>
      <c r="EH32" s="214" t="s">
        <v>47</v>
      </c>
      <c r="EI32" s="161">
        <v>0</v>
      </c>
      <c r="EJ32" s="118">
        <v>0</v>
      </c>
      <c r="EK32" s="118">
        <v>0</v>
      </c>
      <c r="EL32" s="214" t="s">
        <v>47</v>
      </c>
      <c r="EM32" s="161">
        <v>0</v>
      </c>
      <c r="EN32" s="118">
        <v>0</v>
      </c>
      <c r="EO32" s="118">
        <v>0</v>
      </c>
      <c r="EP32" s="214" t="s">
        <v>47</v>
      </c>
      <c r="EQ32" s="161">
        <v>0</v>
      </c>
      <c r="ER32" s="118">
        <v>0</v>
      </c>
      <c r="ES32" s="118">
        <v>0</v>
      </c>
      <c r="ET32" s="214" t="s">
        <v>47</v>
      </c>
      <c r="EU32" s="161">
        <v>0</v>
      </c>
      <c r="EV32" s="118">
        <v>0</v>
      </c>
      <c r="EW32" s="118">
        <v>0</v>
      </c>
      <c r="EX32" s="214" t="s">
        <v>47</v>
      </c>
      <c r="EY32" s="161">
        <v>0</v>
      </c>
      <c r="EZ32" s="118">
        <v>0</v>
      </c>
      <c r="FA32" s="118">
        <v>0</v>
      </c>
      <c r="FB32" s="214" t="s">
        <v>47</v>
      </c>
      <c r="FC32" s="161">
        <v>0</v>
      </c>
      <c r="FD32" s="118">
        <v>0</v>
      </c>
      <c r="FE32" s="118">
        <v>0</v>
      </c>
      <c r="FF32" s="214" t="s">
        <v>47</v>
      </c>
      <c r="FG32" s="161">
        <v>0</v>
      </c>
      <c r="FH32" s="118">
        <v>0</v>
      </c>
      <c r="FI32" s="118">
        <v>0</v>
      </c>
      <c r="FJ32" s="214" t="s">
        <v>47</v>
      </c>
      <c r="FK32" s="212" t="s">
        <v>47</v>
      </c>
      <c r="FL32" s="212" t="s">
        <v>47</v>
      </c>
      <c r="FM32" s="212" t="s">
        <v>47</v>
      </c>
      <c r="FN32" s="214" t="s">
        <v>47</v>
      </c>
      <c r="FO32" s="212" t="s">
        <v>47</v>
      </c>
      <c r="FP32" s="212" t="s">
        <v>47</v>
      </c>
      <c r="FQ32" s="212" t="s">
        <v>47</v>
      </c>
      <c r="FR32" s="214" t="s">
        <v>47</v>
      </c>
      <c r="FS32" s="161">
        <v>0</v>
      </c>
      <c r="FT32" s="118" t="s">
        <v>47</v>
      </c>
      <c r="FU32" s="118">
        <v>0</v>
      </c>
      <c r="FV32" s="118">
        <v>0</v>
      </c>
      <c r="FW32" s="118" t="s">
        <v>47</v>
      </c>
      <c r="FX32" s="214">
        <f t="shared" si="58"/>
        <v>0</v>
      </c>
    </row>
    <row r="33" spans="2:180" x14ac:dyDescent="0.2">
      <c r="B33" s="130" t="s">
        <v>77</v>
      </c>
      <c r="C33" s="161">
        <v>0</v>
      </c>
      <c r="D33" s="118">
        <v>0</v>
      </c>
      <c r="E33" s="162">
        <v>6364</v>
      </c>
      <c r="F33" s="161">
        <v>0</v>
      </c>
      <c r="G33" s="118">
        <v>0</v>
      </c>
      <c r="H33" s="118">
        <v>0</v>
      </c>
      <c r="I33" s="118">
        <v>0</v>
      </c>
      <c r="J33" s="162">
        <v>6364</v>
      </c>
      <c r="K33" s="161">
        <v>0</v>
      </c>
      <c r="L33" s="118">
        <v>0</v>
      </c>
      <c r="M33" s="118">
        <v>0</v>
      </c>
      <c r="N33" s="118">
        <v>0</v>
      </c>
      <c r="O33" s="118">
        <v>0</v>
      </c>
      <c r="P33" s="162">
        <v>6364</v>
      </c>
      <c r="Q33" s="161">
        <v>0</v>
      </c>
      <c r="R33" s="118">
        <v>0</v>
      </c>
      <c r="S33" s="118">
        <v>0</v>
      </c>
      <c r="T33" s="118">
        <v>0</v>
      </c>
      <c r="U33" s="118">
        <v>0</v>
      </c>
      <c r="V33" s="162">
        <v>6364</v>
      </c>
      <c r="W33" s="177">
        <v>0</v>
      </c>
      <c r="X33" s="118">
        <v>0</v>
      </c>
      <c r="Y33" s="118">
        <v>0</v>
      </c>
      <c r="Z33" s="162">
        <v>6364</v>
      </c>
      <c r="AA33" s="161">
        <v>0</v>
      </c>
      <c r="AB33" s="118">
        <v>0</v>
      </c>
      <c r="AC33" s="118">
        <v>0</v>
      </c>
      <c r="AD33" s="162">
        <v>6364</v>
      </c>
      <c r="AE33" s="161">
        <v>0</v>
      </c>
      <c r="AF33" s="118">
        <v>0</v>
      </c>
      <c r="AG33" s="118">
        <v>0</v>
      </c>
      <c r="AH33" s="162">
        <v>6364</v>
      </c>
      <c r="AI33" s="161">
        <v>0</v>
      </c>
      <c r="AJ33" s="118">
        <v>0</v>
      </c>
      <c r="AK33" s="118">
        <v>0</v>
      </c>
      <c r="AL33" s="162">
        <v>6364</v>
      </c>
      <c r="AM33" s="161">
        <v>0</v>
      </c>
      <c r="AN33" s="118">
        <v>0</v>
      </c>
      <c r="AO33" s="118">
        <v>0</v>
      </c>
      <c r="AP33" s="162">
        <f t="shared" si="55"/>
        <v>6364</v>
      </c>
      <c r="AQ33" s="161">
        <v>0</v>
      </c>
      <c r="AR33" s="118">
        <v>0</v>
      </c>
      <c r="AS33" s="118">
        <v>0</v>
      </c>
      <c r="AT33" s="162">
        <f t="shared" si="56"/>
        <v>6364</v>
      </c>
      <c r="AU33" s="161">
        <v>0</v>
      </c>
      <c r="AV33" s="118">
        <v>0</v>
      </c>
      <c r="AW33" s="118">
        <v>0</v>
      </c>
      <c r="AX33" s="162">
        <f t="shared" si="57"/>
        <v>6364</v>
      </c>
      <c r="AY33" s="118">
        <v>0</v>
      </c>
      <c r="AZ33" s="118">
        <v>0</v>
      </c>
      <c r="BA33" s="118">
        <v>0</v>
      </c>
      <c r="BB33" s="118">
        <v>6364</v>
      </c>
      <c r="BC33" s="161">
        <v>0</v>
      </c>
      <c r="BD33" s="118">
        <v>0</v>
      </c>
      <c r="BE33" s="162">
        <v>6364</v>
      </c>
      <c r="BF33" s="118">
        <v>0</v>
      </c>
      <c r="BG33" s="118">
        <v>0</v>
      </c>
      <c r="BH33" s="118">
        <v>0</v>
      </c>
      <c r="BI33" s="118">
        <v>6364</v>
      </c>
      <c r="BJ33" s="161">
        <v>0</v>
      </c>
      <c r="BK33" s="118">
        <v>0</v>
      </c>
      <c r="BL33" s="118">
        <v>0</v>
      </c>
      <c r="BM33" s="214">
        <f t="shared" si="59"/>
        <v>6364</v>
      </c>
      <c r="BN33" s="161">
        <v>0</v>
      </c>
      <c r="BO33" s="118">
        <v>0</v>
      </c>
      <c r="BP33" s="118">
        <v>0</v>
      </c>
      <c r="BQ33" s="214">
        <f t="shared" si="60"/>
        <v>6364</v>
      </c>
      <c r="BR33" s="161">
        <v>0</v>
      </c>
      <c r="BS33" s="118">
        <v>0</v>
      </c>
      <c r="BT33" s="118">
        <v>0</v>
      </c>
      <c r="BU33" s="214">
        <f t="shared" si="61"/>
        <v>6364</v>
      </c>
      <c r="BV33" s="161">
        <v>0</v>
      </c>
      <c r="BW33" s="118">
        <v>0</v>
      </c>
      <c r="BX33" s="118">
        <v>0</v>
      </c>
      <c r="BY33" s="214">
        <f t="shared" si="62"/>
        <v>6364</v>
      </c>
      <c r="BZ33" s="161">
        <v>0</v>
      </c>
      <c r="CA33" s="118">
        <v>0</v>
      </c>
      <c r="CB33" s="118">
        <v>0</v>
      </c>
      <c r="CC33" s="214">
        <f t="shared" si="63"/>
        <v>6364</v>
      </c>
      <c r="CD33" s="161">
        <v>0</v>
      </c>
      <c r="CE33" s="118">
        <v>0</v>
      </c>
      <c r="CF33" s="118">
        <v>0</v>
      </c>
      <c r="CG33" s="214">
        <f>SUM(CC33:CF33)</f>
        <v>6364</v>
      </c>
      <c r="CH33" s="212">
        <v>0</v>
      </c>
      <c r="CI33" s="212">
        <v>0</v>
      </c>
      <c r="CJ33" s="214">
        <f>SUM(CG33:CI33)</f>
        <v>6364</v>
      </c>
      <c r="CK33" s="161">
        <v>0</v>
      </c>
      <c r="CL33" s="118">
        <v>0</v>
      </c>
      <c r="CM33" s="214">
        <f>SUM(CJ33:CL33)</f>
        <v>6364</v>
      </c>
      <c r="CN33" s="161">
        <v>0</v>
      </c>
      <c r="CO33" s="118">
        <v>0</v>
      </c>
      <c r="CP33" s="214">
        <v>6364</v>
      </c>
      <c r="CQ33" s="161">
        <v>0</v>
      </c>
      <c r="CR33" s="118">
        <v>0</v>
      </c>
      <c r="CS33" s="118">
        <v>0</v>
      </c>
      <c r="CT33" s="214">
        <v>6364</v>
      </c>
      <c r="CU33" s="161">
        <v>0</v>
      </c>
      <c r="CV33" s="118">
        <v>0</v>
      </c>
      <c r="CW33" s="118">
        <v>0</v>
      </c>
      <c r="CX33" s="214">
        <v>6364</v>
      </c>
      <c r="CY33" s="161">
        <v>0</v>
      </c>
      <c r="CZ33" s="118">
        <v>0</v>
      </c>
      <c r="DA33" s="118">
        <v>0</v>
      </c>
      <c r="DB33" s="214">
        <f>SUM(CX33:CZ33)</f>
        <v>6364</v>
      </c>
      <c r="DC33" s="161">
        <v>0</v>
      </c>
      <c r="DD33" s="118">
        <v>0</v>
      </c>
      <c r="DE33" s="118">
        <v>0</v>
      </c>
      <c r="DF33" s="214">
        <f>SUM(DB33:DD33)</f>
        <v>6364</v>
      </c>
      <c r="DG33" s="161">
        <v>0</v>
      </c>
      <c r="DH33" s="118">
        <v>0</v>
      </c>
      <c r="DI33" s="118">
        <v>0</v>
      </c>
      <c r="DJ33" s="214">
        <f>SUM(DF33:DH33)</f>
        <v>6364</v>
      </c>
      <c r="DK33" s="161">
        <v>0</v>
      </c>
      <c r="DL33" s="118">
        <v>0</v>
      </c>
      <c r="DM33" s="118">
        <v>0</v>
      </c>
      <c r="DN33" s="214">
        <f>SUM(DJ33:DL33)</f>
        <v>6364</v>
      </c>
      <c r="DO33" s="161">
        <v>0</v>
      </c>
      <c r="DP33" s="118">
        <v>0</v>
      </c>
      <c r="DQ33" s="118">
        <v>0</v>
      </c>
      <c r="DR33" s="214">
        <f>SUM(DN33:DP33)</f>
        <v>6364</v>
      </c>
      <c r="DS33" s="161">
        <v>0</v>
      </c>
      <c r="DT33" s="118">
        <v>0</v>
      </c>
      <c r="DU33" s="118">
        <v>0</v>
      </c>
      <c r="DV33" s="214">
        <v>6364</v>
      </c>
      <c r="DW33" s="161">
        <v>0</v>
      </c>
      <c r="DX33" s="118">
        <v>0</v>
      </c>
      <c r="DY33" s="118">
        <v>0</v>
      </c>
      <c r="DZ33" s="214">
        <f>SUM(DV33:DX33)</f>
        <v>6364</v>
      </c>
      <c r="EA33" s="161">
        <v>0</v>
      </c>
      <c r="EB33" s="118">
        <v>0</v>
      </c>
      <c r="EC33" s="118">
        <v>0</v>
      </c>
      <c r="ED33" s="214">
        <f>SUM(DZ33:EC33)</f>
        <v>6364</v>
      </c>
      <c r="EE33" s="161">
        <v>0</v>
      </c>
      <c r="EF33" s="118">
        <v>0</v>
      </c>
      <c r="EG33" s="118">
        <v>-1</v>
      </c>
      <c r="EH33" s="214">
        <f>SUM(ED33:EG33)</f>
        <v>6363</v>
      </c>
      <c r="EI33" s="161">
        <v>0</v>
      </c>
      <c r="EJ33" s="118">
        <v>0</v>
      </c>
      <c r="EK33" s="118">
        <v>1</v>
      </c>
      <c r="EL33" s="214">
        <f>SUM(EH33:EK33)</f>
        <v>6364</v>
      </c>
      <c r="EM33" s="161">
        <v>0</v>
      </c>
      <c r="EN33" s="118">
        <v>0</v>
      </c>
      <c r="EO33" s="118">
        <v>0</v>
      </c>
      <c r="EP33" s="214">
        <f>SUM(EL33:EO33)</f>
        <v>6364</v>
      </c>
      <c r="EQ33" s="161">
        <v>0</v>
      </c>
      <c r="ER33" s="118">
        <v>0</v>
      </c>
      <c r="ES33" s="118">
        <v>0</v>
      </c>
      <c r="ET33" s="214">
        <f>SUM(EP33:ES33)</f>
        <v>6364</v>
      </c>
      <c r="EU33" s="161">
        <v>0</v>
      </c>
      <c r="EV33" s="118">
        <v>0</v>
      </c>
      <c r="EW33" s="118">
        <v>0</v>
      </c>
      <c r="EX33" s="214">
        <f>SUM(ET33:EW33)</f>
        <v>6364</v>
      </c>
      <c r="EY33" s="161">
        <v>0</v>
      </c>
      <c r="EZ33" s="118">
        <v>0</v>
      </c>
      <c r="FA33" s="118">
        <v>0</v>
      </c>
      <c r="FB33" s="214">
        <f>SUM(EX33:FA33)</f>
        <v>6364</v>
      </c>
      <c r="FC33" s="161">
        <v>0</v>
      </c>
      <c r="FD33" s="118">
        <v>0</v>
      </c>
      <c r="FE33" s="118">
        <v>0</v>
      </c>
      <c r="FF33" s="214">
        <f>SUM(FB33:FE33)</f>
        <v>6364</v>
      </c>
      <c r="FG33" s="161">
        <v>0</v>
      </c>
      <c r="FH33" s="118">
        <v>0</v>
      </c>
      <c r="FI33" s="118">
        <v>0</v>
      </c>
      <c r="FJ33" s="214">
        <f>SUM(FF33:FI33)</f>
        <v>6364</v>
      </c>
      <c r="FK33" s="212" t="s">
        <v>47</v>
      </c>
      <c r="FL33" s="212" t="s">
        <v>47</v>
      </c>
      <c r="FM33" s="212" t="s">
        <v>47</v>
      </c>
      <c r="FN33" s="214">
        <f>SUM(FJ33:FM33)</f>
        <v>6364</v>
      </c>
      <c r="FO33" s="212" t="s">
        <v>47</v>
      </c>
      <c r="FP33" s="212" t="s">
        <v>47</v>
      </c>
      <c r="FQ33" s="212" t="s">
        <v>47</v>
      </c>
      <c r="FR33" s="214">
        <f>SUM(FN33:FQ33)</f>
        <v>6364</v>
      </c>
      <c r="FS33" s="161">
        <v>0</v>
      </c>
      <c r="FT33" s="118" t="s">
        <v>47</v>
      </c>
      <c r="FU33" s="118">
        <v>0</v>
      </c>
      <c r="FV33" s="118">
        <v>0</v>
      </c>
      <c r="FW33" s="118" t="s">
        <v>47</v>
      </c>
      <c r="FX33" s="214">
        <f t="shared" si="58"/>
        <v>6364</v>
      </c>
    </row>
    <row r="34" spans="2:180" x14ac:dyDescent="0.2">
      <c r="B34" s="130" t="s">
        <v>79</v>
      </c>
      <c r="C34" s="161">
        <v>0</v>
      </c>
      <c r="D34" s="118">
        <v>0</v>
      </c>
      <c r="E34" s="162">
        <v>36</v>
      </c>
      <c r="F34" s="161">
        <v>0</v>
      </c>
      <c r="G34" s="118">
        <v>0</v>
      </c>
      <c r="H34" s="118">
        <v>0</v>
      </c>
      <c r="I34" s="118">
        <v>0</v>
      </c>
      <c r="J34" s="162">
        <v>36</v>
      </c>
      <c r="K34" s="161">
        <v>0</v>
      </c>
      <c r="L34" s="118">
        <v>0</v>
      </c>
      <c r="M34" s="118">
        <v>0</v>
      </c>
      <c r="N34" s="118">
        <v>0</v>
      </c>
      <c r="O34" s="118">
        <v>0</v>
      </c>
      <c r="P34" s="162">
        <v>36</v>
      </c>
      <c r="Q34" s="161">
        <v>0</v>
      </c>
      <c r="R34" s="118">
        <v>0</v>
      </c>
      <c r="S34" s="118">
        <v>0</v>
      </c>
      <c r="T34" s="118">
        <v>0</v>
      </c>
      <c r="U34" s="118">
        <v>0</v>
      </c>
      <c r="V34" s="162">
        <v>36</v>
      </c>
      <c r="W34" s="177">
        <v>0</v>
      </c>
      <c r="X34" s="118">
        <v>0</v>
      </c>
      <c r="Y34" s="118">
        <v>0</v>
      </c>
      <c r="Z34" s="162">
        <v>36</v>
      </c>
      <c r="AA34" s="161">
        <v>0</v>
      </c>
      <c r="AB34" s="118">
        <v>0</v>
      </c>
      <c r="AC34" s="118">
        <v>0</v>
      </c>
      <c r="AD34" s="162">
        <v>36</v>
      </c>
      <c r="AE34" s="161">
        <v>0</v>
      </c>
      <c r="AF34" s="118">
        <v>0</v>
      </c>
      <c r="AG34" s="118">
        <v>0</v>
      </c>
      <c r="AH34" s="162">
        <v>36</v>
      </c>
      <c r="AI34" s="161">
        <v>0</v>
      </c>
      <c r="AJ34" s="118">
        <v>0</v>
      </c>
      <c r="AK34" s="118">
        <v>0</v>
      </c>
      <c r="AL34" s="162">
        <v>36</v>
      </c>
      <c r="AM34" s="161">
        <v>0</v>
      </c>
      <c r="AN34" s="118">
        <v>0</v>
      </c>
      <c r="AO34" s="118">
        <v>0</v>
      </c>
      <c r="AP34" s="162">
        <f t="shared" si="55"/>
        <v>36</v>
      </c>
      <c r="AQ34" s="161">
        <v>0</v>
      </c>
      <c r="AR34" s="118">
        <v>0</v>
      </c>
      <c r="AS34" s="118">
        <v>0</v>
      </c>
      <c r="AT34" s="162">
        <f t="shared" si="56"/>
        <v>36</v>
      </c>
      <c r="AU34" s="161">
        <v>0</v>
      </c>
      <c r="AV34" s="118">
        <v>0</v>
      </c>
      <c r="AW34" s="118">
        <v>0</v>
      </c>
      <c r="AX34" s="162">
        <f t="shared" si="57"/>
        <v>36</v>
      </c>
      <c r="AY34" s="118">
        <v>0</v>
      </c>
      <c r="AZ34" s="118">
        <v>0</v>
      </c>
      <c r="BA34" s="118">
        <v>0</v>
      </c>
      <c r="BB34" s="118">
        <v>36</v>
      </c>
      <c r="BC34" s="161">
        <v>0</v>
      </c>
      <c r="BD34" s="118">
        <v>0</v>
      </c>
      <c r="BE34" s="162">
        <v>36</v>
      </c>
      <c r="BF34" s="118">
        <v>0</v>
      </c>
      <c r="BG34" s="118">
        <v>0</v>
      </c>
      <c r="BH34" s="118">
        <v>0</v>
      </c>
      <c r="BI34" s="118">
        <v>36</v>
      </c>
      <c r="BJ34" s="161">
        <v>0</v>
      </c>
      <c r="BK34" s="118">
        <v>0</v>
      </c>
      <c r="BL34" s="118">
        <v>0</v>
      </c>
      <c r="BM34" s="214">
        <f t="shared" si="59"/>
        <v>36</v>
      </c>
      <c r="BN34" s="161">
        <v>0</v>
      </c>
      <c r="BO34" s="118">
        <v>0</v>
      </c>
      <c r="BP34" s="118">
        <v>0</v>
      </c>
      <c r="BQ34" s="214">
        <f t="shared" si="60"/>
        <v>36</v>
      </c>
      <c r="BR34" s="161">
        <v>0</v>
      </c>
      <c r="BS34" s="118">
        <v>0</v>
      </c>
      <c r="BT34" s="118">
        <v>-36</v>
      </c>
      <c r="BU34" s="214">
        <f t="shared" si="61"/>
        <v>0</v>
      </c>
      <c r="BV34" s="161">
        <v>0</v>
      </c>
      <c r="BW34" s="118">
        <v>0</v>
      </c>
      <c r="BX34" s="118">
        <v>0</v>
      </c>
      <c r="BY34" s="214">
        <f t="shared" si="62"/>
        <v>0</v>
      </c>
      <c r="BZ34" s="161">
        <v>0</v>
      </c>
      <c r="CA34" s="118">
        <v>0</v>
      </c>
      <c r="CB34" s="118">
        <v>0</v>
      </c>
      <c r="CC34" s="214">
        <f t="shared" si="63"/>
        <v>0</v>
      </c>
      <c r="CD34" s="161">
        <v>0</v>
      </c>
      <c r="CE34" s="118">
        <v>0</v>
      </c>
      <c r="CF34" s="118">
        <v>0</v>
      </c>
      <c r="CG34" s="214"/>
      <c r="CH34" s="212">
        <v>0</v>
      </c>
      <c r="CI34" s="212">
        <v>0</v>
      </c>
      <c r="CJ34" s="214" t="s">
        <v>47</v>
      </c>
      <c r="CK34" s="161">
        <v>0</v>
      </c>
      <c r="CL34" s="118">
        <v>0</v>
      </c>
      <c r="CM34" s="214" t="s">
        <v>47</v>
      </c>
      <c r="CN34" s="161">
        <v>0</v>
      </c>
      <c r="CO34" s="118">
        <v>0</v>
      </c>
      <c r="CP34" s="214" t="s">
        <v>47</v>
      </c>
      <c r="CQ34" s="161">
        <v>0</v>
      </c>
      <c r="CR34" s="118">
        <v>0</v>
      </c>
      <c r="CS34" s="118">
        <v>0</v>
      </c>
      <c r="CT34" s="214" t="s">
        <v>47</v>
      </c>
      <c r="CU34" s="161">
        <v>0</v>
      </c>
      <c r="CV34" s="118">
        <v>0</v>
      </c>
      <c r="CW34" s="118">
        <v>0</v>
      </c>
      <c r="CX34" s="214" t="s">
        <v>47</v>
      </c>
      <c r="CY34" s="161">
        <v>0</v>
      </c>
      <c r="CZ34" s="118">
        <v>0</v>
      </c>
      <c r="DA34" s="118">
        <v>0</v>
      </c>
      <c r="DB34" s="214" t="s">
        <v>47</v>
      </c>
      <c r="DC34" s="161">
        <v>0</v>
      </c>
      <c r="DD34" s="118">
        <v>0</v>
      </c>
      <c r="DE34" s="118">
        <v>0</v>
      </c>
      <c r="DF34" s="214" t="s">
        <v>47</v>
      </c>
      <c r="DG34" s="161">
        <v>0</v>
      </c>
      <c r="DH34" s="118">
        <v>0</v>
      </c>
      <c r="DI34" s="118">
        <v>0</v>
      </c>
      <c r="DJ34" s="214" t="s">
        <v>47</v>
      </c>
      <c r="DK34" s="161">
        <v>0</v>
      </c>
      <c r="DL34" s="118">
        <v>0</v>
      </c>
      <c r="DM34" s="118">
        <v>0</v>
      </c>
      <c r="DN34" s="214" t="s">
        <v>47</v>
      </c>
      <c r="DO34" s="161">
        <v>0</v>
      </c>
      <c r="DP34" s="118">
        <v>0</v>
      </c>
      <c r="DQ34" s="118">
        <v>0</v>
      </c>
      <c r="DR34" s="214" t="s">
        <v>47</v>
      </c>
      <c r="DS34" s="161">
        <v>0</v>
      </c>
      <c r="DT34" s="118">
        <v>0</v>
      </c>
      <c r="DU34" s="118">
        <v>0</v>
      </c>
      <c r="DV34" s="214" t="s">
        <v>47</v>
      </c>
      <c r="DW34" s="161">
        <v>0</v>
      </c>
      <c r="DX34" s="118">
        <v>0</v>
      </c>
      <c r="DY34" s="118">
        <v>0</v>
      </c>
      <c r="DZ34" s="214" t="s">
        <v>47</v>
      </c>
      <c r="EA34" s="161">
        <v>0</v>
      </c>
      <c r="EB34" s="118">
        <v>0</v>
      </c>
      <c r="EC34" s="118">
        <v>0</v>
      </c>
      <c r="ED34" s="214" t="s">
        <v>47</v>
      </c>
      <c r="EE34" s="161">
        <v>0</v>
      </c>
      <c r="EF34" s="118">
        <v>0</v>
      </c>
      <c r="EG34" s="118">
        <v>0</v>
      </c>
      <c r="EH34" s="214" t="s">
        <v>47</v>
      </c>
      <c r="EI34" s="161">
        <v>0</v>
      </c>
      <c r="EJ34" s="118">
        <v>0</v>
      </c>
      <c r="EK34" s="118">
        <v>0</v>
      </c>
      <c r="EL34" s="214" t="s">
        <v>47</v>
      </c>
      <c r="EM34" s="161">
        <v>0</v>
      </c>
      <c r="EN34" s="118">
        <v>0</v>
      </c>
      <c r="EO34" s="118">
        <v>0</v>
      </c>
      <c r="EP34" s="214" t="s">
        <v>47</v>
      </c>
      <c r="EQ34" s="161">
        <v>0</v>
      </c>
      <c r="ER34" s="118">
        <v>0</v>
      </c>
      <c r="ES34" s="118">
        <v>0</v>
      </c>
      <c r="ET34" s="214" t="s">
        <v>47</v>
      </c>
      <c r="EU34" s="161">
        <v>0</v>
      </c>
      <c r="EV34" s="118">
        <v>0</v>
      </c>
      <c r="EW34" s="118">
        <v>0</v>
      </c>
      <c r="EX34" s="214" t="s">
        <v>47</v>
      </c>
      <c r="EY34" s="161">
        <v>0</v>
      </c>
      <c r="EZ34" s="118">
        <v>0</v>
      </c>
      <c r="FA34" s="118">
        <v>0</v>
      </c>
      <c r="FB34" s="214" t="s">
        <v>47</v>
      </c>
      <c r="FC34" s="161">
        <v>0</v>
      </c>
      <c r="FD34" s="118">
        <v>0</v>
      </c>
      <c r="FE34" s="118">
        <v>0</v>
      </c>
      <c r="FF34" s="214" t="s">
        <v>47</v>
      </c>
      <c r="FG34" s="161">
        <v>0</v>
      </c>
      <c r="FH34" s="118">
        <v>0</v>
      </c>
      <c r="FI34" s="118">
        <v>0</v>
      </c>
      <c r="FJ34" s="214" t="s">
        <v>47</v>
      </c>
      <c r="FK34" s="212" t="s">
        <v>47</v>
      </c>
      <c r="FL34" s="212" t="s">
        <v>47</v>
      </c>
      <c r="FM34" s="212" t="s">
        <v>47</v>
      </c>
      <c r="FN34" s="214" t="s">
        <v>47</v>
      </c>
      <c r="FO34" s="212" t="s">
        <v>47</v>
      </c>
      <c r="FP34" s="212" t="s">
        <v>47</v>
      </c>
      <c r="FQ34" s="212" t="s">
        <v>47</v>
      </c>
      <c r="FR34" s="214" t="s">
        <v>47</v>
      </c>
      <c r="FS34" s="161">
        <v>0</v>
      </c>
      <c r="FT34" s="118" t="s">
        <v>47</v>
      </c>
      <c r="FU34" s="118">
        <v>0</v>
      </c>
      <c r="FV34" s="118">
        <v>0</v>
      </c>
      <c r="FW34" s="118" t="s">
        <v>47</v>
      </c>
      <c r="FX34" s="214">
        <f t="shared" si="58"/>
        <v>0</v>
      </c>
    </row>
    <row r="35" spans="2:180" ht="25.5" x14ac:dyDescent="0.2">
      <c r="B35" s="130" t="s">
        <v>762</v>
      </c>
      <c r="C35" s="161"/>
      <c r="D35" s="118"/>
      <c r="E35" s="162"/>
      <c r="F35" s="161"/>
      <c r="G35" s="118"/>
      <c r="H35" s="118"/>
      <c r="I35" s="118"/>
      <c r="J35" s="162"/>
      <c r="K35" s="161"/>
      <c r="L35" s="118"/>
      <c r="M35" s="118"/>
      <c r="N35" s="118"/>
      <c r="O35" s="118"/>
      <c r="P35" s="162"/>
      <c r="Q35" s="161"/>
      <c r="R35" s="118"/>
      <c r="S35" s="118"/>
      <c r="T35" s="118"/>
      <c r="U35" s="118"/>
      <c r="V35" s="162"/>
      <c r="W35" s="177"/>
      <c r="X35" s="118"/>
      <c r="Y35" s="118"/>
      <c r="Z35" s="162"/>
      <c r="AA35" s="161"/>
      <c r="AB35" s="118"/>
      <c r="AC35" s="118"/>
      <c r="AD35" s="162"/>
      <c r="AE35" s="161"/>
      <c r="AF35" s="118"/>
      <c r="AG35" s="118"/>
      <c r="AH35" s="162"/>
      <c r="AI35" s="161"/>
      <c r="AJ35" s="118"/>
      <c r="AK35" s="118"/>
      <c r="AL35" s="162"/>
      <c r="AM35" s="161" t="s">
        <v>47</v>
      </c>
      <c r="AN35" s="118" t="s">
        <v>47</v>
      </c>
      <c r="AO35" s="118" t="s">
        <v>47</v>
      </c>
      <c r="AP35" s="162" t="s">
        <v>47</v>
      </c>
      <c r="AQ35" s="161" t="s">
        <v>47</v>
      </c>
      <c r="AR35" s="118" t="s">
        <v>47</v>
      </c>
      <c r="AS35" s="118" t="s">
        <v>47</v>
      </c>
      <c r="AT35" s="162" t="s">
        <v>47</v>
      </c>
      <c r="AU35" s="161" t="s">
        <v>47</v>
      </c>
      <c r="AV35" s="118" t="s">
        <v>47</v>
      </c>
      <c r="AW35" s="118" t="s">
        <v>47</v>
      </c>
      <c r="AX35" s="162" t="s">
        <v>47</v>
      </c>
      <c r="AY35" s="118" t="s">
        <v>47</v>
      </c>
      <c r="AZ35" s="118" t="s">
        <v>47</v>
      </c>
      <c r="BA35" s="118" t="s">
        <v>47</v>
      </c>
      <c r="BB35" s="118" t="s">
        <v>47</v>
      </c>
      <c r="BC35" s="161" t="s">
        <v>47</v>
      </c>
      <c r="BD35" s="118" t="s">
        <v>47</v>
      </c>
      <c r="BE35" s="162" t="s">
        <v>47</v>
      </c>
      <c r="BF35" s="118" t="s">
        <v>47</v>
      </c>
      <c r="BG35" s="118" t="s">
        <v>47</v>
      </c>
      <c r="BH35" s="118" t="s">
        <v>47</v>
      </c>
      <c r="BI35" s="118" t="s">
        <v>47</v>
      </c>
      <c r="BJ35" s="161" t="s">
        <v>47</v>
      </c>
      <c r="BK35" s="118" t="s">
        <v>47</v>
      </c>
      <c r="BL35" s="118" t="s">
        <v>47</v>
      </c>
      <c r="BM35" s="214" t="s">
        <v>47</v>
      </c>
      <c r="BN35" s="161" t="s">
        <v>47</v>
      </c>
      <c r="BO35" s="118" t="s">
        <v>47</v>
      </c>
      <c r="BP35" s="118" t="s">
        <v>47</v>
      </c>
      <c r="BQ35" s="214" t="s">
        <v>47</v>
      </c>
      <c r="BR35" s="161">
        <v>16693</v>
      </c>
      <c r="BS35" s="118" t="s">
        <v>47</v>
      </c>
      <c r="BT35" s="118" t="s">
        <v>47</v>
      </c>
      <c r="BU35" s="214">
        <f t="shared" si="61"/>
        <v>16693</v>
      </c>
      <c r="BV35" s="161">
        <v>0</v>
      </c>
      <c r="BW35" s="118" t="s">
        <v>47</v>
      </c>
      <c r="BX35" s="118" t="s">
        <v>47</v>
      </c>
      <c r="BY35" s="214">
        <f t="shared" si="62"/>
        <v>16693</v>
      </c>
      <c r="BZ35" s="161">
        <v>0</v>
      </c>
      <c r="CA35" s="118" t="s">
        <v>47</v>
      </c>
      <c r="CB35" s="118" t="s">
        <v>47</v>
      </c>
      <c r="CC35" s="214">
        <f t="shared" si="63"/>
        <v>16693</v>
      </c>
      <c r="CD35" s="161">
        <v>0</v>
      </c>
      <c r="CE35" s="118">
        <v>0</v>
      </c>
      <c r="CF35" s="118">
        <v>0</v>
      </c>
      <c r="CG35" s="214">
        <v>0</v>
      </c>
      <c r="CH35" s="212">
        <v>0</v>
      </c>
      <c r="CI35" s="212">
        <v>0</v>
      </c>
      <c r="CJ35" s="214">
        <f>SUM(CF35:CI35)</f>
        <v>0</v>
      </c>
      <c r="CK35" s="161">
        <v>0</v>
      </c>
      <c r="CL35" s="118">
        <v>0</v>
      </c>
      <c r="CM35" s="214">
        <f>SUM(CI35:CL35)</f>
        <v>0</v>
      </c>
      <c r="CN35" s="161">
        <v>0</v>
      </c>
      <c r="CO35" s="118">
        <v>0</v>
      </c>
      <c r="CP35" s="214">
        <f>SUM(CL35:CO35)</f>
        <v>0</v>
      </c>
      <c r="CQ35" s="161">
        <v>0</v>
      </c>
      <c r="CR35" s="118">
        <v>0</v>
      </c>
      <c r="CS35" s="118">
        <v>0</v>
      </c>
      <c r="CT35" s="214">
        <f>SUM(CP35:CS35)</f>
        <v>0</v>
      </c>
      <c r="CU35" s="161">
        <v>0</v>
      </c>
      <c r="CV35" s="118">
        <v>0</v>
      </c>
      <c r="CW35" s="118">
        <v>0</v>
      </c>
      <c r="CX35" s="214">
        <v>0</v>
      </c>
      <c r="CY35" s="161">
        <v>0</v>
      </c>
      <c r="CZ35" s="118">
        <v>0</v>
      </c>
      <c r="DA35" s="118">
        <v>0</v>
      </c>
      <c r="DB35" s="214">
        <v>0</v>
      </c>
      <c r="DC35" s="161">
        <v>0</v>
      </c>
      <c r="DD35" s="118">
        <v>0</v>
      </c>
      <c r="DE35" s="118">
        <v>0</v>
      </c>
      <c r="DF35" s="214">
        <v>0</v>
      </c>
      <c r="DG35" s="161">
        <v>0</v>
      </c>
      <c r="DH35" s="118">
        <v>0</v>
      </c>
      <c r="DI35" s="118">
        <v>0</v>
      </c>
      <c r="DJ35" s="214">
        <v>0</v>
      </c>
      <c r="DK35" s="161">
        <v>0</v>
      </c>
      <c r="DL35" s="118">
        <v>0</v>
      </c>
      <c r="DM35" s="118">
        <v>0</v>
      </c>
      <c r="DN35" s="214">
        <v>0</v>
      </c>
      <c r="DO35" s="161">
        <v>0</v>
      </c>
      <c r="DP35" s="118">
        <v>0</v>
      </c>
      <c r="DQ35" s="118">
        <v>0</v>
      </c>
      <c r="DR35" s="214">
        <v>0</v>
      </c>
      <c r="DS35" s="161">
        <v>0</v>
      </c>
      <c r="DT35" s="118">
        <v>0</v>
      </c>
      <c r="DU35" s="118">
        <v>0</v>
      </c>
      <c r="DV35" s="214">
        <v>0</v>
      </c>
      <c r="DW35" s="161">
        <v>0</v>
      </c>
      <c r="DX35" s="118">
        <v>0</v>
      </c>
      <c r="DY35" s="118">
        <v>0</v>
      </c>
      <c r="DZ35" s="214">
        <v>0</v>
      </c>
      <c r="EA35" s="161">
        <v>0</v>
      </c>
      <c r="EB35" s="118">
        <v>0</v>
      </c>
      <c r="EC35" s="118">
        <v>0</v>
      </c>
      <c r="ED35" s="214">
        <v>0</v>
      </c>
      <c r="EE35" s="161">
        <v>0</v>
      </c>
      <c r="EF35" s="118">
        <v>0</v>
      </c>
      <c r="EG35" s="118">
        <v>0</v>
      </c>
      <c r="EH35" s="214">
        <v>0</v>
      </c>
      <c r="EI35" s="161">
        <v>0</v>
      </c>
      <c r="EJ35" s="118">
        <v>0</v>
      </c>
      <c r="EK35" s="118">
        <v>0</v>
      </c>
      <c r="EL35" s="214">
        <v>0</v>
      </c>
      <c r="EM35" s="161">
        <v>0</v>
      </c>
      <c r="EN35" s="118">
        <v>0</v>
      </c>
      <c r="EO35" s="118">
        <v>0</v>
      </c>
      <c r="EP35" s="214">
        <v>0</v>
      </c>
      <c r="EQ35" s="161">
        <v>0</v>
      </c>
      <c r="ER35" s="118">
        <v>0</v>
      </c>
      <c r="ES35" s="118">
        <v>0</v>
      </c>
      <c r="ET35" s="214">
        <v>0</v>
      </c>
      <c r="EU35" s="161">
        <v>0</v>
      </c>
      <c r="EV35" s="118">
        <v>0</v>
      </c>
      <c r="EW35" s="118">
        <v>0</v>
      </c>
      <c r="EX35" s="214">
        <v>0</v>
      </c>
      <c r="EY35" s="161">
        <v>0</v>
      </c>
      <c r="EZ35" s="118">
        <v>0</v>
      </c>
      <c r="FA35" s="118">
        <v>0</v>
      </c>
      <c r="FB35" s="214">
        <v>0</v>
      </c>
      <c r="FC35" s="161">
        <v>0</v>
      </c>
      <c r="FD35" s="118">
        <v>0</v>
      </c>
      <c r="FE35" s="118">
        <v>0</v>
      </c>
      <c r="FF35" s="214">
        <v>0</v>
      </c>
      <c r="FG35" s="161">
        <v>0</v>
      </c>
      <c r="FH35" s="118">
        <v>0</v>
      </c>
      <c r="FI35" s="118">
        <v>0</v>
      </c>
      <c r="FJ35" s="214">
        <v>0</v>
      </c>
      <c r="FK35" s="212" t="s">
        <v>47</v>
      </c>
      <c r="FL35" s="212" t="s">
        <v>47</v>
      </c>
      <c r="FM35" s="212" t="s">
        <v>47</v>
      </c>
      <c r="FN35" s="214">
        <v>0</v>
      </c>
      <c r="FO35" s="212" t="s">
        <v>47</v>
      </c>
      <c r="FP35" s="212" t="s">
        <v>47</v>
      </c>
      <c r="FQ35" s="212" t="s">
        <v>47</v>
      </c>
      <c r="FR35" s="214">
        <v>0</v>
      </c>
      <c r="FS35" s="161">
        <v>0</v>
      </c>
      <c r="FT35" s="118" t="s">
        <v>47</v>
      </c>
      <c r="FU35" s="118">
        <v>0</v>
      </c>
      <c r="FV35" s="118">
        <v>0</v>
      </c>
      <c r="FW35" s="118" t="s">
        <v>47</v>
      </c>
      <c r="FX35" s="214">
        <f t="shared" si="58"/>
        <v>0</v>
      </c>
    </row>
    <row r="36" spans="2:180" x14ac:dyDescent="0.2">
      <c r="B36" s="120" t="s">
        <v>480</v>
      </c>
      <c r="C36" s="163">
        <f t="shared" ref="C36:AX36" si="64">SUM(C27:C34)</f>
        <v>0</v>
      </c>
      <c r="D36" s="120">
        <f t="shared" si="64"/>
        <v>0</v>
      </c>
      <c r="E36" s="164">
        <f t="shared" si="64"/>
        <v>234475</v>
      </c>
      <c r="F36" s="163">
        <f t="shared" si="64"/>
        <v>0</v>
      </c>
      <c r="G36" s="120">
        <f t="shared" si="64"/>
        <v>0</v>
      </c>
      <c r="H36" s="120">
        <f t="shared" si="64"/>
        <v>-11015</v>
      </c>
      <c r="I36" s="120">
        <f t="shared" si="64"/>
        <v>-59536</v>
      </c>
      <c r="J36" s="164">
        <f t="shared" si="64"/>
        <v>163924</v>
      </c>
      <c r="K36" s="163">
        <f t="shared" si="64"/>
        <v>0</v>
      </c>
      <c r="L36" s="120">
        <f t="shared" si="64"/>
        <v>0</v>
      </c>
      <c r="M36" s="120">
        <f t="shared" si="64"/>
        <v>0</v>
      </c>
      <c r="N36" s="120">
        <f t="shared" si="64"/>
        <v>655</v>
      </c>
      <c r="O36" s="120">
        <f t="shared" si="64"/>
        <v>-655</v>
      </c>
      <c r="P36" s="164">
        <f t="shared" si="64"/>
        <v>163924</v>
      </c>
      <c r="Q36" s="163">
        <f t="shared" si="64"/>
        <v>0</v>
      </c>
      <c r="R36" s="120">
        <f t="shared" si="64"/>
        <v>0</v>
      </c>
      <c r="S36" s="120">
        <f t="shared" si="64"/>
        <v>0</v>
      </c>
      <c r="T36" s="120">
        <f t="shared" si="64"/>
        <v>0</v>
      </c>
      <c r="U36" s="120">
        <f t="shared" si="64"/>
        <v>0</v>
      </c>
      <c r="V36" s="164">
        <f t="shared" si="64"/>
        <v>163924</v>
      </c>
      <c r="W36" s="163">
        <f t="shared" si="64"/>
        <v>0</v>
      </c>
      <c r="X36" s="120">
        <f t="shared" si="64"/>
        <v>0</v>
      </c>
      <c r="Y36" s="120">
        <f t="shared" si="64"/>
        <v>0</v>
      </c>
      <c r="Z36" s="164">
        <f t="shared" si="64"/>
        <v>163924</v>
      </c>
      <c r="AA36" s="163">
        <f t="shared" si="64"/>
        <v>0</v>
      </c>
      <c r="AB36" s="120">
        <f t="shared" si="64"/>
        <v>0</v>
      </c>
      <c r="AC36" s="120">
        <f t="shared" si="64"/>
        <v>0</v>
      </c>
      <c r="AD36" s="164">
        <f t="shared" si="64"/>
        <v>163924</v>
      </c>
      <c r="AE36" s="163">
        <f t="shared" si="64"/>
        <v>0</v>
      </c>
      <c r="AF36" s="120">
        <f t="shared" si="64"/>
        <v>0</v>
      </c>
      <c r="AG36" s="120">
        <f t="shared" si="64"/>
        <v>0</v>
      </c>
      <c r="AH36" s="164">
        <f t="shared" si="64"/>
        <v>163924</v>
      </c>
      <c r="AI36" s="163">
        <f t="shared" si="64"/>
        <v>0</v>
      </c>
      <c r="AJ36" s="120">
        <f t="shared" si="64"/>
        <v>0</v>
      </c>
      <c r="AK36" s="120">
        <f t="shared" si="64"/>
        <v>0</v>
      </c>
      <c r="AL36" s="164">
        <f t="shared" si="64"/>
        <v>163924</v>
      </c>
      <c r="AM36" s="163">
        <f t="shared" si="64"/>
        <v>0</v>
      </c>
      <c r="AN36" s="120">
        <f t="shared" si="64"/>
        <v>0</v>
      </c>
      <c r="AO36" s="120">
        <f t="shared" si="64"/>
        <v>0</v>
      </c>
      <c r="AP36" s="164">
        <f t="shared" si="64"/>
        <v>163924</v>
      </c>
      <c r="AQ36" s="163">
        <f t="shared" si="64"/>
        <v>0</v>
      </c>
      <c r="AR36" s="120">
        <f t="shared" si="64"/>
        <v>0</v>
      </c>
      <c r="AS36" s="120">
        <f t="shared" si="64"/>
        <v>0</v>
      </c>
      <c r="AT36" s="164">
        <f t="shared" si="64"/>
        <v>163924</v>
      </c>
      <c r="AU36" s="163">
        <f t="shared" si="64"/>
        <v>0</v>
      </c>
      <c r="AV36" s="120">
        <f t="shared" si="64"/>
        <v>0</v>
      </c>
      <c r="AW36" s="120">
        <f t="shared" si="64"/>
        <v>0</v>
      </c>
      <c r="AX36" s="164">
        <f t="shared" si="64"/>
        <v>163924</v>
      </c>
      <c r="AY36" s="120">
        <v>0</v>
      </c>
      <c r="AZ36" s="120">
        <v>0</v>
      </c>
      <c r="BA36" s="120">
        <v>0</v>
      </c>
      <c r="BB36" s="120">
        <v>163924</v>
      </c>
      <c r="BC36" s="163">
        <v>0</v>
      </c>
      <c r="BD36" s="120">
        <v>0</v>
      </c>
      <c r="BE36" s="164">
        <v>163924</v>
      </c>
      <c r="BF36" s="120">
        <v>0</v>
      </c>
      <c r="BG36" s="120">
        <v>0</v>
      </c>
      <c r="BH36" s="120">
        <v>-1364.59871</v>
      </c>
      <c r="BI36" s="120">
        <v>162559.40129000001</v>
      </c>
      <c r="BJ36" s="163">
        <f t="shared" ref="BJ36:BQ36" si="65">SUM(BJ27:BJ34)</f>
        <v>0</v>
      </c>
      <c r="BK36" s="120">
        <f t="shared" si="65"/>
        <v>0</v>
      </c>
      <c r="BL36" s="120">
        <f t="shared" si="65"/>
        <v>0</v>
      </c>
      <c r="BM36" s="164">
        <f t="shared" si="65"/>
        <v>162559.40129000001</v>
      </c>
      <c r="BN36" s="163">
        <f t="shared" si="65"/>
        <v>0</v>
      </c>
      <c r="BO36" s="120">
        <f t="shared" si="65"/>
        <v>0</v>
      </c>
      <c r="BP36" s="120">
        <f t="shared" si="65"/>
        <v>-0.40129000000001724</v>
      </c>
      <c r="BQ36" s="164">
        <f t="shared" si="65"/>
        <v>162559</v>
      </c>
      <c r="BR36" s="163">
        <f t="shared" ref="BR36:CI36" si="66">SUM(BR27:BR35)</f>
        <v>16693</v>
      </c>
      <c r="BS36" s="120">
        <f t="shared" si="66"/>
        <v>0</v>
      </c>
      <c r="BT36" s="120">
        <f t="shared" si="66"/>
        <v>-2527</v>
      </c>
      <c r="BU36" s="164">
        <f t="shared" si="66"/>
        <v>176725</v>
      </c>
      <c r="BV36" s="163">
        <f t="shared" si="66"/>
        <v>0</v>
      </c>
      <c r="BW36" s="120">
        <f t="shared" si="66"/>
        <v>0</v>
      </c>
      <c r="BX36" s="120">
        <f t="shared" si="66"/>
        <v>0</v>
      </c>
      <c r="BY36" s="164">
        <f t="shared" si="66"/>
        <v>176725</v>
      </c>
      <c r="BZ36" s="163">
        <f t="shared" si="66"/>
        <v>0</v>
      </c>
      <c r="CA36" s="120">
        <f t="shared" si="66"/>
        <v>0</v>
      </c>
      <c r="CB36" s="120">
        <f t="shared" si="66"/>
        <v>0</v>
      </c>
      <c r="CC36" s="164">
        <f t="shared" si="66"/>
        <v>176725</v>
      </c>
      <c r="CD36" s="163">
        <f t="shared" si="66"/>
        <v>0</v>
      </c>
      <c r="CE36" s="120">
        <f t="shared" si="66"/>
        <v>0</v>
      </c>
      <c r="CF36" s="120">
        <f t="shared" si="66"/>
        <v>0</v>
      </c>
      <c r="CG36" s="164">
        <f t="shared" si="66"/>
        <v>160032</v>
      </c>
      <c r="CH36" s="163">
        <f t="shared" si="66"/>
        <v>0</v>
      </c>
      <c r="CI36" s="120">
        <f t="shared" si="66"/>
        <v>0</v>
      </c>
      <c r="CJ36" s="164">
        <f>SUM(CJ27:CJ35)</f>
        <v>160032</v>
      </c>
      <c r="CK36" s="163"/>
      <c r="CL36" s="120"/>
      <c r="CM36" s="164">
        <f>SUM(CM27:CM35)</f>
        <v>160032</v>
      </c>
      <c r="CN36" s="163">
        <v>0</v>
      </c>
      <c r="CO36" s="120">
        <v>0</v>
      </c>
      <c r="CP36" s="164">
        <f>SUM(CP27:CP35)</f>
        <v>160032</v>
      </c>
      <c r="CQ36" s="163">
        <f t="shared" ref="CQ36:CX36" si="67">SUM(CQ27:CQ35)</f>
        <v>0</v>
      </c>
      <c r="CR36" s="120">
        <f t="shared" si="67"/>
        <v>0</v>
      </c>
      <c r="CS36" s="120">
        <f t="shared" si="67"/>
        <v>0</v>
      </c>
      <c r="CT36" s="164">
        <f t="shared" si="67"/>
        <v>160032</v>
      </c>
      <c r="CU36" s="163">
        <f t="shared" si="67"/>
        <v>0</v>
      </c>
      <c r="CV36" s="120">
        <f t="shared" si="67"/>
        <v>0</v>
      </c>
      <c r="CW36" s="120">
        <f t="shared" si="67"/>
        <v>0</v>
      </c>
      <c r="CX36" s="164">
        <f t="shared" si="67"/>
        <v>160032</v>
      </c>
      <c r="CY36" s="163">
        <f t="shared" ref="CY36:DF36" si="68">SUM(CY27:CY35)</f>
        <v>0</v>
      </c>
      <c r="CZ36" s="120">
        <f t="shared" si="68"/>
        <v>0</v>
      </c>
      <c r="DA36" s="120">
        <f t="shared" si="68"/>
        <v>0</v>
      </c>
      <c r="DB36" s="164">
        <f t="shared" si="68"/>
        <v>160032</v>
      </c>
      <c r="DC36" s="163">
        <f t="shared" si="68"/>
        <v>0</v>
      </c>
      <c r="DD36" s="120">
        <f t="shared" si="68"/>
        <v>0</v>
      </c>
      <c r="DE36" s="120">
        <f t="shared" si="68"/>
        <v>0</v>
      </c>
      <c r="DF36" s="164">
        <f t="shared" si="68"/>
        <v>160032</v>
      </c>
      <c r="DG36" s="163">
        <f t="shared" ref="DG36:DN36" si="69">SUM(DG27:DG35)</f>
        <v>0</v>
      </c>
      <c r="DH36" s="120">
        <f t="shared" si="69"/>
        <v>0</v>
      </c>
      <c r="DI36" s="120">
        <f t="shared" si="69"/>
        <v>0</v>
      </c>
      <c r="DJ36" s="164">
        <f t="shared" si="69"/>
        <v>160032</v>
      </c>
      <c r="DK36" s="163">
        <f t="shared" si="69"/>
        <v>0</v>
      </c>
      <c r="DL36" s="120">
        <f t="shared" si="69"/>
        <v>0</v>
      </c>
      <c r="DM36" s="120">
        <f t="shared" si="69"/>
        <v>0</v>
      </c>
      <c r="DN36" s="164">
        <f t="shared" si="69"/>
        <v>160032</v>
      </c>
      <c r="DO36" s="163">
        <f t="shared" ref="DO36:EG36" si="70">SUM(DO27:DO35)</f>
        <v>0</v>
      </c>
      <c r="DP36" s="120">
        <f t="shared" si="70"/>
        <v>0</v>
      </c>
      <c r="DQ36" s="120">
        <f t="shared" si="70"/>
        <v>0</v>
      </c>
      <c r="DR36" s="164">
        <f t="shared" si="70"/>
        <v>160032</v>
      </c>
      <c r="DS36" s="163">
        <f t="shared" si="70"/>
        <v>0</v>
      </c>
      <c r="DT36" s="120">
        <f t="shared" si="70"/>
        <v>0</v>
      </c>
      <c r="DU36" s="120">
        <f t="shared" si="70"/>
        <v>0</v>
      </c>
      <c r="DV36" s="164">
        <f t="shared" si="70"/>
        <v>160032</v>
      </c>
      <c r="DW36" s="163">
        <f t="shared" si="70"/>
        <v>0</v>
      </c>
      <c r="DX36" s="120">
        <f t="shared" si="70"/>
        <v>0</v>
      </c>
      <c r="DY36" s="120">
        <f t="shared" si="70"/>
        <v>0</v>
      </c>
      <c r="DZ36" s="164">
        <f t="shared" si="70"/>
        <v>160032</v>
      </c>
      <c r="EA36" s="163">
        <f>SUM(EA27:EA35)</f>
        <v>0</v>
      </c>
      <c r="EB36" s="120">
        <f>SUM(EB27:EB35)</f>
        <v>0</v>
      </c>
      <c r="EC36" s="120">
        <f>SUM(EC27:EC35)</f>
        <v>0</v>
      </c>
      <c r="ED36" s="164">
        <f>SUM(DZ36:EC36)</f>
        <v>160032</v>
      </c>
      <c r="EE36" s="163">
        <f t="shared" si="70"/>
        <v>0</v>
      </c>
      <c r="EF36" s="120">
        <f t="shared" si="70"/>
        <v>0</v>
      </c>
      <c r="EG36" s="120">
        <f t="shared" si="70"/>
        <v>-2</v>
      </c>
      <c r="EH36" s="164">
        <f>SUM(ED36:EG36)</f>
        <v>160030</v>
      </c>
      <c r="EI36" s="163">
        <f>SUM(EI27:EI35)</f>
        <v>0</v>
      </c>
      <c r="EJ36" s="120">
        <f>SUM(EJ27:EJ35)</f>
        <v>0</v>
      </c>
      <c r="EK36" s="120">
        <f>SUM(EK27:EK35)</f>
        <v>2</v>
      </c>
      <c r="EL36" s="164">
        <f>SUM(EH36:EK36)</f>
        <v>160032</v>
      </c>
      <c r="EM36" s="163">
        <f>SUM(EM27:EM35)</f>
        <v>0</v>
      </c>
      <c r="EN36" s="120">
        <f>SUM(EN27:EN35)</f>
        <v>0</v>
      </c>
      <c r="EO36" s="120">
        <f>SUM(EO27:EO35)</f>
        <v>0</v>
      </c>
      <c r="EP36" s="164">
        <f>SUM(EL36:EO36)</f>
        <v>160032</v>
      </c>
      <c r="EQ36" s="163">
        <f>SUM(EQ27:EQ35)</f>
        <v>0</v>
      </c>
      <c r="ER36" s="120">
        <f>SUM(ER27:ER35)</f>
        <v>0</v>
      </c>
      <c r="ES36" s="120">
        <f>SUM(ES27:ES35)</f>
        <v>0</v>
      </c>
      <c r="ET36" s="164">
        <f>SUM(EP36:ES36)</f>
        <v>160032</v>
      </c>
      <c r="EU36" s="163">
        <f>SUM(EU27:EU35)</f>
        <v>0</v>
      </c>
      <c r="EV36" s="120">
        <f>SUM(EV27:EV35)</f>
        <v>0</v>
      </c>
      <c r="EW36" s="120">
        <f>SUM(EW27:EW35)</f>
        <v>0</v>
      </c>
      <c r="EX36" s="164">
        <f>SUM(ET36:EW36)</f>
        <v>160032</v>
      </c>
      <c r="EY36" s="163">
        <f>SUM(EY27:EY35)</f>
        <v>0</v>
      </c>
      <c r="EZ36" s="120">
        <f>SUM(EZ27:EZ35)</f>
        <v>0</v>
      </c>
      <c r="FA36" s="120">
        <f>SUM(FA27:FA35)</f>
        <v>0</v>
      </c>
      <c r="FB36" s="164">
        <f>SUM(EX36:FA36)</f>
        <v>160032</v>
      </c>
      <c r="FC36" s="163">
        <f>SUM(FC27:FC35)</f>
        <v>0</v>
      </c>
      <c r="FD36" s="120">
        <f>SUM(FD27:FD35)</f>
        <v>0</v>
      </c>
      <c r="FE36" s="120">
        <f>SUM(FE27:FE35)</f>
        <v>0</v>
      </c>
      <c r="FF36" s="164">
        <f>SUM(FB36:FE36)</f>
        <v>160032</v>
      </c>
      <c r="FG36" s="163">
        <f>SUM(FG27:FG35)</f>
        <v>0</v>
      </c>
      <c r="FH36" s="120">
        <f>SUM(FH27:FH35)</f>
        <v>0</v>
      </c>
      <c r="FI36" s="120">
        <f>SUM(FI27:FI35)</f>
        <v>0</v>
      </c>
      <c r="FJ36" s="164">
        <f>SUM(FF36:FI36)</f>
        <v>160032</v>
      </c>
      <c r="FK36" s="163">
        <f>SUM(FK27:FK35)</f>
        <v>0</v>
      </c>
      <c r="FL36" s="120">
        <f>SUM(FL27:FL35)</f>
        <v>0</v>
      </c>
      <c r="FM36" s="120">
        <f>SUM(FM27:FM35)</f>
        <v>0</v>
      </c>
      <c r="FN36" s="164">
        <f>SUM(FJ36:FM36)</f>
        <v>160032</v>
      </c>
      <c r="FO36" s="163">
        <f>SUM(FO27:FO35)</f>
        <v>0</v>
      </c>
      <c r="FP36" s="120">
        <f>SUM(FP27:FP35)</f>
        <v>0</v>
      </c>
      <c r="FQ36" s="120">
        <f>SUM(FQ27:FQ35)</f>
        <v>0</v>
      </c>
      <c r="FR36" s="164">
        <f>SUM(FN36:FQ36)</f>
        <v>160032</v>
      </c>
      <c r="FS36" s="163">
        <f>SUM(FS27:FS35)</f>
        <v>0</v>
      </c>
      <c r="FT36" s="208" t="s">
        <v>47</v>
      </c>
      <c r="FU36" s="120">
        <f>SUM(FU27:FU35)</f>
        <v>0</v>
      </c>
      <c r="FV36" s="120">
        <f>SUM(FV27:FV35)</f>
        <v>0</v>
      </c>
      <c r="FW36" s="208" t="s">
        <v>47</v>
      </c>
      <c r="FX36" s="164">
        <f t="shared" si="58"/>
        <v>160032</v>
      </c>
    </row>
    <row r="37" spans="2:180" x14ac:dyDescent="0.2">
      <c r="B37" s="120" t="s">
        <v>490</v>
      </c>
      <c r="C37" s="165">
        <f t="shared" ref="C37:AX37" si="71">SUM(C36,C26,C18)</f>
        <v>851</v>
      </c>
      <c r="D37" s="126">
        <f t="shared" si="71"/>
        <v>-1669</v>
      </c>
      <c r="E37" s="166">
        <f t="shared" si="71"/>
        <v>276561</v>
      </c>
      <c r="F37" s="165">
        <f t="shared" si="71"/>
        <v>-608</v>
      </c>
      <c r="G37" s="126">
        <f t="shared" si="71"/>
        <v>-794</v>
      </c>
      <c r="H37" s="126">
        <f t="shared" si="71"/>
        <v>-23371</v>
      </c>
      <c r="I37" s="126">
        <f t="shared" si="71"/>
        <v>-80256</v>
      </c>
      <c r="J37" s="166">
        <f t="shared" si="71"/>
        <v>171532</v>
      </c>
      <c r="K37" s="165">
        <f t="shared" si="71"/>
        <v>35</v>
      </c>
      <c r="L37" s="126">
        <f t="shared" si="71"/>
        <v>-603</v>
      </c>
      <c r="M37" s="126">
        <f t="shared" si="71"/>
        <v>0</v>
      </c>
      <c r="N37" s="126">
        <f t="shared" si="71"/>
        <v>655</v>
      </c>
      <c r="O37" s="126">
        <f t="shared" si="71"/>
        <v>-655</v>
      </c>
      <c r="P37" s="166">
        <f t="shared" si="71"/>
        <v>170964</v>
      </c>
      <c r="Q37" s="165">
        <f t="shared" si="71"/>
        <v>1497</v>
      </c>
      <c r="R37" s="126">
        <f t="shared" si="71"/>
        <v>-1184</v>
      </c>
      <c r="S37" s="126">
        <f t="shared" si="71"/>
        <v>0</v>
      </c>
      <c r="T37" s="126">
        <f t="shared" si="71"/>
        <v>0</v>
      </c>
      <c r="U37" s="126">
        <f t="shared" si="71"/>
        <v>-39</v>
      </c>
      <c r="V37" s="166">
        <f t="shared" si="71"/>
        <v>171238</v>
      </c>
      <c r="W37" s="165">
        <f t="shared" si="71"/>
        <v>93</v>
      </c>
      <c r="X37" s="126">
        <f t="shared" si="71"/>
        <v>7206</v>
      </c>
      <c r="Y37" s="126">
        <f t="shared" si="71"/>
        <v>-783</v>
      </c>
      <c r="Z37" s="166">
        <f t="shared" si="71"/>
        <v>177754</v>
      </c>
      <c r="AA37" s="165">
        <f t="shared" si="71"/>
        <v>357</v>
      </c>
      <c r="AB37" s="126">
        <f t="shared" si="71"/>
        <v>1395</v>
      </c>
      <c r="AC37" s="126">
        <f t="shared" si="71"/>
        <v>-1018</v>
      </c>
      <c r="AD37" s="166">
        <f t="shared" si="71"/>
        <v>178488</v>
      </c>
      <c r="AE37" s="165">
        <f t="shared" si="71"/>
        <v>245</v>
      </c>
      <c r="AF37" s="126">
        <f t="shared" si="71"/>
        <v>1326</v>
      </c>
      <c r="AG37" s="126">
        <f t="shared" si="71"/>
        <v>-1215</v>
      </c>
      <c r="AH37" s="166">
        <f t="shared" si="71"/>
        <v>178844</v>
      </c>
      <c r="AI37" s="165">
        <f t="shared" si="71"/>
        <v>160</v>
      </c>
      <c r="AJ37" s="126">
        <f t="shared" si="71"/>
        <v>1024</v>
      </c>
      <c r="AK37" s="126">
        <f t="shared" si="71"/>
        <v>-1401</v>
      </c>
      <c r="AL37" s="166">
        <f t="shared" si="71"/>
        <v>178627</v>
      </c>
      <c r="AM37" s="165">
        <f t="shared" si="71"/>
        <v>323</v>
      </c>
      <c r="AN37" s="126">
        <f t="shared" si="71"/>
        <v>44</v>
      </c>
      <c r="AO37" s="126">
        <f t="shared" si="71"/>
        <v>-1408</v>
      </c>
      <c r="AP37" s="166">
        <f t="shared" si="71"/>
        <v>177586</v>
      </c>
      <c r="AQ37" s="165">
        <f t="shared" si="71"/>
        <v>908</v>
      </c>
      <c r="AR37" s="126">
        <f t="shared" si="71"/>
        <v>1981</v>
      </c>
      <c r="AS37" s="126">
        <f t="shared" si="71"/>
        <v>-1192</v>
      </c>
      <c r="AT37" s="166">
        <f t="shared" si="71"/>
        <v>179283</v>
      </c>
      <c r="AU37" s="165">
        <f t="shared" si="71"/>
        <v>311</v>
      </c>
      <c r="AV37" s="126">
        <f t="shared" si="71"/>
        <v>-708</v>
      </c>
      <c r="AW37" s="126">
        <f t="shared" si="71"/>
        <v>-1200</v>
      </c>
      <c r="AX37" s="166">
        <f t="shared" si="71"/>
        <v>177686</v>
      </c>
      <c r="AY37" s="126">
        <v>318</v>
      </c>
      <c r="AZ37" s="126">
        <v>1</v>
      </c>
      <c r="BA37" s="126">
        <v>-1184</v>
      </c>
      <c r="BB37" s="126">
        <v>176821</v>
      </c>
      <c r="BC37" s="165">
        <v>1244</v>
      </c>
      <c r="BD37" s="126">
        <v>-1172</v>
      </c>
      <c r="BE37" s="166">
        <v>176893</v>
      </c>
      <c r="BF37" s="126">
        <v>878</v>
      </c>
      <c r="BG37" s="126">
        <v>-1181</v>
      </c>
      <c r="BH37" s="126">
        <v>-1364.59871</v>
      </c>
      <c r="BI37" s="126">
        <v>175225.40129000001</v>
      </c>
      <c r="BJ37" s="165">
        <f>SUM(BJ36,BJ26,BJ18)</f>
        <v>976</v>
      </c>
      <c r="BK37" s="126">
        <f>SUM(BK36,BK26,BK18)</f>
        <v>-1161</v>
      </c>
      <c r="BL37" s="126">
        <f>SUM(BL36,BL26,BL18)</f>
        <v>0</v>
      </c>
      <c r="BM37" s="166">
        <f>+SUM(BI37:BL37)</f>
        <v>175040.40129000001</v>
      </c>
      <c r="BN37" s="165">
        <f>SUM(BN36,BN26,BN18)</f>
        <v>1273</v>
      </c>
      <c r="BO37" s="126">
        <f>SUM(BO36,BO26,BO18)</f>
        <v>-1186</v>
      </c>
      <c r="BP37" s="126">
        <f>SUM(BP36,BP26,BP18)</f>
        <v>-0.40129000000001724</v>
      </c>
      <c r="BQ37" s="166">
        <f>+SUM(BM37:BP37)</f>
        <v>175127</v>
      </c>
      <c r="BR37" s="165">
        <f>SUM(BR36,BR26,BR18)</f>
        <v>17732</v>
      </c>
      <c r="BS37" s="126">
        <f>SUM(BS36,BS26,BS18)</f>
        <v>-1154</v>
      </c>
      <c r="BT37" s="126">
        <f>SUM(BT36,BT26,BT18)</f>
        <v>-3563</v>
      </c>
      <c r="BU37" s="166">
        <f>+SUM(BQ37:BT37)</f>
        <v>188142</v>
      </c>
      <c r="BV37" s="165">
        <f>SUM(BV36,BV26,BV18)</f>
        <v>897</v>
      </c>
      <c r="BW37" s="126">
        <f>SUM(BW36,BW26,BW18)</f>
        <v>-1158</v>
      </c>
      <c r="BX37" s="126">
        <f>SUM(BX36,BX26,BX18)</f>
        <v>0</v>
      </c>
      <c r="BY37" s="166">
        <f>+SUM(BU37:BX37)</f>
        <v>187881</v>
      </c>
      <c r="BZ37" s="165">
        <f>SUM(BZ36,BZ26,BZ18)</f>
        <v>1443</v>
      </c>
      <c r="CA37" s="126">
        <f>SUM(CA36,CA26,CA18)</f>
        <v>-1193</v>
      </c>
      <c r="CB37" s="126">
        <f>SUM(CB36,CB26,CB18)</f>
        <v>0</v>
      </c>
      <c r="CC37" s="166">
        <f>+SUM(BY37:CB37)</f>
        <v>188131</v>
      </c>
      <c r="CD37" s="165">
        <f>SUM(CD36,CD26,CD18)</f>
        <v>2222</v>
      </c>
      <c r="CE37" s="126">
        <f>SUM(CE36,CE26,CE18)</f>
        <v>-1185</v>
      </c>
      <c r="CF37" s="126">
        <f>SUM(CF36,CF26,CF18)-CC35</f>
        <v>-16714</v>
      </c>
      <c r="CG37" s="166">
        <f>+SUM(CC37:CF37)</f>
        <v>172454</v>
      </c>
      <c r="CH37" s="165">
        <f>SUM(CH36,CH26,CH18)</f>
        <v>1424</v>
      </c>
      <c r="CI37" s="126">
        <f>SUM(CI36,CI26,CI18)</f>
        <v>-1232</v>
      </c>
      <c r="CJ37" s="166">
        <f>+SUM(CG37:CI37)</f>
        <v>172646</v>
      </c>
      <c r="CK37" s="165">
        <f>SUM(CK36,CK26,CK18)</f>
        <v>672</v>
      </c>
      <c r="CL37" s="126">
        <f>SUM(CL36,CL26,CL18)</f>
        <v>-1284</v>
      </c>
      <c r="CM37" s="166">
        <f>+SUM(CJ37:CL37)</f>
        <v>172034</v>
      </c>
      <c r="CN37" s="165">
        <v>874</v>
      </c>
      <c r="CO37" s="126">
        <v>-1319</v>
      </c>
      <c r="CP37" s="166">
        <f>+SUM(CM37:CO37)</f>
        <v>171589</v>
      </c>
      <c r="CQ37" s="165">
        <f>SUM(CQ36,CQ26,CQ18)</f>
        <v>1227</v>
      </c>
      <c r="CR37" s="126">
        <f>SUM(CR36,CR26,CR18)</f>
        <v>-1349</v>
      </c>
      <c r="CS37" s="126">
        <f>SUM(CS36,CS26,CS18)</f>
        <v>-21</v>
      </c>
      <c r="CT37" s="166">
        <f>+SUM(CP37:CS37)</f>
        <v>171446</v>
      </c>
      <c r="CU37" s="165">
        <f>SUM(CU36,CU26,CU18)</f>
        <v>1497</v>
      </c>
      <c r="CV37" s="126">
        <f>SUM(CV36,CV26,CV18)</f>
        <v>-1200</v>
      </c>
      <c r="CW37" s="126">
        <f>SUM(CW36,CW26,CW18)</f>
        <v>-21</v>
      </c>
      <c r="CX37" s="166">
        <f>+SUM(CT37:CW37)</f>
        <v>171722</v>
      </c>
      <c r="CY37" s="165">
        <f>SUM(CY36,CY26,CY18)</f>
        <v>961</v>
      </c>
      <c r="CZ37" s="126">
        <f>SUM(CZ36,CZ26,CZ18)</f>
        <v>-1042</v>
      </c>
      <c r="DA37" s="126">
        <f>SUM(DA36,DA26,DA18)</f>
        <v>51</v>
      </c>
      <c r="DB37" s="166">
        <f>+SUM(CX37:DA37)-CX35</f>
        <v>171692</v>
      </c>
      <c r="DC37" s="165">
        <f>SUM(DC36,DC26,DC18)</f>
        <v>633</v>
      </c>
      <c r="DD37" s="126">
        <f>SUM(DD36,DD26,DD18)</f>
        <v>-1051</v>
      </c>
      <c r="DE37" s="126">
        <f>SUM(DE36,DE26,DE18)</f>
        <v>-50</v>
      </c>
      <c r="DF37" s="166">
        <f>+SUM(DB37:DE37)-DB35</f>
        <v>171224</v>
      </c>
      <c r="DG37" s="165">
        <f>SUM(DG36,DG26,DG18)</f>
        <v>766</v>
      </c>
      <c r="DH37" s="126">
        <f>SUM(DH36,DH26,DH18)</f>
        <v>-1026</v>
      </c>
      <c r="DI37" s="126">
        <f>SUM(DI36,DI26,DI18)</f>
        <v>-195</v>
      </c>
      <c r="DJ37" s="166">
        <f>+SUM(DF37:DI37)-DF35</f>
        <v>170769</v>
      </c>
      <c r="DK37" s="165">
        <f>SUM(DK36,DK26,DK18)</f>
        <v>1791</v>
      </c>
      <c r="DL37" s="126">
        <f>SUM(DL36,DL26,DL18)</f>
        <v>-1028</v>
      </c>
      <c r="DM37" s="126">
        <f>SUM(DM36,DM26,DM18)</f>
        <v>43</v>
      </c>
      <c r="DN37" s="166">
        <f>+SUM(DJ37:DM37)</f>
        <v>171575</v>
      </c>
      <c r="DO37" s="165">
        <f>SUM(DO36,DO26,DO18)</f>
        <v>1091</v>
      </c>
      <c r="DP37" s="126">
        <f>SUM(DP36,DP26,DP18)</f>
        <v>-1046</v>
      </c>
      <c r="DQ37" s="126">
        <f>SUM(DQ36,DQ26,DQ18)</f>
        <v>125</v>
      </c>
      <c r="DR37" s="166">
        <f>+SUM(DN37:DQ37)-DN35</f>
        <v>171745</v>
      </c>
      <c r="DS37" s="165">
        <f>SUM(DS36,DS26,DS18)</f>
        <v>1227</v>
      </c>
      <c r="DT37" s="126">
        <f>SUM(DT36,DT26,DT18)</f>
        <v>-1074</v>
      </c>
      <c r="DU37" s="126">
        <f>SUM(DU36,DU26,DU18)</f>
        <v>0</v>
      </c>
      <c r="DV37" s="166">
        <f>+SUM(DR37:DU37)-DR35</f>
        <v>171898</v>
      </c>
      <c r="DW37" s="165">
        <f>SUM(DW36,DW26,DW18)</f>
        <v>1786</v>
      </c>
      <c r="DX37" s="126">
        <f>SUM(DX36,DX26,DX18)</f>
        <v>-1125</v>
      </c>
      <c r="DY37" s="126">
        <f>SUM(DY36,DY26,DY18)</f>
        <v>-6</v>
      </c>
      <c r="DZ37" s="166">
        <f>+SUM(DV37:DY37)-DV35</f>
        <v>172553</v>
      </c>
      <c r="EA37" s="165">
        <f>SUM(EA36,EA26,EA18)</f>
        <v>2182</v>
      </c>
      <c r="EB37" s="126">
        <f>SUM(EB36,EB26,EB18)</f>
        <v>-1203</v>
      </c>
      <c r="EC37" s="126">
        <f>SUM(EC36,EC26,EC18)</f>
        <v>0</v>
      </c>
      <c r="ED37" s="166">
        <f>SUM(DZ37:EC37)</f>
        <v>173532</v>
      </c>
      <c r="EE37" s="165">
        <f>SUM(EE36,EE26,EE18)</f>
        <v>886</v>
      </c>
      <c r="EF37" s="126">
        <f>SUM(EF36,EF26,EF18)</f>
        <v>-1223</v>
      </c>
      <c r="EG37" s="126">
        <f>SUM(EG36,EG26,EG18)</f>
        <v>1</v>
      </c>
      <c r="EH37" s="166">
        <f>SUM(ED37:EG37)</f>
        <v>173196</v>
      </c>
      <c r="EI37" s="165">
        <f>SUM(EI36,EI26,EI18)</f>
        <v>2323</v>
      </c>
      <c r="EJ37" s="126">
        <f>SUM(EJ36,EJ26,EJ18)</f>
        <v>-1240</v>
      </c>
      <c r="EK37" s="126">
        <f>SUM(EK36,EK26,EK18)</f>
        <v>-1</v>
      </c>
      <c r="EL37" s="166">
        <f>SUM(EH37:EK37)</f>
        <v>174278</v>
      </c>
      <c r="EM37" s="165">
        <f>SUM(EM36,EM26,EM18)</f>
        <v>3171</v>
      </c>
      <c r="EN37" s="126">
        <f>SUM(EN36,EN26,EN18)</f>
        <v>-1330</v>
      </c>
      <c r="EO37" s="126">
        <f>SUM(EO36,EO26,EO18)</f>
        <v>-15</v>
      </c>
      <c r="EP37" s="166">
        <f>SUM(EL37:EO37)</f>
        <v>176104</v>
      </c>
      <c r="EQ37" s="165">
        <f>SUM(EQ36,EQ26,EQ18)</f>
        <v>2642</v>
      </c>
      <c r="ER37" s="126">
        <f>SUM(ER36,ER26,ER18)</f>
        <v>-1407</v>
      </c>
      <c r="ES37" s="126">
        <f>SUM(ES36,ES26,ES18)</f>
        <v>-25</v>
      </c>
      <c r="ET37" s="166">
        <f>SUM(EP37:ES37)</f>
        <v>177314</v>
      </c>
      <c r="EU37" s="165">
        <f>SUM(EU36,EU26,EU18)</f>
        <v>1536</v>
      </c>
      <c r="EV37" s="126">
        <f>SUM(EV36,EV26,EV18)</f>
        <v>-1490</v>
      </c>
      <c r="EW37" s="126">
        <f>SUM(EW36,EW26,EW18)</f>
        <v>25</v>
      </c>
      <c r="EX37" s="166">
        <f>SUM(ET37:EW37)</f>
        <v>177385</v>
      </c>
      <c r="EY37" s="165">
        <f>SUM(EY36,EY26,EY18)</f>
        <v>1381</v>
      </c>
      <c r="EZ37" s="126">
        <f>SUM(EZ36,EZ26,EZ18)</f>
        <v>-1523</v>
      </c>
      <c r="FA37" s="126">
        <f>SUM(FA36,FA26,FA18)</f>
        <v>-24</v>
      </c>
      <c r="FB37" s="166">
        <f>SUM(EX37:FA37)</f>
        <v>177219</v>
      </c>
      <c r="FC37" s="165">
        <f>SUM(FC36,FC26,FC18)</f>
        <v>1057</v>
      </c>
      <c r="FD37" s="126">
        <f>SUM(FD36,FD26,FD18)</f>
        <v>-1496</v>
      </c>
      <c r="FE37" s="126">
        <f>SUM(FE36,FE26,FE18)</f>
        <v>0</v>
      </c>
      <c r="FF37" s="166">
        <f>SUM(FB37:FE37)</f>
        <v>176780</v>
      </c>
      <c r="FG37" s="165">
        <f>SUM(FG36,FG26,FG18)</f>
        <v>3359</v>
      </c>
      <c r="FH37" s="126">
        <f>SUM(FH36,FH26,FH18)</f>
        <v>-1477</v>
      </c>
      <c r="FI37" s="126">
        <f>SUM(FI36,FI26,FI18)</f>
        <v>3638</v>
      </c>
      <c r="FJ37" s="166">
        <f>SUM(FF37:FI37)</f>
        <v>182300</v>
      </c>
      <c r="FK37" s="165">
        <f>SUM(FK36,FK26,FK18)</f>
        <v>3085</v>
      </c>
      <c r="FL37" s="126">
        <f>SUM(FL36,FL26,FL18)</f>
        <v>-1492</v>
      </c>
      <c r="FM37" s="126">
        <f>SUM(FM36,FM26,FM18)</f>
        <v>0</v>
      </c>
      <c r="FN37" s="166">
        <f>SUM(FJ37:FM37)</f>
        <v>183893</v>
      </c>
      <c r="FO37" s="165">
        <f>SUM(FO36,FO26,FO18)</f>
        <v>3085</v>
      </c>
      <c r="FP37" s="126">
        <f>SUM(FP36,FP26,FP18)</f>
        <v>-1492</v>
      </c>
      <c r="FQ37" s="126">
        <f>SUM(FQ36,FQ26,FQ18)</f>
        <v>0</v>
      </c>
      <c r="FR37" s="166">
        <f>SUM(FN37:FQ37)</f>
        <v>185486</v>
      </c>
      <c r="FS37" s="165">
        <f>SUM(FS36,FS26,FS18)</f>
        <v>7197</v>
      </c>
      <c r="FT37" s="1244" t="s">
        <v>47</v>
      </c>
      <c r="FU37" s="126">
        <f>SUM(FU36,FU26,FU18)</f>
        <v>-1718</v>
      </c>
      <c r="FV37" s="126">
        <f>SUM(FV36,FV26,FV18)</f>
        <v>0</v>
      </c>
      <c r="FW37" s="126">
        <f>SUM(FW36,FW26,FW18)</f>
        <v>-22</v>
      </c>
      <c r="FX37" s="166">
        <f>SUM(FR37:FW37)</f>
        <v>190943</v>
      </c>
    </row>
    <row r="38" spans="2:180" s="190" customFormat="1" x14ac:dyDescent="0.2">
      <c r="E38" s="190">
        <f>+E37-BalSheet!S36</f>
        <v>0</v>
      </c>
      <c r="J38" s="190">
        <f>+J37-BalSheet!T36</f>
        <v>0</v>
      </c>
      <c r="P38" s="190">
        <f>+P37-BalSheet!U36</f>
        <v>0</v>
      </c>
      <c r="V38" s="190">
        <f>+V37-BalSheet!V36</f>
        <v>0</v>
      </c>
      <c r="Z38" s="190">
        <f>+Z37-BalSheet!W36</f>
        <v>0</v>
      </c>
      <c r="AD38" s="190">
        <f>+AD37-BalSheet!X36</f>
        <v>0</v>
      </c>
      <c r="AH38" s="190">
        <f>+AH37-BalSheet!Y36</f>
        <v>0</v>
      </c>
      <c r="AL38" s="190">
        <f>+AL37-BalSheet!Z36</f>
        <v>0</v>
      </c>
      <c r="AP38" s="190">
        <f>+AP37-BalSheet!AA36</f>
        <v>0</v>
      </c>
      <c r="AT38" s="190">
        <f>+AT37-BalSheet!AB36</f>
        <v>0</v>
      </c>
      <c r="AX38" s="190">
        <f>+AX37-BalSheet!AC36</f>
        <v>0</v>
      </c>
      <c r="BB38" s="190">
        <v>0</v>
      </c>
      <c r="BE38" s="190">
        <v>0</v>
      </c>
      <c r="BI38" s="190">
        <v>-0.40129000000888482</v>
      </c>
      <c r="BM38" s="190">
        <f>BalSheet!AG36-BM37</f>
        <v>-0.40129000000888482</v>
      </c>
      <c r="BQ38" s="190">
        <f>BalSheet!AH36-BQ37</f>
        <v>0</v>
      </c>
      <c r="BU38" s="190">
        <f>BalSheet!AI36-BU37</f>
        <v>0</v>
      </c>
      <c r="BY38" s="190">
        <f>BalSheet!AJ36-BY37</f>
        <v>0</v>
      </c>
      <c r="CG38" s="190">
        <f>BalSheet!AL36-CG37</f>
        <v>0</v>
      </c>
      <c r="CJ38" s="190">
        <v>0</v>
      </c>
      <c r="CQ38" s="996"/>
      <c r="CR38" s="996"/>
      <c r="CS38" s="996"/>
      <c r="CT38" s="996"/>
      <c r="CU38" s="996"/>
      <c r="CV38" s="996"/>
      <c r="CW38" s="996"/>
      <c r="CX38" s="996">
        <f>BalSheet!AQ36-CX37</f>
        <v>50</v>
      </c>
      <c r="CY38" s="996"/>
      <c r="CZ38" s="996"/>
      <c r="DA38" s="996"/>
      <c r="DB38" s="996"/>
      <c r="DC38" s="996"/>
      <c r="DD38" s="996"/>
      <c r="DE38" s="996"/>
      <c r="DF38" s="996"/>
      <c r="DG38" s="996"/>
      <c r="DH38" s="996"/>
      <c r="DI38" s="996"/>
      <c r="DJ38" s="996"/>
      <c r="DK38" s="996"/>
      <c r="DL38" s="996"/>
      <c r="DM38" s="996"/>
      <c r="DN38" s="996"/>
      <c r="DO38" s="996"/>
      <c r="DP38" s="996"/>
      <c r="DQ38" s="996"/>
      <c r="DR38" s="996"/>
      <c r="DS38" s="996"/>
      <c r="DT38" s="996"/>
      <c r="DU38" s="996"/>
      <c r="DV38" s="996"/>
      <c r="DW38" s="996"/>
      <c r="DX38" s="996"/>
      <c r="DY38" s="996"/>
      <c r="DZ38" s="996"/>
      <c r="EA38" s="996"/>
      <c r="EB38" s="996"/>
      <c r="EC38" s="996"/>
      <c r="ED38" s="1185"/>
      <c r="EE38" s="996"/>
      <c r="EF38" s="996"/>
      <c r="EG38" s="996"/>
      <c r="EH38" s="996"/>
      <c r="EI38" s="996"/>
      <c r="EJ38" s="996"/>
      <c r="EK38" s="996"/>
      <c r="EL38" s="996"/>
      <c r="EM38" s="996"/>
      <c r="EN38" s="996"/>
      <c r="EO38" s="996"/>
      <c r="EP38" s="996"/>
      <c r="EQ38" s="996"/>
      <c r="ER38" s="996"/>
      <c r="ES38" s="996"/>
      <c r="ET38" s="996"/>
      <c r="EU38" s="996"/>
      <c r="EV38" s="996"/>
      <c r="EW38" s="996"/>
      <c r="EX38" s="996"/>
      <c r="EY38" s="996"/>
      <c r="EZ38" s="996"/>
      <c r="FA38" s="996"/>
      <c r="FB38" s="996"/>
      <c r="FC38" s="996"/>
      <c r="FD38" s="996"/>
      <c r="FE38" s="996"/>
      <c r="FF38" s="996"/>
      <c r="FG38" s="996"/>
      <c r="FH38" s="996"/>
      <c r="FI38" s="996"/>
      <c r="FJ38" s="996"/>
      <c r="FK38" s="996"/>
      <c r="FL38" s="996"/>
      <c r="FM38" s="996"/>
      <c r="FN38" s="996"/>
      <c r="FO38" s="996"/>
      <c r="FP38" s="996"/>
      <c r="FQ38" s="996"/>
      <c r="FR38" s="996"/>
      <c r="FS38" s="996"/>
      <c r="FT38" s="996"/>
      <c r="FU38" s="996"/>
      <c r="FV38" s="996"/>
      <c r="FW38" s="996"/>
    </row>
    <row r="39" spans="2:180" s="329" customFormat="1" x14ac:dyDescent="0.2">
      <c r="CQ39" s="551"/>
      <c r="CR39" s="551"/>
      <c r="CS39" s="551" t="s">
        <v>124</v>
      </c>
      <c r="CT39" s="551" t="s">
        <v>127</v>
      </c>
      <c r="CU39" s="551" t="s">
        <v>140</v>
      </c>
      <c r="CV39" s="551" t="s">
        <v>143</v>
      </c>
      <c r="CW39" s="551" t="s">
        <v>145</v>
      </c>
      <c r="CX39" s="551" t="s">
        <v>146</v>
      </c>
      <c r="CY39" s="551" t="s">
        <v>158</v>
      </c>
      <c r="CZ39" s="551" t="s">
        <v>159</v>
      </c>
      <c r="DA39" s="551" t="s">
        <v>160</v>
      </c>
      <c r="DB39" s="551" t="s">
        <v>161</v>
      </c>
      <c r="DC39" s="551" t="s">
        <v>853</v>
      </c>
      <c r="DD39" s="551" t="s">
        <v>854</v>
      </c>
      <c r="DE39" s="551" t="s">
        <v>855</v>
      </c>
      <c r="DF39" s="551" t="s">
        <v>856</v>
      </c>
      <c r="DG39" s="551" t="s">
        <v>991</v>
      </c>
      <c r="DH39" s="551" t="s">
        <v>992</v>
      </c>
      <c r="DI39" s="551" t="s">
        <v>1003</v>
      </c>
      <c r="DJ39" s="551" t="s">
        <v>1004</v>
      </c>
      <c r="DK39" s="551" t="s">
        <v>991</v>
      </c>
      <c r="DL39" s="551" t="s">
        <v>992</v>
      </c>
      <c r="DM39" s="551" t="s">
        <v>1003</v>
      </c>
      <c r="DN39" s="551" t="s">
        <v>1004</v>
      </c>
      <c r="DO39" s="551" t="s">
        <v>991</v>
      </c>
      <c r="DP39" s="551" t="s">
        <v>992</v>
      </c>
      <c r="DQ39" s="551" t="s">
        <v>1003</v>
      </c>
      <c r="DR39" s="551" t="s">
        <v>1004</v>
      </c>
      <c r="DS39" s="551" t="s">
        <v>991</v>
      </c>
      <c r="DT39" s="551" t="s">
        <v>992</v>
      </c>
      <c r="DU39" s="551" t="s">
        <v>1003</v>
      </c>
      <c r="DV39" s="551" t="s">
        <v>1004</v>
      </c>
      <c r="DW39" s="551" t="s">
        <v>991</v>
      </c>
      <c r="DX39" s="551" t="s">
        <v>992</v>
      </c>
      <c r="DY39" s="551" t="s">
        <v>1003</v>
      </c>
      <c r="DZ39" s="551" t="s">
        <v>1004</v>
      </c>
      <c r="EA39" s="551" t="s">
        <v>991</v>
      </c>
      <c r="EB39" s="551" t="s">
        <v>992</v>
      </c>
      <c r="EC39" s="551" t="s">
        <v>1003</v>
      </c>
      <c r="ED39" s="551" t="s">
        <v>1004</v>
      </c>
      <c r="EE39" s="551" t="s">
        <v>991</v>
      </c>
      <c r="EF39" s="551" t="s">
        <v>992</v>
      </c>
      <c r="EG39" s="551" t="s">
        <v>1003</v>
      </c>
      <c r="EH39" s="551" t="s">
        <v>1004</v>
      </c>
      <c r="EI39" s="551" t="s">
        <v>991</v>
      </c>
      <c r="EJ39" s="551" t="s">
        <v>992</v>
      </c>
      <c r="EK39" s="551" t="s">
        <v>1003</v>
      </c>
      <c r="EL39" s="551" t="s">
        <v>1004</v>
      </c>
      <c r="EM39" s="551" t="s">
        <v>991</v>
      </c>
      <c r="EN39" s="551" t="s">
        <v>992</v>
      </c>
      <c r="EO39" s="551" t="s">
        <v>1003</v>
      </c>
      <c r="EP39" s="551" t="s">
        <v>1004</v>
      </c>
      <c r="EQ39" s="551" t="s">
        <v>991</v>
      </c>
      <c r="ER39" s="551" t="s">
        <v>992</v>
      </c>
      <c r="ES39" s="551" t="s">
        <v>1003</v>
      </c>
      <c r="ET39" s="551" t="s">
        <v>1004</v>
      </c>
      <c r="EU39" s="551" t="s">
        <v>991</v>
      </c>
      <c r="EV39" s="551" t="s">
        <v>992</v>
      </c>
      <c r="EW39" s="551" t="s">
        <v>1003</v>
      </c>
      <c r="EX39" s="551" t="s">
        <v>1004</v>
      </c>
      <c r="EY39" s="551" t="s">
        <v>991</v>
      </c>
      <c r="EZ39" s="551" t="s">
        <v>992</v>
      </c>
      <c r="FA39" s="551" t="s">
        <v>1003</v>
      </c>
      <c r="FB39" s="551" t="s">
        <v>1004</v>
      </c>
      <c r="FC39" s="551" t="s">
        <v>991</v>
      </c>
      <c r="FD39" s="551" t="s">
        <v>992</v>
      </c>
      <c r="FE39" s="551" t="s">
        <v>1003</v>
      </c>
      <c r="FF39" s="551" t="s">
        <v>1004</v>
      </c>
      <c r="FG39" s="551" t="s">
        <v>991</v>
      </c>
      <c r="FH39" s="551" t="s">
        <v>992</v>
      </c>
      <c r="FI39" s="551" t="s">
        <v>1003</v>
      </c>
      <c r="FJ39" s="551" t="s">
        <v>1004</v>
      </c>
      <c r="FK39" s="551"/>
      <c r="FL39" s="551"/>
      <c r="FM39" s="551"/>
      <c r="FN39" s="551"/>
      <c r="FO39" s="551"/>
      <c r="FP39" s="551"/>
      <c r="FQ39" s="551"/>
      <c r="FR39" s="551"/>
      <c r="FS39" s="551" t="s">
        <v>991</v>
      </c>
      <c r="FT39" s="551"/>
      <c r="FU39" s="551" t="s">
        <v>992</v>
      </c>
      <c r="FV39" s="551" t="s">
        <v>1003</v>
      </c>
      <c r="FW39" s="551"/>
      <c r="FX39" s="551" t="s">
        <v>1004</v>
      </c>
    </row>
    <row r="40" spans="2:180" s="331" customFormat="1" x14ac:dyDescent="0.2">
      <c r="CS40" s="331">
        <f>AX36</f>
        <v>163924</v>
      </c>
      <c r="CT40" s="331">
        <f>BB36</f>
        <v>163924</v>
      </c>
      <c r="CU40" s="331">
        <f>BE36</f>
        <v>163924</v>
      </c>
      <c r="CV40" s="331">
        <f>BI36</f>
        <v>162559.40129000001</v>
      </c>
      <c r="CW40" s="331">
        <f>BM36</f>
        <v>162559.40129000001</v>
      </c>
      <c r="CX40" s="331">
        <f>BQ36</f>
        <v>162559</v>
      </c>
      <c r="CY40" s="331">
        <f>BU36</f>
        <v>176725</v>
      </c>
      <c r="CZ40" s="331">
        <f>BY36</f>
        <v>176725</v>
      </c>
      <c r="DA40" s="331">
        <f>CC36</f>
        <v>176725</v>
      </c>
      <c r="DB40" s="331">
        <f>CG36</f>
        <v>160032</v>
      </c>
      <c r="DC40" s="331">
        <f>CJ36</f>
        <v>160032</v>
      </c>
      <c r="DD40" s="331">
        <f>CM36</f>
        <v>160032</v>
      </c>
      <c r="DE40" s="331">
        <f>CP36</f>
        <v>160032</v>
      </c>
      <c r="DF40" s="331">
        <f>CT36</f>
        <v>160032</v>
      </c>
      <c r="DG40" s="331">
        <f>CX36</f>
        <v>160032</v>
      </c>
      <c r="DH40" s="331">
        <f>DB36</f>
        <v>160032</v>
      </c>
      <c r="DI40" s="331">
        <f>DF36</f>
        <v>160032</v>
      </c>
      <c r="DJ40" s="331">
        <f>DJ36</f>
        <v>160032</v>
      </c>
      <c r="DK40" s="331">
        <f>DB36</f>
        <v>160032</v>
      </c>
      <c r="DL40" s="331">
        <f>DF36</f>
        <v>160032</v>
      </c>
      <c r="DM40" s="331">
        <f>DJ36</f>
        <v>160032</v>
      </c>
      <c r="DN40" s="331">
        <f>DB36</f>
        <v>160032</v>
      </c>
      <c r="DO40" s="331">
        <f>DF36</f>
        <v>160032</v>
      </c>
      <c r="DP40" s="331">
        <f>DJ36</f>
        <v>160032</v>
      </c>
      <c r="DQ40" s="331">
        <f>DN36</f>
        <v>160032</v>
      </c>
      <c r="DR40" s="331">
        <f>DR36</f>
        <v>160032</v>
      </c>
      <c r="DS40" s="331">
        <f>DV36</f>
        <v>160032</v>
      </c>
      <c r="DT40" s="331">
        <f>DZ36</f>
        <v>160032</v>
      </c>
      <c r="DX40" s="331">
        <f>ED36</f>
        <v>160032</v>
      </c>
      <c r="DY40" s="1205"/>
      <c r="DZ40" s="1205"/>
      <c r="EA40" s="1205"/>
      <c r="EB40" s="1205"/>
      <c r="EC40" s="1205"/>
      <c r="ED40" s="1205"/>
      <c r="EE40" s="1205"/>
      <c r="EF40" s="1205"/>
      <c r="EG40" s="1205"/>
      <c r="EH40" s="1205"/>
      <c r="EI40" s="1205"/>
      <c r="EJ40" s="1205"/>
      <c r="EK40" s="1205"/>
      <c r="EL40" s="1205"/>
      <c r="EM40" s="1205"/>
      <c r="EN40" s="1205"/>
      <c r="EO40" s="1205"/>
      <c r="EP40" s="1205"/>
      <c r="EQ40" s="1205"/>
      <c r="ER40" s="1205"/>
      <c r="ES40" s="1205"/>
      <c r="ET40" s="1205"/>
      <c r="EU40" s="1205"/>
      <c r="EV40" s="1205"/>
      <c r="EW40" s="1205"/>
      <c r="EX40" s="1205"/>
      <c r="EY40" s="1205"/>
      <c r="EZ40" s="1205"/>
      <c r="FA40" s="1205"/>
      <c r="FB40" s="1205"/>
      <c r="FC40" s="1205"/>
      <c r="FD40" s="1205"/>
      <c r="FE40" s="1205"/>
      <c r="FF40" s="1205"/>
      <c r="FG40" s="1205"/>
      <c r="FH40" s="1205"/>
      <c r="FI40" s="1205"/>
      <c r="FJ40" s="1205"/>
      <c r="FK40" s="1205"/>
      <c r="FL40" s="1205"/>
      <c r="FM40" s="1205"/>
      <c r="FN40" s="1205"/>
      <c r="FO40" s="1205"/>
      <c r="FP40" s="1205"/>
      <c r="FQ40" s="1205"/>
      <c r="FR40" s="1205"/>
      <c r="FS40" s="1205"/>
      <c r="FT40" s="1205"/>
      <c r="FU40" s="1205"/>
      <c r="FV40" s="1205"/>
      <c r="FW40" s="1205"/>
      <c r="FX40" s="1205"/>
    </row>
    <row r="41" spans="2:180" s="329" customFormat="1" x14ac:dyDescent="0.2">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row>
    <row r="42" spans="2:180" s="329" customFormat="1" x14ac:dyDescent="0.2">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row>
    <row r="43" spans="2:180" s="329" customFormat="1" x14ac:dyDescent="0.2"/>
    <row r="44" spans="2:180" s="329" customFormat="1" x14ac:dyDescent="0.2"/>
    <row r="45" spans="2:180" s="329" customFormat="1" x14ac:dyDescent="0.2"/>
    <row r="46" spans="2:180" s="329" customFormat="1" x14ac:dyDescent="0.2"/>
    <row r="47" spans="2:180" s="329" customFormat="1" x14ac:dyDescent="0.2"/>
    <row r="48" spans="2:180" s="329" customFormat="1" x14ac:dyDescent="0.2"/>
    <row r="49" s="329" customFormat="1" x14ac:dyDescent="0.2"/>
    <row r="50" s="329" customFormat="1" x14ac:dyDescent="0.2"/>
    <row r="51" s="329" customFormat="1" x14ac:dyDescent="0.2"/>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41">
    <pageSetUpPr autoPageBreaks="0"/>
  </sheetPr>
  <dimension ref="B1:AU33"/>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U5" sqref="AU5"/>
    </sheetView>
  </sheetViews>
  <sheetFormatPr defaultRowHeight="12.75" outlineLevelRow="1" x14ac:dyDescent="0.2"/>
  <cols>
    <col min="1" max="1" width="1.7109375" customWidth="1"/>
    <col min="2" max="2" width="42.28515625" bestFit="1" customWidth="1"/>
    <col min="3" max="20" width="10.7109375" customWidth="1"/>
  </cols>
  <sheetData>
    <row r="1" spans="2:47" s="551" customFormat="1" ht="7.5" customHeight="1" x14ac:dyDescent="0.2"/>
    <row r="2" spans="2:47" s="551" customFormat="1" ht="12.75" customHeight="1" x14ac:dyDescent="0.2"/>
    <row r="3" spans="2:47" ht="12.75" customHeight="1" x14ac:dyDescent="0.2">
      <c r="V3" s="551"/>
      <c r="W3" s="551"/>
      <c r="X3" s="551"/>
      <c r="Y3" s="551"/>
      <c r="Z3" s="551"/>
      <c r="AA3" s="551"/>
      <c r="AB3" s="551"/>
      <c r="AC3" s="551"/>
      <c r="AD3" s="551"/>
      <c r="AE3" s="551"/>
      <c r="AF3" s="551"/>
      <c r="AG3" s="551"/>
      <c r="AH3" s="551"/>
      <c r="AI3" s="551"/>
      <c r="AJ3" s="551"/>
      <c r="AK3" s="551"/>
      <c r="AL3" s="551"/>
      <c r="AM3" s="551"/>
      <c r="AN3" s="551"/>
      <c r="AO3" s="551"/>
      <c r="AP3" s="551"/>
      <c r="AQ3" s="551"/>
      <c r="AR3" s="329"/>
      <c r="AS3" s="329"/>
      <c r="AT3" s="329"/>
      <c r="AU3" s="329"/>
    </row>
    <row r="4" spans="2:47" ht="12.75" customHeight="1" x14ac:dyDescent="0.2">
      <c r="C4" s="1250" t="s">
        <v>1435</v>
      </c>
      <c r="D4" s="1251"/>
      <c r="E4" s="225" t="s">
        <v>1439</v>
      </c>
    </row>
    <row r="5" spans="2:47" x14ac:dyDescent="0.2">
      <c r="B5" s="146" t="s">
        <v>391</v>
      </c>
      <c r="C5" s="115" t="s">
        <v>622</v>
      </c>
      <c r="D5" s="115" t="s">
        <v>471</v>
      </c>
      <c r="E5" s="223" t="s">
        <v>472</v>
      </c>
      <c r="F5" s="115" t="s">
        <v>473</v>
      </c>
      <c r="G5" s="115" t="s">
        <v>474</v>
      </c>
      <c r="H5" s="115" t="s">
        <v>475</v>
      </c>
      <c r="I5" s="115" t="s">
        <v>476</v>
      </c>
      <c r="J5" s="115" t="s">
        <v>477</v>
      </c>
      <c r="K5" s="115" t="s">
        <v>478</v>
      </c>
      <c r="L5" s="115" t="s">
        <v>479</v>
      </c>
      <c r="M5" s="115" t="s">
        <v>371</v>
      </c>
      <c r="N5" s="115" t="s">
        <v>372</v>
      </c>
      <c r="O5" s="115" t="s">
        <v>373</v>
      </c>
      <c r="P5" s="115" t="s">
        <v>374</v>
      </c>
      <c r="Q5" s="115" t="s">
        <v>375</v>
      </c>
      <c r="R5" s="115" t="s">
        <v>376</v>
      </c>
      <c r="S5" s="115" t="s">
        <v>694</v>
      </c>
      <c r="T5" s="115" t="s">
        <v>758</v>
      </c>
      <c r="U5" s="115" t="s">
        <v>771</v>
      </c>
      <c r="V5" s="115" t="s">
        <v>788</v>
      </c>
      <c r="W5" s="115" t="s">
        <v>844</v>
      </c>
      <c r="X5" s="115" t="s">
        <v>862</v>
      </c>
      <c r="Y5" s="115" t="s">
        <v>922</v>
      </c>
      <c r="Z5" s="115" t="s">
        <v>923</v>
      </c>
      <c r="AA5" s="115" t="s">
        <v>924</v>
      </c>
      <c r="AB5" s="115" t="s">
        <v>995</v>
      </c>
      <c r="AC5" s="115" t="s">
        <v>1027</v>
      </c>
      <c r="AD5" s="115" t="s">
        <v>1028</v>
      </c>
      <c r="AE5" s="115" t="s">
        <v>993</v>
      </c>
      <c r="AF5" s="115" t="s">
        <v>1124</v>
      </c>
      <c r="AG5" s="115" t="s">
        <v>1125</v>
      </c>
      <c r="AH5" s="115" t="s">
        <v>1126</v>
      </c>
      <c r="AI5" s="115" t="s">
        <v>1127</v>
      </c>
      <c r="AJ5" s="115" t="s">
        <v>1181</v>
      </c>
      <c r="AK5" s="115" t="s">
        <v>1189</v>
      </c>
      <c r="AL5" s="115" t="s">
        <v>1191</v>
      </c>
      <c r="AM5" s="115" t="s">
        <v>1193</v>
      </c>
      <c r="AN5" s="115" t="s">
        <v>1232</v>
      </c>
      <c r="AO5" s="115" t="s">
        <v>1245</v>
      </c>
      <c r="AP5" s="115" t="s">
        <v>1247</v>
      </c>
      <c r="AQ5" s="115" t="s">
        <v>1249</v>
      </c>
      <c r="AR5" s="115" t="s">
        <v>1306</v>
      </c>
      <c r="AS5" s="115" t="s">
        <v>1316</v>
      </c>
      <c r="AT5" s="115" t="s">
        <v>1317</v>
      </c>
      <c r="AU5" s="115" t="s">
        <v>1318</v>
      </c>
    </row>
    <row r="6" spans="2:47" x14ac:dyDescent="0.2">
      <c r="B6" s="130" t="s">
        <v>496</v>
      </c>
      <c r="C6" s="118">
        <v>19538</v>
      </c>
      <c r="D6" s="118">
        <v>14039</v>
      </c>
      <c r="E6" s="161">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row>
    <row r="7" spans="2:47" x14ac:dyDescent="0.2">
      <c r="B7" s="130" t="s">
        <v>497</v>
      </c>
      <c r="C7" s="118">
        <v>11792</v>
      </c>
      <c r="D7" s="118">
        <v>8994</v>
      </c>
      <c r="E7" s="161">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row>
    <row r="8" spans="2:47" x14ac:dyDescent="0.2">
      <c r="B8" s="130" t="s">
        <v>84</v>
      </c>
      <c r="C8" s="118">
        <v>6484</v>
      </c>
      <c r="D8" s="118">
        <v>2541</v>
      </c>
      <c r="E8" s="161">
        <v>2790</v>
      </c>
      <c r="F8" s="118">
        <v>5211</v>
      </c>
      <c r="G8" s="118">
        <v>6822</v>
      </c>
      <c r="H8" s="118">
        <v>6633</v>
      </c>
      <c r="I8" s="118">
        <v>6883</v>
      </c>
      <c r="J8" s="118">
        <v>6923</v>
      </c>
      <c r="K8" s="118">
        <v>8199</v>
      </c>
      <c r="L8" s="118">
        <v>7807</v>
      </c>
      <c r="M8" s="118">
        <v>8124</v>
      </c>
      <c r="N8" s="118">
        <v>7922</v>
      </c>
      <c r="O8" s="118">
        <v>8070</v>
      </c>
      <c r="P8" s="118">
        <v>7719</v>
      </c>
      <c r="Q8" s="262">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row>
    <row r="9" spans="2:47" x14ac:dyDescent="0.2">
      <c r="B9" s="130" t="s">
        <v>498</v>
      </c>
      <c r="C9" s="118">
        <v>0</v>
      </c>
      <c r="D9" s="118">
        <v>2698</v>
      </c>
      <c r="E9" s="161">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row>
    <row r="10" spans="2:47" x14ac:dyDescent="0.2">
      <c r="B10" s="130" t="s">
        <v>85</v>
      </c>
      <c r="C10" s="118">
        <v>2028</v>
      </c>
      <c r="D10" s="118">
        <v>682</v>
      </c>
      <c r="E10" s="161">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row>
    <row r="11" spans="2:47" x14ac:dyDescent="0.2">
      <c r="B11" s="130" t="s">
        <v>256</v>
      </c>
      <c r="C11" s="118">
        <v>2609</v>
      </c>
      <c r="D11" s="118">
        <v>1259</v>
      </c>
      <c r="E11" s="161">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row>
    <row r="12" spans="2:47" s="312" customFormat="1" hidden="1" outlineLevel="1" x14ac:dyDescent="0.2">
      <c r="B12" s="319" t="s">
        <v>499</v>
      </c>
      <c r="C12" s="313">
        <v>185</v>
      </c>
      <c r="D12" s="313">
        <v>4</v>
      </c>
      <c r="E12" s="320">
        <v>23</v>
      </c>
      <c r="F12" s="313">
        <v>0</v>
      </c>
      <c r="G12" s="313">
        <v>0</v>
      </c>
      <c r="H12" s="313">
        <v>0</v>
      </c>
      <c r="I12" s="313">
        <v>0</v>
      </c>
      <c r="J12" s="313">
        <v>0</v>
      </c>
      <c r="K12" s="313">
        <v>0</v>
      </c>
      <c r="L12" s="313">
        <v>0</v>
      </c>
      <c r="M12" s="313">
        <v>0</v>
      </c>
      <c r="N12" s="313">
        <v>0</v>
      </c>
      <c r="O12" s="313">
        <v>0</v>
      </c>
      <c r="P12" s="313">
        <v>0</v>
      </c>
      <c r="Q12" s="313">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v>0</v>
      </c>
    </row>
    <row r="13" spans="2:47" collapsed="1" x14ac:dyDescent="0.2">
      <c r="B13" s="127" t="s">
        <v>36</v>
      </c>
      <c r="C13" s="120">
        <f t="shared" ref="C13:Q13" si="0">SUM(C6:C12)</f>
        <v>42636</v>
      </c>
      <c r="D13" s="120">
        <f t="shared" si="0"/>
        <v>30217</v>
      </c>
      <c r="E13" s="163">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row>
    <row r="14" spans="2:47" s="557" customFormat="1" x14ac:dyDescent="0.2">
      <c r="B14" s="602"/>
      <c r="C14" s="603">
        <f>+C13-BalSheet!R48</f>
        <v>0</v>
      </c>
      <c r="D14" s="603">
        <f>+D13-BalSheet!S48</f>
        <v>0</v>
      </c>
      <c r="E14" s="603">
        <f>+E13-BalSheet!T48</f>
        <v>0</v>
      </c>
      <c r="F14" s="603">
        <f>+F13-BalSheet!U48</f>
        <v>0</v>
      </c>
      <c r="G14" s="603">
        <f>+G13-BalSheet!V48</f>
        <v>0</v>
      </c>
      <c r="H14" s="603">
        <f>+H13-BalSheet!W48</f>
        <v>0</v>
      </c>
      <c r="I14" s="603">
        <f>+I13-BalSheet!X48</f>
        <v>0</v>
      </c>
      <c r="J14" s="603">
        <f>+J13-BalSheet!Y48</f>
        <v>0</v>
      </c>
      <c r="K14" s="603">
        <f>+K13-BalSheet!Z48</f>
        <v>0</v>
      </c>
      <c r="L14" s="603">
        <f>+L13-BalSheet!AA48</f>
        <v>0</v>
      </c>
      <c r="M14" s="603">
        <f>+M13-BalSheet!AB48</f>
        <v>0</v>
      </c>
      <c r="N14" s="603">
        <f>+N13-BalSheet!AC48</f>
        <v>0</v>
      </c>
      <c r="O14" s="603">
        <f>+O13-BalSheet!AD48</f>
        <v>0</v>
      </c>
      <c r="P14" s="603">
        <f>+P13-BalSheet!AE48</f>
        <v>0</v>
      </c>
      <c r="Q14" s="603">
        <f>+Q13-BalSheet!AF48</f>
        <v>0</v>
      </c>
      <c r="R14" s="603">
        <f>+R13-BalSheet!AG48</f>
        <v>0</v>
      </c>
      <c r="S14" s="603">
        <f>+S13-BalSheet!AI48</f>
        <v>3982</v>
      </c>
      <c r="T14" s="603">
        <f>+T13-BalSheet!AJ48</f>
        <v>-1628</v>
      </c>
      <c r="U14" s="603">
        <f>+U13-BalSheet!AK48</f>
        <v>-4050</v>
      </c>
      <c r="V14" s="603">
        <f>+V13-BalSheet!AL48</f>
        <v>2079</v>
      </c>
      <c r="W14" s="603">
        <f>+W13-BalSheet!AM48</f>
        <v>3663</v>
      </c>
      <c r="X14" s="603">
        <f>+X13-BalSheet!AP48</f>
        <v>-5665</v>
      </c>
      <c r="Y14" s="603"/>
      <c r="Z14" s="603">
        <v>28162</v>
      </c>
      <c r="AA14" s="603">
        <f>+AA13-BalSheet!AQ48</f>
        <v>4263</v>
      </c>
      <c r="AB14" s="603">
        <f>+AB13-BalSheet!AR48</f>
        <v>-2867</v>
      </c>
      <c r="AC14" s="603">
        <f>+AC13-BalSheet!AS48</f>
        <v>-1262</v>
      </c>
      <c r="AD14" s="603">
        <f>+AD13-BalSheet!AT48</f>
        <v>5388</v>
      </c>
      <c r="AE14" s="603">
        <f>+AE13-BalSheet!AV48</f>
        <v>-1001</v>
      </c>
      <c r="AF14" s="603">
        <f>+AF13-BalSheet!AW48</f>
        <v>-7584</v>
      </c>
      <c r="AG14" s="603">
        <f>+AG13-BalSheet!AZ48</f>
        <v>-1106</v>
      </c>
      <c r="AH14" s="603">
        <v>25599</v>
      </c>
      <c r="AI14" s="603"/>
      <c r="AJ14" s="603">
        <v>20259</v>
      </c>
      <c r="AK14" s="603">
        <f>+AK13-BalSheet!BB48</f>
        <v>-3513</v>
      </c>
      <c r="AL14" s="603">
        <f>+AL13-BalSheet!BC48</f>
        <v>4410</v>
      </c>
      <c r="AM14" s="603">
        <f>+AM13-BalSheet!BD48</f>
        <v>-1276</v>
      </c>
      <c r="AN14" s="603">
        <f>+AN13-BalSheet!BE48</f>
        <v>-9798</v>
      </c>
      <c r="AO14" s="603">
        <f>+AO13-BalSheet!BF48</f>
        <v>-2592</v>
      </c>
      <c r="AP14" s="603">
        <f>+AP13-BalSheet!BJ48</f>
        <v>-1049</v>
      </c>
      <c r="AQ14" s="603">
        <f>+AQ13-BalSheet!BK48</f>
        <v>30229</v>
      </c>
      <c r="AR14" s="603">
        <f>+AR13-BalSheet!BL48</f>
        <v>25225</v>
      </c>
      <c r="AS14" s="603"/>
      <c r="AT14" s="603"/>
      <c r="AU14" s="603">
        <f>+AU13-BalSheet!BM48</f>
        <v>33430</v>
      </c>
    </row>
    <row r="15" spans="2:47" x14ac:dyDescent="0.2">
      <c r="B15" s="146" t="s">
        <v>397</v>
      </c>
      <c r="C15" s="115" t="str">
        <f>C5</f>
        <v>2013</v>
      </c>
      <c r="D15" s="115" t="str">
        <f t="shared" ref="D15:R15" si="4">D5</f>
        <v>1Q14</v>
      </c>
      <c r="E15" s="115" t="str">
        <f t="shared" si="4"/>
        <v>2Q14</v>
      </c>
      <c r="F15" s="115" t="str">
        <f t="shared" si="4"/>
        <v>3Q14</v>
      </c>
      <c r="G15" s="115" t="str">
        <f t="shared" si="4"/>
        <v>4Q14</v>
      </c>
      <c r="H15" s="115" t="str">
        <f t="shared" si="4"/>
        <v>1Q15</v>
      </c>
      <c r="I15" s="115" t="str">
        <f t="shared" si="4"/>
        <v>2Q15</v>
      </c>
      <c r="J15" s="115" t="str">
        <f t="shared" si="4"/>
        <v>3Q15</v>
      </c>
      <c r="K15" s="115" t="str">
        <f t="shared" si="4"/>
        <v>4Q15</v>
      </c>
      <c r="L15" s="115" t="str">
        <f t="shared" si="4"/>
        <v>1Q16</v>
      </c>
      <c r="M15" s="115" t="str">
        <f t="shared" si="4"/>
        <v>2Q16</v>
      </c>
      <c r="N15" s="115" t="str">
        <f t="shared" si="4"/>
        <v>3Q16</v>
      </c>
      <c r="O15" s="115" t="str">
        <f t="shared" si="4"/>
        <v>4Q16</v>
      </c>
      <c r="P15" s="115" t="str">
        <f t="shared" si="4"/>
        <v>1Q17</v>
      </c>
      <c r="Q15" s="115" t="str">
        <f t="shared" si="4"/>
        <v>2Q17</v>
      </c>
      <c r="R15" s="115" t="str">
        <f t="shared" si="4"/>
        <v>3Q17</v>
      </c>
      <c r="S15" s="115" t="str">
        <f t="shared" ref="S15:AA15" si="5">S5</f>
        <v>4Q17</v>
      </c>
      <c r="T15" s="115" t="str">
        <f t="shared" si="5"/>
        <v>1Q18</v>
      </c>
      <c r="U15" s="115" t="str">
        <f t="shared" si="5"/>
        <v>2Q18</v>
      </c>
      <c r="V15" s="115" t="str">
        <f t="shared" si="5"/>
        <v>3Q18</v>
      </c>
      <c r="W15" s="115" t="str">
        <f t="shared" si="5"/>
        <v>4Q18</v>
      </c>
      <c r="X15" s="115" t="str">
        <f t="shared" si="5"/>
        <v>1Q19</v>
      </c>
      <c r="Y15" s="115" t="str">
        <f t="shared" si="5"/>
        <v>2Q19</v>
      </c>
      <c r="Z15" s="115" t="str">
        <f t="shared" si="5"/>
        <v>3Q19</v>
      </c>
      <c r="AA15" s="115" t="str">
        <f t="shared" si="5"/>
        <v>4Q19</v>
      </c>
      <c r="AB15" s="115" t="str">
        <f t="shared" ref="AB15:AJ15" si="6">AB5</f>
        <v>1Q20</v>
      </c>
      <c r="AC15" s="115" t="str">
        <f t="shared" si="6"/>
        <v>2Q20</v>
      </c>
      <c r="AD15" s="115" t="str">
        <f t="shared" si="6"/>
        <v>3Q20</v>
      </c>
      <c r="AE15" s="115" t="str">
        <f t="shared" si="6"/>
        <v>4Q20</v>
      </c>
      <c r="AF15" s="115" t="str">
        <f t="shared" si="6"/>
        <v>1Q21</v>
      </c>
      <c r="AG15" s="115" t="str">
        <f t="shared" si="6"/>
        <v>2Q21</v>
      </c>
      <c r="AH15" s="115" t="str">
        <f t="shared" si="6"/>
        <v>3Q21</v>
      </c>
      <c r="AI15" s="115" t="str">
        <f t="shared" si="6"/>
        <v>4Q21</v>
      </c>
      <c r="AJ15" s="115" t="str">
        <f t="shared" si="6"/>
        <v>1Q22</v>
      </c>
      <c r="AK15" s="115" t="str">
        <f t="shared" ref="AK15:AP15" si="7">AK5</f>
        <v>2Q22</v>
      </c>
      <c r="AL15" s="115" t="str">
        <f t="shared" si="7"/>
        <v>3Q22</v>
      </c>
      <c r="AM15" s="115" t="str">
        <f t="shared" si="7"/>
        <v>4Q22</v>
      </c>
      <c r="AN15" s="115" t="str">
        <f t="shared" si="7"/>
        <v>1Q23</v>
      </c>
      <c r="AO15" s="115" t="str">
        <f t="shared" si="7"/>
        <v>2Q23</v>
      </c>
      <c r="AP15" s="115" t="str">
        <f t="shared" si="7"/>
        <v>3Q23</v>
      </c>
      <c r="AQ15" s="115" t="str">
        <f>AQ5</f>
        <v>4Q23</v>
      </c>
      <c r="AR15" s="115" t="str">
        <f>AR5</f>
        <v>1Q24</v>
      </c>
      <c r="AS15" s="115" t="str">
        <f>AS5</f>
        <v>2Q24</v>
      </c>
      <c r="AT15" s="115" t="str">
        <f>AT5</f>
        <v>3Q24</v>
      </c>
      <c r="AU15" s="115" t="str">
        <f>AU5</f>
        <v>4Q24</v>
      </c>
    </row>
    <row r="16" spans="2:47" x14ac:dyDescent="0.2">
      <c r="B16" s="130" t="s">
        <v>496</v>
      </c>
      <c r="C16" s="118">
        <v>11862</v>
      </c>
      <c r="D16" s="118">
        <v>7996</v>
      </c>
      <c r="E16" s="161">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row>
    <row r="17" spans="2:47" x14ac:dyDescent="0.2">
      <c r="B17" s="130" t="s">
        <v>497</v>
      </c>
      <c r="C17" s="118">
        <v>9374</v>
      </c>
      <c r="D17" s="118">
        <v>6878</v>
      </c>
      <c r="E17" s="161">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row>
    <row r="18" spans="2:47" x14ac:dyDescent="0.2">
      <c r="B18" s="130" t="s">
        <v>84</v>
      </c>
      <c r="C18" s="118">
        <v>4164</v>
      </c>
      <c r="D18" s="118">
        <v>1566</v>
      </c>
      <c r="E18" s="161">
        <v>1744</v>
      </c>
      <c r="F18" s="118">
        <v>3868</v>
      </c>
      <c r="G18" s="118">
        <v>5401</v>
      </c>
      <c r="H18" s="118">
        <v>5328</v>
      </c>
      <c r="I18" s="118">
        <v>5547</v>
      </c>
      <c r="J18" s="118">
        <v>5520</v>
      </c>
      <c r="K18" s="118">
        <v>6617</v>
      </c>
      <c r="L18" s="118">
        <v>6339</v>
      </c>
      <c r="M18" s="118">
        <v>6707</v>
      </c>
      <c r="N18" s="118">
        <v>6488</v>
      </c>
      <c r="O18" s="118">
        <v>6612</v>
      </c>
      <c r="P18" s="118">
        <v>6333</v>
      </c>
      <c r="Q18" s="262">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row>
    <row r="19" spans="2:47" x14ac:dyDescent="0.2">
      <c r="B19" s="130" t="s">
        <v>498</v>
      </c>
      <c r="C19" s="118">
        <v>0</v>
      </c>
      <c r="D19" s="118">
        <v>1538</v>
      </c>
      <c r="E19" s="161">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row>
    <row r="20" spans="2:47" ht="12" customHeight="1" x14ac:dyDescent="0.2">
      <c r="B20" s="130" t="s">
        <v>85</v>
      </c>
      <c r="C20" s="118">
        <v>1489</v>
      </c>
      <c r="D20" s="118">
        <v>343</v>
      </c>
      <c r="E20" s="161">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row>
    <row r="21" spans="2:47" x14ac:dyDescent="0.2">
      <c r="B21" s="130" t="s">
        <v>256</v>
      </c>
      <c r="C21" s="118">
        <v>1846</v>
      </c>
      <c r="D21" s="118">
        <v>803</v>
      </c>
      <c r="E21" s="161">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row>
    <row r="22" spans="2:47" s="312" customFormat="1" hidden="1" outlineLevel="1" x14ac:dyDescent="0.2">
      <c r="B22" s="319" t="s">
        <v>499</v>
      </c>
      <c r="C22" s="313">
        <v>0</v>
      </c>
      <c r="D22" s="313">
        <v>0</v>
      </c>
      <c r="E22" s="320">
        <v>0</v>
      </c>
      <c r="F22" s="313">
        <v>0</v>
      </c>
      <c r="G22" s="313">
        <v>0</v>
      </c>
      <c r="H22" s="313">
        <v>0</v>
      </c>
      <c r="I22" s="313">
        <v>0</v>
      </c>
      <c r="J22" s="313">
        <v>0</v>
      </c>
      <c r="K22" s="313">
        <v>0</v>
      </c>
      <c r="L22" s="313">
        <v>0</v>
      </c>
      <c r="M22" s="313">
        <v>0</v>
      </c>
      <c r="N22" s="313">
        <v>0</v>
      </c>
      <c r="O22" s="313">
        <v>0</v>
      </c>
      <c r="P22" s="313">
        <v>0</v>
      </c>
      <c r="Q22" s="313">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v>0</v>
      </c>
    </row>
    <row r="23" spans="2:47" collapsed="1" x14ac:dyDescent="0.2">
      <c r="B23" s="127" t="s">
        <v>36</v>
      </c>
      <c r="C23" s="120">
        <f t="shared" ref="C23:Q23" si="8">SUM(C16:C22)</f>
        <v>28735</v>
      </c>
      <c r="D23" s="120">
        <f t="shared" si="8"/>
        <v>19124</v>
      </c>
      <c r="E23" s="163">
        <f t="shared" si="8"/>
        <v>20227</v>
      </c>
      <c r="F23" s="120">
        <f t="shared" si="8"/>
        <v>25796</v>
      </c>
      <c r="G23" s="120">
        <f t="shared" si="8"/>
        <v>25740</v>
      </c>
      <c r="H23" s="120">
        <f t="shared" si="8"/>
        <v>25135</v>
      </c>
      <c r="I23" s="120">
        <f t="shared" si="8"/>
        <v>22367</v>
      </c>
      <c r="J23" s="120">
        <f t="shared" si="8"/>
        <v>24702</v>
      </c>
      <c r="K23" s="120">
        <f t="shared" si="8"/>
        <v>24244</v>
      </c>
      <c r="L23" s="120">
        <f t="shared" si="8"/>
        <v>22104</v>
      </c>
      <c r="M23" s="120">
        <f t="shared" si="8"/>
        <v>23164</v>
      </c>
      <c r="N23" s="120">
        <f t="shared" si="8"/>
        <v>25775</v>
      </c>
      <c r="O23" s="120">
        <f t="shared" si="8"/>
        <v>22834</v>
      </c>
      <c r="P23" s="120">
        <f t="shared" si="8"/>
        <v>23016</v>
      </c>
      <c r="Q23" s="120">
        <f t="shared" si="8"/>
        <v>18107</v>
      </c>
      <c r="R23" s="120">
        <f t="shared" ref="R23:AA23" si="9">SUM(R16:R22)</f>
        <v>21600</v>
      </c>
      <c r="S23" s="120">
        <f t="shared" si="9"/>
        <v>20277</v>
      </c>
      <c r="T23" s="120">
        <f t="shared" si="9"/>
        <v>17714</v>
      </c>
      <c r="U23" s="120">
        <f t="shared" si="9"/>
        <v>19141</v>
      </c>
      <c r="V23" s="120">
        <f t="shared" si="9"/>
        <v>22759</v>
      </c>
      <c r="W23" s="120">
        <f t="shared" si="9"/>
        <v>21240</v>
      </c>
      <c r="X23" s="120">
        <f t="shared" si="9"/>
        <v>18057</v>
      </c>
      <c r="Y23" s="120">
        <f t="shared" si="9"/>
        <v>21079</v>
      </c>
      <c r="Z23" s="120">
        <f t="shared" si="9"/>
        <v>24581</v>
      </c>
      <c r="AA23" s="120">
        <f t="shared" si="9"/>
        <v>23256</v>
      </c>
      <c r="AB23" s="120">
        <f t="shared" ref="AB23:AJ23" si="10">SUM(AB16:AB22)</f>
        <v>19056</v>
      </c>
      <c r="AC23" s="120">
        <f t="shared" si="10"/>
        <v>20322</v>
      </c>
      <c r="AD23" s="120">
        <f t="shared" si="10"/>
        <v>21449</v>
      </c>
      <c r="AE23" s="120">
        <f t="shared" si="10"/>
        <v>17876</v>
      </c>
      <c r="AF23" s="120">
        <f t="shared" si="10"/>
        <v>15076</v>
      </c>
      <c r="AG23" s="120">
        <f t="shared" si="10"/>
        <v>18439</v>
      </c>
      <c r="AH23" s="120">
        <f t="shared" si="10"/>
        <v>21689</v>
      </c>
      <c r="AI23" s="120">
        <f t="shared" si="10"/>
        <v>21173</v>
      </c>
      <c r="AJ23" s="120">
        <f t="shared" si="10"/>
        <v>17249</v>
      </c>
      <c r="AK23" s="120">
        <f>SUM(AK16:AK21)</f>
        <v>18974</v>
      </c>
      <c r="AL23" s="120">
        <f t="shared" ref="AL23:AQ23" si="11">SUM(AL16:AL21)</f>
        <v>22568</v>
      </c>
      <c r="AM23" s="120">
        <f t="shared" si="11"/>
        <v>23544</v>
      </c>
      <c r="AN23" s="120">
        <f t="shared" si="11"/>
        <v>19870</v>
      </c>
      <c r="AO23" s="120">
        <f t="shared" si="11"/>
        <v>24336</v>
      </c>
      <c r="AP23" s="120">
        <f t="shared" si="11"/>
        <v>28518</v>
      </c>
      <c r="AQ23" s="120">
        <f t="shared" si="11"/>
        <v>27042</v>
      </c>
      <c r="AR23" s="120">
        <f>SUM(AR16:AR21)</f>
        <v>21631</v>
      </c>
      <c r="AS23" s="120">
        <f>SUM(AS16:AS21)</f>
        <v>25696</v>
      </c>
      <c r="AT23" s="120">
        <f>SUM(AT16:AT21)</f>
        <v>30952</v>
      </c>
      <c r="AU23" s="120">
        <f>SUM(AU16:AU21)</f>
        <v>29176</v>
      </c>
    </row>
    <row r="25" spans="2:47" x14ac:dyDescent="0.2">
      <c r="B25" s="146" t="s">
        <v>401</v>
      </c>
      <c r="C25" s="115" t="str">
        <f>C5</f>
        <v>2013</v>
      </c>
      <c r="D25" s="115" t="str">
        <f t="shared" ref="D25:R25" si="12">D5</f>
        <v>1Q14</v>
      </c>
      <c r="E25" s="115" t="str">
        <f t="shared" si="12"/>
        <v>2Q14</v>
      </c>
      <c r="F25" s="115" t="str">
        <f t="shared" si="12"/>
        <v>3Q14</v>
      </c>
      <c r="G25" s="115" t="str">
        <f t="shared" si="12"/>
        <v>4Q14</v>
      </c>
      <c r="H25" s="115" t="str">
        <f t="shared" si="12"/>
        <v>1Q15</v>
      </c>
      <c r="I25" s="115" t="str">
        <f t="shared" si="12"/>
        <v>2Q15</v>
      </c>
      <c r="J25" s="115" t="str">
        <f t="shared" si="12"/>
        <v>3Q15</v>
      </c>
      <c r="K25" s="115" t="str">
        <f t="shared" si="12"/>
        <v>4Q15</v>
      </c>
      <c r="L25" s="115" t="str">
        <f t="shared" si="12"/>
        <v>1Q16</v>
      </c>
      <c r="M25" s="115" t="str">
        <f t="shared" si="12"/>
        <v>2Q16</v>
      </c>
      <c r="N25" s="115" t="str">
        <f t="shared" si="12"/>
        <v>3Q16</v>
      </c>
      <c r="O25" s="115" t="str">
        <f t="shared" si="12"/>
        <v>4Q16</v>
      </c>
      <c r="P25" s="115" t="str">
        <f t="shared" si="12"/>
        <v>1Q17</v>
      </c>
      <c r="Q25" s="115" t="str">
        <f t="shared" si="12"/>
        <v>2Q17</v>
      </c>
      <c r="R25" s="115" t="str">
        <f t="shared" si="12"/>
        <v>3Q17</v>
      </c>
      <c r="S25" s="115" t="str">
        <f t="shared" ref="S25:AA25" si="13">S5</f>
        <v>4Q17</v>
      </c>
      <c r="T25" s="115" t="str">
        <f t="shared" si="13"/>
        <v>1Q18</v>
      </c>
      <c r="U25" s="115" t="str">
        <f t="shared" si="13"/>
        <v>2Q18</v>
      </c>
      <c r="V25" s="115" t="str">
        <f t="shared" si="13"/>
        <v>3Q18</v>
      </c>
      <c r="W25" s="115" t="str">
        <f t="shared" si="13"/>
        <v>4Q18</v>
      </c>
      <c r="X25" s="115" t="str">
        <f t="shared" si="13"/>
        <v>1Q19</v>
      </c>
      <c r="Y25" s="115" t="str">
        <f t="shared" si="13"/>
        <v>2Q19</v>
      </c>
      <c r="Z25" s="115" t="str">
        <f t="shared" si="13"/>
        <v>3Q19</v>
      </c>
      <c r="AA25" s="115" t="str">
        <f t="shared" si="13"/>
        <v>4Q19</v>
      </c>
      <c r="AB25" s="115" t="str">
        <f t="shared" ref="AB25:AJ25" si="14">AB5</f>
        <v>1Q20</v>
      </c>
      <c r="AC25" s="115" t="str">
        <f t="shared" si="14"/>
        <v>2Q20</v>
      </c>
      <c r="AD25" s="115" t="str">
        <f t="shared" si="14"/>
        <v>3Q20</v>
      </c>
      <c r="AE25" s="115" t="str">
        <f t="shared" si="14"/>
        <v>4Q20</v>
      </c>
      <c r="AF25" s="115" t="str">
        <f t="shared" si="14"/>
        <v>1Q21</v>
      </c>
      <c r="AG25" s="115" t="str">
        <f t="shared" si="14"/>
        <v>2Q21</v>
      </c>
      <c r="AH25" s="115" t="str">
        <f t="shared" si="14"/>
        <v>3Q21</v>
      </c>
      <c r="AI25" s="115" t="str">
        <f t="shared" si="14"/>
        <v>4Q21</v>
      </c>
      <c r="AJ25" s="115" t="str">
        <f t="shared" si="14"/>
        <v>1Q22</v>
      </c>
      <c r="AK25" s="115" t="str">
        <f t="shared" ref="AK25:AP25" si="15">AK5</f>
        <v>2Q22</v>
      </c>
      <c r="AL25" s="115" t="str">
        <f t="shared" si="15"/>
        <v>3Q22</v>
      </c>
      <c r="AM25" s="115" t="str">
        <f t="shared" si="15"/>
        <v>4Q22</v>
      </c>
      <c r="AN25" s="115" t="str">
        <f t="shared" si="15"/>
        <v>1Q23</v>
      </c>
      <c r="AO25" s="115" t="str">
        <f t="shared" si="15"/>
        <v>2Q23</v>
      </c>
      <c r="AP25" s="115" t="str">
        <f t="shared" si="15"/>
        <v>3Q23</v>
      </c>
      <c r="AQ25" s="115" t="str">
        <f>AQ5</f>
        <v>4Q23</v>
      </c>
      <c r="AR25" s="115" t="str">
        <f>AR5</f>
        <v>1Q24</v>
      </c>
      <c r="AS25" s="115" t="str">
        <f>AS5</f>
        <v>2Q24</v>
      </c>
      <c r="AT25" s="115" t="str">
        <f>AT5</f>
        <v>3Q24</v>
      </c>
      <c r="AU25" s="115" t="str">
        <f>AU5</f>
        <v>4Q24</v>
      </c>
    </row>
    <row r="26" spans="2:47" x14ac:dyDescent="0.2">
      <c r="B26" s="130" t="s">
        <v>496</v>
      </c>
      <c r="C26" s="118">
        <f t="shared" ref="C26:Q26" si="16">+C6-C16</f>
        <v>7676</v>
      </c>
      <c r="D26" s="118">
        <f t="shared" si="16"/>
        <v>6043</v>
      </c>
      <c r="E26" s="161">
        <f t="shared" si="16"/>
        <v>2528</v>
      </c>
      <c r="F26" s="118">
        <f t="shared" si="16"/>
        <v>2471</v>
      </c>
      <c r="G26" s="118">
        <f t="shared" si="16"/>
        <v>2707</v>
      </c>
      <c r="H26" s="118">
        <f t="shared" si="16"/>
        <v>2401</v>
      </c>
      <c r="I26" s="118">
        <f t="shared" si="16"/>
        <v>2348</v>
      </c>
      <c r="J26" s="118">
        <f t="shared" si="16"/>
        <v>2450</v>
      </c>
      <c r="K26" s="118">
        <f t="shared" si="16"/>
        <v>2617</v>
      </c>
      <c r="L26" s="118">
        <f t="shared" si="16"/>
        <v>2294</v>
      </c>
      <c r="M26" s="118">
        <f t="shared" si="16"/>
        <v>2210</v>
      </c>
      <c r="N26" s="118">
        <f t="shared" si="16"/>
        <v>2301</v>
      </c>
      <c r="O26" s="118">
        <f t="shared" si="16"/>
        <v>2315</v>
      </c>
      <c r="P26" s="118">
        <f t="shared" si="16"/>
        <v>2104</v>
      </c>
      <c r="Q26" s="118">
        <f t="shared" si="16"/>
        <v>2279</v>
      </c>
      <c r="R26" s="118">
        <v>2381</v>
      </c>
      <c r="S26" s="118">
        <f t="shared" ref="S26:T32" si="17">+S6-S16</f>
        <v>2588</v>
      </c>
      <c r="T26" s="118">
        <f t="shared" si="17"/>
        <v>1632</v>
      </c>
      <c r="U26" s="118">
        <f t="shared" ref="U26:V32" si="18">+U6-U16</f>
        <v>1683</v>
      </c>
      <c r="V26" s="118">
        <f t="shared" si="18"/>
        <v>1774</v>
      </c>
      <c r="W26" s="118">
        <v>1866</v>
      </c>
      <c r="X26" s="118">
        <v>1616</v>
      </c>
      <c r="Y26" s="118">
        <v>1778</v>
      </c>
      <c r="Z26" s="118">
        <v>1854</v>
      </c>
      <c r="AA26" s="118">
        <v>1894</v>
      </c>
      <c r="AB26" s="118">
        <v>1729</v>
      </c>
      <c r="AC26" s="118">
        <f t="shared" ref="AC26:AD31" si="19">+AC6-AC16</f>
        <v>1944</v>
      </c>
      <c r="AD26" s="118">
        <f t="shared" si="19"/>
        <v>1949</v>
      </c>
      <c r="AE26" s="118">
        <f t="shared" ref="AE26:AF32" si="20">+AE6-AE16</f>
        <v>1778</v>
      </c>
      <c r="AF26" s="118">
        <f t="shared" si="20"/>
        <v>1690</v>
      </c>
      <c r="AG26" s="118">
        <f t="shared" ref="AG26:AK32" si="21">+AG6-AG16</f>
        <v>1737</v>
      </c>
      <c r="AH26" s="118">
        <f t="shared" si="21"/>
        <v>1943</v>
      </c>
      <c r="AI26" s="118">
        <f t="shared" si="21"/>
        <v>1980</v>
      </c>
      <c r="AJ26" s="118">
        <f t="shared" ref="AJ26:AJ31" si="22">+AJ6-AJ16</f>
        <v>1653</v>
      </c>
      <c r="AK26" s="118">
        <f t="shared" si="21"/>
        <v>1900</v>
      </c>
      <c r="AL26" s="118">
        <f t="shared" ref="AL26:AM32" si="23">+AL6-AL16</f>
        <v>2081</v>
      </c>
      <c r="AM26" s="118">
        <f t="shared" si="23"/>
        <v>1628</v>
      </c>
      <c r="AN26" s="118">
        <v>1600</v>
      </c>
      <c r="AO26" s="118">
        <f t="shared" ref="AO26:AR32" si="24">+AO6-AO16</f>
        <v>1743</v>
      </c>
      <c r="AP26" s="118">
        <f t="shared" si="24"/>
        <v>1868</v>
      </c>
      <c r="AQ26" s="118">
        <f t="shared" si="24"/>
        <v>1849</v>
      </c>
      <c r="AR26" s="118">
        <f t="shared" si="24"/>
        <v>2174</v>
      </c>
      <c r="AS26" s="118">
        <f t="shared" ref="AS26:AU26" si="25">+AS6-AS16</f>
        <v>2433</v>
      </c>
      <c r="AT26" s="118">
        <f t="shared" si="25"/>
        <v>2432</v>
      </c>
      <c r="AU26" s="118">
        <f t="shared" si="25"/>
        <v>2418</v>
      </c>
    </row>
    <row r="27" spans="2:47" x14ac:dyDescent="0.2">
      <c r="B27" s="130" t="s">
        <v>497</v>
      </c>
      <c r="C27" s="118">
        <f t="shared" ref="C27:N27" si="26">+C7-C17</f>
        <v>2418</v>
      </c>
      <c r="D27" s="118">
        <f t="shared" si="26"/>
        <v>2116</v>
      </c>
      <c r="E27" s="161">
        <f t="shared" si="26"/>
        <v>910</v>
      </c>
      <c r="F27" s="118">
        <f t="shared" si="26"/>
        <v>1197</v>
      </c>
      <c r="G27" s="118">
        <f t="shared" si="26"/>
        <v>1486</v>
      </c>
      <c r="H27" s="118">
        <f t="shared" si="26"/>
        <v>605</v>
      </c>
      <c r="I27" s="118">
        <f t="shared" si="26"/>
        <v>655</v>
      </c>
      <c r="J27" s="118">
        <f t="shared" si="26"/>
        <v>981</v>
      </c>
      <c r="K27" s="118">
        <f t="shared" si="26"/>
        <v>1146</v>
      </c>
      <c r="L27" s="118">
        <f t="shared" si="26"/>
        <v>744</v>
      </c>
      <c r="M27" s="118">
        <f t="shared" si="26"/>
        <v>787</v>
      </c>
      <c r="N27" s="118">
        <f t="shared" si="26"/>
        <v>964</v>
      </c>
      <c r="O27" s="118">
        <f t="shared" ref="O27:Q32" si="27">+O7-O17</f>
        <v>613</v>
      </c>
      <c r="P27" s="118">
        <f t="shared" si="27"/>
        <v>551</v>
      </c>
      <c r="Q27" s="118">
        <f t="shared" si="27"/>
        <v>536</v>
      </c>
      <c r="R27" s="118">
        <v>563</v>
      </c>
      <c r="S27" s="118">
        <f t="shared" si="17"/>
        <v>769</v>
      </c>
      <c r="T27" s="118">
        <f t="shared" si="17"/>
        <v>447</v>
      </c>
      <c r="U27" s="118">
        <f t="shared" si="18"/>
        <v>336</v>
      </c>
      <c r="V27" s="118">
        <f t="shared" si="18"/>
        <v>335</v>
      </c>
      <c r="W27" s="118">
        <v>486</v>
      </c>
      <c r="X27" s="118">
        <v>124</v>
      </c>
      <c r="Y27" s="118">
        <v>279</v>
      </c>
      <c r="Z27" s="118">
        <v>283</v>
      </c>
      <c r="AA27" s="118">
        <v>428</v>
      </c>
      <c r="AB27" s="118">
        <v>313</v>
      </c>
      <c r="AC27" s="118">
        <f t="shared" si="19"/>
        <v>522</v>
      </c>
      <c r="AD27" s="118">
        <f t="shared" si="19"/>
        <v>546</v>
      </c>
      <c r="AE27" s="118">
        <f t="shared" si="20"/>
        <v>432</v>
      </c>
      <c r="AF27" s="118">
        <f t="shared" si="20"/>
        <v>210</v>
      </c>
      <c r="AG27" s="118">
        <f t="shared" si="21"/>
        <v>370</v>
      </c>
      <c r="AH27" s="118">
        <f t="shared" si="21"/>
        <v>310</v>
      </c>
      <c r="AI27" s="118">
        <f t="shared" si="21"/>
        <v>458</v>
      </c>
      <c r="AJ27" s="118">
        <f t="shared" si="22"/>
        <v>219</v>
      </c>
      <c r="AK27" s="118">
        <f t="shared" si="21"/>
        <v>384</v>
      </c>
      <c r="AL27" s="118">
        <f t="shared" si="23"/>
        <v>391</v>
      </c>
      <c r="AM27" s="118">
        <f t="shared" si="23"/>
        <v>474</v>
      </c>
      <c r="AN27" s="118">
        <v>211</v>
      </c>
      <c r="AO27" s="118">
        <f t="shared" si="24"/>
        <v>360</v>
      </c>
      <c r="AP27" s="118">
        <f t="shared" si="24"/>
        <v>397</v>
      </c>
      <c r="AQ27" s="118">
        <f t="shared" si="24"/>
        <v>512</v>
      </c>
      <c r="AR27" s="118">
        <f t="shared" si="24"/>
        <v>170</v>
      </c>
      <c r="AS27" s="118">
        <f t="shared" ref="AS27:AU27" si="28">+AS7-AS17</f>
        <v>337</v>
      </c>
      <c r="AT27" s="118">
        <f t="shared" si="28"/>
        <v>411</v>
      </c>
      <c r="AU27" s="118">
        <f t="shared" si="28"/>
        <v>771</v>
      </c>
    </row>
    <row r="28" spans="2:47" x14ac:dyDescent="0.2">
      <c r="B28" s="130" t="s">
        <v>84</v>
      </c>
      <c r="C28" s="118">
        <f t="shared" ref="C28:N28" si="29">+C8-C18</f>
        <v>2320</v>
      </c>
      <c r="D28" s="118">
        <f t="shared" si="29"/>
        <v>975</v>
      </c>
      <c r="E28" s="161">
        <f t="shared" si="29"/>
        <v>1046</v>
      </c>
      <c r="F28" s="118">
        <f t="shared" si="29"/>
        <v>1343</v>
      </c>
      <c r="G28" s="118">
        <f t="shared" si="29"/>
        <v>1421</v>
      </c>
      <c r="H28" s="118">
        <f t="shared" si="29"/>
        <v>1305</v>
      </c>
      <c r="I28" s="118">
        <f t="shared" si="29"/>
        <v>1336</v>
      </c>
      <c r="J28" s="118">
        <f t="shared" si="29"/>
        <v>1403</v>
      </c>
      <c r="K28" s="118">
        <f t="shared" si="29"/>
        <v>1582</v>
      </c>
      <c r="L28" s="118">
        <f t="shared" si="29"/>
        <v>1468</v>
      </c>
      <c r="M28" s="118">
        <f t="shared" si="29"/>
        <v>1417</v>
      </c>
      <c r="N28" s="118">
        <f t="shared" si="29"/>
        <v>1434</v>
      </c>
      <c r="O28" s="118">
        <f t="shared" si="27"/>
        <v>1458</v>
      </c>
      <c r="P28" s="118">
        <f t="shared" si="27"/>
        <v>1386</v>
      </c>
      <c r="Q28" s="262">
        <f t="shared" si="27"/>
        <v>557</v>
      </c>
      <c r="R28" s="118">
        <v>546</v>
      </c>
      <c r="S28" s="118">
        <f t="shared" si="17"/>
        <v>625</v>
      </c>
      <c r="T28" s="118">
        <f t="shared" si="17"/>
        <v>367</v>
      </c>
      <c r="U28" s="118">
        <f t="shared" si="18"/>
        <v>372</v>
      </c>
      <c r="V28" s="118">
        <f t="shared" si="18"/>
        <v>409</v>
      </c>
      <c r="W28" s="118">
        <v>471</v>
      </c>
      <c r="X28" s="118">
        <v>356</v>
      </c>
      <c r="Y28" s="118">
        <v>376</v>
      </c>
      <c r="Z28" s="118">
        <v>394</v>
      </c>
      <c r="AA28" s="118">
        <v>468</v>
      </c>
      <c r="AB28" s="118">
        <v>415</v>
      </c>
      <c r="AC28" s="118">
        <f t="shared" si="19"/>
        <v>1015</v>
      </c>
      <c r="AD28" s="118">
        <f t="shared" si="19"/>
        <v>1025</v>
      </c>
      <c r="AE28" s="118">
        <f t="shared" si="20"/>
        <v>421</v>
      </c>
      <c r="AF28" s="118">
        <f t="shared" si="20"/>
        <v>449</v>
      </c>
      <c r="AG28" s="118">
        <f t="shared" si="21"/>
        <v>330</v>
      </c>
      <c r="AH28" s="118">
        <f t="shared" si="21"/>
        <v>379</v>
      </c>
      <c r="AI28" s="118">
        <f t="shared" si="21"/>
        <v>475</v>
      </c>
      <c r="AJ28" s="118">
        <f t="shared" si="22"/>
        <v>447</v>
      </c>
      <c r="AK28" s="118">
        <f t="shared" si="21"/>
        <v>511</v>
      </c>
      <c r="AL28" s="118">
        <f t="shared" si="23"/>
        <v>503</v>
      </c>
      <c r="AM28" s="118">
        <f t="shared" si="23"/>
        <v>371</v>
      </c>
      <c r="AN28" s="118">
        <v>354</v>
      </c>
      <c r="AO28" s="118">
        <f t="shared" si="24"/>
        <v>385</v>
      </c>
      <c r="AP28" s="118">
        <f t="shared" si="24"/>
        <v>415</v>
      </c>
      <c r="AQ28" s="118">
        <f t="shared" si="24"/>
        <v>422</v>
      </c>
      <c r="AR28" s="118">
        <f t="shared" si="24"/>
        <v>480</v>
      </c>
      <c r="AS28" s="118">
        <f t="shared" ref="AS28:AU28" si="30">+AS8-AS18</f>
        <v>532</v>
      </c>
      <c r="AT28" s="118">
        <f t="shared" si="30"/>
        <v>530</v>
      </c>
      <c r="AU28" s="118">
        <f t="shared" si="30"/>
        <v>626</v>
      </c>
    </row>
    <row r="29" spans="2:47" x14ac:dyDescent="0.2">
      <c r="B29" s="130" t="s">
        <v>498</v>
      </c>
      <c r="C29" s="118">
        <f t="shared" ref="C29:N29" si="31">+C9-C19</f>
        <v>0</v>
      </c>
      <c r="D29" s="118">
        <f t="shared" si="31"/>
        <v>1160</v>
      </c>
      <c r="E29" s="161">
        <f t="shared" si="31"/>
        <v>925</v>
      </c>
      <c r="F29" s="118">
        <f t="shared" si="31"/>
        <v>1344</v>
      </c>
      <c r="G29" s="118">
        <f t="shared" si="31"/>
        <v>0</v>
      </c>
      <c r="H29" s="118">
        <f t="shared" si="31"/>
        <v>442</v>
      </c>
      <c r="I29" s="118">
        <f t="shared" si="31"/>
        <v>830</v>
      </c>
      <c r="J29" s="118">
        <f t="shared" si="31"/>
        <v>1279</v>
      </c>
      <c r="K29" s="118">
        <f t="shared" si="31"/>
        <v>0</v>
      </c>
      <c r="L29" s="118">
        <f t="shared" si="31"/>
        <v>418</v>
      </c>
      <c r="M29" s="118">
        <f t="shared" si="31"/>
        <v>788</v>
      </c>
      <c r="N29" s="118">
        <f t="shared" si="31"/>
        <v>1180</v>
      </c>
      <c r="O29" s="118">
        <f t="shared" si="27"/>
        <v>0</v>
      </c>
      <c r="P29" s="118">
        <f t="shared" si="27"/>
        <v>413</v>
      </c>
      <c r="Q29" s="118">
        <f t="shared" si="27"/>
        <v>870</v>
      </c>
      <c r="R29" s="118">
        <v>1286</v>
      </c>
      <c r="S29" s="118">
        <f t="shared" si="17"/>
        <v>0</v>
      </c>
      <c r="T29" s="118">
        <f t="shared" si="17"/>
        <v>317</v>
      </c>
      <c r="U29" s="118">
        <f t="shared" si="18"/>
        <v>610</v>
      </c>
      <c r="V29" s="118">
        <f t="shared" si="18"/>
        <v>897</v>
      </c>
      <c r="W29" s="118">
        <v>0</v>
      </c>
      <c r="X29" s="118">
        <v>282</v>
      </c>
      <c r="Y29" s="118">
        <v>588</v>
      </c>
      <c r="Z29" s="118">
        <v>917</v>
      </c>
      <c r="AA29" s="118">
        <v>0</v>
      </c>
      <c r="AB29" s="118">
        <v>324</v>
      </c>
      <c r="AC29" s="118">
        <f t="shared" si="19"/>
        <v>671</v>
      </c>
      <c r="AD29" s="118">
        <f t="shared" si="19"/>
        <v>915</v>
      </c>
      <c r="AE29" s="118">
        <f t="shared" si="20"/>
        <v>0</v>
      </c>
      <c r="AF29" s="118">
        <f t="shared" si="20"/>
        <v>346</v>
      </c>
      <c r="AG29" s="118">
        <f t="shared" si="21"/>
        <v>567</v>
      </c>
      <c r="AH29" s="118">
        <f t="shared" si="21"/>
        <v>839</v>
      </c>
      <c r="AI29" s="118">
        <f t="shared" si="21"/>
        <v>0</v>
      </c>
      <c r="AJ29" s="118">
        <f t="shared" si="22"/>
        <v>348</v>
      </c>
      <c r="AK29" s="118">
        <f t="shared" si="21"/>
        <v>736</v>
      </c>
      <c r="AL29" s="118">
        <f t="shared" si="23"/>
        <v>1110</v>
      </c>
      <c r="AM29" s="118">
        <f t="shared" si="23"/>
        <v>0</v>
      </c>
      <c r="AN29" s="118">
        <v>276</v>
      </c>
      <c r="AO29" s="118">
        <f t="shared" si="24"/>
        <v>578</v>
      </c>
      <c r="AP29" s="118">
        <f t="shared" si="24"/>
        <v>875</v>
      </c>
      <c r="AQ29" s="118">
        <f t="shared" si="24"/>
        <v>0</v>
      </c>
      <c r="AR29" s="118">
        <f t="shared" si="24"/>
        <v>392</v>
      </c>
      <c r="AS29" s="118">
        <f t="shared" ref="AS29:AU29" si="32">+AS9-AS19</f>
        <v>833</v>
      </c>
      <c r="AT29" s="118">
        <f t="shared" si="32"/>
        <v>1219</v>
      </c>
      <c r="AU29" s="118">
        <f t="shared" si="32"/>
        <v>0</v>
      </c>
    </row>
    <row r="30" spans="2:47" x14ac:dyDescent="0.2">
      <c r="B30" s="130" t="s">
        <v>85</v>
      </c>
      <c r="C30" s="118">
        <f t="shared" ref="C30:N30" si="33">+C10-C20</f>
        <v>539</v>
      </c>
      <c r="D30" s="118">
        <f t="shared" si="33"/>
        <v>339</v>
      </c>
      <c r="E30" s="161">
        <f t="shared" si="33"/>
        <v>116</v>
      </c>
      <c r="F30" s="118">
        <f t="shared" si="33"/>
        <v>115</v>
      </c>
      <c r="G30" s="118">
        <f t="shared" si="33"/>
        <v>187</v>
      </c>
      <c r="H30" s="118">
        <f t="shared" si="33"/>
        <v>98</v>
      </c>
      <c r="I30" s="118">
        <f t="shared" si="33"/>
        <v>92</v>
      </c>
      <c r="J30" s="118">
        <f t="shared" si="33"/>
        <v>122</v>
      </c>
      <c r="K30" s="118">
        <f t="shared" si="33"/>
        <v>170</v>
      </c>
      <c r="L30" s="118">
        <f t="shared" si="33"/>
        <v>102</v>
      </c>
      <c r="M30" s="118">
        <f t="shared" si="33"/>
        <v>98</v>
      </c>
      <c r="N30" s="118">
        <f t="shared" si="33"/>
        <v>102</v>
      </c>
      <c r="O30" s="118">
        <f t="shared" si="27"/>
        <v>149</v>
      </c>
      <c r="P30" s="118">
        <f t="shared" si="27"/>
        <v>104</v>
      </c>
      <c r="Q30" s="118">
        <f t="shared" si="27"/>
        <v>114</v>
      </c>
      <c r="R30" s="118">
        <v>114</v>
      </c>
      <c r="S30" s="118">
        <f t="shared" si="17"/>
        <v>182</v>
      </c>
      <c r="T30" s="118">
        <f t="shared" si="17"/>
        <v>78</v>
      </c>
      <c r="U30" s="118">
        <f t="shared" si="18"/>
        <v>77</v>
      </c>
      <c r="V30" s="118">
        <f t="shared" si="18"/>
        <v>79</v>
      </c>
      <c r="W30" s="118">
        <v>120</v>
      </c>
      <c r="X30" s="118">
        <v>71</v>
      </c>
      <c r="Y30" s="118">
        <v>76</v>
      </c>
      <c r="Z30" s="118">
        <v>80</v>
      </c>
      <c r="AA30" s="118">
        <v>70</v>
      </c>
      <c r="AB30" s="118">
        <v>83</v>
      </c>
      <c r="AC30" s="118">
        <f t="shared" si="19"/>
        <v>322</v>
      </c>
      <c r="AD30" s="118">
        <f t="shared" si="19"/>
        <v>182</v>
      </c>
      <c r="AE30" s="118">
        <f t="shared" si="20"/>
        <v>133</v>
      </c>
      <c r="AF30" s="118">
        <f t="shared" si="20"/>
        <v>94</v>
      </c>
      <c r="AG30" s="118">
        <f t="shared" si="21"/>
        <v>197</v>
      </c>
      <c r="AH30" s="118">
        <f t="shared" si="21"/>
        <v>263</v>
      </c>
      <c r="AI30" s="118">
        <f t="shared" si="21"/>
        <v>128</v>
      </c>
      <c r="AJ30" s="118">
        <f t="shared" si="22"/>
        <v>92</v>
      </c>
      <c r="AK30" s="118">
        <f t="shared" si="21"/>
        <v>102</v>
      </c>
      <c r="AL30" s="118">
        <f t="shared" si="23"/>
        <v>101</v>
      </c>
      <c r="AM30" s="118">
        <f t="shared" si="23"/>
        <v>107</v>
      </c>
      <c r="AN30" s="118">
        <v>70</v>
      </c>
      <c r="AO30" s="118">
        <f t="shared" si="24"/>
        <v>77</v>
      </c>
      <c r="AP30" s="118">
        <f t="shared" si="24"/>
        <v>82</v>
      </c>
      <c r="AQ30" s="118">
        <f t="shared" si="24"/>
        <v>123</v>
      </c>
      <c r="AR30" s="118">
        <f t="shared" si="24"/>
        <v>98</v>
      </c>
      <c r="AS30" s="118">
        <f t="shared" ref="AS30:AT30" si="34">+AS10-AS20</f>
        <v>110</v>
      </c>
      <c r="AT30" s="118">
        <f t="shared" si="34"/>
        <v>117</v>
      </c>
      <c r="AU30" s="644">
        <f>+AU10-AU20</f>
        <v>188</v>
      </c>
    </row>
    <row r="31" spans="2:47" x14ac:dyDescent="0.2">
      <c r="B31" s="130" t="s">
        <v>256</v>
      </c>
      <c r="C31" s="118">
        <f t="shared" ref="C31:N31" si="35">+C11-C21</f>
        <v>763</v>
      </c>
      <c r="D31" s="118">
        <f t="shared" si="35"/>
        <v>456</v>
      </c>
      <c r="E31" s="161">
        <f t="shared" si="35"/>
        <v>230</v>
      </c>
      <c r="F31" s="118">
        <f t="shared" si="35"/>
        <v>119</v>
      </c>
      <c r="G31" s="118">
        <f t="shared" si="35"/>
        <v>187</v>
      </c>
      <c r="H31" s="118">
        <f t="shared" si="35"/>
        <v>307</v>
      </c>
      <c r="I31" s="118">
        <f t="shared" si="35"/>
        <v>139</v>
      </c>
      <c r="J31" s="118">
        <f t="shared" si="35"/>
        <v>105</v>
      </c>
      <c r="K31" s="118">
        <f t="shared" si="35"/>
        <v>149</v>
      </c>
      <c r="L31" s="118">
        <f t="shared" si="35"/>
        <v>153</v>
      </c>
      <c r="M31" s="118">
        <f t="shared" si="35"/>
        <v>64</v>
      </c>
      <c r="N31" s="118">
        <f t="shared" si="35"/>
        <v>67</v>
      </c>
      <c r="O31" s="118">
        <f t="shared" si="27"/>
        <v>120</v>
      </c>
      <c r="P31" s="118">
        <f t="shared" si="27"/>
        <v>88</v>
      </c>
      <c r="Q31" s="118">
        <f t="shared" si="27"/>
        <v>70</v>
      </c>
      <c r="R31" s="118">
        <v>97</v>
      </c>
      <c r="S31" s="118">
        <f t="shared" si="17"/>
        <v>203</v>
      </c>
      <c r="T31" s="118">
        <f t="shared" si="17"/>
        <v>107</v>
      </c>
      <c r="U31" s="118">
        <f t="shared" si="18"/>
        <v>71</v>
      </c>
      <c r="V31" s="118">
        <f t="shared" si="18"/>
        <v>87</v>
      </c>
      <c r="W31" s="118">
        <v>78</v>
      </c>
      <c r="X31" s="118">
        <v>92</v>
      </c>
      <c r="Y31" s="118">
        <v>92</v>
      </c>
      <c r="Z31" s="118">
        <v>53</v>
      </c>
      <c r="AA31" s="118">
        <v>147</v>
      </c>
      <c r="AB31" s="118">
        <v>80</v>
      </c>
      <c r="AC31" s="118">
        <f t="shared" si="19"/>
        <v>71</v>
      </c>
      <c r="AD31" s="118">
        <f t="shared" si="19"/>
        <v>63</v>
      </c>
      <c r="AE31" s="118">
        <f t="shared" si="20"/>
        <v>101</v>
      </c>
      <c r="AF31" s="118">
        <f t="shared" si="20"/>
        <v>150</v>
      </c>
      <c r="AG31" s="118">
        <f t="shared" si="21"/>
        <v>102</v>
      </c>
      <c r="AH31" s="118">
        <f t="shared" si="21"/>
        <v>176</v>
      </c>
      <c r="AI31" s="118">
        <f t="shared" si="21"/>
        <v>242</v>
      </c>
      <c r="AJ31" s="118">
        <f t="shared" si="22"/>
        <v>251</v>
      </c>
      <c r="AK31" s="118">
        <f t="shared" si="21"/>
        <v>241</v>
      </c>
      <c r="AL31" s="118">
        <f t="shared" si="23"/>
        <v>239</v>
      </c>
      <c r="AM31" s="118">
        <f t="shared" si="23"/>
        <v>237</v>
      </c>
      <c r="AN31" s="118">
        <v>202</v>
      </c>
      <c r="AO31" s="118">
        <f t="shared" si="24"/>
        <v>158</v>
      </c>
      <c r="AP31" s="118">
        <f t="shared" si="24"/>
        <v>226</v>
      </c>
      <c r="AQ31" s="118">
        <f t="shared" si="24"/>
        <v>281</v>
      </c>
      <c r="AR31" s="118">
        <f t="shared" si="24"/>
        <v>280</v>
      </c>
      <c r="AS31" s="118">
        <f t="shared" ref="AS31:AU31" si="36">+AS11-AS21</f>
        <v>189</v>
      </c>
      <c r="AT31" s="118">
        <f t="shared" si="36"/>
        <v>198</v>
      </c>
      <c r="AU31" s="118">
        <f t="shared" si="36"/>
        <v>251</v>
      </c>
    </row>
    <row r="32" spans="2:47" s="312" customFormat="1" hidden="1" outlineLevel="1" x14ac:dyDescent="0.2">
      <c r="B32" s="319" t="s">
        <v>499</v>
      </c>
      <c r="C32" s="313">
        <f t="shared" ref="C32:N32" si="37">+C12-C22</f>
        <v>185</v>
      </c>
      <c r="D32" s="313">
        <f t="shared" si="37"/>
        <v>4</v>
      </c>
      <c r="E32" s="320">
        <f t="shared" si="37"/>
        <v>23</v>
      </c>
      <c r="F32" s="313">
        <f t="shared" si="37"/>
        <v>0</v>
      </c>
      <c r="G32" s="313">
        <f t="shared" si="37"/>
        <v>0</v>
      </c>
      <c r="H32" s="313">
        <f t="shared" si="37"/>
        <v>0</v>
      </c>
      <c r="I32" s="313">
        <f t="shared" si="37"/>
        <v>0</v>
      </c>
      <c r="J32" s="313">
        <f t="shared" si="37"/>
        <v>0</v>
      </c>
      <c r="K32" s="313">
        <f t="shared" si="37"/>
        <v>0</v>
      </c>
      <c r="L32" s="313">
        <f t="shared" si="37"/>
        <v>0</v>
      </c>
      <c r="M32" s="313">
        <f t="shared" si="37"/>
        <v>0</v>
      </c>
      <c r="N32" s="313">
        <f t="shared" si="37"/>
        <v>0</v>
      </c>
      <c r="O32" s="313">
        <f t="shared" si="27"/>
        <v>0</v>
      </c>
      <c r="P32" s="313">
        <f t="shared" si="27"/>
        <v>0</v>
      </c>
      <c r="Q32" s="313">
        <f t="shared" si="27"/>
        <v>0</v>
      </c>
      <c r="R32" s="313">
        <v>0</v>
      </c>
      <c r="S32" s="313">
        <f t="shared" si="17"/>
        <v>0</v>
      </c>
      <c r="T32" s="313">
        <f t="shared" si="17"/>
        <v>0</v>
      </c>
      <c r="U32" s="313">
        <f t="shared" si="18"/>
        <v>0</v>
      </c>
      <c r="V32" s="313">
        <v>0</v>
      </c>
      <c r="W32" s="313">
        <v>0</v>
      </c>
      <c r="X32" s="313">
        <v>0</v>
      </c>
      <c r="Y32" s="313"/>
      <c r="Z32" s="313">
        <v>0</v>
      </c>
      <c r="AA32" s="313">
        <v>0</v>
      </c>
      <c r="AB32" s="313">
        <v>0</v>
      </c>
      <c r="AC32" s="313">
        <f>+AC12-AC22</f>
        <v>0</v>
      </c>
      <c r="AD32" s="313">
        <f>+AD12-AD22</f>
        <v>0</v>
      </c>
      <c r="AE32" s="313">
        <f t="shared" si="20"/>
        <v>0</v>
      </c>
      <c r="AF32" s="313">
        <f t="shared" si="20"/>
        <v>0</v>
      </c>
      <c r="AG32" s="313">
        <f t="shared" si="21"/>
        <v>0</v>
      </c>
      <c r="AH32" s="313">
        <f t="shared" si="21"/>
        <v>0</v>
      </c>
      <c r="AI32" s="313">
        <f t="shared" si="21"/>
        <v>0</v>
      </c>
      <c r="AJ32" s="313">
        <v>0</v>
      </c>
      <c r="AK32" s="313">
        <f t="shared" si="21"/>
        <v>0</v>
      </c>
      <c r="AL32" s="313">
        <f t="shared" si="23"/>
        <v>0</v>
      </c>
      <c r="AM32" s="313">
        <f t="shared" si="23"/>
        <v>0</v>
      </c>
      <c r="AN32" s="313">
        <f>+AN12-AN22</f>
        <v>0</v>
      </c>
      <c r="AO32" s="313">
        <f t="shared" si="24"/>
        <v>0</v>
      </c>
      <c r="AP32" s="313">
        <f t="shared" si="24"/>
        <v>0</v>
      </c>
      <c r="AQ32" s="313">
        <f t="shared" si="24"/>
        <v>0</v>
      </c>
      <c r="AR32" s="313">
        <f t="shared" si="24"/>
        <v>0</v>
      </c>
      <c r="AS32" s="313">
        <f t="shared" ref="AS32:AU32" si="38">+AS12-AS22</f>
        <v>0</v>
      </c>
      <c r="AT32" s="313"/>
      <c r="AU32" s="313">
        <f t="shared" si="38"/>
        <v>0</v>
      </c>
    </row>
    <row r="33" spans="2:47" collapsed="1" x14ac:dyDescent="0.2">
      <c r="B33" s="127" t="s">
        <v>36</v>
      </c>
      <c r="C33" s="120">
        <f t="shared" ref="C33:Q33" si="39">SUM(C26:C32)</f>
        <v>13901</v>
      </c>
      <c r="D33" s="120">
        <f t="shared" si="39"/>
        <v>11093</v>
      </c>
      <c r="E33" s="163">
        <f t="shared" si="39"/>
        <v>5778</v>
      </c>
      <c r="F33" s="120">
        <f t="shared" si="39"/>
        <v>6589</v>
      </c>
      <c r="G33" s="120">
        <f t="shared" si="39"/>
        <v>5988</v>
      </c>
      <c r="H33" s="120">
        <f t="shared" si="39"/>
        <v>5158</v>
      </c>
      <c r="I33" s="120">
        <f t="shared" si="39"/>
        <v>5400</v>
      </c>
      <c r="J33" s="120">
        <f t="shared" si="39"/>
        <v>6340</v>
      </c>
      <c r="K33" s="120">
        <f t="shared" si="39"/>
        <v>5664</v>
      </c>
      <c r="L33" s="120">
        <f t="shared" si="39"/>
        <v>5179</v>
      </c>
      <c r="M33" s="120">
        <f t="shared" si="39"/>
        <v>5364</v>
      </c>
      <c r="N33" s="120">
        <f t="shared" si="39"/>
        <v>6048</v>
      </c>
      <c r="O33" s="120">
        <f t="shared" si="39"/>
        <v>4655</v>
      </c>
      <c r="P33" s="120">
        <f t="shared" si="39"/>
        <v>4646</v>
      </c>
      <c r="Q33" s="120">
        <f t="shared" si="39"/>
        <v>4426</v>
      </c>
      <c r="R33" s="120">
        <f t="shared" ref="R33:AA33" si="40">SUM(R26:R32)</f>
        <v>4987</v>
      </c>
      <c r="S33" s="120">
        <f t="shared" si="40"/>
        <v>4367</v>
      </c>
      <c r="T33" s="120">
        <f t="shared" si="40"/>
        <v>2948</v>
      </c>
      <c r="U33" s="120">
        <f t="shared" si="40"/>
        <v>3149</v>
      </c>
      <c r="V33" s="120">
        <f t="shared" si="40"/>
        <v>3581</v>
      </c>
      <c r="W33" s="120">
        <f t="shared" si="40"/>
        <v>3021</v>
      </c>
      <c r="X33" s="120">
        <f t="shared" si="40"/>
        <v>2541</v>
      </c>
      <c r="Y33" s="120">
        <f t="shared" si="40"/>
        <v>3189</v>
      </c>
      <c r="Z33" s="120">
        <f t="shared" si="40"/>
        <v>3581</v>
      </c>
      <c r="AA33" s="120">
        <f t="shared" si="40"/>
        <v>3007</v>
      </c>
      <c r="AB33" s="120">
        <f t="shared" ref="AB33:AG33" si="41">SUM(AB26:AB32)</f>
        <v>2944</v>
      </c>
      <c r="AC33" s="120">
        <f t="shared" si="41"/>
        <v>4545</v>
      </c>
      <c r="AD33" s="120">
        <f t="shared" si="41"/>
        <v>4680</v>
      </c>
      <c r="AE33" s="120">
        <f t="shared" si="41"/>
        <v>2865</v>
      </c>
      <c r="AF33" s="120">
        <f t="shared" si="41"/>
        <v>2939</v>
      </c>
      <c r="AG33" s="120">
        <f t="shared" si="41"/>
        <v>3303</v>
      </c>
      <c r="AH33" s="120">
        <f>SUM(AH26:AH32)</f>
        <v>3910</v>
      </c>
      <c r="AI33" s="120">
        <f>SUM(AI26:AI32)</f>
        <v>3283</v>
      </c>
      <c r="AJ33" s="120">
        <f>SUM(AJ26:AJ32)</f>
        <v>3010</v>
      </c>
      <c r="AK33" s="120">
        <f>SUM(AK26:AK31)</f>
        <v>3874</v>
      </c>
      <c r="AL33" s="120">
        <f t="shared" ref="AL33:AQ33" si="42">SUM(AL26:AL31)</f>
        <v>4425</v>
      </c>
      <c r="AM33" s="120">
        <f t="shared" si="42"/>
        <v>2817</v>
      </c>
      <c r="AN33" s="120">
        <f t="shared" si="42"/>
        <v>2713</v>
      </c>
      <c r="AO33" s="120">
        <f t="shared" si="42"/>
        <v>3301</v>
      </c>
      <c r="AP33" s="120">
        <f t="shared" si="42"/>
        <v>3863</v>
      </c>
      <c r="AQ33" s="120">
        <f t="shared" si="42"/>
        <v>3187</v>
      </c>
      <c r="AR33" s="120">
        <f>SUM(AR26:AR31)</f>
        <v>3594</v>
      </c>
      <c r="AS33" s="120">
        <f t="shared" ref="AS33:AU33" si="43">SUM(AS26:AS31)</f>
        <v>4434</v>
      </c>
      <c r="AT33" s="120">
        <f t="shared" si="43"/>
        <v>4907</v>
      </c>
      <c r="AU33" s="120">
        <f t="shared" si="43"/>
        <v>4254</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42">
    <pageSetUpPr autoPageBreaks="0"/>
  </sheetPr>
  <dimension ref="A1:AX113"/>
  <sheetViews>
    <sheetView showGridLines="0" zoomScale="90" zoomScaleNormal="90" workbookViewId="0">
      <pane xSplit="2" ySplit="4" topLeftCell="AH5" activePane="bottomRight" state="frozen"/>
      <selection activeCell="AA105" sqref="AA105"/>
      <selection pane="topRight" activeCell="AA105" sqref="AA105"/>
      <selection pane="bottomLeft" activeCell="AA105" sqref="AA105"/>
      <selection pane="bottomRight" activeCell="AX5" sqref="AX5"/>
    </sheetView>
  </sheetViews>
  <sheetFormatPr defaultColWidth="9.28515625" defaultRowHeight="18" x14ac:dyDescent="0.25"/>
  <cols>
    <col min="1" max="1" width="1.42578125" style="70" hidden="1" customWidth="1"/>
    <col min="2" max="2" width="24.28515625" style="70" bestFit="1" customWidth="1"/>
    <col min="3" max="50" width="10.7109375" style="70" customWidth="1"/>
    <col min="51" max="16384" width="9.28515625" style="70"/>
  </cols>
  <sheetData>
    <row r="1" spans="2:50" s="561" customFormat="1" ht="7.5" customHeight="1" x14ac:dyDescent="0.25">
      <c r="D1" s="562"/>
      <c r="E1" s="562"/>
      <c r="F1" s="562"/>
      <c r="G1" s="562"/>
      <c r="H1" s="562"/>
      <c r="I1" s="562"/>
      <c r="J1" s="562"/>
      <c r="K1" s="562"/>
      <c r="L1" s="562"/>
    </row>
    <row r="2" spans="2:50" s="561" customFormat="1" ht="12.75" customHeight="1" x14ac:dyDescent="0.25"/>
    <row r="3" spans="2:50" s="561" customFormat="1" ht="12.75" customHeight="1" x14ac:dyDescent="0.25">
      <c r="D3" s="562"/>
      <c r="E3" s="562"/>
      <c r="F3" s="562"/>
      <c r="G3" s="562"/>
      <c r="H3" s="562"/>
      <c r="I3" s="562"/>
      <c r="J3" s="562"/>
      <c r="K3" s="562"/>
      <c r="L3" s="562"/>
      <c r="AA3" s="826"/>
      <c r="AB3" s="826"/>
      <c r="AC3" s="826"/>
      <c r="AD3" s="826"/>
      <c r="AE3" s="826"/>
      <c r="AF3" s="826"/>
      <c r="AG3" s="826"/>
      <c r="AH3" s="826"/>
      <c r="AI3" s="826"/>
      <c r="AJ3" s="826"/>
      <c r="AK3" s="826"/>
      <c r="AL3" s="826"/>
      <c r="AM3" s="826"/>
      <c r="AN3" s="826"/>
      <c r="AO3" s="826"/>
      <c r="AP3" s="826"/>
      <c r="AQ3" s="826"/>
      <c r="AR3" s="826"/>
      <c r="AS3" s="826"/>
    </row>
    <row r="4" spans="2:50" ht="12.75" customHeight="1" x14ac:dyDescent="0.25">
      <c r="D4" s="71"/>
      <c r="E4" s="71"/>
      <c r="F4" s="1250" t="s">
        <v>1435</v>
      </c>
      <c r="G4" s="1251"/>
      <c r="H4" s="225" t="s">
        <v>1439</v>
      </c>
      <c r="I4" s="71"/>
      <c r="J4" s="71"/>
      <c r="K4" s="71"/>
      <c r="L4" s="71"/>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row>
    <row r="5" spans="2:50" x14ac:dyDescent="0.25">
      <c r="B5" s="146" t="s">
        <v>391</v>
      </c>
      <c r="C5" s="115" t="s">
        <v>467</v>
      </c>
      <c r="D5" s="115" t="s">
        <v>468</v>
      </c>
      <c r="E5" s="115" t="s">
        <v>469</v>
      </c>
      <c r="F5" s="115" t="s">
        <v>470</v>
      </c>
      <c r="G5" s="115" t="s">
        <v>471</v>
      </c>
      <c r="H5" s="115" t="s">
        <v>472</v>
      </c>
      <c r="I5" s="115" t="s">
        <v>473</v>
      </c>
      <c r="J5" s="115" t="s">
        <v>474</v>
      </c>
      <c r="K5" s="115" t="s">
        <v>475</v>
      </c>
      <c r="L5" s="115" t="s">
        <v>476</v>
      </c>
      <c r="M5" s="115" t="s">
        <v>477</v>
      </c>
      <c r="N5" s="115" t="s">
        <v>478</v>
      </c>
      <c r="O5" s="115" t="s">
        <v>479</v>
      </c>
      <c r="P5" s="115" t="s">
        <v>371</v>
      </c>
      <c r="Q5" s="115" t="s">
        <v>372</v>
      </c>
      <c r="R5" s="115" t="s">
        <v>373</v>
      </c>
      <c r="S5" s="115" t="s">
        <v>374</v>
      </c>
      <c r="T5" s="115" t="s">
        <v>375</v>
      </c>
      <c r="U5" s="115" t="s">
        <v>376</v>
      </c>
      <c r="V5" s="115" t="s">
        <v>694</v>
      </c>
      <c r="W5" s="115" t="s">
        <v>758</v>
      </c>
      <c r="X5" s="115" t="s">
        <v>771</v>
      </c>
      <c r="Y5" s="115" t="s">
        <v>788</v>
      </c>
      <c r="Z5" s="115" t="s">
        <v>844</v>
      </c>
      <c r="AA5" s="115" t="s">
        <v>862</v>
      </c>
      <c r="AB5" s="115" t="s">
        <v>922</v>
      </c>
      <c r="AC5" s="115" t="s">
        <v>923</v>
      </c>
      <c r="AD5" s="115" t="s">
        <v>924</v>
      </c>
      <c r="AE5" s="115" t="s">
        <v>995</v>
      </c>
      <c r="AF5" s="115" t="s">
        <v>1027</v>
      </c>
      <c r="AG5" s="115" t="s">
        <v>1028</v>
      </c>
      <c r="AH5" s="115" t="s">
        <v>993</v>
      </c>
      <c r="AI5" s="115" t="s">
        <v>1124</v>
      </c>
      <c r="AJ5" s="115" t="s">
        <v>1125</v>
      </c>
      <c r="AK5" s="115" t="s">
        <v>1126</v>
      </c>
      <c r="AL5" s="115" t="s">
        <v>1127</v>
      </c>
      <c r="AM5" s="115" t="s">
        <v>1181</v>
      </c>
      <c r="AN5" s="115" t="s">
        <v>1189</v>
      </c>
      <c r="AO5" s="115" t="s">
        <v>1191</v>
      </c>
      <c r="AP5" s="115" t="s">
        <v>1193</v>
      </c>
      <c r="AQ5" s="115" t="s">
        <v>1232</v>
      </c>
      <c r="AR5" s="115" t="s">
        <v>1245</v>
      </c>
      <c r="AS5" s="115" t="s">
        <v>1247</v>
      </c>
      <c r="AT5" s="115" t="s">
        <v>1249</v>
      </c>
      <c r="AU5" s="115" t="s">
        <v>1306</v>
      </c>
      <c r="AV5" s="115" t="s">
        <v>1316</v>
      </c>
      <c r="AW5" s="115" t="s">
        <v>1317</v>
      </c>
      <c r="AX5" s="115" t="s">
        <v>1318</v>
      </c>
    </row>
    <row r="6" spans="2:50" x14ac:dyDescent="0.25">
      <c r="B6" s="130" t="s">
        <v>500</v>
      </c>
      <c r="C6" s="118">
        <v>26518</v>
      </c>
      <c r="D6" s="118">
        <v>26518</v>
      </c>
      <c r="E6" s="118">
        <v>39871</v>
      </c>
      <c r="F6" s="118">
        <v>36991</v>
      </c>
      <c r="G6" s="118">
        <v>32167</v>
      </c>
      <c r="H6" s="161">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row>
    <row r="7" spans="2:50" x14ac:dyDescent="0.25">
      <c r="B7" s="130" t="s">
        <v>501</v>
      </c>
      <c r="C7" s="118">
        <v>139860</v>
      </c>
      <c r="D7" s="118">
        <v>139860</v>
      </c>
      <c r="E7" s="118">
        <v>139860</v>
      </c>
      <c r="F7" s="118">
        <v>123033</v>
      </c>
      <c r="G7" s="118">
        <v>66323</v>
      </c>
      <c r="H7" s="161">
        <v>63957</v>
      </c>
      <c r="I7" s="118">
        <v>99539</v>
      </c>
      <c r="J7" s="118">
        <v>106694</v>
      </c>
      <c r="K7" s="118">
        <v>147340</v>
      </c>
      <c r="L7" s="118">
        <v>154158.6134291621</v>
      </c>
      <c r="M7" s="118">
        <v>136961</v>
      </c>
      <c r="N7" s="118">
        <v>120717</v>
      </c>
      <c r="O7" s="118">
        <v>113192</v>
      </c>
      <c r="P7" s="118">
        <v>117448</v>
      </c>
      <c r="Q7" s="118">
        <v>126715</v>
      </c>
      <c r="R7" s="118">
        <v>129202</v>
      </c>
      <c r="S7" s="118">
        <v>144155</v>
      </c>
      <c r="T7" s="262">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2">
        <v>89634</v>
      </c>
      <c r="AR7" s="262">
        <v>144590</v>
      </c>
      <c r="AS7" s="118">
        <v>133077</v>
      </c>
      <c r="AT7" s="118">
        <v>142625</v>
      </c>
      <c r="AU7" s="118">
        <v>139192</v>
      </c>
      <c r="AV7" s="118">
        <v>154082</v>
      </c>
      <c r="AW7" s="118">
        <v>153680</v>
      </c>
      <c r="AX7" s="118">
        <v>163409</v>
      </c>
    </row>
    <row r="8" spans="2:50" x14ac:dyDescent="0.25">
      <c r="B8" s="130" t="s">
        <v>502</v>
      </c>
      <c r="C8" s="118">
        <v>77302</v>
      </c>
      <c r="D8" s="118">
        <v>77302</v>
      </c>
      <c r="E8" s="118">
        <v>77302</v>
      </c>
      <c r="F8" s="118">
        <v>85930</v>
      </c>
      <c r="G8" s="118">
        <v>160817</v>
      </c>
      <c r="H8" s="161">
        <v>77505</v>
      </c>
      <c r="I8" s="118">
        <v>64165</v>
      </c>
      <c r="J8" s="118">
        <v>20307</v>
      </c>
      <c r="K8" s="118">
        <v>8039</v>
      </c>
      <c r="L8" s="118">
        <v>8572.7878981035428</v>
      </c>
      <c r="M8" s="118">
        <v>7904</v>
      </c>
      <c r="N8" s="118">
        <v>6820</v>
      </c>
      <c r="O8" s="118">
        <v>20575</v>
      </c>
      <c r="P8" s="118">
        <v>32358</v>
      </c>
      <c r="Q8" s="118">
        <v>37967</v>
      </c>
      <c r="R8" s="118">
        <v>43110</v>
      </c>
      <c r="S8" s="118">
        <v>45196</v>
      </c>
      <c r="T8" s="262">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row>
    <row r="9" spans="2:50" x14ac:dyDescent="0.25">
      <c r="B9" s="127" t="s">
        <v>22</v>
      </c>
      <c r="C9" s="120">
        <f t="shared" ref="C9:M9" si="0">SUM(C6:C8)</f>
        <v>243680</v>
      </c>
      <c r="D9" s="120">
        <f t="shared" si="0"/>
        <v>243680</v>
      </c>
      <c r="E9" s="120">
        <f t="shared" si="0"/>
        <v>257033</v>
      </c>
      <c r="F9" s="120">
        <f t="shared" si="0"/>
        <v>245954</v>
      </c>
      <c r="G9" s="120">
        <f t="shared" si="0"/>
        <v>259307</v>
      </c>
      <c r="H9" s="163">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row>
    <row r="10" spans="2:50" x14ac:dyDescent="0.25">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row>
    <row r="11" spans="2:50" x14ac:dyDescent="0.25">
      <c r="B11" s="146" t="s">
        <v>397</v>
      </c>
      <c r="C11" s="115" t="str">
        <f>C5</f>
        <v>1Q13</v>
      </c>
      <c r="D11" s="115" t="str">
        <f t="shared" ref="D11:U11" si="4">D5</f>
        <v>2Q13</v>
      </c>
      <c r="E11" s="115" t="str">
        <f t="shared" si="4"/>
        <v>3Q13</v>
      </c>
      <c r="F11" s="115" t="str">
        <f t="shared" si="4"/>
        <v>4Q13</v>
      </c>
      <c r="G11" s="115" t="str">
        <f t="shared" si="4"/>
        <v>1Q14</v>
      </c>
      <c r="H11" s="115" t="str">
        <f t="shared" si="4"/>
        <v>2Q14</v>
      </c>
      <c r="I11" s="115" t="str">
        <f t="shared" si="4"/>
        <v>3Q14</v>
      </c>
      <c r="J11" s="115" t="str">
        <f t="shared" si="4"/>
        <v>4Q14</v>
      </c>
      <c r="K11" s="115" t="str">
        <f t="shared" si="4"/>
        <v>1Q15</v>
      </c>
      <c r="L11" s="115" t="str">
        <f t="shared" si="4"/>
        <v>2Q15</v>
      </c>
      <c r="M11" s="115" t="str">
        <f t="shared" si="4"/>
        <v>3Q15</v>
      </c>
      <c r="N11" s="115" t="str">
        <f t="shared" si="4"/>
        <v>4Q15</v>
      </c>
      <c r="O11" s="115" t="str">
        <f t="shared" si="4"/>
        <v>1Q16</v>
      </c>
      <c r="P11" s="115" t="str">
        <f t="shared" si="4"/>
        <v>2Q16</v>
      </c>
      <c r="Q11" s="115" t="str">
        <f t="shared" si="4"/>
        <v>3Q16</v>
      </c>
      <c r="R11" s="115" t="str">
        <f t="shared" si="4"/>
        <v>4Q16</v>
      </c>
      <c r="S11" s="115" t="str">
        <f t="shared" si="4"/>
        <v>1Q17</v>
      </c>
      <c r="T11" s="115" t="str">
        <f t="shared" si="4"/>
        <v>2Q17</v>
      </c>
      <c r="U11" s="115" t="str">
        <f t="shared" si="4"/>
        <v>3Q17</v>
      </c>
      <c r="V11" s="115" t="str">
        <f t="shared" ref="V11:AD11" si="5">V5</f>
        <v>4Q17</v>
      </c>
      <c r="W11" s="115" t="str">
        <f t="shared" si="5"/>
        <v>1Q18</v>
      </c>
      <c r="X11" s="115" t="str">
        <f t="shared" si="5"/>
        <v>2Q18</v>
      </c>
      <c r="Y11" s="115" t="str">
        <f t="shared" si="5"/>
        <v>3Q18</v>
      </c>
      <c r="Z11" s="115" t="str">
        <f t="shared" si="5"/>
        <v>4Q18</v>
      </c>
      <c r="AA11" s="115" t="str">
        <f t="shared" si="5"/>
        <v>1Q19</v>
      </c>
      <c r="AB11" s="115" t="str">
        <f t="shared" si="5"/>
        <v>2Q19</v>
      </c>
      <c r="AC11" s="115" t="str">
        <f t="shared" si="5"/>
        <v>3Q19</v>
      </c>
      <c r="AD11" s="115" t="str">
        <f t="shared" si="5"/>
        <v>4Q19</v>
      </c>
      <c r="AE11" s="115" t="str">
        <f t="shared" ref="AE11:AN11" si="6">AE5</f>
        <v>1Q20</v>
      </c>
      <c r="AF11" s="115" t="str">
        <f t="shared" si="6"/>
        <v>2Q20</v>
      </c>
      <c r="AG11" s="115" t="str">
        <f t="shared" si="6"/>
        <v>3Q20</v>
      </c>
      <c r="AH11" s="115" t="str">
        <f t="shared" si="6"/>
        <v>4Q20</v>
      </c>
      <c r="AI11" s="115" t="str">
        <f t="shared" si="6"/>
        <v>1Q21</v>
      </c>
      <c r="AJ11" s="115" t="str">
        <f t="shared" si="6"/>
        <v>2Q21</v>
      </c>
      <c r="AK11" s="115" t="str">
        <f t="shared" si="6"/>
        <v>3Q21</v>
      </c>
      <c r="AL11" s="115" t="str">
        <f t="shared" si="6"/>
        <v>4Q21</v>
      </c>
      <c r="AM11" s="115" t="str">
        <f t="shared" si="6"/>
        <v>1Q22</v>
      </c>
      <c r="AN11" s="115" t="str">
        <f t="shared" si="6"/>
        <v>2Q22</v>
      </c>
      <c r="AO11" s="115" t="str">
        <f t="shared" ref="AO11:AV11" si="7">AO5</f>
        <v>3Q22</v>
      </c>
      <c r="AP11" s="115" t="str">
        <f t="shared" si="7"/>
        <v>4Q22</v>
      </c>
      <c r="AQ11" s="115" t="str">
        <f t="shared" si="7"/>
        <v>1Q23</v>
      </c>
      <c r="AR11" s="115" t="str">
        <f t="shared" si="7"/>
        <v>2Q23</v>
      </c>
      <c r="AS11" s="115" t="str">
        <f t="shared" si="7"/>
        <v>3Q23</v>
      </c>
      <c r="AT11" s="115" t="str">
        <f t="shared" si="7"/>
        <v>4Q23</v>
      </c>
      <c r="AU11" s="115" t="str">
        <f t="shared" si="7"/>
        <v>1Q24</v>
      </c>
      <c r="AV11" s="115" t="str">
        <f t="shared" si="7"/>
        <v>2Q24</v>
      </c>
      <c r="AW11" s="115" t="str">
        <f>AW5</f>
        <v>3Q24</v>
      </c>
      <c r="AX11" s="115" t="str">
        <f>AX5</f>
        <v>4Q24</v>
      </c>
    </row>
    <row r="12" spans="2:50" x14ac:dyDescent="0.25">
      <c r="B12" s="130" t="s">
        <v>500</v>
      </c>
      <c r="C12" s="118">
        <v>2855</v>
      </c>
      <c r="D12" s="118">
        <v>2855</v>
      </c>
      <c r="E12" s="118">
        <v>3071</v>
      </c>
      <c r="F12" s="118">
        <v>3071</v>
      </c>
      <c r="G12" s="118">
        <v>3071</v>
      </c>
      <c r="H12" s="161">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row>
    <row r="13" spans="2:50" x14ac:dyDescent="0.25">
      <c r="B13" s="130" t="s">
        <v>501</v>
      </c>
      <c r="C13" s="118">
        <v>36416</v>
      </c>
      <c r="D13" s="118">
        <v>36416</v>
      </c>
      <c r="E13" s="118">
        <v>36416</v>
      </c>
      <c r="F13" s="118">
        <v>31828</v>
      </c>
      <c r="G13" s="118">
        <v>22998</v>
      </c>
      <c r="H13" s="161">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2">
        <v>82204</v>
      </c>
      <c r="AR13" s="262">
        <v>134513</v>
      </c>
      <c r="AS13" s="118">
        <v>123110</v>
      </c>
      <c r="AT13" s="118">
        <v>132124</v>
      </c>
      <c r="AU13" s="118">
        <v>130252</v>
      </c>
      <c r="AV13" s="118">
        <v>146075</v>
      </c>
      <c r="AW13" s="118">
        <v>146883</v>
      </c>
      <c r="AX13" s="118">
        <v>155515</v>
      </c>
    </row>
    <row r="14" spans="2:50" x14ac:dyDescent="0.25">
      <c r="B14" s="130" t="s">
        <v>502</v>
      </c>
      <c r="C14" s="118">
        <v>7224</v>
      </c>
      <c r="D14" s="118">
        <v>7224</v>
      </c>
      <c r="E14" s="118">
        <v>7224</v>
      </c>
      <c r="F14" s="118">
        <v>24478</v>
      </c>
      <c r="G14" s="118">
        <v>29318</v>
      </c>
      <c r="H14" s="161">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row>
    <row r="15" spans="2:50" x14ac:dyDescent="0.25">
      <c r="B15" s="127" t="s">
        <v>22</v>
      </c>
      <c r="C15" s="120">
        <f>SUM(C12:C14)</f>
        <v>46495</v>
      </c>
      <c r="D15" s="120">
        <f t="shared" ref="D15:L15" si="8">SUM(D12:D14)</f>
        <v>46495</v>
      </c>
      <c r="E15" s="120">
        <f t="shared" si="8"/>
        <v>46711</v>
      </c>
      <c r="F15" s="120">
        <f t="shared" si="8"/>
        <v>59377</v>
      </c>
      <c r="G15" s="120">
        <f t="shared" si="8"/>
        <v>55387</v>
      </c>
      <c r="H15" s="163">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row>
    <row r="17" spans="2:50" x14ac:dyDescent="0.25">
      <c r="B17" s="146" t="s">
        <v>503</v>
      </c>
      <c r="C17" s="115" t="str">
        <f>C5</f>
        <v>1Q13</v>
      </c>
      <c r="D17" s="115" t="str">
        <f t="shared" ref="D17:U17" si="13">D5</f>
        <v>2Q13</v>
      </c>
      <c r="E17" s="115" t="str">
        <f t="shared" si="13"/>
        <v>3Q13</v>
      </c>
      <c r="F17" s="115" t="str">
        <f t="shared" si="13"/>
        <v>4Q13</v>
      </c>
      <c r="G17" s="115" t="str">
        <f t="shared" si="13"/>
        <v>1Q14</v>
      </c>
      <c r="H17" s="115" t="str">
        <f t="shared" si="13"/>
        <v>2Q14</v>
      </c>
      <c r="I17" s="115" t="str">
        <f t="shared" si="13"/>
        <v>3Q14</v>
      </c>
      <c r="J17" s="115" t="str">
        <f t="shared" si="13"/>
        <v>4Q14</v>
      </c>
      <c r="K17" s="115" t="str">
        <f t="shared" si="13"/>
        <v>1Q15</v>
      </c>
      <c r="L17" s="115" t="str">
        <f t="shared" si="13"/>
        <v>2Q15</v>
      </c>
      <c r="M17" s="115" t="str">
        <f t="shared" si="13"/>
        <v>3Q15</v>
      </c>
      <c r="N17" s="115" t="str">
        <f t="shared" si="13"/>
        <v>4Q15</v>
      </c>
      <c r="O17" s="115" t="str">
        <f t="shared" si="13"/>
        <v>1Q16</v>
      </c>
      <c r="P17" s="115" t="str">
        <f t="shared" si="13"/>
        <v>2Q16</v>
      </c>
      <c r="Q17" s="115" t="str">
        <f t="shared" si="13"/>
        <v>3Q16</v>
      </c>
      <c r="R17" s="115" t="str">
        <f t="shared" si="13"/>
        <v>4Q16</v>
      </c>
      <c r="S17" s="115" t="str">
        <f t="shared" si="13"/>
        <v>1Q17</v>
      </c>
      <c r="T17" s="115" t="str">
        <f t="shared" si="13"/>
        <v>2Q17</v>
      </c>
      <c r="U17" s="115" t="str">
        <f t="shared" si="13"/>
        <v>3Q17</v>
      </c>
      <c r="V17" s="115" t="str">
        <f t="shared" ref="V17:AD17" si="14">V5</f>
        <v>4Q17</v>
      </c>
      <c r="W17" s="115" t="str">
        <f t="shared" si="14"/>
        <v>1Q18</v>
      </c>
      <c r="X17" s="115" t="str">
        <f t="shared" si="14"/>
        <v>2Q18</v>
      </c>
      <c r="Y17" s="115" t="str">
        <f t="shared" si="14"/>
        <v>3Q18</v>
      </c>
      <c r="Z17" s="115" t="str">
        <f t="shared" si="14"/>
        <v>4Q18</v>
      </c>
      <c r="AA17" s="115" t="str">
        <f t="shared" si="14"/>
        <v>1Q19</v>
      </c>
      <c r="AB17" s="115" t="str">
        <f t="shared" si="14"/>
        <v>2Q19</v>
      </c>
      <c r="AC17" s="115" t="str">
        <f t="shared" si="14"/>
        <v>3Q19</v>
      </c>
      <c r="AD17" s="115" t="str">
        <f t="shared" si="14"/>
        <v>4Q19</v>
      </c>
      <c r="AE17" s="115" t="str">
        <f t="shared" ref="AE17:AN17" si="15">AE5</f>
        <v>1Q20</v>
      </c>
      <c r="AF17" s="115" t="str">
        <f t="shared" si="15"/>
        <v>2Q20</v>
      </c>
      <c r="AG17" s="115" t="str">
        <f t="shared" si="15"/>
        <v>3Q20</v>
      </c>
      <c r="AH17" s="115" t="str">
        <f t="shared" si="15"/>
        <v>4Q20</v>
      </c>
      <c r="AI17" s="115" t="str">
        <f t="shared" si="15"/>
        <v>1Q21</v>
      </c>
      <c r="AJ17" s="115" t="str">
        <f t="shared" si="15"/>
        <v>2Q21</v>
      </c>
      <c r="AK17" s="115" t="str">
        <f t="shared" si="15"/>
        <v>3Q21</v>
      </c>
      <c r="AL17" s="115" t="str">
        <f t="shared" si="15"/>
        <v>4Q21</v>
      </c>
      <c r="AM17" s="115" t="str">
        <f t="shared" si="15"/>
        <v>1Q22</v>
      </c>
      <c r="AN17" s="115" t="str">
        <f t="shared" si="15"/>
        <v>2Q22</v>
      </c>
      <c r="AO17" s="115" t="str">
        <f t="shared" ref="AO17:AV17" si="16">AO5</f>
        <v>3Q22</v>
      </c>
      <c r="AP17" s="115" t="str">
        <f t="shared" si="16"/>
        <v>4Q22</v>
      </c>
      <c r="AQ17" s="115" t="str">
        <f t="shared" si="16"/>
        <v>1Q23</v>
      </c>
      <c r="AR17" s="115" t="str">
        <f t="shared" si="16"/>
        <v>2Q23</v>
      </c>
      <c r="AS17" s="115" t="str">
        <f t="shared" si="16"/>
        <v>3Q23</v>
      </c>
      <c r="AT17" s="115" t="str">
        <f t="shared" si="16"/>
        <v>4Q23</v>
      </c>
      <c r="AU17" s="115" t="str">
        <f t="shared" si="16"/>
        <v>1Q24</v>
      </c>
      <c r="AV17" s="115" t="str">
        <f t="shared" si="16"/>
        <v>2Q24</v>
      </c>
      <c r="AW17" s="115" t="str">
        <f>AW5</f>
        <v>3Q24</v>
      </c>
      <c r="AX17" s="115" t="str">
        <f>AX5</f>
        <v>4Q24</v>
      </c>
    </row>
    <row r="18" spans="2:50" x14ac:dyDescent="0.25">
      <c r="B18" s="130" t="s">
        <v>500</v>
      </c>
      <c r="C18" s="118">
        <f t="shared" ref="C18:M18" si="17">+C6-C12</f>
        <v>23663</v>
      </c>
      <c r="D18" s="118">
        <f t="shared" si="17"/>
        <v>23663</v>
      </c>
      <c r="E18" s="118">
        <f t="shared" si="17"/>
        <v>36800</v>
      </c>
      <c r="F18" s="118">
        <f t="shared" si="17"/>
        <v>33920</v>
      </c>
      <c r="G18" s="118">
        <f t="shared" si="17"/>
        <v>29096</v>
      </c>
      <c r="H18" s="161">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X20" si="26">+AW6-AW12</f>
        <v>2890</v>
      </c>
      <c r="AX18" s="118">
        <f t="shared" si="26"/>
        <v>3018</v>
      </c>
    </row>
    <row r="19" spans="2:50" x14ac:dyDescent="0.25">
      <c r="B19" s="130" t="s">
        <v>501</v>
      </c>
      <c r="C19" s="118">
        <f t="shared" ref="C19:M19" si="27">+C7-C13</f>
        <v>103444</v>
      </c>
      <c r="D19" s="118">
        <f t="shared" si="27"/>
        <v>103444</v>
      </c>
      <c r="E19" s="118">
        <f t="shared" si="27"/>
        <v>103444</v>
      </c>
      <c r="F19" s="118">
        <f t="shared" si="27"/>
        <v>91205</v>
      </c>
      <c r="G19" s="118">
        <f t="shared" si="27"/>
        <v>43325</v>
      </c>
      <c r="H19" s="161">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2">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f t="shared" si="26"/>
        <v>7894</v>
      </c>
    </row>
    <row r="20" spans="2:50" x14ac:dyDescent="0.25">
      <c r="B20" s="130" t="s">
        <v>502</v>
      </c>
      <c r="C20" s="118">
        <f t="shared" ref="C20:M20" si="30">+C8-C14</f>
        <v>70078</v>
      </c>
      <c r="D20" s="118">
        <f t="shared" si="30"/>
        <v>70078</v>
      </c>
      <c r="E20" s="118">
        <f t="shared" si="30"/>
        <v>70078</v>
      </c>
      <c r="F20" s="118">
        <f t="shared" si="30"/>
        <v>61452</v>
      </c>
      <c r="G20" s="118">
        <f t="shared" si="30"/>
        <v>131499</v>
      </c>
      <c r="H20" s="161">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2">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f t="shared" si="26"/>
        <v>1444</v>
      </c>
    </row>
    <row r="21" spans="2:50" x14ac:dyDescent="0.25">
      <c r="B21" s="127" t="s">
        <v>22</v>
      </c>
      <c r="C21" s="120">
        <f>SUM(C18:C20)</f>
        <v>197185</v>
      </c>
      <c r="D21" s="120">
        <f t="shared" ref="D21:L21" si="33">SUM(D18:D20)</f>
        <v>197185</v>
      </c>
      <c r="E21" s="120">
        <f t="shared" si="33"/>
        <v>210322</v>
      </c>
      <c r="F21" s="120">
        <f t="shared" si="33"/>
        <v>186577</v>
      </c>
      <c r="G21" s="120">
        <f t="shared" si="33"/>
        <v>203920</v>
      </c>
      <c r="H21" s="163">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X21" si="38">SUM(AR18:AR20)</f>
        <v>15613</v>
      </c>
      <c r="AS21" s="120">
        <f t="shared" si="38"/>
        <v>15271</v>
      </c>
      <c r="AT21" s="120">
        <f t="shared" si="38"/>
        <v>16520</v>
      </c>
      <c r="AU21" s="120">
        <f t="shared" si="38"/>
        <v>15211</v>
      </c>
      <c r="AV21" s="120">
        <f t="shared" si="38"/>
        <v>13062</v>
      </c>
      <c r="AW21" s="120">
        <f t="shared" si="38"/>
        <v>11182</v>
      </c>
      <c r="AX21" s="120">
        <f t="shared" si="38"/>
        <v>12356</v>
      </c>
    </row>
    <row r="23" spans="2:50" x14ac:dyDescent="0.25">
      <c r="B23" s="968" t="s">
        <v>181</v>
      </c>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row>
    <row r="24" spans="2:50" x14ac:dyDescent="0.25">
      <c r="B24" s="146" t="s">
        <v>391</v>
      </c>
      <c r="C24" s="146"/>
      <c r="D24" s="146"/>
      <c r="E24" s="146" t="s">
        <v>47</v>
      </c>
      <c r="F24" s="146" t="s">
        <v>47</v>
      </c>
      <c r="G24" s="146" t="s">
        <v>47</v>
      </c>
      <c r="H24" s="146" t="s">
        <v>47</v>
      </c>
      <c r="I24" s="146" t="s">
        <v>47</v>
      </c>
      <c r="J24" s="115" t="str">
        <f>J5</f>
        <v>4Q14</v>
      </c>
      <c r="K24" s="115" t="str">
        <f t="shared" ref="K24:U24" si="39">K5</f>
        <v>1Q15</v>
      </c>
      <c r="L24" s="115" t="str">
        <f t="shared" si="39"/>
        <v>2Q15</v>
      </c>
      <c r="M24" s="115" t="str">
        <f t="shared" si="39"/>
        <v>3Q15</v>
      </c>
      <c r="N24" s="115" t="str">
        <f t="shared" si="39"/>
        <v>4Q15</v>
      </c>
      <c r="O24" s="115" t="str">
        <f t="shared" si="39"/>
        <v>1Q16</v>
      </c>
      <c r="P24" s="115" t="str">
        <f t="shared" si="39"/>
        <v>2Q16</v>
      </c>
      <c r="Q24" s="115" t="str">
        <f t="shared" si="39"/>
        <v>3Q16</v>
      </c>
      <c r="R24" s="115" t="str">
        <f t="shared" si="39"/>
        <v>4Q16</v>
      </c>
      <c r="S24" s="115" t="str">
        <f t="shared" si="39"/>
        <v>1Q17</v>
      </c>
      <c r="T24" s="115" t="str">
        <f t="shared" si="39"/>
        <v>2Q17</v>
      </c>
      <c r="U24" s="115" t="str">
        <f t="shared" si="39"/>
        <v>3Q17</v>
      </c>
      <c r="V24" s="115" t="str">
        <f t="shared" ref="V24:AD24" si="40">V5</f>
        <v>4Q17</v>
      </c>
      <c r="W24" s="115" t="str">
        <f t="shared" si="40"/>
        <v>1Q18</v>
      </c>
      <c r="X24" s="115" t="str">
        <f t="shared" si="40"/>
        <v>2Q18</v>
      </c>
      <c r="Y24" s="115" t="str">
        <f t="shared" si="40"/>
        <v>3Q18</v>
      </c>
      <c r="Z24" s="115" t="str">
        <f t="shared" si="40"/>
        <v>4Q18</v>
      </c>
      <c r="AA24" s="115" t="str">
        <f t="shared" si="40"/>
        <v>1Q19</v>
      </c>
      <c r="AB24" s="115" t="str">
        <f t="shared" si="40"/>
        <v>2Q19</v>
      </c>
      <c r="AC24" s="115" t="str">
        <f t="shared" si="40"/>
        <v>3Q19</v>
      </c>
      <c r="AD24" s="115" t="str">
        <f t="shared" si="40"/>
        <v>4Q19</v>
      </c>
      <c r="AE24" s="115" t="str">
        <f>AE5</f>
        <v>1Q20</v>
      </c>
      <c r="AF24" s="115" t="str">
        <f>AF5</f>
        <v>2Q20</v>
      </c>
      <c r="AG24" s="115" t="str">
        <f t="shared" ref="AG24:AX24" si="41">AG$5</f>
        <v>3Q20</v>
      </c>
      <c r="AH24" s="115" t="str">
        <f t="shared" si="41"/>
        <v>4Q20</v>
      </c>
      <c r="AI24" s="115" t="str">
        <f t="shared" si="41"/>
        <v>1Q21</v>
      </c>
      <c r="AJ24" s="115" t="str">
        <f t="shared" si="41"/>
        <v>2Q21</v>
      </c>
      <c r="AK24" s="115" t="str">
        <f t="shared" si="41"/>
        <v>3Q21</v>
      </c>
      <c r="AL24" s="115" t="str">
        <f t="shared" si="41"/>
        <v>4Q21</v>
      </c>
      <c r="AM24" s="115" t="str">
        <f t="shared" si="41"/>
        <v>1Q22</v>
      </c>
      <c r="AN24" s="115" t="str">
        <f t="shared" si="41"/>
        <v>2Q22</v>
      </c>
      <c r="AO24" s="115" t="str">
        <f t="shared" si="41"/>
        <v>3Q22</v>
      </c>
      <c r="AP24" s="115" t="str">
        <f t="shared" si="41"/>
        <v>4Q22</v>
      </c>
      <c r="AQ24" s="115" t="str">
        <f t="shared" si="41"/>
        <v>1Q23</v>
      </c>
      <c r="AR24" s="115" t="str">
        <f t="shared" si="41"/>
        <v>2Q23</v>
      </c>
      <c r="AS24" s="115" t="str">
        <f t="shared" si="41"/>
        <v>3Q23</v>
      </c>
      <c r="AT24" s="115" t="str">
        <f t="shared" si="41"/>
        <v>4Q23</v>
      </c>
      <c r="AU24" s="115" t="str">
        <f t="shared" si="41"/>
        <v>1Q24</v>
      </c>
      <c r="AV24" s="115" t="str">
        <f t="shared" si="41"/>
        <v>2Q24</v>
      </c>
      <c r="AW24" s="115" t="str">
        <f t="shared" si="41"/>
        <v>3Q24</v>
      </c>
      <c r="AX24" s="115" t="str">
        <f t="shared" si="41"/>
        <v>4Q24</v>
      </c>
    </row>
    <row r="25" spans="2:50" x14ac:dyDescent="0.25">
      <c r="B25" s="130" t="s">
        <v>504</v>
      </c>
      <c r="C25" s="130"/>
      <c r="D25" s="131"/>
      <c r="E25" s="131">
        <v>0</v>
      </c>
      <c r="F25" s="131">
        <v>0</v>
      </c>
      <c r="G25" s="131">
        <v>0</v>
      </c>
      <c r="H25" s="131">
        <v>0</v>
      </c>
      <c r="I25" s="131">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row>
    <row r="26" spans="2:50" x14ac:dyDescent="0.25">
      <c r="B26" s="130" t="s">
        <v>505</v>
      </c>
      <c r="C26" s="130"/>
      <c r="D26" s="131"/>
      <c r="E26" s="131">
        <v>0</v>
      </c>
      <c r="F26" s="131">
        <v>0</v>
      </c>
      <c r="G26" s="131">
        <v>0</v>
      </c>
      <c r="H26" s="131">
        <v>0</v>
      </c>
      <c r="I26" s="131">
        <v>0</v>
      </c>
      <c r="J26" s="118">
        <v>350</v>
      </c>
      <c r="K26" s="118">
        <v>510</v>
      </c>
      <c r="L26" s="118">
        <v>757</v>
      </c>
      <c r="M26" s="118">
        <v>1107</v>
      </c>
      <c r="N26" s="118">
        <v>1185</v>
      </c>
      <c r="O26" s="118">
        <v>1459</v>
      </c>
      <c r="P26" s="118">
        <v>3186</v>
      </c>
      <c r="Q26" s="118">
        <v>3334</v>
      </c>
      <c r="R26" s="118">
        <v>3461</v>
      </c>
      <c r="S26" s="644">
        <v>0</v>
      </c>
      <c r="T26" s="118">
        <v>3752</v>
      </c>
      <c r="U26" s="118">
        <v>3752</v>
      </c>
      <c r="V26" s="262">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row>
    <row r="27" spans="2:50" x14ac:dyDescent="0.25">
      <c r="B27" s="130" t="s">
        <v>506</v>
      </c>
      <c r="C27" s="130"/>
      <c r="D27" s="131"/>
      <c r="E27" s="131">
        <v>0</v>
      </c>
      <c r="F27" s="131">
        <v>0</v>
      </c>
      <c r="G27" s="131">
        <v>0</v>
      </c>
      <c r="H27" s="131">
        <v>0</v>
      </c>
      <c r="I27" s="131">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1">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row>
    <row r="28" spans="2:50" x14ac:dyDescent="0.25">
      <c r="B28" s="127" t="s">
        <v>22</v>
      </c>
      <c r="C28" s="127"/>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+SUM(AT25:AT27)</f>
        <v>20256</v>
      </c>
      <c r="AU28" s="120">
        <f>+SUM(AU25:AU27)</f>
        <v>20621</v>
      </c>
      <c r="AV28" s="120">
        <f>+SUM(AV25:AV27)</f>
        <v>22649</v>
      </c>
      <c r="AW28" s="120">
        <f>+SUM(AW25:AW27)</f>
        <v>22945</v>
      </c>
      <c r="AX28" s="120">
        <f>+SUM(AX25:AX27)</f>
        <v>23178</v>
      </c>
    </row>
    <row r="29" spans="2:50" ht="9" customHeight="1" x14ac:dyDescent="0.25">
      <c r="D29" s="290"/>
      <c r="E29" s="290"/>
      <c r="F29" s="290"/>
      <c r="G29" s="290"/>
      <c r="H29" s="290"/>
      <c r="I29" s="290"/>
    </row>
    <row r="30" spans="2:50" x14ac:dyDescent="0.25">
      <c r="B30" s="146" t="s">
        <v>397</v>
      </c>
      <c r="C30" s="146"/>
      <c r="D30" s="146"/>
      <c r="E30" s="146" t="s">
        <v>47</v>
      </c>
      <c r="F30" s="146" t="s">
        <v>47</v>
      </c>
      <c r="G30" s="146" t="s">
        <v>47</v>
      </c>
      <c r="H30" s="146" t="s">
        <v>47</v>
      </c>
      <c r="I30" s="146" t="s">
        <v>47</v>
      </c>
      <c r="J30" s="115" t="str">
        <f>J24</f>
        <v>4Q14</v>
      </c>
      <c r="K30" s="115" t="str">
        <f t="shared" ref="K30:U30" si="46">K24</f>
        <v>1Q15</v>
      </c>
      <c r="L30" s="115" t="str">
        <f t="shared" si="46"/>
        <v>2Q15</v>
      </c>
      <c r="M30" s="115" t="str">
        <f t="shared" si="46"/>
        <v>3Q15</v>
      </c>
      <c r="N30" s="115" t="str">
        <f t="shared" si="46"/>
        <v>4Q15</v>
      </c>
      <c r="O30" s="115" t="str">
        <f t="shared" si="46"/>
        <v>1Q16</v>
      </c>
      <c r="P30" s="115" t="str">
        <f t="shared" si="46"/>
        <v>2Q16</v>
      </c>
      <c r="Q30" s="115" t="str">
        <f t="shared" si="46"/>
        <v>3Q16</v>
      </c>
      <c r="R30" s="115" t="str">
        <f t="shared" si="46"/>
        <v>4Q16</v>
      </c>
      <c r="S30" s="115" t="str">
        <f t="shared" si="46"/>
        <v>1Q17</v>
      </c>
      <c r="T30" s="115" t="str">
        <f t="shared" si="46"/>
        <v>2Q17</v>
      </c>
      <c r="U30" s="115" t="str">
        <f t="shared" si="46"/>
        <v>3Q17</v>
      </c>
      <c r="V30" s="115" t="str">
        <f t="shared" ref="V30:AA30" si="47">V24</f>
        <v>4Q17</v>
      </c>
      <c r="W30" s="115" t="str">
        <f t="shared" si="47"/>
        <v>1Q18</v>
      </c>
      <c r="X30" s="115" t="str">
        <f t="shared" si="47"/>
        <v>2Q18</v>
      </c>
      <c r="Y30" s="115" t="str">
        <f t="shared" si="47"/>
        <v>3Q18</v>
      </c>
      <c r="Z30" s="115" t="str">
        <f t="shared" si="47"/>
        <v>4Q18</v>
      </c>
      <c r="AA30" s="115" t="str">
        <f t="shared" si="47"/>
        <v>1Q19</v>
      </c>
      <c r="AB30" s="115" t="str">
        <f>AB24</f>
        <v>2Q19</v>
      </c>
      <c r="AC30" s="115" t="str">
        <f>AC24</f>
        <v>3Q19</v>
      </c>
      <c r="AD30" s="115" t="str">
        <f>AD24</f>
        <v>4Q19</v>
      </c>
      <c r="AE30" s="115" t="str">
        <f>AE24</f>
        <v>1Q20</v>
      </c>
      <c r="AF30" s="115" t="str">
        <f>AF24</f>
        <v>2Q20</v>
      </c>
      <c r="AG30" s="115" t="str">
        <f t="shared" ref="AG30:AX30" si="48">AG$5</f>
        <v>3Q20</v>
      </c>
      <c r="AH30" s="115" t="str">
        <f t="shared" si="48"/>
        <v>4Q20</v>
      </c>
      <c r="AI30" s="115" t="str">
        <f t="shared" si="48"/>
        <v>1Q21</v>
      </c>
      <c r="AJ30" s="115" t="str">
        <f t="shared" si="48"/>
        <v>2Q21</v>
      </c>
      <c r="AK30" s="115" t="str">
        <f t="shared" si="48"/>
        <v>3Q21</v>
      </c>
      <c r="AL30" s="115" t="str">
        <f t="shared" si="48"/>
        <v>4Q21</v>
      </c>
      <c r="AM30" s="115" t="str">
        <f t="shared" si="48"/>
        <v>1Q22</v>
      </c>
      <c r="AN30" s="115" t="str">
        <f t="shared" si="48"/>
        <v>2Q22</v>
      </c>
      <c r="AO30" s="115" t="str">
        <f t="shared" si="48"/>
        <v>3Q22</v>
      </c>
      <c r="AP30" s="115" t="str">
        <f t="shared" si="48"/>
        <v>4Q22</v>
      </c>
      <c r="AQ30" s="115" t="str">
        <f t="shared" si="48"/>
        <v>1Q23</v>
      </c>
      <c r="AR30" s="115" t="str">
        <f t="shared" si="48"/>
        <v>2Q23</v>
      </c>
      <c r="AS30" s="115" t="str">
        <f t="shared" si="48"/>
        <v>3Q23</v>
      </c>
      <c r="AT30" s="115" t="str">
        <f t="shared" si="48"/>
        <v>4Q23</v>
      </c>
      <c r="AU30" s="115" t="str">
        <f t="shared" si="48"/>
        <v>1Q24</v>
      </c>
      <c r="AV30" s="115" t="str">
        <f t="shared" si="48"/>
        <v>2Q24</v>
      </c>
      <c r="AW30" s="115" t="str">
        <f t="shared" si="48"/>
        <v>3Q24</v>
      </c>
      <c r="AX30" s="115" t="str">
        <f t="shared" si="48"/>
        <v>4Q24</v>
      </c>
    </row>
    <row r="31" spans="2:50" x14ac:dyDescent="0.25">
      <c r="B31" s="130" t="s">
        <v>504</v>
      </c>
      <c r="C31" s="130"/>
      <c r="D31" s="131"/>
      <c r="E31" s="131">
        <v>0</v>
      </c>
      <c r="F31" s="131">
        <v>0</v>
      </c>
      <c r="G31" s="131">
        <v>0</v>
      </c>
      <c r="H31" s="131">
        <v>0</v>
      </c>
      <c r="I31" s="131">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row>
    <row r="32" spans="2:50" x14ac:dyDescent="0.25">
      <c r="B32" s="130" t="s">
        <v>505</v>
      </c>
      <c r="C32" s="130"/>
      <c r="D32" s="131"/>
      <c r="E32" s="131">
        <v>0</v>
      </c>
      <c r="F32" s="131">
        <v>0</v>
      </c>
      <c r="G32" s="131">
        <v>0</v>
      </c>
      <c r="H32" s="131">
        <v>0</v>
      </c>
      <c r="I32" s="131">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row>
    <row r="33" spans="2:50" x14ac:dyDescent="0.25">
      <c r="B33" s="130" t="s">
        <v>506</v>
      </c>
      <c r="C33" s="130"/>
      <c r="D33" s="131"/>
      <c r="E33" s="131">
        <v>0</v>
      </c>
      <c r="F33" s="131">
        <v>0</v>
      </c>
      <c r="G33" s="131">
        <v>0</v>
      </c>
      <c r="H33" s="131">
        <v>0</v>
      </c>
      <c r="I33" s="131">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1">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row>
    <row r="34" spans="2:50" x14ac:dyDescent="0.25">
      <c r="B34" s="127" t="s">
        <v>22</v>
      </c>
      <c r="C34" s="127"/>
      <c r="D34" s="120"/>
      <c r="E34" s="120">
        <v>0</v>
      </c>
      <c r="F34" s="120">
        <v>0</v>
      </c>
      <c r="G34" s="120">
        <v>0</v>
      </c>
      <c r="H34" s="120">
        <v>0</v>
      </c>
      <c r="I34" s="120">
        <v>0</v>
      </c>
      <c r="J34" s="120">
        <f t="shared" ref="J34:T34" si="49">+SUM(J31:J33)</f>
        <v>7692</v>
      </c>
      <c r="K34" s="120">
        <f t="shared" si="49"/>
        <v>7889</v>
      </c>
      <c r="L34" s="120">
        <f t="shared" si="49"/>
        <v>8188</v>
      </c>
      <c r="M34" s="120">
        <f t="shared" si="49"/>
        <v>8348</v>
      </c>
      <c r="N34" s="120">
        <f t="shared" si="49"/>
        <v>7067</v>
      </c>
      <c r="O34" s="120">
        <f t="shared" si="49"/>
        <v>7433</v>
      </c>
      <c r="P34" s="120">
        <f t="shared" si="49"/>
        <v>9430</v>
      </c>
      <c r="Q34" s="120">
        <f t="shared" si="49"/>
        <v>9256</v>
      </c>
      <c r="R34" s="120">
        <f t="shared" si="49"/>
        <v>9473</v>
      </c>
      <c r="S34" s="120">
        <f t="shared" si="49"/>
        <v>9555</v>
      </c>
      <c r="T34" s="120">
        <f t="shared" si="49"/>
        <v>8958</v>
      </c>
      <c r="U34" s="120">
        <f t="shared" ref="U34:AA34" si="50">+SUM(U31:U33)</f>
        <v>9068</v>
      </c>
      <c r="V34" s="120">
        <f t="shared" si="50"/>
        <v>8703</v>
      </c>
      <c r="W34" s="120">
        <f t="shared" si="50"/>
        <v>8703</v>
      </c>
      <c r="X34" s="120">
        <f t="shared" si="50"/>
        <v>8896</v>
      </c>
      <c r="Y34" s="120">
        <f t="shared" si="50"/>
        <v>8901</v>
      </c>
      <c r="Z34" s="120">
        <f t="shared" si="50"/>
        <v>8702</v>
      </c>
      <c r="AA34" s="120">
        <f t="shared" si="50"/>
        <v>8764</v>
      </c>
      <c r="AB34" s="120">
        <f t="shared" ref="AB34:AG34" si="51">+SUM(AB31:AB33)</f>
        <v>8984</v>
      </c>
      <c r="AC34" s="120">
        <f t="shared" si="51"/>
        <v>11630</v>
      </c>
      <c r="AD34" s="120">
        <f t="shared" si="51"/>
        <v>11486</v>
      </c>
      <c r="AE34" s="120">
        <f t="shared" si="51"/>
        <v>11702</v>
      </c>
      <c r="AF34" s="120">
        <f t="shared" si="51"/>
        <v>11523</v>
      </c>
      <c r="AG34" s="120">
        <f t="shared" si="51"/>
        <v>11534</v>
      </c>
      <c r="AH34" s="120">
        <f t="shared" ref="AH34:AN34" si="52">+SUM(AH31:AH33)</f>
        <v>11821</v>
      </c>
      <c r="AI34" s="120">
        <f t="shared" si="52"/>
        <v>11947</v>
      </c>
      <c r="AJ34" s="120">
        <f t="shared" si="52"/>
        <v>11982</v>
      </c>
      <c r="AK34" s="120">
        <f t="shared" si="52"/>
        <v>11927</v>
      </c>
      <c r="AL34" s="120">
        <f t="shared" si="52"/>
        <v>15430</v>
      </c>
      <c r="AM34" s="120">
        <f t="shared" si="52"/>
        <v>16573</v>
      </c>
      <c r="AN34" s="120">
        <f t="shared" si="52"/>
        <v>16777</v>
      </c>
      <c r="AO34" s="120">
        <f t="shared" ref="AO34:AV34" si="53">+SUM(AO31:AO33)</f>
        <v>16164</v>
      </c>
      <c r="AP34" s="120">
        <f t="shared" si="53"/>
        <v>15914</v>
      </c>
      <c r="AQ34" s="120">
        <f t="shared" si="53"/>
        <v>16187</v>
      </c>
      <c r="AR34" s="120">
        <f t="shared" si="53"/>
        <v>16136</v>
      </c>
      <c r="AS34" s="120">
        <f t="shared" si="53"/>
        <v>16332</v>
      </c>
      <c r="AT34" s="120">
        <f t="shared" si="53"/>
        <v>17413</v>
      </c>
      <c r="AU34" s="120">
        <f t="shared" si="53"/>
        <v>17712</v>
      </c>
      <c r="AV34" s="120">
        <f t="shared" si="53"/>
        <v>19856</v>
      </c>
      <c r="AW34" s="120">
        <f>+SUM(AW31:AW33)</f>
        <v>20176</v>
      </c>
      <c r="AX34" s="120">
        <f>+SUM(AX31:AX33)</f>
        <v>20466</v>
      </c>
    </row>
    <row r="35" spans="2:50" ht="9" customHeight="1" x14ac:dyDescent="0.25">
      <c r="B35" s="289"/>
      <c r="C35" s="289"/>
      <c r="D35" s="291"/>
      <c r="E35" s="291"/>
      <c r="F35" s="291"/>
      <c r="G35" s="291"/>
      <c r="H35" s="291"/>
      <c r="I35" s="291"/>
    </row>
    <row r="36" spans="2:50" x14ac:dyDescent="0.25">
      <c r="B36" s="146" t="s">
        <v>503</v>
      </c>
      <c r="C36" s="146"/>
      <c r="D36" s="146"/>
      <c r="E36" s="146" t="s">
        <v>47</v>
      </c>
      <c r="F36" s="146" t="s">
        <v>47</v>
      </c>
      <c r="G36" s="146" t="s">
        <v>47</v>
      </c>
      <c r="H36" s="146" t="s">
        <v>47</v>
      </c>
      <c r="I36" s="146" t="s">
        <v>47</v>
      </c>
      <c r="J36" s="115" t="str">
        <f>J30</f>
        <v>4Q14</v>
      </c>
      <c r="K36" s="115" t="str">
        <f t="shared" ref="K36:U36" si="54">K30</f>
        <v>1Q15</v>
      </c>
      <c r="L36" s="115" t="str">
        <f t="shared" si="54"/>
        <v>2Q15</v>
      </c>
      <c r="M36" s="115" t="str">
        <f t="shared" si="54"/>
        <v>3Q15</v>
      </c>
      <c r="N36" s="115" t="str">
        <f t="shared" si="54"/>
        <v>4Q15</v>
      </c>
      <c r="O36" s="115" t="str">
        <f t="shared" si="54"/>
        <v>1Q16</v>
      </c>
      <c r="P36" s="115" t="str">
        <f t="shared" si="54"/>
        <v>2Q16</v>
      </c>
      <c r="Q36" s="115" t="str">
        <f t="shared" si="54"/>
        <v>3Q16</v>
      </c>
      <c r="R36" s="115" t="str">
        <f t="shared" si="54"/>
        <v>4Q16</v>
      </c>
      <c r="S36" s="115" t="str">
        <f t="shared" si="54"/>
        <v>1Q17</v>
      </c>
      <c r="T36" s="115" t="str">
        <f t="shared" si="54"/>
        <v>2Q17</v>
      </c>
      <c r="U36" s="115" t="str">
        <f t="shared" si="54"/>
        <v>3Q17</v>
      </c>
      <c r="V36" s="115" t="str">
        <f t="shared" ref="V36:AA36" si="55">V30</f>
        <v>4Q17</v>
      </c>
      <c r="W36" s="115" t="str">
        <f t="shared" si="55"/>
        <v>1Q18</v>
      </c>
      <c r="X36" s="115" t="str">
        <f t="shared" si="55"/>
        <v>2Q18</v>
      </c>
      <c r="Y36" s="115" t="str">
        <f t="shared" si="55"/>
        <v>3Q18</v>
      </c>
      <c r="Z36" s="115" t="str">
        <f t="shared" si="55"/>
        <v>4Q18</v>
      </c>
      <c r="AA36" s="115" t="str">
        <f t="shared" si="55"/>
        <v>1Q19</v>
      </c>
      <c r="AB36" s="115" t="str">
        <f>AB30</f>
        <v>2Q19</v>
      </c>
      <c r="AC36" s="115" t="str">
        <f>AC30</f>
        <v>3Q19</v>
      </c>
      <c r="AD36" s="115" t="str">
        <f>AD30</f>
        <v>4Q19</v>
      </c>
      <c r="AE36" s="115" t="str">
        <f>AE30</f>
        <v>1Q20</v>
      </c>
      <c r="AF36" s="115" t="str">
        <f>AF30</f>
        <v>2Q20</v>
      </c>
      <c r="AG36" s="115" t="str">
        <f t="shared" ref="AG36:AX36" si="56">AG$5</f>
        <v>3Q20</v>
      </c>
      <c r="AH36" s="115" t="str">
        <f t="shared" si="56"/>
        <v>4Q20</v>
      </c>
      <c r="AI36" s="115" t="str">
        <f t="shared" si="56"/>
        <v>1Q21</v>
      </c>
      <c r="AJ36" s="115" t="str">
        <f t="shared" si="56"/>
        <v>2Q21</v>
      </c>
      <c r="AK36" s="115" t="str">
        <f t="shared" si="56"/>
        <v>3Q21</v>
      </c>
      <c r="AL36" s="115" t="str">
        <f t="shared" si="56"/>
        <v>4Q21</v>
      </c>
      <c r="AM36" s="115" t="str">
        <f t="shared" si="56"/>
        <v>1Q22</v>
      </c>
      <c r="AN36" s="115" t="str">
        <f t="shared" si="56"/>
        <v>2Q22</v>
      </c>
      <c r="AO36" s="115" t="str">
        <f t="shared" si="56"/>
        <v>3Q22</v>
      </c>
      <c r="AP36" s="115" t="str">
        <f t="shared" si="56"/>
        <v>4Q22</v>
      </c>
      <c r="AQ36" s="115" t="str">
        <f t="shared" si="56"/>
        <v>1Q23</v>
      </c>
      <c r="AR36" s="115" t="str">
        <f t="shared" si="56"/>
        <v>2Q23</v>
      </c>
      <c r="AS36" s="115" t="str">
        <f t="shared" si="56"/>
        <v>3Q23</v>
      </c>
      <c r="AT36" s="115" t="str">
        <f t="shared" si="56"/>
        <v>4Q23</v>
      </c>
      <c r="AU36" s="115" t="str">
        <f t="shared" si="56"/>
        <v>1Q24</v>
      </c>
      <c r="AV36" s="115" t="str">
        <f t="shared" si="56"/>
        <v>2Q24</v>
      </c>
      <c r="AW36" s="115" t="str">
        <f t="shared" si="56"/>
        <v>3Q24</v>
      </c>
      <c r="AX36" s="115" t="str">
        <f t="shared" si="56"/>
        <v>4Q24</v>
      </c>
    </row>
    <row r="37" spans="2:50" x14ac:dyDescent="0.25">
      <c r="B37" s="130" t="s">
        <v>504</v>
      </c>
      <c r="C37" s="130"/>
      <c r="D37" s="131"/>
      <c r="E37" s="131">
        <v>0</v>
      </c>
      <c r="F37" s="131">
        <v>0</v>
      </c>
      <c r="G37" s="131">
        <v>0</v>
      </c>
      <c r="H37" s="131">
        <v>0</v>
      </c>
      <c r="I37" s="131">
        <v>0</v>
      </c>
      <c r="J37" s="118">
        <f t="shared" ref="J37:N39" si="57">+J25-J31</f>
        <v>17560</v>
      </c>
      <c r="K37" s="118">
        <f t="shared" ref="K37:L40" si="58">+K25-K31</f>
        <v>18097</v>
      </c>
      <c r="L37" s="118">
        <f t="shared" si="58"/>
        <v>18086</v>
      </c>
      <c r="M37" s="118">
        <f t="shared" si="57"/>
        <v>18239</v>
      </c>
      <c r="N37" s="118">
        <f t="shared" si="57"/>
        <v>13568</v>
      </c>
      <c r="O37" s="118">
        <f t="shared" ref="O37:Q39" si="59">+O25-O31</f>
        <v>13257</v>
      </c>
      <c r="P37" s="118">
        <f t="shared" si="59"/>
        <v>11023</v>
      </c>
      <c r="Q37" s="118">
        <f t="shared" si="59"/>
        <v>10509</v>
      </c>
      <c r="R37" s="118">
        <f t="shared" ref="R37:T39" si="60">+R25-R31</f>
        <v>10033</v>
      </c>
      <c r="S37" s="118">
        <f t="shared" si="60"/>
        <v>8820</v>
      </c>
      <c r="T37" s="118">
        <f t="shared" si="60"/>
        <v>6740</v>
      </c>
      <c r="U37" s="118">
        <v>6328</v>
      </c>
      <c r="V37" s="118">
        <f t="shared" ref="U37:V40" si="61">+V25-V31</f>
        <v>4748</v>
      </c>
      <c r="W37" s="118">
        <v>3605</v>
      </c>
      <c r="X37" s="118">
        <f t="shared" ref="X37:AA40" si="62">+X25-X31</f>
        <v>3556</v>
      </c>
      <c r="Y37" s="118">
        <f t="shared" si="62"/>
        <v>3361</v>
      </c>
      <c r="Z37" s="118">
        <f t="shared" si="62"/>
        <v>3103</v>
      </c>
      <c r="AA37" s="118">
        <f t="shared" si="62"/>
        <v>2719</v>
      </c>
      <c r="AB37" s="118">
        <v>2861</v>
      </c>
      <c r="AC37" s="118">
        <v>2727</v>
      </c>
      <c r="AD37" s="118">
        <v>2757</v>
      </c>
      <c r="AE37" s="118">
        <v>2750</v>
      </c>
      <c r="AF37" s="118">
        <v>2360</v>
      </c>
      <c r="AG37" s="118">
        <f t="shared" ref="AG37:AH40" si="63">+AG25-AG31</f>
        <v>2339</v>
      </c>
      <c r="AH37" s="118">
        <f t="shared" si="63"/>
        <v>3110</v>
      </c>
      <c r="AI37" s="118">
        <f>+AI25-AI31</f>
        <v>3080</v>
      </c>
      <c r="AJ37" s="118">
        <f t="shared" ref="AJ37:AK39" si="64">+AJ25-AJ31</f>
        <v>2841</v>
      </c>
      <c r="AK37" s="118">
        <f t="shared" si="64"/>
        <v>2710</v>
      </c>
      <c r="AL37" s="118">
        <f>+AL25-AL31</f>
        <v>2533</v>
      </c>
      <c r="AM37" s="118">
        <v>3075</v>
      </c>
      <c r="AN37" s="118">
        <f t="shared" ref="AN37:AO40" si="65">+AN25-AN31</f>
        <v>2931</v>
      </c>
      <c r="AO37" s="118">
        <v>2620</v>
      </c>
      <c r="AP37" s="118">
        <f t="shared" ref="AP37:AU40" si="66">+AP25-AP31</f>
        <v>2666</v>
      </c>
      <c r="AQ37" s="118">
        <f t="shared" si="66"/>
        <v>2731</v>
      </c>
      <c r="AR37" s="118">
        <f t="shared" si="66"/>
        <v>2696</v>
      </c>
      <c r="AS37" s="118">
        <f t="shared" si="66"/>
        <v>2602</v>
      </c>
      <c r="AT37" s="118">
        <f t="shared" si="66"/>
        <v>2622</v>
      </c>
      <c r="AU37" s="118">
        <f t="shared" si="66"/>
        <v>2689</v>
      </c>
      <c r="AV37" s="118">
        <f t="shared" ref="AV37" si="67">+AV25-AV31</f>
        <v>2573</v>
      </c>
      <c r="AW37" s="118">
        <v>2548</v>
      </c>
      <c r="AX37" s="118">
        <f>+AX25-AX31</f>
        <v>2597</v>
      </c>
    </row>
    <row r="38" spans="2:50" x14ac:dyDescent="0.25">
      <c r="B38" s="130" t="s">
        <v>505</v>
      </c>
      <c r="C38" s="130"/>
      <c r="D38" s="131"/>
      <c r="E38" s="131">
        <v>0</v>
      </c>
      <c r="F38" s="131">
        <v>0</v>
      </c>
      <c r="G38" s="131">
        <v>0</v>
      </c>
      <c r="H38" s="131">
        <v>0</v>
      </c>
      <c r="I38" s="131">
        <v>0</v>
      </c>
      <c r="J38" s="118">
        <f t="shared" si="57"/>
        <v>45</v>
      </c>
      <c r="K38" s="118">
        <f t="shared" si="58"/>
        <v>205</v>
      </c>
      <c r="L38" s="118">
        <f t="shared" si="58"/>
        <v>452</v>
      </c>
      <c r="M38" s="118">
        <f t="shared" si="57"/>
        <v>802</v>
      </c>
      <c r="N38" s="118">
        <f t="shared" si="57"/>
        <v>1126</v>
      </c>
      <c r="O38" s="118">
        <f t="shared" si="59"/>
        <v>1400</v>
      </c>
      <c r="P38" s="118">
        <f t="shared" si="59"/>
        <v>1578</v>
      </c>
      <c r="Q38" s="118">
        <f t="shared" si="59"/>
        <v>1726</v>
      </c>
      <c r="R38" s="118">
        <f t="shared" si="60"/>
        <v>1853</v>
      </c>
      <c r="S38" s="118">
        <f>+S26-S32</f>
        <v>-1608</v>
      </c>
      <c r="T38" s="118">
        <f t="shared" si="60"/>
        <v>2144</v>
      </c>
      <c r="U38" s="118">
        <v>2144</v>
      </c>
      <c r="V38" s="118">
        <f t="shared" si="61"/>
        <v>23</v>
      </c>
      <c r="W38" s="118">
        <v>0</v>
      </c>
      <c r="X38" s="118">
        <f t="shared" si="62"/>
        <v>0</v>
      </c>
      <c r="Y38" s="118">
        <v>0</v>
      </c>
      <c r="Z38" s="118">
        <f t="shared" si="62"/>
        <v>0</v>
      </c>
      <c r="AA38" s="118">
        <f t="shared" si="62"/>
        <v>0</v>
      </c>
      <c r="AB38" s="118">
        <v>0</v>
      </c>
      <c r="AC38" s="118">
        <v>0</v>
      </c>
      <c r="AD38" s="118">
        <v>0</v>
      </c>
      <c r="AE38" s="118">
        <v>0</v>
      </c>
      <c r="AF38" s="118">
        <v>0</v>
      </c>
      <c r="AG38" s="118">
        <f t="shared" si="63"/>
        <v>0</v>
      </c>
      <c r="AH38" s="118">
        <f t="shared" si="63"/>
        <v>0</v>
      </c>
      <c r="AI38" s="118">
        <f>+AI26-AI32</f>
        <v>0</v>
      </c>
      <c r="AJ38" s="118">
        <f t="shared" si="64"/>
        <v>0</v>
      </c>
      <c r="AK38" s="118">
        <f t="shared" si="64"/>
        <v>0</v>
      </c>
      <c r="AL38" s="118">
        <f>+AL26-AL32</f>
        <v>0</v>
      </c>
      <c r="AM38" s="118">
        <v>0</v>
      </c>
      <c r="AN38" s="118">
        <f t="shared" si="65"/>
        <v>0</v>
      </c>
      <c r="AO38" s="118">
        <v>0</v>
      </c>
      <c r="AP38" s="118">
        <f t="shared" si="66"/>
        <v>0</v>
      </c>
      <c r="AQ38" s="118">
        <f t="shared" si="66"/>
        <v>0</v>
      </c>
      <c r="AR38" s="118">
        <f t="shared" si="66"/>
        <v>0</v>
      </c>
      <c r="AS38" s="118">
        <f t="shared" si="66"/>
        <v>0</v>
      </c>
      <c r="AT38" s="118">
        <f t="shared" si="66"/>
        <v>0</v>
      </c>
      <c r="AU38" s="118">
        <f t="shared" si="66"/>
        <v>0</v>
      </c>
      <c r="AV38" s="118">
        <f t="shared" ref="AV38" si="68">+AV26-AV32</f>
        <v>0</v>
      </c>
      <c r="AW38" s="118">
        <v>0</v>
      </c>
      <c r="AX38" s="118">
        <f>+AX26-AX32</f>
        <v>0</v>
      </c>
    </row>
    <row r="39" spans="2:50" x14ac:dyDescent="0.25">
      <c r="B39" s="130" t="s">
        <v>506</v>
      </c>
      <c r="C39" s="130"/>
      <c r="D39" s="131"/>
      <c r="E39" s="131">
        <v>0</v>
      </c>
      <c r="F39" s="131">
        <v>0</v>
      </c>
      <c r="G39" s="131">
        <v>0</v>
      </c>
      <c r="H39" s="131">
        <v>0</v>
      </c>
      <c r="I39" s="131">
        <v>0</v>
      </c>
      <c r="J39" s="118">
        <f t="shared" si="57"/>
        <v>406</v>
      </c>
      <c r="K39" s="118">
        <f t="shared" si="58"/>
        <v>406</v>
      </c>
      <c r="L39" s="118">
        <f t="shared" si="58"/>
        <v>103</v>
      </c>
      <c r="M39" s="118">
        <f t="shared" si="57"/>
        <v>97</v>
      </c>
      <c r="N39" s="118">
        <f t="shared" si="57"/>
        <v>108</v>
      </c>
      <c r="O39" s="118">
        <f t="shared" si="59"/>
        <v>108</v>
      </c>
      <c r="P39" s="118">
        <f t="shared" si="59"/>
        <v>108</v>
      </c>
      <c r="Q39" s="118">
        <f t="shared" si="59"/>
        <v>98</v>
      </c>
      <c r="R39" s="118">
        <f t="shared" si="60"/>
        <v>168</v>
      </c>
      <c r="S39" s="118">
        <f t="shared" si="60"/>
        <v>168</v>
      </c>
      <c r="T39" s="118">
        <f t="shared" si="60"/>
        <v>97</v>
      </c>
      <c r="U39" s="118">
        <v>97</v>
      </c>
      <c r="V39" s="118">
        <f t="shared" si="61"/>
        <v>97</v>
      </c>
      <c r="W39" s="118">
        <v>97</v>
      </c>
      <c r="X39" s="118">
        <f t="shared" si="62"/>
        <v>97</v>
      </c>
      <c r="Y39" s="118">
        <f t="shared" si="62"/>
        <v>97</v>
      </c>
      <c r="Z39" s="118">
        <f t="shared" si="62"/>
        <v>97</v>
      </c>
      <c r="AA39" s="118">
        <f t="shared" si="62"/>
        <v>97</v>
      </c>
      <c r="AB39" s="118">
        <v>105</v>
      </c>
      <c r="AC39" s="118">
        <v>106</v>
      </c>
      <c r="AD39" s="118">
        <v>209</v>
      </c>
      <c r="AE39" s="118">
        <v>209</v>
      </c>
      <c r="AF39" s="118">
        <v>209</v>
      </c>
      <c r="AG39" s="118">
        <f t="shared" si="63"/>
        <v>209</v>
      </c>
      <c r="AH39" s="118">
        <f t="shared" si="63"/>
        <v>209</v>
      </c>
      <c r="AI39" s="118">
        <f>+AI27-AI33</f>
        <v>209</v>
      </c>
      <c r="AJ39" s="118">
        <f t="shared" si="64"/>
        <v>209</v>
      </c>
      <c r="AK39" s="118">
        <f t="shared" si="64"/>
        <v>209</v>
      </c>
      <c r="AL39" s="118">
        <f>+AL27-AL33</f>
        <v>209</v>
      </c>
      <c r="AM39" s="118">
        <v>201</v>
      </c>
      <c r="AN39" s="118">
        <f t="shared" si="65"/>
        <v>201</v>
      </c>
      <c r="AO39" s="118">
        <v>197</v>
      </c>
      <c r="AP39" s="118">
        <f t="shared" si="66"/>
        <v>201</v>
      </c>
      <c r="AQ39" s="118">
        <f t="shared" si="66"/>
        <v>201</v>
      </c>
      <c r="AR39" s="118">
        <f t="shared" si="66"/>
        <v>207</v>
      </c>
      <c r="AS39" s="118">
        <f t="shared" si="66"/>
        <v>221</v>
      </c>
      <c r="AT39" s="118">
        <f t="shared" si="66"/>
        <v>221</v>
      </c>
      <c r="AU39" s="118">
        <f t="shared" si="66"/>
        <v>220</v>
      </c>
      <c r="AV39" s="118">
        <f t="shared" ref="AV39" si="69">+AV27-AV33</f>
        <v>220</v>
      </c>
      <c r="AW39" s="118">
        <v>221</v>
      </c>
      <c r="AX39" s="118">
        <f>+AX27-AX33</f>
        <v>115</v>
      </c>
    </row>
    <row r="40" spans="2:50" x14ac:dyDescent="0.25">
      <c r="B40" s="127" t="s">
        <v>22</v>
      </c>
      <c r="C40" s="127"/>
      <c r="D40" s="120"/>
      <c r="E40" s="120">
        <v>0</v>
      </c>
      <c r="F40" s="120">
        <v>0</v>
      </c>
      <c r="G40" s="120">
        <v>0</v>
      </c>
      <c r="H40" s="120">
        <v>0</v>
      </c>
      <c r="I40" s="120">
        <v>0</v>
      </c>
      <c r="J40" s="120">
        <f t="shared" ref="J40:T40" si="70">+J28-J34</f>
        <v>18011</v>
      </c>
      <c r="K40" s="120">
        <f t="shared" si="58"/>
        <v>18708</v>
      </c>
      <c r="L40" s="120">
        <f t="shared" si="58"/>
        <v>18641</v>
      </c>
      <c r="M40" s="120">
        <f t="shared" si="70"/>
        <v>19138</v>
      </c>
      <c r="N40" s="120">
        <f t="shared" si="70"/>
        <v>14802</v>
      </c>
      <c r="O40" s="120">
        <f t="shared" si="70"/>
        <v>14765</v>
      </c>
      <c r="P40" s="120">
        <f t="shared" si="70"/>
        <v>12709</v>
      </c>
      <c r="Q40" s="120">
        <f t="shared" si="70"/>
        <v>12333</v>
      </c>
      <c r="R40" s="120">
        <f t="shared" si="70"/>
        <v>12054</v>
      </c>
      <c r="S40" s="120">
        <f t="shared" si="70"/>
        <v>7380</v>
      </c>
      <c r="T40" s="120">
        <f t="shared" si="70"/>
        <v>8981</v>
      </c>
      <c r="U40" s="120">
        <f t="shared" si="61"/>
        <v>8569</v>
      </c>
      <c r="V40" s="120">
        <f t="shared" si="61"/>
        <v>4868</v>
      </c>
      <c r="W40" s="120">
        <f>+W28-W34</f>
        <v>3702</v>
      </c>
      <c r="X40" s="120">
        <f t="shared" si="62"/>
        <v>3653</v>
      </c>
      <c r="Y40" s="120">
        <f t="shared" si="62"/>
        <v>3458</v>
      </c>
      <c r="Z40" s="120">
        <f t="shared" si="62"/>
        <v>3200</v>
      </c>
      <c r="AA40" s="120">
        <f t="shared" si="62"/>
        <v>2816</v>
      </c>
      <c r="AB40" s="120">
        <f>+AB28-AB34</f>
        <v>2966</v>
      </c>
      <c r="AC40" s="120">
        <f>+AC28-AC34</f>
        <v>2833</v>
      </c>
      <c r="AD40" s="120">
        <f>+AD28-AD34</f>
        <v>2966</v>
      </c>
      <c r="AE40" s="120">
        <f>+AE28-AE34</f>
        <v>2959</v>
      </c>
      <c r="AF40" s="120">
        <f>+AF28-AF34</f>
        <v>2559</v>
      </c>
      <c r="AG40" s="120">
        <f t="shared" si="63"/>
        <v>2548</v>
      </c>
      <c r="AH40" s="120">
        <f t="shared" si="63"/>
        <v>3319</v>
      </c>
      <c r="AI40" s="120">
        <f>+AI28-AI34</f>
        <v>3289</v>
      </c>
      <c r="AJ40" s="120">
        <f>+AJ28-AJ34</f>
        <v>3050</v>
      </c>
      <c r="AK40" s="120">
        <f>+AK28-AK34</f>
        <v>2919</v>
      </c>
      <c r="AL40" s="120">
        <f>+AL28-AL34</f>
        <v>2742</v>
      </c>
      <c r="AM40" s="120">
        <f>+AM28-AM34</f>
        <v>3276</v>
      </c>
      <c r="AN40" s="120">
        <f t="shared" si="65"/>
        <v>3132</v>
      </c>
      <c r="AO40" s="120">
        <f t="shared" si="65"/>
        <v>2817</v>
      </c>
      <c r="AP40" s="120">
        <f t="shared" si="66"/>
        <v>2867</v>
      </c>
      <c r="AQ40" s="120">
        <f t="shared" si="66"/>
        <v>2932</v>
      </c>
      <c r="AR40" s="120">
        <f t="shared" si="66"/>
        <v>2903</v>
      </c>
      <c r="AS40" s="120">
        <f t="shared" si="66"/>
        <v>2823</v>
      </c>
      <c r="AT40" s="120">
        <f t="shared" si="66"/>
        <v>2843</v>
      </c>
      <c r="AU40" s="120">
        <f t="shared" si="66"/>
        <v>2909</v>
      </c>
      <c r="AV40" s="120">
        <f t="shared" ref="AV40" si="71">+AV28-AV34</f>
        <v>2793</v>
      </c>
      <c r="AW40" s="120">
        <v>2769</v>
      </c>
      <c r="AX40" s="120">
        <f>+AX28-AX34</f>
        <v>2712</v>
      </c>
    </row>
    <row r="42" spans="2:50" x14ac:dyDescent="0.25">
      <c r="B42" s="970" t="s">
        <v>507</v>
      </c>
      <c r="C42" s="971"/>
      <c r="D42" s="971"/>
      <c r="E42" s="971"/>
      <c r="F42" s="971"/>
      <c r="G42" s="971"/>
      <c r="H42" s="971"/>
      <c r="I42" s="971"/>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row>
    <row r="43" spans="2:50" x14ac:dyDescent="0.25">
      <c r="B43" s="146" t="s">
        <v>391</v>
      </c>
      <c r="C43" s="146"/>
      <c r="D43" s="146"/>
      <c r="E43" s="146" t="s">
        <v>47</v>
      </c>
      <c r="F43" s="146" t="s">
        <v>47</v>
      </c>
      <c r="G43" s="146" t="s">
        <v>47</v>
      </c>
      <c r="H43" s="146" t="s">
        <v>47</v>
      </c>
      <c r="I43" s="146" t="s">
        <v>47</v>
      </c>
      <c r="J43" s="115" t="str">
        <f t="shared" ref="J43:AX43" si="72">J$5</f>
        <v>4Q14</v>
      </c>
      <c r="K43" s="115" t="str">
        <f t="shared" si="72"/>
        <v>1Q15</v>
      </c>
      <c r="L43" s="115" t="str">
        <f t="shared" si="72"/>
        <v>2Q15</v>
      </c>
      <c r="M43" s="115" t="str">
        <f t="shared" si="72"/>
        <v>3Q15</v>
      </c>
      <c r="N43" s="115" t="str">
        <f t="shared" si="72"/>
        <v>4Q15</v>
      </c>
      <c r="O43" s="115" t="str">
        <f t="shared" si="72"/>
        <v>1Q16</v>
      </c>
      <c r="P43" s="115" t="str">
        <f t="shared" si="72"/>
        <v>2Q16</v>
      </c>
      <c r="Q43" s="115" t="str">
        <f t="shared" si="72"/>
        <v>3Q16</v>
      </c>
      <c r="R43" s="115" t="str">
        <f t="shared" si="72"/>
        <v>4Q16</v>
      </c>
      <c r="S43" s="115" t="str">
        <f t="shared" si="72"/>
        <v>1Q17</v>
      </c>
      <c r="T43" s="115" t="str">
        <f t="shared" si="72"/>
        <v>2Q17</v>
      </c>
      <c r="U43" s="115" t="str">
        <f t="shared" si="72"/>
        <v>3Q17</v>
      </c>
      <c r="V43" s="115" t="str">
        <f t="shared" si="72"/>
        <v>4Q17</v>
      </c>
      <c r="W43" s="115" t="str">
        <f t="shared" si="72"/>
        <v>1Q18</v>
      </c>
      <c r="X43" s="115" t="str">
        <f t="shared" si="72"/>
        <v>2Q18</v>
      </c>
      <c r="Y43" s="115" t="str">
        <f t="shared" si="72"/>
        <v>3Q18</v>
      </c>
      <c r="Z43" s="115" t="str">
        <f t="shared" si="72"/>
        <v>4Q18</v>
      </c>
      <c r="AA43" s="115" t="str">
        <f t="shared" si="72"/>
        <v>1Q19</v>
      </c>
      <c r="AB43" s="115" t="str">
        <f t="shared" si="72"/>
        <v>2Q19</v>
      </c>
      <c r="AC43" s="115" t="str">
        <f t="shared" si="72"/>
        <v>3Q19</v>
      </c>
      <c r="AD43" s="115" t="str">
        <f t="shared" si="72"/>
        <v>4Q19</v>
      </c>
      <c r="AE43" s="115" t="str">
        <f t="shared" si="72"/>
        <v>1Q20</v>
      </c>
      <c r="AF43" s="115" t="str">
        <f t="shared" si="72"/>
        <v>2Q20</v>
      </c>
      <c r="AG43" s="115" t="str">
        <f t="shared" si="72"/>
        <v>3Q20</v>
      </c>
      <c r="AH43" s="115" t="str">
        <f t="shared" si="72"/>
        <v>4Q20</v>
      </c>
      <c r="AI43" s="115" t="str">
        <f t="shared" si="72"/>
        <v>1Q21</v>
      </c>
      <c r="AJ43" s="115" t="str">
        <f t="shared" si="72"/>
        <v>2Q21</v>
      </c>
      <c r="AK43" s="115" t="str">
        <f t="shared" si="72"/>
        <v>3Q21</v>
      </c>
      <c r="AL43" s="115" t="str">
        <f t="shared" si="72"/>
        <v>4Q21</v>
      </c>
      <c r="AM43" s="115" t="str">
        <f t="shared" si="72"/>
        <v>1Q22</v>
      </c>
      <c r="AN43" s="115" t="str">
        <f t="shared" si="72"/>
        <v>2Q22</v>
      </c>
      <c r="AO43" s="115" t="str">
        <f t="shared" si="72"/>
        <v>3Q22</v>
      </c>
      <c r="AP43" s="115" t="str">
        <f t="shared" si="72"/>
        <v>4Q22</v>
      </c>
      <c r="AQ43" s="115" t="str">
        <f t="shared" si="72"/>
        <v>1Q23</v>
      </c>
      <c r="AR43" s="115" t="str">
        <f t="shared" si="72"/>
        <v>2Q23</v>
      </c>
      <c r="AS43" s="115" t="str">
        <f t="shared" si="72"/>
        <v>3Q23</v>
      </c>
      <c r="AT43" s="115" t="str">
        <f t="shared" si="72"/>
        <v>4Q23</v>
      </c>
      <c r="AU43" s="115" t="str">
        <f t="shared" si="72"/>
        <v>1Q24</v>
      </c>
      <c r="AV43" s="115" t="str">
        <f t="shared" si="72"/>
        <v>2Q24</v>
      </c>
      <c r="AW43" s="115" t="str">
        <f t="shared" si="72"/>
        <v>3Q24</v>
      </c>
      <c r="AX43" s="115" t="str">
        <f t="shared" si="72"/>
        <v>4Q24</v>
      </c>
    </row>
    <row r="44" spans="2:50" x14ac:dyDescent="0.25">
      <c r="B44" s="130" t="s">
        <v>504</v>
      </c>
      <c r="C44" s="130"/>
      <c r="D44" s="131"/>
      <c r="E44" s="131">
        <v>0</v>
      </c>
      <c r="F44" s="131">
        <v>0</v>
      </c>
      <c r="G44" s="131">
        <v>0</v>
      </c>
      <c r="H44" s="131">
        <v>0</v>
      </c>
      <c r="I44" s="131">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row>
    <row r="45" spans="2:50" x14ac:dyDescent="0.25">
      <c r="B45" s="130" t="s">
        <v>505</v>
      </c>
      <c r="C45" s="130"/>
      <c r="D45" s="131"/>
      <c r="E45" s="131">
        <v>0</v>
      </c>
      <c r="F45" s="131">
        <v>0</v>
      </c>
      <c r="G45" s="131">
        <v>0</v>
      </c>
      <c r="H45" s="131">
        <v>0</v>
      </c>
      <c r="I45" s="131">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row>
    <row r="46" spans="2:50" x14ac:dyDescent="0.25">
      <c r="B46" s="130" t="s">
        <v>506</v>
      </c>
      <c r="C46" s="130"/>
      <c r="D46" s="131"/>
      <c r="E46" s="131">
        <v>0</v>
      </c>
      <c r="F46" s="131">
        <v>0</v>
      </c>
      <c r="G46" s="131">
        <v>0</v>
      </c>
      <c r="H46" s="131">
        <v>0</v>
      </c>
      <c r="I46" s="131">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1">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row>
    <row r="47" spans="2:50" x14ac:dyDescent="0.25">
      <c r="B47" s="127" t="s">
        <v>22</v>
      </c>
      <c r="C47" s="127"/>
      <c r="D47" s="120"/>
      <c r="E47" s="120">
        <v>0</v>
      </c>
      <c r="F47" s="120">
        <v>0</v>
      </c>
      <c r="G47" s="120">
        <v>0</v>
      </c>
      <c r="H47" s="120">
        <v>0</v>
      </c>
      <c r="I47" s="120">
        <v>0</v>
      </c>
      <c r="J47" s="120">
        <f t="shared" ref="J47:T47" si="73">+SUM(J44:J46)</f>
        <v>11486</v>
      </c>
      <c r="K47" s="120">
        <f t="shared" si="73"/>
        <v>11486</v>
      </c>
      <c r="L47" s="120">
        <f t="shared" si="73"/>
        <v>9861</v>
      </c>
      <c r="M47" s="120">
        <f t="shared" si="73"/>
        <v>10007</v>
      </c>
      <c r="N47" s="120">
        <f t="shared" si="73"/>
        <v>22751</v>
      </c>
      <c r="O47" s="120">
        <f t="shared" si="73"/>
        <v>21795</v>
      </c>
      <c r="P47" s="120">
        <f t="shared" si="73"/>
        <v>17017</v>
      </c>
      <c r="Q47" s="120">
        <f t="shared" si="73"/>
        <v>15630</v>
      </c>
      <c r="R47" s="120">
        <f t="shared" si="73"/>
        <v>14938</v>
      </c>
      <c r="S47" s="120">
        <f t="shared" si="73"/>
        <v>14709</v>
      </c>
      <c r="T47" s="120">
        <f t="shared" si="73"/>
        <v>36603</v>
      </c>
      <c r="U47" s="120">
        <f t="shared" ref="U47:AA47" si="74">+SUM(U44:U46)</f>
        <v>34954</v>
      </c>
      <c r="V47" s="120">
        <f t="shared" si="74"/>
        <v>38983</v>
      </c>
      <c r="W47" s="120">
        <f t="shared" si="74"/>
        <v>43770</v>
      </c>
      <c r="X47" s="120">
        <f t="shared" si="74"/>
        <v>41092</v>
      </c>
      <c r="Y47" s="120">
        <f t="shared" si="74"/>
        <v>36834</v>
      </c>
      <c r="Z47" s="120">
        <f t="shared" si="74"/>
        <v>44444</v>
      </c>
      <c r="AA47" s="120">
        <f t="shared" si="74"/>
        <v>43202</v>
      </c>
      <c r="AB47" s="120">
        <f t="shared" ref="AB47:AG47" si="75">+SUM(AB44:AB46)</f>
        <v>42750</v>
      </c>
      <c r="AC47" s="120">
        <f t="shared" si="75"/>
        <v>36611</v>
      </c>
      <c r="AD47" s="120">
        <f t="shared" si="75"/>
        <v>35266</v>
      </c>
      <c r="AE47" s="120">
        <f t="shared" si="75"/>
        <v>36832</v>
      </c>
      <c r="AF47" s="120">
        <f t="shared" si="75"/>
        <v>34213</v>
      </c>
      <c r="AG47" s="120">
        <f t="shared" si="75"/>
        <v>35552</v>
      </c>
      <c r="AH47" s="120">
        <f t="shared" ref="AH47:AN47" si="76">+SUM(AH44:AH46)</f>
        <v>33878</v>
      </c>
      <c r="AI47" s="120">
        <f t="shared" si="76"/>
        <v>33106</v>
      </c>
      <c r="AJ47" s="120">
        <f t="shared" si="76"/>
        <v>31961</v>
      </c>
      <c r="AK47" s="120">
        <f t="shared" si="76"/>
        <v>26648</v>
      </c>
      <c r="AL47" s="120">
        <f t="shared" si="76"/>
        <v>30830</v>
      </c>
      <c r="AM47" s="120">
        <f t="shared" si="76"/>
        <v>29638</v>
      </c>
      <c r="AN47" s="120">
        <f t="shared" si="76"/>
        <v>26394</v>
      </c>
      <c r="AO47" s="120">
        <f t="shared" ref="AO47:AV47" si="77">+SUM(AO44:AO46)</f>
        <v>32330</v>
      </c>
      <c r="AP47" s="120">
        <f t="shared" si="77"/>
        <v>28382</v>
      </c>
      <c r="AQ47" s="120">
        <f t="shared" si="77"/>
        <v>28655</v>
      </c>
      <c r="AR47" s="120">
        <f t="shared" si="77"/>
        <v>26478</v>
      </c>
      <c r="AS47" s="120">
        <f t="shared" si="77"/>
        <v>26648</v>
      </c>
      <c r="AT47" s="120">
        <f t="shared" si="77"/>
        <v>28015</v>
      </c>
      <c r="AU47" s="120">
        <f t="shared" si="77"/>
        <v>28737</v>
      </c>
      <c r="AV47" s="120">
        <f t="shared" si="77"/>
        <v>29329</v>
      </c>
      <c r="AW47" s="120">
        <f>+SUM(AW44:AW46)</f>
        <v>28133</v>
      </c>
      <c r="AX47" s="120">
        <f>+SUM(AX44:AX46)</f>
        <v>21692</v>
      </c>
    </row>
    <row r="48" spans="2:50" ht="9" customHeight="1" x14ac:dyDescent="0.25">
      <c r="D48" s="290"/>
      <c r="E48" s="290"/>
      <c r="F48" s="290"/>
      <c r="G48" s="290"/>
      <c r="H48" s="290"/>
      <c r="I48" s="290"/>
    </row>
    <row r="49" spans="2:50" x14ac:dyDescent="0.25">
      <c r="B49" s="146" t="s">
        <v>397</v>
      </c>
      <c r="C49" s="146"/>
      <c r="D49" s="146"/>
      <c r="E49" s="146" t="s">
        <v>47</v>
      </c>
      <c r="F49" s="146" t="s">
        <v>47</v>
      </c>
      <c r="G49" s="146" t="s">
        <v>47</v>
      </c>
      <c r="H49" s="146" t="s">
        <v>47</v>
      </c>
      <c r="I49" s="146" t="s">
        <v>47</v>
      </c>
      <c r="J49" s="115" t="str">
        <f t="shared" ref="J49:T49" si="78">J$5</f>
        <v>4Q14</v>
      </c>
      <c r="K49" s="115" t="str">
        <f t="shared" si="78"/>
        <v>1Q15</v>
      </c>
      <c r="L49" s="115" t="str">
        <f t="shared" si="78"/>
        <v>2Q15</v>
      </c>
      <c r="M49" s="115" t="str">
        <f t="shared" si="78"/>
        <v>3Q15</v>
      </c>
      <c r="N49" s="115" t="str">
        <f t="shared" si="78"/>
        <v>4Q15</v>
      </c>
      <c r="O49" s="115" t="str">
        <f t="shared" si="78"/>
        <v>1Q16</v>
      </c>
      <c r="P49" s="115" t="str">
        <f t="shared" si="78"/>
        <v>2Q16</v>
      </c>
      <c r="Q49" s="115" t="str">
        <f t="shared" si="78"/>
        <v>3Q16</v>
      </c>
      <c r="R49" s="115" t="str">
        <f t="shared" si="78"/>
        <v>4Q16</v>
      </c>
      <c r="S49" s="115" t="str">
        <f t="shared" si="78"/>
        <v>1Q17</v>
      </c>
      <c r="T49" s="115" t="str">
        <f t="shared" si="78"/>
        <v>2Q17</v>
      </c>
      <c r="U49" s="115" t="str">
        <f t="shared" ref="U49:AX49" si="79">U$5</f>
        <v>3Q17</v>
      </c>
      <c r="V49" s="115" t="str">
        <f t="shared" si="79"/>
        <v>4Q17</v>
      </c>
      <c r="W49" s="115" t="str">
        <f t="shared" si="79"/>
        <v>1Q18</v>
      </c>
      <c r="X49" s="115" t="str">
        <f t="shared" si="79"/>
        <v>2Q18</v>
      </c>
      <c r="Y49" s="115" t="str">
        <f t="shared" si="79"/>
        <v>3Q18</v>
      </c>
      <c r="Z49" s="115" t="str">
        <f t="shared" si="79"/>
        <v>4Q18</v>
      </c>
      <c r="AA49" s="115" t="str">
        <f t="shared" si="79"/>
        <v>1Q19</v>
      </c>
      <c r="AB49" s="115" t="str">
        <f t="shared" si="79"/>
        <v>2Q19</v>
      </c>
      <c r="AC49" s="115" t="str">
        <f t="shared" si="79"/>
        <v>3Q19</v>
      </c>
      <c r="AD49" s="115" t="str">
        <f t="shared" si="79"/>
        <v>4Q19</v>
      </c>
      <c r="AE49" s="115" t="str">
        <f t="shared" si="79"/>
        <v>1Q20</v>
      </c>
      <c r="AF49" s="115" t="str">
        <f t="shared" si="79"/>
        <v>2Q20</v>
      </c>
      <c r="AG49" s="115" t="str">
        <f t="shared" si="79"/>
        <v>3Q20</v>
      </c>
      <c r="AH49" s="115" t="str">
        <f t="shared" si="79"/>
        <v>4Q20</v>
      </c>
      <c r="AI49" s="115" t="str">
        <f t="shared" si="79"/>
        <v>1Q21</v>
      </c>
      <c r="AJ49" s="115" t="str">
        <f t="shared" si="79"/>
        <v>2Q21</v>
      </c>
      <c r="AK49" s="115" t="str">
        <f t="shared" si="79"/>
        <v>3Q21</v>
      </c>
      <c r="AL49" s="115" t="str">
        <f t="shared" si="79"/>
        <v>4Q21</v>
      </c>
      <c r="AM49" s="115" t="str">
        <f t="shared" si="79"/>
        <v>1Q22</v>
      </c>
      <c r="AN49" s="115" t="str">
        <f t="shared" si="79"/>
        <v>2Q22</v>
      </c>
      <c r="AO49" s="115" t="str">
        <f t="shared" si="79"/>
        <v>3Q22</v>
      </c>
      <c r="AP49" s="115" t="str">
        <f t="shared" si="79"/>
        <v>4Q22</v>
      </c>
      <c r="AQ49" s="115" t="str">
        <f t="shared" si="79"/>
        <v>1Q23</v>
      </c>
      <c r="AR49" s="115" t="str">
        <f t="shared" si="79"/>
        <v>2Q23</v>
      </c>
      <c r="AS49" s="115" t="str">
        <f t="shared" si="79"/>
        <v>3Q23</v>
      </c>
      <c r="AT49" s="115" t="str">
        <f t="shared" si="79"/>
        <v>4Q23</v>
      </c>
      <c r="AU49" s="115" t="str">
        <f t="shared" si="79"/>
        <v>1Q24</v>
      </c>
      <c r="AV49" s="115" t="str">
        <f t="shared" si="79"/>
        <v>2Q24</v>
      </c>
      <c r="AW49" s="115" t="str">
        <f t="shared" si="79"/>
        <v>3Q24</v>
      </c>
      <c r="AX49" s="115" t="str">
        <f t="shared" si="79"/>
        <v>4Q24</v>
      </c>
    </row>
    <row r="50" spans="2:50" x14ac:dyDescent="0.25">
      <c r="B50" s="130" t="s">
        <v>504</v>
      </c>
      <c r="C50" s="130"/>
      <c r="D50" s="131"/>
      <c r="E50" s="131">
        <v>0</v>
      </c>
      <c r="F50" s="131">
        <v>0</v>
      </c>
      <c r="G50" s="131">
        <v>0</v>
      </c>
      <c r="H50" s="131">
        <v>0</v>
      </c>
      <c r="I50" s="131">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row>
    <row r="51" spans="2:50" x14ac:dyDescent="0.25">
      <c r="B51" s="130" t="s">
        <v>505</v>
      </c>
      <c r="C51" s="130"/>
      <c r="D51" s="131"/>
      <c r="E51" s="131">
        <v>0</v>
      </c>
      <c r="F51" s="131">
        <v>0</v>
      </c>
      <c r="G51" s="131">
        <v>0</v>
      </c>
      <c r="H51" s="131">
        <v>0</v>
      </c>
      <c r="I51" s="131">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row>
    <row r="52" spans="2:50" x14ac:dyDescent="0.25">
      <c r="B52" s="130" t="s">
        <v>506</v>
      </c>
      <c r="C52" s="130"/>
      <c r="D52" s="131"/>
      <c r="E52" s="131">
        <v>0</v>
      </c>
      <c r="F52" s="131">
        <v>0</v>
      </c>
      <c r="G52" s="131">
        <v>0</v>
      </c>
      <c r="H52" s="131">
        <v>0</v>
      </c>
      <c r="I52" s="131">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row>
    <row r="53" spans="2:50" x14ac:dyDescent="0.25">
      <c r="B53" s="127" t="s">
        <v>22</v>
      </c>
      <c r="C53" s="127"/>
      <c r="D53" s="120"/>
      <c r="E53" s="120">
        <v>0</v>
      </c>
      <c r="F53" s="120">
        <v>0</v>
      </c>
      <c r="G53" s="120">
        <v>0</v>
      </c>
      <c r="H53" s="120">
        <v>0</v>
      </c>
      <c r="I53" s="120">
        <v>0</v>
      </c>
      <c r="J53" s="120">
        <f t="shared" ref="J53:T53" si="80">+SUM(J50:J52)</f>
        <v>3194</v>
      </c>
      <c r="K53" s="120">
        <f t="shared" si="80"/>
        <v>3194</v>
      </c>
      <c r="L53" s="120">
        <f t="shared" si="80"/>
        <v>2538</v>
      </c>
      <c r="M53" s="120">
        <f t="shared" si="80"/>
        <v>2514</v>
      </c>
      <c r="N53" s="120">
        <f t="shared" si="80"/>
        <v>4990</v>
      </c>
      <c r="O53" s="120">
        <f t="shared" si="80"/>
        <v>5207</v>
      </c>
      <c r="P53" s="120">
        <f t="shared" si="80"/>
        <v>5300</v>
      </c>
      <c r="Q53" s="120">
        <f t="shared" si="80"/>
        <v>4999</v>
      </c>
      <c r="R53" s="120">
        <f t="shared" si="80"/>
        <v>4946</v>
      </c>
      <c r="S53" s="120">
        <f t="shared" si="80"/>
        <v>6104</v>
      </c>
      <c r="T53" s="120">
        <f t="shared" si="80"/>
        <v>27314</v>
      </c>
      <c r="U53" s="120">
        <f t="shared" ref="U53:AA53" si="81">+SUM(U50:U52)</f>
        <v>27221</v>
      </c>
      <c r="V53" s="120">
        <f t="shared" si="81"/>
        <v>30926</v>
      </c>
      <c r="W53" s="120">
        <f t="shared" si="81"/>
        <v>32903</v>
      </c>
      <c r="X53" s="120">
        <f t="shared" si="81"/>
        <v>30032</v>
      </c>
      <c r="Y53" s="120">
        <f t="shared" si="81"/>
        <v>26056</v>
      </c>
      <c r="Z53" s="120">
        <f t="shared" si="81"/>
        <v>34419</v>
      </c>
      <c r="AA53" s="120">
        <f t="shared" si="81"/>
        <v>33700</v>
      </c>
      <c r="AB53" s="120">
        <f t="shared" ref="AB53:AG53" si="82">+SUM(AB50:AB52)</f>
        <v>32422</v>
      </c>
      <c r="AC53" s="120">
        <f t="shared" si="82"/>
        <v>32048</v>
      </c>
      <c r="AD53" s="120">
        <f t="shared" si="82"/>
        <v>30606</v>
      </c>
      <c r="AE53" s="120">
        <f t="shared" si="82"/>
        <v>32570</v>
      </c>
      <c r="AF53" s="120">
        <f t="shared" si="82"/>
        <v>30269</v>
      </c>
      <c r="AG53" s="120">
        <f t="shared" si="82"/>
        <v>31629</v>
      </c>
      <c r="AH53" s="120">
        <f t="shared" ref="AH53:AN53" si="83">+SUM(AH50:AH52)</f>
        <v>30151</v>
      </c>
      <c r="AI53" s="120">
        <f t="shared" si="83"/>
        <v>29631</v>
      </c>
      <c r="AJ53" s="120">
        <f t="shared" si="83"/>
        <v>28660</v>
      </c>
      <c r="AK53" s="120">
        <f t="shared" si="83"/>
        <v>23482</v>
      </c>
      <c r="AL53" s="120">
        <f t="shared" si="83"/>
        <v>27802</v>
      </c>
      <c r="AM53" s="120">
        <f t="shared" si="83"/>
        <v>25994</v>
      </c>
      <c r="AN53" s="120">
        <f t="shared" si="83"/>
        <v>22639</v>
      </c>
      <c r="AO53" s="120">
        <f t="shared" ref="AO53:AV53" si="84">+SUM(AO50:AO52)</f>
        <v>28573</v>
      </c>
      <c r="AP53" s="120">
        <f t="shared" si="84"/>
        <v>24627</v>
      </c>
      <c r="AQ53" s="120">
        <f t="shared" si="84"/>
        <v>24853</v>
      </c>
      <c r="AR53" s="120">
        <f t="shared" si="84"/>
        <v>23987</v>
      </c>
      <c r="AS53" s="120">
        <f t="shared" si="84"/>
        <v>24185</v>
      </c>
      <c r="AT53" s="120">
        <f t="shared" si="84"/>
        <v>24904</v>
      </c>
      <c r="AU53" s="120">
        <f t="shared" si="84"/>
        <v>25407</v>
      </c>
      <c r="AV53" s="120">
        <f t="shared" si="84"/>
        <v>26457</v>
      </c>
      <c r="AW53" s="120">
        <f>+SUM(AW50:AW52)</f>
        <v>25243</v>
      </c>
      <c r="AX53" s="120">
        <f>+SUM(AX50:AX52)</f>
        <v>18674</v>
      </c>
    </row>
    <row r="54" spans="2:50" ht="9" customHeight="1" x14ac:dyDescent="0.25">
      <c r="B54" s="289"/>
      <c r="C54" s="289"/>
      <c r="D54" s="291"/>
      <c r="E54" s="291"/>
      <c r="F54" s="291"/>
      <c r="G54" s="291"/>
      <c r="H54" s="291"/>
      <c r="I54" s="291"/>
    </row>
    <row r="55" spans="2:50" x14ac:dyDescent="0.25">
      <c r="B55" s="146" t="s">
        <v>503</v>
      </c>
      <c r="C55" s="146"/>
      <c r="D55" s="146"/>
      <c r="E55" s="146" t="s">
        <v>47</v>
      </c>
      <c r="F55" s="146" t="s">
        <v>47</v>
      </c>
      <c r="G55" s="146" t="s">
        <v>47</v>
      </c>
      <c r="H55" s="146" t="s">
        <v>47</v>
      </c>
      <c r="I55" s="146" t="s">
        <v>47</v>
      </c>
      <c r="J55" s="115" t="str">
        <f t="shared" ref="J55:T55" si="85">J$5</f>
        <v>4Q14</v>
      </c>
      <c r="K55" s="115" t="str">
        <f t="shared" si="85"/>
        <v>1Q15</v>
      </c>
      <c r="L55" s="115" t="str">
        <f t="shared" si="85"/>
        <v>2Q15</v>
      </c>
      <c r="M55" s="115" t="str">
        <f t="shared" si="85"/>
        <v>3Q15</v>
      </c>
      <c r="N55" s="115" t="str">
        <f t="shared" si="85"/>
        <v>4Q15</v>
      </c>
      <c r="O55" s="115" t="str">
        <f t="shared" si="85"/>
        <v>1Q16</v>
      </c>
      <c r="P55" s="115" t="str">
        <f t="shared" si="85"/>
        <v>2Q16</v>
      </c>
      <c r="Q55" s="115" t="str">
        <f t="shared" si="85"/>
        <v>3Q16</v>
      </c>
      <c r="R55" s="115" t="str">
        <f t="shared" si="85"/>
        <v>4Q16</v>
      </c>
      <c r="S55" s="115" t="str">
        <f t="shared" si="85"/>
        <v>1Q17</v>
      </c>
      <c r="T55" s="115" t="str">
        <f t="shared" si="85"/>
        <v>2Q17</v>
      </c>
      <c r="U55" s="115" t="str">
        <f t="shared" ref="U55:AX55" si="86">U$5</f>
        <v>3Q17</v>
      </c>
      <c r="V55" s="115" t="str">
        <f t="shared" si="86"/>
        <v>4Q17</v>
      </c>
      <c r="W55" s="115" t="str">
        <f t="shared" si="86"/>
        <v>1Q18</v>
      </c>
      <c r="X55" s="115" t="str">
        <f t="shared" si="86"/>
        <v>2Q18</v>
      </c>
      <c r="Y55" s="115" t="str">
        <f t="shared" si="86"/>
        <v>3Q18</v>
      </c>
      <c r="Z55" s="115" t="str">
        <f t="shared" si="86"/>
        <v>4Q18</v>
      </c>
      <c r="AA55" s="115" t="str">
        <f t="shared" si="86"/>
        <v>1Q19</v>
      </c>
      <c r="AB55" s="115" t="str">
        <f t="shared" si="86"/>
        <v>2Q19</v>
      </c>
      <c r="AC55" s="115" t="str">
        <f t="shared" si="86"/>
        <v>3Q19</v>
      </c>
      <c r="AD55" s="115" t="str">
        <f t="shared" si="86"/>
        <v>4Q19</v>
      </c>
      <c r="AE55" s="115" t="str">
        <f t="shared" si="86"/>
        <v>1Q20</v>
      </c>
      <c r="AF55" s="115" t="str">
        <f t="shared" si="86"/>
        <v>2Q20</v>
      </c>
      <c r="AG55" s="115" t="str">
        <f t="shared" si="86"/>
        <v>3Q20</v>
      </c>
      <c r="AH55" s="115" t="str">
        <f t="shared" si="86"/>
        <v>4Q20</v>
      </c>
      <c r="AI55" s="115" t="str">
        <f t="shared" si="86"/>
        <v>1Q21</v>
      </c>
      <c r="AJ55" s="115" t="str">
        <f t="shared" si="86"/>
        <v>2Q21</v>
      </c>
      <c r="AK55" s="115" t="str">
        <f t="shared" si="86"/>
        <v>3Q21</v>
      </c>
      <c r="AL55" s="115" t="str">
        <f t="shared" si="86"/>
        <v>4Q21</v>
      </c>
      <c r="AM55" s="115" t="str">
        <f t="shared" si="86"/>
        <v>1Q22</v>
      </c>
      <c r="AN55" s="115" t="str">
        <f t="shared" si="86"/>
        <v>2Q22</v>
      </c>
      <c r="AO55" s="115" t="str">
        <f t="shared" si="86"/>
        <v>3Q22</v>
      </c>
      <c r="AP55" s="115" t="str">
        <f t="shared" si="86"/>
        <v>4Q22</v>
      </c>
      <c r="AQ55" s="115" t="str">
        <f t="shared" si="86"/>
        <v>1Q23</v>
      </c>
      <c r="AR55" s="115" t="str">
        <f t="shared" si="86"/>
        <v>2Q23</v>
      </c>
      <c r="AS55" s="115" t="str">
        <f t="shared" si="86"/>
        <v>3Q23</v>
      </c>
      <c r="AT55" s="115" t="str">
        <f t="shared" si="86"/>
        <v>4Q23</v>
      </c>
      <c r="AU55" s="115" t="str">
        <f t="shared" si="86"/>
        <v>1Q24</v>
      </c>
      <c r="AV55" s="115" t="str">
        <f t="shared" si="86"/>
        <v>2Q24</v>
      </c>
      <c r="AW55" s="115" t="str">
        <f t="shared" si="86"/>
        <v>3Q24</v>
      </c>
      <c r="AX55" s="115" t="str">
        <f t="shared" si="86"/>
        <v>4Q24</v>
      </c>
    </row>
    <row r="56" spans="2:50" x14ac:dyDescent="0.25">
      <c r="B56" s="130" t="s">
        <v>504</v>
      </c>
      <c r="C56" s="130"/>
      <c r="D56" s="131"/>
      <c r="E56" s="131">
        <v>0</v>
      </c>
      <c r="F56" s="131">
        <v>0</v>
      </c>
      <c r="G56" s="131">
        <v>0</v>
      </c>
      <c r="H56" s="131">
        <v>0</v>
      </c>
      <c r="I56" s="131">
        <v>0</v>
      </c>
      <c r="J56" s="118">
        <f t="shared" ref="J56:N58" si="87">+J44-J50</f>
        <v>8252</v>
      </c>
      <c r="K56" s="118">
        <f t="shared" ref="K56:L59" si="88">+K44-K50</f>
        <v>8252</v>
      </c>
      <c r="L56" s="118">
        <f t="shared" si="88"/>
        <v>7283</v>
      </c>
      <c r="M56" s="118">
        <f t="shared" si="87"/>
        <v>7453</v>
      </c>
      <c r="N56" s="118">
        <f t="shared" si="87"/>
        <v>17721</v>
      </c>
      <c r="O56" s="118">
        <f t="shared" ref="O56:Q58" si="89">+O44-O50</f>
        <v>16558</v>
      </c>
      <c r="P56" s="118">
        <f t="shared" si="89"/>
        <v>11653</v>
      </c>
      <c r="Q56" s="118">
        <f t="shared" si="89"/>
        <v>10565</v>
      </c>
      <c r="R56" s="118">
        <v>9925</v>
      </c>
      <c r="S56" s="118">
        <v>8536</v>
      </c>
      <c r="T56" s="118">
        <v>9218</v>
      </c>
      <c r="U56" s="118">
        <v>7662</v>
      </c>
      <c r="V56" s="118">
        <f t="shared" ref="U56:V59" si="90">+V44-V50</f>
        <v>7986</v>
      </c>
      <c r="W56" s="118">
        <v>6938</v>
      </c>
      <c r="X56" s="118">
        <f t="shared" ref="X56:AA59" si="91">+X44-X50</f>
        <v>6974</v>
      </c>
      <c r="Y56" s="118">
        <f t="shared" si="91"/>
        <v>6064</v>
      </c>
      <c r="Z56" s="118">
        <f t="shared" si="91"/>
        <v>4509</v>
      </c>
      <c r="AA56" s="118">
        <f t="shared" si="91"/>
        <v>3976</v>
      </c>
      <c r="AB56" s="118">
        <v>4336</v>
      </c>
      <c r="AC56" s="118">
        <v>3660</v>
      </c>
      <c r="AD56" s="118">
        <v>3755</v>
      </c>
      <c r="AE56" s="118">
        <v>3358</v>
      </c>
      <c r="AF56" s="118">
        <v>3040</v>
      </c>
      <c r="AG56" s="118">
        <f>+AG44-AG50</f>
        <v>3017</v>
      </c>
      <c r="AH56" s="118">
        <v>2820</v>
      </c>
      <c r="AI56" s="118">
        <f t="shared" ref="AI56:AJ58" si="92">+AI44-AI50</f>
        <v>2570</v>
      </c>
      <c r="AJ56" s="118">
        <f t="shared" si="92"/>
        <v>2396</v>
      </c>
      <c r="AK56" s="118">
        <v>2257</v>
      </c>
      <c r="AL56" s="118">
        <v>2257</v>
      </c>
      <c r="AM56" s="118">
        <v>2577</v>
      </c>
      <c r="AN56" s="118">
        <f t="shared" ref="AN56:AO59" si="93">+AN44-AN50</f>
        <v>2689</v>
      </c>
      <c r="AO56" s="118">
        <f t="shared" si="93"/>
        <v>2574</v>
      </c>
      <c r="AP56" s="118">
        <f t="shared" ref="AP56:AU59" si="94">+AP44-AP50</f>
        <v>2568</v>
      </c>
      <c r="AQ56" s="118">
        <f t="shared" si="94"/>
        <v>2612</v>
      </c>
      <c r="AR56" s="118">
        <f t="shared" si="94"/>
        <v>2197</v>
      </c>
      <c r="AS56" s="118">
        <f t="shared" si="94"/>
        <v>2165</v>
      </c>
      <c r="AT56" s="118">
        <f t="shared" si="94"/>
        <v>2811</v>
      </c>
      <c r="AU56" s="118">
        <f t="shared" si="94"/>
        <v>3072</v>
      </c>
      <c r="AV56" s="118">
        <f t="shared" ref="AV56" si="95">+AV44-AV50</f>
        <v>2744</v>
      </c>
      <c r="AW56" s="118">
        <f t="shared" ref="AW56:AX59" si="96">+AW44-AW50</f>
        <v>2770</v>
      </c>
      <c r="AX56" s="118">
        <f t="shared" si="96"/>
        <v>2890</v>
      </c>
    </row>
    <row r="57" spans="2:50" x14ac:dyDescent="0.25">
      <c r="B57" s="130" t="s">
        <v>505</v>
      </c>
      <c r="C57" s="130"/>
      <c r="D57" s="131"/>
      <c r="E57" s="131">
        <v>0</v>
      </c>
      <c r="F57" s="131">
        <v>0</v>
      </c>
      <c r="G57" s="131">
        <v>0</v>
      </c>
      <c r="H57" s="131">
        <v>0</v>
      </c>
      <c r="I57" s="131">
        <v>0</v>
      </c>
      <c r="J57" s="118">
        <f t="shared" si="87"/>
        <v>28</v>
      </c>
      <c r="K57" s="118">
        <f t="shared" si="88"/>
        <v>28</v>
      </c>
      <c r="L57" s="118">
        <f t="shared" si="88"/>
        <v>28</v>
      </c>
      <c r="M57" s="118">
        <f t="shared" si="87"/>
        <v>28</v>
      </c>
      <c r="N57" s="118">
        <f t="shared" si="87"/>
        <v>28</v>
      </c>
      <c r="O57" s="118">
        <f t="shared" si="89"/>
        <v>0</v>
      </c>
      <c r="P57" s="118">
        <f t="shared" si="89"/>
        <v>0</v>
      </c>
      <c r="Q57" s="118">
        <f t="shared" si="89"/>
        <v>0</v>
      </c>
      <c r="R57" s="118">
        <v>0</v>
      </c>
      <c r="S57" s="118">
        <v>0</v>
      </c>
      <c r="T57" s="118">
        <v>0</v>
      </c>
      <c r="U57" s="118">
        <v>0</v>
      </c>
      <c r="V57" s="118">
        <f t="shared" si="90"/>
        <v>0</v>
      </c>
      <c r="W57" s="118">
        <v>0</v>
      </c>
      <c r="X57" s="118">
        <f t="shared" si="91"/>
        <v>0</v>
      </c>
      <c r="Y57" s="118">
        <f t="shared" si="91"/>
        <v>0</v>
      </c>
      <c r="Z57" s="118">
        <f t="shared" si="91"/>
        <v>0</v>
      </c>
      <c r="AA57" s="118">
        <f t="shared" si="91"/>
        <v>1</v>
      </c>
      <c r="AB57" s="118">
        <v>1</v>
      </c>
      <c r="AC57" s="118">
        <v>1</v>
      </c>
      <c r="AD57" s="118">
        <v>1</v>
      </c>
      <c r="AE57" s="118">
        <v>1</v>
      </c>
      <c r="AF57" s="118">
        <v>1</v>
      </c>
      <c r="AG57" s="118">
        <f>+AG45-AG51</f>
        <v>1</v>
      </c>
      <c r="AH57" s="118">
        <v>1</v>
      </c>
      <c r="AI57" s="118">
        <f t="shared" si="92"/>
        <v>1</v>
      </c>
      <c r="AJ57" s="118">
        <f t="shared" si="92"/>
        <v>1</v>
      </c>
      <c r="AK57" s="118">
        <v>1</v>
      </c>
      <c r="AL57" s="118">
        <v>1</v>
      </c>
      <c r="AM57" s="118">
        <v>1</v>
      </c>
      <c r="AN57" s="118">
        <f t="shared" si="93"/>
        <v>1</v>
      </c>
      <c r="AO57" s="118">
        <f t="shared" si="93"/>
        <v>118</v>
      </c>
      <c r="AP57" s="118">
        <f t="shared" si="94"/>
        <v>122</v>
      </c>
      <c r="AQ57" s="118">
        <f t="shared" si="94"/>
        <v>125</v>
      </c>
      <c r="AR57" s="118">
        <f t="shared" si="94"/>
        <v>129</v>
      </c>
      <c r="AS57" s="118">
        <f t="shared" si="94"/>
        <v>133</v>
      </c>
      <c r="AT57" s="118">
        <f t="shared" si="94"/>
        <v>135</v>
      </c>
      <c r="AU57" s="118">
        <f t="shared" si="94"/>
        <v>139</v>
      </c>
      <c r="AV57" s="118">
        <f t="shared" ref="AV57" si="97">+AV45-AV51</f>
        <v>0</v>
      </c>
      <c r="AW57" s="118">
        <f t="shared" si="96"/>
        <v>0</v>
      </c>
      <c r="AX57" s="118">
        <f t="shared" si="96"/>
        <v>0</v>
      </c>
    </row>
    <row r="58" spans="2:50" x14ac:dyDescent="0.25">
      <c r="B58" s="130" t="s">
        <v>506</v>
      </c>
      <c r="C58" s="130"/>
      <c r="D58" s="131"/>
      <c r="E58" s="131">
        <v>0</v>
      </c>
      <c r="F58" s="131">
        <v>0</v>
      </c>
      <c r="G58" s="131">
        <v>0</v>
      </c>
      <c r="H58" s="131">
        <v>0</v>
      </c>
      <c r="I58" s="131">
        <v>0</v>
      </c>
      <c r="J58" s="118">
        <f t="shared" si="87"/>
        <v>12</v>
      </c>
      <c r="K58" s="118">
        <f t="shared" si="88"/>
        <v>12</v>
      </c>
      <c r="L58" s="118">
        <f t="shared" si="88"/>
        <v>12</v>
      </c>
      <c r="M58" s="118">
        <f t="shared" si="87"/>
        <v>12</v>
      </c>
      <c r="N58" s="118">
        <f t="shared" si="87"/>
        <v>12</v>
      </c>
      <c r="O58" s="118">
        <f t="shared" si="89"/>
        <v>30</v>
      </c>
      <c r="P58" s="118">
        <f t="shared" si="89"/>
        <v>64</v>
      </c>
      <c r="Q58" s="118">
        <f t="shared" si="89"/>
        <v>66</v>
      </c>
      <c r="R58" s="118">
        <v>67</v>
      </c>
      <c r="S58" s="118">
        <v>69</v>
      </c>
      <c r="T58" s="118">
        <v>71</v>
      </c>
      <c r="U58" s="118">
        <v>71</v>
      </c>
      <c r="V58" s="118">
        <f t="shared" si="90"/>
        <v>71</v>
      </c>
      <c r="W58" s="118">
        <v>3929</v>
      </c>
      <c r="X58" s="118">
        <f t="shared" si="91"/>
        <v>4086</v>
      </c>
      <c r="Y58" s="118">
        <f t="shared" si="91"/>
        <v>4714</v>
      </c>
      <c r="Z58" s="118">
        <f t="shared" si="91"/>
        <v>5516</v>
      </c>
      <c r="AA58" s="118">
        <f t="shared" si="91"/>
        <v>5525</v>
      </c>
      <c r="AB58" s="118">
        <v>5991</v>
      </c>
      <c r="AC58" s="261">
        <v>902</v>
      </c>
      <c r="AD58" s="118">
        <v>904</v>
      </c>
      <c r="AE58" s="118">
        <v>903</v>
      </c>
      <c r="AF58" s="118">
        <v>903</v>
      </c>
      <c r="AG58" s="118">
        <f>+AG46-AG52</f>
        <v>905</v>
      </c>
      <c r="AH58" s="118">
        <v>906</v>
      </c>
      <c r="AI58" s="118">
        <f t="shared" si="92"/>
        <v>904</v>
      </c>
      <c r="AJ58" s="118">
        <f t="shared" si="92"/>
        <v>904</v>
      </c>
      <c r="AK58" s="118">
        <v>908</v>
      </c>
      <c r="AL58" s="118">
        <v>908</v>
      </c>
      <c r="AM58" s="118">
        <v>1066</v>
      </c>
      <c r="AN58" s="118">
        <f t="shared" si="93"/>
        <v>1065</v>
      </c>
      <c r="AO58" s="118">
        <f t="shared" si="93"/>
        <v>1065</v>
      </c>
      <c r="AP58" s="118">
        <f t="shared" si="94"/>
        <v>1065</v>
      </c>
      <c r="AQ58" s="118">
        <f t="shared" si="94"/>
        <v>1065</v>
      </c>
      <c r="AR58" s="118">
        <f t="shared" si="94"/>
        <v>165</v>
      </c>
      <c r="AS58" s="118">
        <f t="shared" si="94"/>
        <v>165</v>
      </c>
      <c r="AT58" s="118">
        <f t="shared" si="94"/>
        <v>165</v>
      </c>
      <c r="AU58" s="118">
        <f t="shared" si="94"/>
        <v>119</v>
      </c>
      <c r="AV58" s="118">
        <f t="shared" ref="AV58" si="98">+AV46-AV52</f>
        <v>128</v>
      </c>
      <c r="AW58" s="118">
        <f t="shared" si="96"/>
        <v>120</v>
      </c>
      <c r="AX58" s="118">
        <f t="shared" si="96"/>
        <v>128</v>
      </c>
    </row>
    <row r="59" spans="2:50" x14ac:dyDescent="0.25">
      <c r="B59" s="127" t="s">
        <v>22</v>
      </c>
      <c r="C59" s="127"/>
      <c r="D59" s="120"/>
      <c r="E59" s="120">
        <v>0</v>
      </c>
      <c r="F59" s="120">
        <v>0</v>
      </c>
      <c r="G59" s="120">
        <v>0</v>
      </c>
      <c r="H59" s="120">
        <v>0</v>
      </c>
      <c r="I59" s="120">
        <v>0</v>
      </c>
      <c r="J59" s="120">
        <f t="shared" ref="J59:T59" si="99">+J47-J53</f>
        <v>8292</v>
      </c>
      <c r="K59" s="120">
        <f t="shared" si="88"/>
        <v>8292</v>
      </c>
      <c r="L59" s="120">
        <f t="shared" si="88"/>
        <v>7323</v>
      </c>
      <c r="M59" s="120">
        <f t="shared" si="99"/>
        <v>7493</v>
      </c>
      <c r="N59" s="120">
        <f t="shared" si="99"/>
        <v>17761</v>
      </c>
      <c r="O59" s="120">
        <f t="shared" si="99"/>
        <v>16588</v>
      </c>
      <c r="P59" s="120">
        <f t="shared" si="99"/>
        <v>11717</v>
      </c>
      <c r="Q59" s="120">
        <f t="shared" si="99"/>
        <v>10631</v>
      </c>
      <c r="R59" s="120">
        <f t="shared" si="99"/>
        <v>9992</v>
      </c>
      <c r="S59" s="120">
        <f t="shared" si="99"/>
        <v>8605</v>
      </c>
      <c r="T59" s="120">
        <f t="shared" si="99"/>
        <v>9289</v>
      </c>
      <c r="U59" s="120">
        <f t="shared" si="90"/>
        <v>7733</v>
      </c>
      <c r="V59" s="120">
        <f t="shared" si="90"/>
        <v>8057</v>
      </c>
      <c r="W59" s="120">
        <f>+W47-W53</f>
        <v>10867</v>
      </c>
      <c r="X59" s="120">
        <f t="shared" si="91"/>
        <v>11060</v>
      </c>
      <c r="Y59" s="120">
        <f t="shared" si="91"/>
        <v>10778</v>
      </c>
      <c r="Z59" s="120">
        <f t="shared" si="91"/>
        <v>10025</v>
      </c>
      <c r="AA59" s="120">
        <f t="shared" si="91"/>
        <v>9502</v>
      </c>
      <c r="AB59" s="120">
        <f>+AB47-AB53</f>
        <v>10328</v>
      </c>
      <c r="AC59" s="120">
        <f>+AC47-AC53</f>
        <v>4563</v>
      </c>
      <c r="AD59" s="120">
        <f>+AD47-AD53</f>
        <v>4660</v>
      </c>
      <c r="AE59" s="120">
        <f>+AE47-AE53</f>
        <v>4262</v>
      </c>
      <c r="AF59" s="120">
        <f>+AF47-AF53</f>
        <v>3944</v>
      </c>
      <c r="AG59" s="120">
        <f>+AG47-AG53</f>
        <v>3923</v>
      </c>
      <c r="AH59" s="120">
        <f t="shared" ref="AH59:AM59" si="100">+AH47-AH53</f>
        <v>3727</v>
      </c>
      <c r="AI59" s="120">
        <f t="shared" si="100"/>
        <v>3475</v>
      </c>
      <c r="AJ59" s="120">
        <f t="shared" si="100"/>
        <v>3301</v>
      </c>
      <c r="AK59" s="120">
        <f t="shared" si="100"/>
        <v>3166</v>
      </c>
      <c r="AL59" s="120">
        <f t="shared" si="100"/>
        <v>3028</v>
      </c>
      <c r="AM59" s="120">
        <f t="shared" si="100"/>
        <v>3644</v>
      </c>
      <c r="AN59" s="120">
        <f t="shared" si="93"/>
        <v>3755</v>
      </c>
      <c r="AO59" s="120">
        <f t="shared" si="93"/>
        <v>3757</v>
      </c>
      <c r="AP59" s="120">
        <f t="shared" si="94"/>
        <v>3755</v>
      </c>
      <c r="AQ59" s="120">
        <f t="shared" si="94"/>
        <v>3802</v>
      </c>
      <c r="AR59" s="120">
        <f t="shared" si="94"/>
        <v>2491</v>
      </c>
      <c r="AS59" s="120">
        <f t="shared" si="94"/>
        <v>2463</v>
      </c>
      <c r="AT59" s="120">
        <f t="shared" si="94"/>
        <v>3111</v>
      </c>
      <c r="AU59" s="120">
        <f t="shared" si="94"/>
        <v>3330</v>
      </c>
      <c r="AV59" s="120">
        <f t="shared" ref="AV59" si="101">+AV47-AV53</f>
        <v>2872</v>
      </c>
      <c r="AW59" s="120">
        <f t="shared" si="96"/>
        <v>2890</v>
      </c>
      <c r="AX59" s="120">
        <f t="shared" si="96"/>
        <v>3018</v>
      </c>
    </row>
    <row r="60" spans="2:50" x14ac:dyDescent="0.25">
      <c r="D60" s="290"/>
      <c r="E60" s="290"/>
      <c r="F60" s="290"/>
      <c r="G60" s="290"/>
      <c r="H60" s="290"/>
      <c r="I60" s="290"/>
    </row>
    <row r="61" spans="2:50" x14ac:dyDescent="0.25">
      <c r="B61" s="970" t="s">
        <v>508</v>
      </c>
      <c r="C61" s="971"/>
      <c r="D61" s="971"/>
      <c r="E61" s="971"/>
      <c r="F61" s="971"/>
      <c r="G61" s="971"/>
      <c r="H61" s="971"/>
      <c r="I61" s="971"/>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row>
    <row r="62" spans="2:50" x14ac:dyDescent="0.25">
      <c r="B62" s="146" t="s">
        <v>391</v>
      </c>
      <c r="C62" s="146"/>
      <c r="D62" s="146"/>
      <c r="E62" s="146" t="s">
        <v>47</v>
      </c>
      <c r="F62" s="146" t="s">
        <v>47</v>
      </c>
      <c r="G62" s="146" t="s">
        <v>47</v>
      </c>
      <c r="H62" s="146" t="s">
        <v>47</v>
      </c>
      <c r="I62" s="146" t="s">
        <v>47</v>
      </c>
      <c r="J62" s="115" t="str">
        <f t="shared" ref="J62:T62" si="102">J$5</f>
        <v>4Q14</v>
      </c>
      <c r="K62" s="115" t="str">
        <f t="shared" si="102"/>
        <v>1Q15</v>
      </c>
      <c r="L62" s="115" t="str">
        <f t="shared" si="102"/>
        <v>2Q15</v>
      </c>
      <c r="M62" s="115" t="str">
        <f t="shared" si="102"/>
        <v>3Q15</v>
      </c>
      <c r="N62" s="115" t="str">
        <f t="shared" si="102"/>
        <v>4Q15</v>
      </c>
      <c r="O62" s="115" t="str">
        <f t="shared" si="102"/>
        <v>1Q16</v>
      </c>
      <c r="P62" s="115" t="str">
        <f t="shared" si="102"/>
        <v>2Q16</v>
      </c>
      <c r="Q62" s="115" t="str">
        <f t="shared" si="102"/>
        <v>3Q16</v>
      </c>
      <c r="R62" s="115" t="str">
        <f t="shared" si="102"/>
        <v>4Q16</v>
      </c>
      <c r="S62" s="115" t="str">
        <f t="shared" si="102"/>
        <v>1Q17</v>
      </c>
      <c r="T62" s="115" t="str">
        <f t="shared" si="102"/>
        <v>2Q17</v>
      </c>
      <c r="U62" s="115" t="str">
        <f t="shared" ref="U62:AX62" si="103">U$5</f>
        <v>3Q17</v>
      </c>
      <c r="V62" s="115" t="str">
        <f t="shared" si="103"/>
        <v>4Q17</v>
      </c>
      <c r="W62" s="115" t="str">
        <f t="shared" si="103"/>
        <v>1Q18</v>
      </c>
      <c r="X62" s="115" t="str">
        <f t="shared" si="103"/>
        <v>2Q18</v>
      </c>
      <c r="Y62" s="115" t="str">
        <f t="shared" si="103"/>
        <v>3Q18</v>
      </c>
      <c r="Z62" s="115" t="str">
        <f t="shared" si="103"/>
        <v>4Q18</v>
      </c>
      <c r="AA62" s="115" t="str">
        <f t="shared" si="103"/>
        <v>1Q19</v>
      </c>
      <c r="AB62" s="115" t="str">
        <f t="shared" si="103"/>
        <v>2Q19</v>
      </c>
      <c r="AC62" s="115" t="str">
        <f t="shared" si="103"/>
        <v>3Q19</v>
      </c>
      <c r="AD62" s="115" t="str">
        <f t="shared" si="103"/>
        <v>4Q19</v>
      </c>
      <c r="AE62" s="115" t="str">
        <f t="shared" si="103"/>
        <v>1Q20</v>
      </c>
      <c r="AF62" s="115" t="str">
        <f t="shared" si="103"/>
        <v>2Q20</v>
      </c>
      <c r="AG62" s="115" t="str">
        <f t="shared" si="103"/>
        <v>3Q20</v>
      </c>
      <c r="AH62" s="115" t="str">
        <f t="shared" si="103"/>
        <v>4Q20</v>
      </c>
      <c r="AI62" s="115" t="str">
        <f t="shared" si="103"/>
        <v>1Q21</v>
      </c>
      <c r="AJ62" s="115" t="str">
        <f t="shared" si="103"/>
        <v>2Q21</v>
      </c>
      <c r="AK62" s="115" t="str">
        <f t="shared" si="103"/>
        <v>3Q21</v>
      </c>
      <c r="AL62" s="115" t="str">
        <f t="shared" si="103"/>
        <v>4Q21</v>
      </c>
      <c r="AM62" s="115" t="str">
        <f t="shared" si="103"/>
        <v>1Q22</v>
      </c>
      <c r="AN62" s="115" t="str">
        <f t="shared" si="103"/>
        <v>2Q22</v>
      </c>
      <c r="AO62" s="115" t="str">
        <f t="shared" si="103"/>
        <v>3Q22</v>
      </c>
      <c r="AP62" s="115" t="str">
        <f t="shared" si="103"/>
        <v>4Q22</v>
      </c>
      <c r="AQ62" s="115" t="str">
        <f t="shared" si="103"/>
        <v>1Q23</v>
      </c>
      <c r="AR62" s="115" t="str">
        <f t="shared" si="103"/>
        <v>2Q23</v>
      </c>
      <c r="AS62" s="115" t="str">
        <f t="shared" si="103"/>
        <v>3Q23</v>
      </c>
      <c r="AT62" s="115" t="str">
        <f t="shared" si="103"/>
        <v>4Q23</v>
      </c>
      <c r="AU62" s="115" t="str">
        <f t="shared" si="103"/>
        <v>1Q24</v>
      </c>
      <c r="AV62" s="115" t="str">
        <f t="shared" si="103"/>
        <v>2Q24</v>
      </c>
      <c r="AW62" s="115" t="str">
        <f t="shared" si="103"/>
        <v>3Q24</v>
      </c>
      <c r="AX62" s="115" t="str">
        <f t="shared" si="103"/>
        <v>4Q24</v>
      </c>
    </row>
    <row r="63" spans="2:50" x14ac:dyDescent="0.25">
      <c r="B63" s="130" t="s">
        <v>504</v>
      </c>
      <c r="C63" s="130"/>
      <c r="D63" s="131"/>
      <c r="E63" s="131">
        <v>0</v>
      </c>
      <c r="F63" s="131">
        <v>0</v>
      </c>
      <c r="G63" s="131">
        <v>0</v>
      </c>
      <c r="H63" s="131">
        <v>0</v>
      </c>
      <c r="I63" s="131">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row>
    <row r="64" spans="2:50" x14ac:dyDescent="0.25">
      <c r="B64" s="130" t="s">
        <v>505</v>
      </c>
      <c r="C64" s="130"/>
      <c r="D64" s="131"/>
      <c r="E64" s="131">
        <v>0</v>
      </c>
      <c r="F64" s="131">
        <v>0</v>
      </c>
      <c r="G64" s="131">
        <v>0</v>
      </c>
      <c r="H64" s="131">
        <v>0</v>
      </c>
      <c r="I64" s="131">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2">
        <v>53278</v>
      </c>
      <c r="AR64" s="262">
        <v>107573</v>
      </c>
      <c r="AS64" s="118">
        <v>109576</v>
      </c>
      <c r="AT64" s="118">
        <v>122554</v>
      </c>
      <c r="AU64" s="118">
        <v>123827</v>
      </c>
      <c r="AV64" s="118">
        <v>136076</v>
      </c>
      <c r="AW64" s="118">
        <v>137177</v>
      </c>
      <c r="AX64" s="118">
        <v>139919</v>
      </c>
    </row>
    <row r="65" spans="2:50" x14ac:dyDescent="0.25">
      <c r="B65" s="130" t="s">
        <v>506</v>
      </c>
      <c r="C65" s="130"/>
      <c r="D65" s="131"/>
      <c r="E65" s="131">
        <v>0</v>
      </c>
      <c r="F65" s="131">
        <v>0</v>
      </c>
      <c r="G65" s="131">
        <v>0</v>
      </c>
      <c r="H65" s="131">
        <v>0</v>
      </c>
      <c r="I65" s="131">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row>
    <row r="66" spans="2:50" x14ac:dyDescent="0.25">
      <c r="B66" s="127" t="s">
        <v>22</v>
      </c>
      <c r="C66" s="127"/>
      <c r="D66" s="120"/>
      <c r="E66" s="120">
        <v>0</v>
      </c>
      <c r="F66" s="120">
        <v>0</v>
      </c>
      <c r="G66" s="120">
        <v>0</v>
      </c>
      <c r="H66" s="120">
        <v>0</v>
      </c>
      <c r="I66" s="120">
        <v>0</v>
      </c>
      <c r="J66" s="120">
        <f t="shared" ref="J66:T66" si="104">+SUM(J63:J65)</f>
        <v>106694</v>
      </c>
      <c r="K66" s="120">
        <f t="shared" si="104"/>
        <v>0</v>
      </c>
      <c r="L66" s="120">
        <f t="shared" si="104"/>
        <v>0</v>
      </c>
      <c r="M66" s="120">
        <f t="shared" si="104"/>
        <v>136961</v>
      </c>
      <c r="N66" s="120">
        <f t="shared" si="104"/>
        <v>120717</v>
      </c>
      <c r="O66" s="120">
        <f t="shared" si="104"/>
        <v>113192</v>
      </c>
      <c r="P66" s="120">
        <f t="shared" si="104"/>
        <v>117448</v>
      </c>
      <c r="Q66" s="120">
        <f t="shared" si="104"/>
        <v>126715</v>
      </c>
      <c r="R66" s="120">
        <f t="shared" si="104"/>
        <v>129202</v>
      </c>
      <c r="S66" s="120">
        <f t="shared" si="104"/>
        <v>144155</v>
      </c>
      <c r="T66" s="120">
        <f t="shared" si="104"/>
        <v>106726</v>
      </c>
      <c r="U66" s="120">
        <f t="shared" ref="U66:AA66" si="105">+SUM(U63:U65)</f>
        <v>111793</v>
      </c>
      <c r="V66" s="120">
        <f t="shared" si="105"/>
        <v>132824</v>
      </c>
      <c r="W66" s="120">
        <f t="shared" si="105"/>
        <v>129567</v>
      </c>
      <c r="X66" s="120">
        <f t="shared" si="105"/>
        <v>125754</v>
      </c>
      <c r="Y66" s="120">
        <f t="shared" si="105"/>
        <v>106200</v>
      </c>
      <c r="Z66" s="120">
        <f t="shared" si="105"/>
        <v>99760</v>
      </c>
      <c r="AA66" s="120">
        <f t="shared" si="105"/>
        <v>98467</v>
      </c>
      <c r="AB66" s="120">
        <f t="shared" ref="AB66:AG66" si="106">+SUM(AB63:AB65)</f>
        <v>100335</v>
      </c>
      <c r="AC66" s="120">
        <f t="shared" si="106"/>
        <v>97388</v>
      </c>
      <c r="AD66" s="120">
        <f t="shared" si="106"/>
        <v>97237</v>
      </c>
      <c r="AE66" s="120">
        <f t="shared" si="106"/>
        <v>88555</v>
      </c>
      <c r="AF66" s="120">
        <f t="shared" si="106"/>
        <v>82562</v>
      </c>
      <c r="AG66" s="120">
        <f t="shared" si="106"/>
        <v>87763</v>
      </c>
      <c r="AH66" s="120">
        <f t="shared" ref="AH66:AN66" si="107">+SUM(AH63:AH65)</f>
        <v>87818</v>
      </c>
      <c r="AI66" s="120">
        <f t="shared" si="107"/>
        <v>87266</v>
      </c>
      <c r="AJ66" s="120">
        <f t="shared" si="107"/>
        <v>78234</v>
      </c>
      <c r="AK66" s="120">
        <f t="shared" si="107"/>
        <v>71995</v>
      </c>
      <c r="AL66" s="120">
        <f t="shared" si="107"/>
        <v>71761</v>
      </c>
      <c r="AM66" s="120">
        <f t="shared" si="107"/>
        <v>73154</v>
      </c>
      <c r="AN66" s="120">
        <f t="shared" si="107"/>
        <v>76960</v>
      </c>
      <c r="AO66" s="120">
        <f t="shared" ref="AO66:AV66" si="108">+SUM(AO63:AO65)</f>
        <v>71089</v>
      </c>
      <c r="AP66" s="120">
        <f t="shared" si="108"/>
        <v>70850</v>
      </c>
      <c r="AQ66" s="120">
        <f t="shared" si="108"/>
        <v>89634</v>
      </c>
      <c r="AR66" s="120">
        <f t="shared" si="108"/>
        <v>144590</v>
      </c>
      <c r="AS66" s="120">
        <f t="shared" si="108"/>
        <v>133077</v>
      </c>
      <c r="AT66" s="120">
        <f t="shared" si="108"/>
        <v>142625</v>
      </c>
      <c r="AU66" s="120">
        <f t="shared" si="108"/>
        <v>139192</v>
      </c>
      <c r="AV66" s="120">
        <f t="shared" si="108"/>
        <v>154082</v>
      </c>
      <c r="AW66" s="120">
        <f>+SUM(AW63:AW65)</f>
        <v>153680</v>
      </c>
      <c r="AX66" s="120">
        <f>+SUM(AX63:AX65)</f>
        <v>163409</v>
      </c>
    </row>
    <row r="67" spans="2:50" ht="9" customHeight="1" x14ac:dyDescent="0.25">
      <c r="D67" s="290"/>
      <c r="E67" s="290"/>
      <c r="F67" s="290"/>
      <c r="G67" s="290"/>
      <c r="H67" s="290"/>
      <c r="I67" s="290"/>
    </row>
    <row r="68" spans="2:50" x14ac:dyDescent="0.25">
      <c r="B68" s="146" t="s">
        <v>397</v>
      </c>
      <c r="C68" s="146"/>
      <c r="D68" s="146"/>
      <c r="E68" s="146" t="s">
        <v>47</v>
      </c>
      <c r="F68" s="146" t="s">
        <v>47</v>
      </c>
      <c r="G68" s="146" t="s">
        <v>47</v>
      </c>
      <c r="H68" s="146" t="s">
        <v>47</v>
      </c>
      <c r="I68" s="146" t="s">
        <v>47</v>
      </c>
      <c r="J68" s="115" t="str">
        <f t="shared" ref="J68:AX68" si="109">J$5</f>
        <v>4Q14</v>
      </c>
      <c r="K68" s="115" t="str">
        <f t="shared" si="109"/>
        <v>1Q15</v>
      </c>
      <c r="L68" s="115" t="str">
        <f t="shared" si="109"/>
        <v>2Q15</v>
      </c>
      <c r="M68" s="115" t="str">
        <f t="shared" si="109"/>
        <v>3Q15</v>
      </c>
      <c r="N68" s="115" t="str">
        <f t="shared" si="109"/>
        <v>4Q15</v>
      </c>
      <c r="O68" s="115" t="str">
        <f t="shared" si="109"/>
        <v>1Q16</v>
      </c>
      <c r="P68" s="115" t="str">
        <f t="shared" si="109"/>
        <v>2Q16</v>
      </c>
      <c r="Q68" s="115" t="str">
        <f t="shared" si="109"/>
        <v>3Q16</v>
      </c>
      <c r="R68" s="115" t="str">
        <f t="shared" si="109"/>
        <v>4Q16</v>
      </c>
      <c r="S68" s="115" t="str">
        <f t="shared" si="109"/>
        <v>1Q17</v>
      </c>
      <c r="T68" s="115" t="str">
        <f t="shared" si="109"/>
        <v>2Q17</v>
      </c>
      <c r="U68" s="115" t="str">
        <f t="shared" si="109"/>
        <v>3Q17</v>
      </c>
      <c r="V68" s="115" t="str">
        <f t="shared" si="109"/>
        <v>4Q17</v>
      </c>
      <c r="W68" s="115" t="str">
        <f t="shared" si="109"/>
        <v>1Q18</v>
      </c>
      <c r="X68" s="115" t="str">
        <f t="shared" si="109"/>
        <v>2Q18</v>
      </c>
      <c r="Y68" s="115" t="str">
        <f t="shared" si="109"/>
        <v>3Q18</v>
      </c>
      <c r="Z68" s="115" t="str">
        <f t="shared" si="109"/>
        <v>4Q18</v>
      </c>
      <c r="AA68" s="115" t="str">
        <f t="shared" si="109"/>
        <v>1Q19</v>
      </c>
      <c r="AB68" s="115" t="str">
        <f t="shared" si="109"/>
        <v>2Q19</v>
      </c>
      <c r="AC68" s="115" t="str">
        <f t="shared" si="109"/>
        <v>3Q19</v>
      </c>
      <c r="AD68" s="115" t="str">
        <f t="shared" si="109"/>
        <v>4Q19</v>
      </c>
      <c r="AE68" s="115" t="str">
        <f t="shared" si="109"/>
        <v>1Q20</v>
      </c>
      <c r="AF68" s="115" t="str">
        <f t="shared" si="109"/>
        <v>2Q20</v>
      </c>
      <c r="AG68" s="115" t="str">
        <f t="shared" si="109"/>
        <v>3Q20</v>
      </c>
      <c r="AH68" s="115" t="str">
        <f t="shared" si="109"/>
        <v>4Q20</v>
      </c>
      <c r="AI68" s="115" t="str">
        <f t="shared" si="109"/>
        <v>1Q21</v>
      </c>
      <c r="AJ68" s="115" t="str">
        <f t="shared" si="109"/>
        <v>2Q21</v>
      </c>
      <c r="AK68" s="115" t="str">
        <f t="shared" si="109"/>
        <v>3Q21</v>
      </c>
      <c r="AL68" s="115" t="str">
        <f t="shared" si="109"/>
        <v>4Q21</v>
      </c>
      <c r="AM68" s="115" t="str">
        <f t="shared" si="109"/>
        <v>1Q22</v>
      </c>
      <c r="AN68" s="115" t="str">
        <f t="shared" si="109"/>
        <v>2Q22</v>
      </c>
      <c r="AO68" s="115" t="str">
        <f t="shared" si="109"/>
        <v>3Q22</v>
      </c>
      <c r="AP68" s="115" t="str">
        <f t="shared" si="109"/>
        <v>4Q22</v>
      </c>
      <c r="AQ68" s="115" t="str">
        <f t="shared" si="109"/>
        <v>1Q23</v>
      </c>
      <c r="AR68" s="115" t="str">
        <f t="shared" si="109"/>
        <v>2Q23</v>
      </c>
      <c r="AS68" s="115" t="str">
        <f t="shared" si="109"/>
        <v>3Q23</v>
      </c>
      <c r="AT68" s="115" t="str">
        <f t="shared" si="109"/>
        <v>4Q23</v>
      </c>
      <c r="AU68" s="115" t="str">
        <f t="shared" si="109"/>
        <v>1Q24</v>
      </c>
      <c r="AV68" s="115" t="str">
        <f t="shared" si="109"/>
        <v>2Q24</v>
      </c>
      <c r="AW68" s="115" t="str">
        <f t="shared" si="109"/>
        <v>3Q24</v>
      </c>
      <c r="AX68" s="115" t="str">
        <f t="shared" si="109"/>
        <v>4Q24</v>
      </c>
    </row>
    <row r="69" spans="2:50" x14ac:dyDescent="0.25">
      <c r="B69" s="130" t="s">
        <v>504</v>
      </c>
      <c r="C69" s="130"/>
      <c r="D69" s="131"/>
      <c r="E69" s="131">
        <v>0</v>
      </c>
      <c r="F69" s="131">
        <v>0</v>
      </c>
      <c r="G69" s="131">
        <v>0</v>
      </c>
      <c r="H69" s="131">
        <v>0</v>
      </c>
      <c r="I69" s="131">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row>
    <row r="70" spans="2:50" x14ac:dyDescent="0.25">
      <c r="B70" s="130" t="s">
        <v>505</v>
      </c>
      <c r="C70" s="130"/>
      <c r="D70" s="131"/>
      <c r="E70" s="131">
        <v>0</v>
      </c>
      <c r="F70" s="131">
        <v>0</v>
      </c>
      <c r="G70" s="131">
        <v>0</v>
      </c>
      <c r="H70" s="131">
        <v>0</v>
      </c>
      <c r="I70" s="131">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2">
        <v>101735</v>
      </c>
      <c r="AS70" s="118">
        <v>103602</v>
      </c>
      <c r="AT70" s="118">
        <v>115062</v>
      </c>
      <c r="AU70" s="118">
        <v>117293</v>
      </c>
      <c r="AV70" s="118">
        <v>128514</v>
      </c>
      <c r="AW70" s="118">
        <v>130765</v>
      </c>
      <c r="AX70" s="118">
        <v>132941</v>
      </c>
    </row>
    <row r="71" spans="2:50" x14ac:dyDescent="0.25">
      <c r="B71" s="130" t="s">
        <v>506</v>
      </c>
      <c r="C71" s="130"/>
      <c r="D71" s="131"/>
      <c r="E71" s="131">
        <v>0</v>
      </c>
      <c r="F71" s="131">
        <v>0</v>
      </c>
      <c r="G71" s="131">
        <v>0</v>
      </c>
      <c r="H71" s="131">
        <v>0</v>
      </c>
      <c r="I71" s="131">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row>
    <row r="72" spans="2:50" x14ac:dyDescent="0.25">
      <c r="B72" s="127" t="s">
        <v>22</v>
      </c>
      <c r="C72" s="127"/>
      <c r="D72" s="120"/>
      <c r="E72" s="120">
        <v>0</v>
      </c>
      <c r="F72" s="120">
        <v>0</v>
      </c>
      <c r="G72" s="120">
        <v>0</v>
      </c>
      <c r="H72" s="120">
        <v>0</v>
      </c>
      <c r="I72" s="120">
        <v>0</v>
      </c>
      <c r="J72" s="120">
        <f t="shared" ref="J72:T72" si="110">+SUM(J69:J71)</f>
        <v>36368</v>
      </c>
      <c r="K72" s="120">
        <v>0</v>
      </c>
      <c r="L72" s="120">
        <v>0</v>
      </c>
      <c r="M72" s="120">
        <f t="shared" si="110"/>
        <v>91393</v>
      </c>
      <c r="N72" s="120">
        <f t="shared" si="110"/>
        <v>69816</v>
      </c>
      <c r="O72" s="120">
        <f t="shared" si="110"/>
        <v>61820</v>
      </c>
      <c r="P72" s="120">
        <f t="shared" si="110"/>
        <v>66385</v>
      </c>
      <c r="Q72" s="120">
        <f t="shared" si="110"/>
        <v>73049</v>
      </c>
      <c r="R72" s="120">
        <f t="shared" si="110"/>
        <v>72314</v>
      </c>
      <c r="S72" s="120">
        <f t="shared" si="110"/>
        <v>84817</v>
      </c>
      <c r="T72" s="120">
        <f t="shared" si="110"/>
        <v>86784</v>
      </c>
      <c r="U72" s="120">
        <f t="shared" ref="U72:AA72" si="111">+SUM(U69:U71)</f>
        <v>91704</v>
      </c>
      <c r="V72" s="120">
        <f t="shared" si="111"/>
        <v>109126</v>
      </c>
      <c r="W72" s="120">
        <f t="shared" si="111"/>
        <v>117779</v>
      </c>
      <c r="X72" s="120">
        <f t="shared" si="111"/>
        <v>113007</v>
      </c>
      <c r="Y72" s="120">
        <f t="shared" si="111"/>
        <v>98069</v>
      </c>
      <c r="Z72" s="120">
        <f t="shared" si="111"/>
        <v>92363</v>
      </c>
      <c r="AA72" s="120">
        <f t="shared" si="111"/>
        <v>89057</v>
      </c>
      <c r="AB72" s="120">
        <f t="shared" ref="AB72:AG72" si="112">+SUM(AB69:AB71)</f>
        <v>91255</v>
      </c>
      <c r="AC72" s="120">
        <f t="shared" si="112"/>
        <v>87765</v>
      </c>
      <c r="AD72" s="120">
        <f t="shared" si="112"/>
        <v>88672</v>
      </c>
      <c r="AE72" s="120">
        <f t="shared" si="112"/>
        <v>82200</v>
      </c>
      <c r="AF72" s="120">
        <f t="shared" si="112"/>
        <v>76525</v>
      </c>
      <c r="AG72" s="120">
        <f t="shared" si="112"/>
        <v>80944</v>
      </c>
      <c r="AH72" s="120">
        <f t="shared" ref="AH72:AN72" si="113">+SUM(AH69:AH71)</f>
        <v>81376</v>
      </c>
      <c r="AI72" s="120">
        <f t="shared" si="113"/>
        <v>80878</v>
      </c>
      <c r="AJ72" s="120">
        <f t="shared" si="113"/>
        <v>71712</v>
      </c>
      <c r="AK72" s="120">
        <f t="shared" si="113"/>
        <v>65377</v>
      </c>
      <c r="AL72" s="120">
        <f t="shared" si="113"/>
        <v>64780</v>
      </c>
      <c r="AM72" s="120">
        <f t="shared" si="113"/>
        <v>66239</v>
      </c>
      <c r="AN72" s="120">
        <f t="shared" si="113"/>
        <v>69961</v>
      </c>
      <c r="AO72" s="120">
        <f t="shared" ref="AO72:AV72" si="114">+SUM(AO69:AO71)</f>
        <v>65458</v>
      </c>
      <c r="AP72" s="120">
        <f t="shared" si="114"/>
        <v>64376</v>
      </c>
      <c r="AQ72" s="120">
        <f t="shared" si="114"/>
        <v>82204</v>
      </c>
      <c r="AR72" s="120">
        <f t="shared" si="114"/>
        <v>134513</v>
      </c>
      <c r="AS72" s="120">
        <f t="shared" si="114"/>
        <v>123110</v>
      </c>
      <c r="AT72" s="120">
        <f t="shared" si="114"/>
        <v>132124</v>
      </c>
      <c r="AU72" s="120">
        <f t="shared" si="114"/>
        <v>130252</v>
      </c>
      <c r="AV72" s="120">
        <f t="shared" si="114"/>
        <v>146075</v>
      </c>
      <c r="AW72" s="120">
        <f>+SUM(AW69:AW71)</f>
        <v>146883</v>
      </c>
      <c r="AX72" s="120">
        <f>+SUM(AX69:AX71)</f>
        <v>155515</v>
      </c>
    </row>
    <row r="73" spans="2:50" ht="9" customHeight="1" x14ac:dyDescent="0.25">
      <c r="B73" s="289"/>
      <c r="C73" s="289"/>
      <c r="D73" s="291"/>
      <c r="E73" s="291"/>
      <c r="F73" s="291"/>
      <c r="G73" s="291"/>
      <c r="H73" s="291"/>
      <c r="I73" s="291"/>
    </row>
    <row r="74" spans="2:50" x14ac:dyDescent="0.25">
      <c r="B74" s="146" t="s">
        <v>503</v>
      </c>
      <c r="C74" s="146"/>
      <c r="D74" s="146"/>
      <c r="E74" s="146" t="s">
        <v>47</v>
      </c>
      <c r="F74" s="146" t="s">
        <v>47</v>
      </c>
      <c r="G74" s="146" t="s">
        <v>47</v>
      </c>
      <c r="H74" s="146" t="s">
        <v>47</v>
      </c>
      <c r="I74" s="146" t="s">
        <v>47</v>
      </c>
      <c r="J74" s="115" t="str">
        <f t="shared" ref="J74:AX74" si="115">J$5</f>
        <v>4Q14</v>
      </c>
      <c r="K74" s="115" t="str">
        <f t="shared" si="115"/>
        <v>1Q15</v>
      </c>
      <c r="L74" s="115" t="str">
        <f t="shared" si="115"/>
        <v>2Q15</v>
      </c>
      <c r="M74" s="115" t="str">
        <f t="shared" si="115"/>
        <v>3Q15</v>
      </c>
      <c r="N74" s="115" t="str">
        <f t="shared" si="115"/>
        <v>4Q15</v>
      </c>
      <c r="O74" s="115" t="str">
        <f t="shared" si="115"/>
        <v>1Q16</v>
      </c>
      <c r="P74" s="115" t="str">
        <f t="shared" si="115"/>
        <v>2Q16</v>
      </c>
      <c r="Q74" s="115" t="str">
        <f t="shared" si="115"/>
        <v>3Q16</v>
      </c>
      <c r="R74" s="115" t="str">
        <f t="shared" si="115"/>
        <v>4Q16</v>
      </c>
      <c r="S74" s="115" t="str">
        <f t="shared" si="115"/>
        <v>1Q17</v>
      </c>
      <c r="T74" s="115" t="str">
        <f t="shared" si="115"/>
        <v>2Q17</v>
      </c>
      <c r="U74" s="115" t="str">
        <f t="shared" si="115"/>
        <v>3Q17</v>
      </c>
      <c r="V74" s="115" t="str">
        <f t="shared" si="115"/>
        <v>4Q17</v>
      </c>
      <c r="W74" s="115" t="str">
        <f t="shared" si="115"/>
        <v>1Q18</v>
      </c>
      <c r="X74" s="115" t="str">
        <f t="shared" si="115"/>
        <v>2Q18</v>
      </c>
      <c r="Y74" s="115" t="str">
        <f t="shared" si="115"/>
        <v>3Q18</v>
      </c>
      <c r="Z74" s="115" t="str">
        <f t="shared" si="115"/>
        <v>4Q18</v>
      </c>
      <c r="AA74" s="115" t="str">
        <f t="shared" si="115"/>
        <v>1Q19</v>
      </c>
      <c r="AB74" s="115" t="str">
        <f t="shared" si="115"/>
        <v>2Q19</v>
      </c>
      <c r="AC74" s="115" t="str">
        <f t="shared" si="115"/>
        <v>3Q19</v>
      </c>
      <c r="AD74" s="115" t="str">
        <f t="shared" si="115"/>
        <v>4Q19</v>
      </c>
      <c r="AE74" s="115" t="str">
        <f t="shared" si="115"/>
        <v>1Q20</v>
      </c>
      <c r="AF74" s="115" t="str">
        <f t="shared" si="115"/>
        <v>2Q20</v>
      </c>
      <c r="AG74" s="115" t="str">
        <f t="shared" si="115"/>
        <v>3Q20</v>
      </c>
      <c r="AH74" s="115" t="str">
        <f t="shared" si="115"/>
        <v>4Q20</v>
      </c>
      <c r="AI74" s="115" t="str">
        <f t="shared" si="115"/>
        <v>1Q21</v>
      </c>
      <c r="AJ74" s="115" t="str">
        <f t="shared" si="115"/>
        <v>2Q21</v>
      </c>
      <c r="AK74" s="115" t="str">
        <f t="shared" si="115"/>
        <v>3Q21</v>
      </c>
      <c r="AL74" s="115" t="str">
        <f t="shared" si="115"/>
        <v>4Q21</v>
      </c>
      <c r="AM74" s="115" t="str">
        <f t="shared" si="115"/>
        <v>1Q22</v>
      </c>
      <c r="AN74" s="115" t="str">
        <f t="shared" si="115"/>
        <v>2Q22</v>
      </c>
      <c r="AO74" s="115" t="str">
        <f t="shared" si="115"/>
        <v>3Q22</v>
      </c>
      <c r="AP74" s="115" t="str">
        <f t="shared" si="115"/>
        <v>4Q22</v>
      </c>
      <c r="AQ74" s="115" t="str">
        <f t="shared" si="115"/>
        <v>1Q23</v>
      </c>
      <c r="AR74" s="115" t="str">
        <f t="shared" si="115"/>
        <v>2Q23</v>
      </c>
      <c r="AS74" s="115" t="str">
        <f t="shared" si="115"/>
        <v>3Q23</v>
      </c>
      <c r="AT74" s="115" t="str">
        <f t="shared" si="115"/>
        <v>4Q23</v>
      </c>
      <c r="AU74" s="115" t="str">
        <f t="shared" si="115"/>
        <v>1Q24</v>
      </c>
      <c r="AV74" s="115" t="str">
        <f t="shared" si="115"/>
        <v>2Q24</v>
      </c>
      <c r="AW74" s="115" t="str">
        <f t="shared" si="115"/>
        <v>3Q24</v>
      </c>
      <c r="AX74" s="115" t="str">
        <f t="shared" si="115"/>
        <v>4Q24</v>
      </c>
    </row>
    <row r="75" spans="2:50" x14ac:dyDescent="0.25">
      <c r="B75" s="130" t="s">
        <v>504</v>
      </c>
      <c r="C75" s="130"/>
      <c r="D75" s="131"/>
      <c r="E75" s="131">
        <v>0</v>
      </c>
      <c r="F75" s="131">
        <v>0</v>
      </c>
      <c r="G75" s="131">
        <v>0</v>
      </c>
      <c r="H75" s="131">
        <v>0</v>
      </c>
      <c r="I75" s="131">
        <v>0</v>
      </c>
      <c r="J75" s="118">
        <f t="shared" ref="J75:N78" si="116">+J63-J69</f>
        <v>13413</v>
      </c>
      <c r="K75" s="118">
        <v>0</v>
      </c>
      <c r="L75" s="118">
        <v>0</v>
      </c>
      <c r="M75" s="118">
        <f t="shared" si="116"/>
        <v>6506</v>
      </c>
      <c r="N75" s="118">
        <f t="shared" si="116"/>
        <v>10755</v>
      </c>
      <c r="O75" s="118">
        <f t="shared" ref="O75:T78" si="117">+O63-O69</f>
        <v>9762</v>
      </c>
      <c r="P75" s="118">
        <f t="shared" si="117"/>
        <v>8555</v>
      </c>
      <c r="Q75" s="118">
        <f t="shared" si="117"/>
        <v>6135</v>
      </c>
      <c r="R75" s="118">
        <v>4321</v>
      </c>
      <c r="S75" s="118">
        <v>5497</v>
      </c>
      <c r="T75" s="118">
        <v>6802</v>
      </c>
      <c r="U75" s="118">
        <v>8134</v>
      </c>
      <c r="V75" s="118">
        <f t="shared" ref="U75:V78" si="118">+V63-V69</f>
        <v>11467</v>
      </c>
      <c r="W75" s="118">
        <v>6704</v>
      </c>
      <c r="X75" s="118">
        <f t="shared" ref="X75:AA78" si="119">+X63-X69</f>
        <v>6411</v>
      </c>
      <c r="Y75" s="118">
        <f t="shared" si="119"/>
        <v>3493</v>
      </c>
      <c r="Z75" s="118">
        <f t="shared" si="119"/>
        <v>2743</v>
      </c>
      <c r="AA75" s="118">
        <f t="shared" si="119"/>
        <v>2622</v>
      </c>
      <c r="AB75" s="118">
        <v>1387</v>
      </c>
      <c r="AC75" s="118">
        <v>1782</v>
      </c>
      <c r="AD75" s="118">
        <v>1532</v>
      </c>
      <c r="AE75" s="118">
        <f t="shared" ref="AE75:AF78" si="120">+AE63-AE69</f>
        <v>1144</v>
      </c>
      <c r="AF75" s="118">
        <v>715</v>
      </c>
      <c r="AG75" s="118">
        <v>1640</v>
      </c>
      <c r="AH75" s="118">
        <v>1054</v>
      </c>
      <c r="AI75" s="118">
        <f t="shared" ref="AI75:AN78" si="121">+AI63-AI69</f>
        <v>1144</v>
      </c>
      <c r="AJ75" s="118">
        <f t="shared" si="121"/>
        <v>1270</v>
      </c>
      <c r="AK75" s="118">
        <f t="shared" si="121"/>
        <v>1239</v>
      </c>
      <c r="AL75" s="118">
        <f t="shared" si="121"/>
        <v>1519</v>
      </c>
      <c r="AM75" s="118">
        <f t="shared" si="121"/>
        <v>1622</v>
      </c>
      <c r="AN75" s="118">
        <f t="shared" si="121"/>
        <v>1494</v>
      </c>
      <c r="AO75" s="118">
        <f t="shared" ref="AO75:AU78" si="122">+AO63-AO69</f>
        <v>2249</v>
      </c>
      <c r="AP75" s="118">
        <f t="shared" si="122"/>
        <v>3371</v>
      </c>
      <c r="AQ75" s="118">
        <f t="shared" si="122"/>
        <v>4306</v>
      </c>
      <c r="AR75" s="118">
        <f t="shared" si="122"/>
        <v>3964</v>
      </c>
      <c r="AS75" s="118">
        <f t="shared" si="122"/>
        <v>3784</v>
      </c>
      <c r="AT75" s="118">
        <f t="shared" si="122"/>
        <v>2930</v>
      </c>
      <c r="AU75" s="118">
        <f t="shared" si="122"/>
        <v>2325</v>
      </c>
      <c r="AV75" s="118">
        <f t="shared" ref="AV75" si="123">+AV63-AV69</f>
        <v>363</v>
      </c>
      <c r="AW75" s="118">
        <f t="shared" ref="AW75:AX78" si="124">+AW63-AW69</f>
        <v>303</v>
      </c>
      <c r="AX75" s="118">
        <f t="shared" si="124"/>
        <v>834</v>
      </c>
    </row>
    <row r="76" spans="2:50" x14ac:dyDescent="0.25">
      <c r="B76" s="130" t="s">
        <v>505</v>
      </c>
      <c r="C76" s="130"/>
      <c r="D76" s="131"/>
      <c r="E76" s="131">
        <v>0</v>
      </c>
      <c r="F76" s="131">
        <v>0</v>
      </c>
      <c r="G76" s="131">
        <v>0</v>
      </c>
      <c r="H76" s="131">
        <v>0</v>
      </c>
      <c r="I76" s="131">
        <v>0</v>
      </c>
      <c r="J76" s="118">
        <f t="shared" si="116"/>
        <v>53811</v>
      </c>
      <c r="K76" s="118">
        <v>0</v>
      </c>
      <c r="L76" s="118">
        <v>0</v>
      </c>
      <c r="M76" s="118">
        <f t="shared" si="116"/>
        <v>35877</v>
      </c>
      <c r="N76" s="118">
        <f t="shared" si="116"/>
        <v>36952</v>
      </c>
      <c r="O76" s="118">
        <f t="shared" si="117"/>
        <v>37687</v>
      </c>
      <c r="P76" s="118">
        <f t="shared" si="117"/>
        <v>38687</v>
      </c>
      <c r="Q76" s="118">
        <f t="shared" si="117"/>
        <v>43716</v>
      </c>
      <c r="R76" s="118">
        <v>44734</v>
      </c>
      <c r="S76" s="118">
        <v>45803</v>
      </c>
      <c r="T76" s="118">
        <v>4602</v>
      </c>
      <c r="U76" s="118">
        <v>5042</v>
      </c>
      <c r="V76" s="118">
        <f t="shared" si="118"/>
        <v>5319</v>
      </c>
      <c r="W76" s="118">
        <v>4343</v>
      </c>
      <c r="X76" s="118">
        <f t="shared" si="119"/>
        <v>5775</v>
      </c>
      <c r="Y76" s="118">
        <f t="shared" si="119"/>
        <v>4414</v>
      </c>
      <c r="Z76" s="118">
        <f t="shared" si="119"/>
        <v>4432</v>
      </c>
      <c r="AA76" s="118">
        <f t="shared" si="119"/>
        <v>4486</v>
      </c>
      <c r="AB76" s="118">
        <v>4424</v>
      </c>
      <c r="AC76" s="118">
        <v>4583</v>
      </c>
      <c r="AD76" s="118">
        <v>6767</v>
      </c>
      <c r="AE76" s="118">
        <f t="shared" si="120"/>
        <v>4989</v>
      </c>
      <c r="AF76" s="118">
        <v>5098</v>
      </c>
      <c r="AG76" s="118">
        <v>5038</v>
      </c>
      <c r="AH76" s="118">
        <v>5236</v>
      </c>
      <c r="AI76" s="118">
        <f t="shared" si="121"/>
        <v>5100</v>
      </c>
      <c r="AJ76" s="118">
        <f t="shared" si="121"/>
        <v>5107</v>
      </c>
      <c r="AK76" s="118">
        <f t="shared" si="121"/>
        <v>5209</v>
      </c>
      <c r="AL76" s="118">
        <f t="shared" si="121"/>
        <v>5288</v>
      </c>
      <c r="AM76" s="118">
        <f t="shared" si="121"/>
        <v>5135</v>
      </c>
      <c r="AN76" s="118">
        <f t="shared" si="121"/>
        <v>5287</v>
      </c>
      <c r="AO76" s="118">
        <f t="shared" si="122"/>
        <v>3165</v>
      </c>
      <c r="AP76" s="118">
        <f t="shared" si="122"/>
        <v>2862</v>
      </c>
      <c r="AQ76" s="118">
        <f t="shared" si="122"/>
        <v>2882</v>
      </c>
      <c r="AR76" s="118">
        <f t="shared" si="122"/>
        <v>5838</v>
      </c>
      <c r="AS76" s="118">
        <f t="shared" si="122"/>
        <v>5974</v>
      </c>
      <c r="AT76" s="118">
        <f t="shared" si="122"/>
        <v>7492</v>
      </c>
      <c r="AU76" s="118">
        <f t="shared" si="122"/>
        <v>6534</v>
      </c>
      <c r="AV76" s="118">
        <f t="shared" ref="AV76" si="125">+AV64-AV70</f>
        <v>7562</v>
      </c>
      <c r="AW76" s="118">
        <f t="shared" si="124"/>
        <v>6412</v>
      </c>
      <c r="AX76" s="118">
        <f t="shared" si="124"/>
        <v>6978</v>
      </c>
    </row>
    <row r="77" spans="2:50" x14ac:dyDescent="0.25">
      <c r="B77" s="130" t="s">
        <v>506</v>
      </c>
      <c r="C77" s="130"/>
      <c r="D77" s="131"/>
      <c r="E77" s="131">
        <v>0</v>
      </c>
      <c r="F77" s="131">
        <v>0</v>
      </c>
      <c r="G77" s="131">
        <v>0</v>
      </c>
      <c r="H77" s="131">
        <v>0</v>
      </c>
      <c r="I77" s="131">
        <v>0</v>
      </c>
      <c r="J77" s="118">
        <f t="shared" si="116"/>
        <v>3102</v>
      </c>
      <c r="K77" s="118">
        <v>0</v>
      </c>
      <c r="L77" s="118">
        <v>0</v>
      </c>
      <c r="M77" s="118">
        <f t="shared" si="116"/>
        <v>3185</v>
      </c>
      <c r="N77" s="118">
        <f t="shared" si="116"/>
        <v>3194</v>
      </c>
      <c r="O77" s="118">
        <f t="shared" si="117"/>
        <v>3923</v>
      </c>
      <c r="P77" s="118">
        <f t="shared" si="117"/>
        <v>3821</v>
      </c>
      <c r="Q77" s="118">
        <f t="shared" si="117"/>
        <v>3815</v>
      </c>
      <c r="R77" s="118">
        <v>7833</v>
      </c>
      <c r="S77" s="118">
        <v>8038</v>
      </c>
      <c r="T77" s="118">
        <v>8538</v>
      </c>
      <c r="U77" s="118">
        <v>6913</v>
      </c>
      <c r="V77" s="118">
        <f t="shared" si="118"/>
        <v>6912</v>
      </c>
      <c r="W77" s="118">
        <v>741</v>
      </c>
      <c r="X77" s="118">
        <f t="shared" si="119"/>
        <v>561</v>
      </c>
      <c r="Y77" s="118">
        <f t="shared" si="119"/>
        <v>224</v>
      </c>
      <c r="Z77" s="118">
        <f t="shared" si="119"/>
        <v>222</v>
      </c>
      <c r="AA77" s="118">
        <f t="shared" si="119"/>
        <v>2302</v>
      </c>
      <c r="AB77" s="118">
        <v>3269</v>
      </c>
      <c r="AC77" s="118">
        <v>3258</v>
      </c>
      <c r="AD77" s="118">
        <v>266</v>
      </c>
      <c r="AE77" s="118">
        <f t="shared" si="120"/>
        <v>222</v>
      </c>
      <c r="AF77" s="118">
        <v>224</v>
      </c>
      <c r="AG77" s="118">
        <v>141</v>
      </c>
      <c r="AH77" s="118">
        <v>152</v>
      </c>
      <c r="AI77" s="118">
        <f t="shared" si="121"/>
        <v>144</v>
      </c>
      <c r="AJ77" s="118">
        <f t="shared" si="121"/>
        <v>145</v>
      </c>
      <c r="AK77" s="118">
        <f t="shared" si="121"/>
        <v>170</v>
      </c>
      <c r="AL77" s="118">
        <f t="shared" si="121"/>
        <v>174</v>
      </c>
      <c r="AM77" s="118">
        <f t="shared" si="121"/>
        <v>158</v>
      </c>
      <c r="AN77" s="118">
        <f t="shared" si="121"/>
        <v>218</v>
      </c>
      <c r="AO77" s="118">
        <f t="shared" si="122"/>
        <v>217</v>
      </c>
      <c r="AP77" s="118">
        <f t="shared" si="122"/>
        <v>241</v>
      </c>
      <c r="AQ77" s="118">
        <f t="shared" si="122"/>
        <v>242</v>
      </c>
      <c r="AR77" s="118">
        <f t="shared" si="122"/>
        <v>275</v>
      </c>
      <c r="AS77" s="118">
        <f t="shared" si="122"/>
        <v>209</v>
      </c>
      <c r="AT77" s="118">
        <f t="shared" si="122"/>
        <v>79</v>
      </c>
      <c r="AU77" s="118">
        <f t="shared" si="122"/>
        <v>81</v>
      </c>
      <c r="AV77" s="118">
        <f t="shared" ref="AV77" si="126">+AV65-AV71</f>
        <v>82</v>
      </c>
      <c r="AW77" s="118">
        <f t="shared" si="124"/>
        <v>82</v>
      </c>
      <c r="AX77" s="118">
        <f t="shared" si="124"/>
        <v>82</v>
      </c>
    </row>
    <row r="78" spans="2:50" x14ac:dyDescent="0.25">
      <c r="B78" s="127" t="s">
        <v>22</v>
      </c>
      <c r="C78" s="127"/>
      <c r="D78" s="120"/>
      <c r="E78" s="120">
        <v>0</v>
      </c>
      <c r="F78" s="120">
        <v>0</v>
      </c>
      <c r="G78" s="120">
        <v>0</v>
      </c>
      <c r="H78" s="120">
        <v>0</v>
      </c>
      <c r="I78" s="120">
        <v>0</v>
      </c>
      <c r="J78" s="120">
        <f t="shared" si="116"/>
        <v>70326</v>
      </c>
      <c r="K78" s="120">
        <v>0</v>
      </c>
      <c r="L78" s="120">
        <v>0</v>
      </c>
      <c r="M78" s="120">
        <f t="shared" si="116"/>
        <v>45568</v>
      </c>
      <c r="N78" s="120">
        <f t="shared" si="116"/>
        <v>50901</v>
      </c>
      <c r="O78" s="120">
        <f t="shared" si="117"/>
        <v>51372</v>
      </c>
      <c r="P78" s="120">
        <f t="shared" si="117"/>
        <v>51063</v>
      </c>
      <c r="Q78" s="120">
        <f t="shared" si="117"/>
        <v>53666</v>
      </c>
      <c r="R78" s="120">
        <f t="shared" si="117"/>
        <v>56888</v>
      </c>
      <c r="S78" s="120">
        <f t="shared" si="117"/>
        <v>59338</v>
      </c>
      <c r="T78" s="120">
        <f t="shared" si="117"/>
        <v>19942</v>
      </c>
      <c r="U78" s="120">
        <f t="shared" si="118"/>
        <v>20089</v>
      </c>
      <c r="V78" s="120">
        <f t="shared" si="118"/>
        <v>23698</v>
      </c>
      <c r="W78" s="120">
        <f>+W66-W72</f>
        <v>11788</v>
      </c>
      <c r="X78" s="120">
        <f t="shared" si="119"/>
        <v>12747</v>
      </c>
      <c r="Y78" s="120">
        <f t="shared" si="119"/>
        <v>8131</v>
      </c>
      <c r="Z78" s="120">
        <f t="shared" si="119"/>
        <v>7397</v>
      </c>
      <c r="AA78" s="120">
        <f t="shared" si="119"/>
        <v>9410</v>
      </c>
      <c r="AB78" s="120">
        <f>+AB66-AB72</f>
        <v>9080</v>
      </c>
      <c r="AC78" s="120">
        <f>+AC66-AC72</f>
        <v>9623</v>
      </c>
      <c r="AD78" s="120">
        <f>+AD66-AD72</f>
        <v>8565</v>
      </c>
      <c r="AE78" s="120">
        <f t="shared" si="120"/>
        <v>6355</v>
      </c>
      <c r="AF78" s="120">
        <f t="shared" si="120"/>
        <v>6037</v>
      </c>
      <c r="AG78" s="120">
        <f>+AG66-AG72</f>
        <v>6819</v>
      </c>
      <c r="AH78" s="120">
        <f>+AH66-AH72</f>
        <v>6442</v>
      </c>
      <c r="AI78" s="120">
        <f t="shared" si="121"/>
        <v>6388</v>
      </c>
      <c r="AJ78" s="120">
        <f t="shared" si="121"/>
        <v>6522</v>
      </c>
      <c r="AK78" s="120">
        <f t="shared" si="121"/>
        <v>6618</v>
      </c>
      <c r="AL78" s="120">
        <f t="shared" si="121"/>
        <v>6981</v>
      </c>
      <c r="AM78" s="120">
        <f t="shared" si="121"/>
        <v>6915</v>
      </c>
      <c r="AN78" s="120">
        <f t="shared" si="121"/>
        <v>6999</v>
      </c>
      <c r="AO78" s="120">
        <f t="shared" si="122"/>
        <v>5631</v>
      </c>
      <c r="AP78" s="120">
        <f t="shared" si="122"/>
        <v>6474</v>
      </c>
      <c r="AQ78" s="120">
        <f t="shared" si="122"/>
        <v>7430</v>
      </c>
      <c r="AR78" s="120">
        <f t="shared" si="122"/>
        <v>10077</v>
      </c>
      <c r="AS78" s="120">
        <f t="shared" si="122"/>
        <v>9967</v>
      </c>
      <c r="AT78" s="120">
        <f t="shared" si="122"/>
        <v>10501</v>
      </c>
      <c r="AU78" s="120">
        <f t="shared" si="122"/>
        <v>8940</v>
      </c>
      <c r="AV78" s="120">
        <f t="shared" ref="AV78" si="127">+AV66-AV72</f>
        <v>8007</v>
      </c>
      <c r="AW78" s="120">
        <f t="shared" si="124"/>
        <v>6797</v>
      </c>
      <c r="AX78" s="120">
        <f t="shared" si="124"/>
        <v>7894</v>
      </c>
    </row>
    <row r="80" spans="2:50" x14ac:dyDescent="0.25">
      <c r="B80" s="970" t="s">
        <v>700</v>
      </c>
      <c r="C80" s="971"/>
      <c r="D80" s="971"/>
      <c r="E80" s="971"/>
      <c r="F80" s="971"/>
      <c r="G80" s="971"/>
      <c r="H80" s="971"/>
      <c r="I80" s="971"/>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row>
    <row r="81" spans="2:50" x14ac:dyDescent="0.25">
      <c r="B81" s="146" t="s">
        <v>391</v>
      </c>
      <c r="C81" s="146" t="s">
        <v>47</v>
      </c>
      <c r="D81" s="146" t="s">
        <v>47</v>
      </c>
      <c r="E81" s="146" t="s">
        <v>47</v>
      </c>
      <c r="F81" s="146" t="s">
        <v>47</v>
      </c>
      <c r="G81" s="146" t="s">
        <v>47</v>
      </c>
      <c r="H81" s="146" t="s">
        <v>47</v>
      </c>
      <c r="I81" s="146" t="s">
        <v>47</v>
      </c>
      <c r="J81" s="115" t="s">
        <v>47</v>
      </c>
      <c r="K81" s="115" t="s">
        <v>47</v>
      </c>
      <c r="L81" s="115" t="s">
        <v>47</v>
      </c>
      <c r="M81" s="115" t="s">
        <v>47</v>
      </c>
      <c r="N81" s="115" t="s">
        <v>47</v>
      </c>
      <c r="O81" s="115" t="s">
        <v>47</v>
      </c>
      <c r="P81" s="115" t="s">
        <v>47</v>
      </c>
      <c r="Q81" s="115" t="s">
        <v>47</v>
      </c>
      <c r="R81" s="115" t="s">
        <v>47</v>
      </c>
      <c r="S81" s="115" t="str">
        <f>S$5</f>
        <v>1Q17</v>
      </c>
      <c r="T81" s="115" t="str">
        <f t="shared" ref="T81:AX81" si="128">T$5</f>
        <v>2Q17</v>
      </c>
      <c r="U81" s="115" t="str">
        <f t="shared" si="128"/>
        <v>3Q17</v>
      </c>
      <c r="V81" s="115" t="str">
        <f t="shared" si="128"/>
        <v>4Q17</v>
      </c>
      <c r="W81" s="115" t="str">
        <f t="shared" si="128"/>
        <v>1Q18</v>
      </c>
      <c r="X81" s="115" t="str">
        <f t="shared" si="128"/>
        <v>2Q18</v>
      </c>
      <c r="Y81" s="115" t="str">
        <f t="shared" si="128"/>
        <v>3Q18</v>
      </c>
      <c r="Z81" s="115" t="str">
        <f t="shared" si="128"/>
        <v>4Q18</v>
      </c>
      <c r="AA81" s="115" t="str">
        <f t="shared" si="128"/>
        <v>1Q19</v>
      </c>
      <c r="AB81" s="115" t="str">
        <f t="shared" si="128"/>
        <v>2Q19</v>
      </c>
      <c r="AC81" s="115" t="str">
        <f t="shared" si="128"/>
        <v>3Q19</v>
      </c>
      <c r="AD81" s="115" t="str">
        <f t="shared" si="128"/>
        <v>4Q19</v>
      </c>
      <c r="AE81" s="115" t="str">
        <f t="shared" si="128"/>
        <v>1Q20</v>
      </c>
      <c r="AF81" s="115" t="str">
        <f t="shared" si="128"/>
        <v>2Q20</v>
      </c>
      <c r="AG81" s="115" t="str">
        <f t="shared" si="128"/>
        <v>3Q20</v>
      </c>
      <c r="AH81" s="115" t="str">
        <f t="shared" si="128"/>
        <v>4Q20</v>
      </c>
      <c r="AI81" s="115" t="str">
        <f t="shared" si="128"/>
        <v>1Q21</v>
      </c>
      <c r="AJ81" s="115" t="str">
        <f t="shared" si="128"/>
        <v>2Q21</v>
      </c>
      <c r="AK81" s="115" t="str">
        <f t="shared" si="128"/>
        <v>3Q21</v>
      </c>
      <c r="AL81" s="115" t="str">
        <f t="shared" si="128"/>
        <v>4Q21</v>
      </c>
      <c r="AM81" s="115" t="str">
        <f t="shared" si="128"/>
        <v>1Q22</v>
      </c>
      <c r="AN81" s="115" t="str">
        <f t="shared" si="128"/>
        <v>2Q22</v>
      </c>
      <c r="AO81" s="115" t="str">
        <f t="shared" si="128"/>
        <v>3Q22</v>
      </c>
      <c r="AP81" s="115" t="str">
        <f t="shared" si="128"/>
        <v>4Q22</v>
      </c>
      <c r="AQ81" s="115" t="str">
        <f t="shared" si="128"/>
        <v>1Q23</v>
      </c>
      <c r="AR81" s="115" t="str">
        <f t="shared" si="128"/>
        <v>2Q23</v>
      </c>
      <c r="AS81" s="115" t="str">
        <f t="shared" si="128"/>
        <v>3Q23</v>
      </c>
      <c r="AT81" s="115" t="str">
        <f t="shared" si="128"/>
        <v>4Q23</v>
      </c>
      <c r="AU81" s="115" t="str">
        <f t="shared" si="128"/>
        <v>1Q24</v>
      </c>
      <c r="AV81" s="115" t="str">
        <f t="shared" si="128"/>
        <v>2Q24</v>
      </c>
      <c r="AW81" s="115" t="str">
        <f t="shared" si="128"/>
        <v>3Q24</v>
      </c>
      <c r="AX81" s="115" t="str">
        <f t="shared" si="128"/>
        <v>4Q24</v>
      </c>
    </row>
    <row r="82" spans="2:50" ht="25.5" x14ac:dyDescent="0.25">
      <c r="B82" s="127" t="s">
        <v>701</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29">+S91</f>
        <v>14709.10462</v>
      </c>
      <c r="U82" s="120">
        <f t="shared" si="129"/>
        <v>36603.414620000003</v>
      </c>
      <c r="V82" s="120">
        <f t="shared" si="129"/>
        <v>34954.246920000005</v>
      </c>
      <c r="W82" s="120">
        <f t="shared" si="129"/>
        <v>38983.000000000007</v>
      </c>
      <c r="X82" s="120">
        <f t="shared" si="129"/>
        <v>43770.000000000007</v>
      </c>
      <c r="Y82" s="120">
        <f t="shared" si="129"/>
        <v>41092.000000000007</v>
      </c>
      <c r="Z82" s="120">
        <f t="shared" si="129"/>
        <v>36834.000000000007</v>
      </c>
      <c r="AA82" s="120">
        <f t="shared" si="129"/>
        <v>44444.000000000007</v>
      </c>
      <c r="AB82" s="120">
        <f t="shared" ref="AB82:AH82" si="130">+AA91</f>
        <v>43202.000000000007</v>
      </c>
      <c r="AC82" s="120">
        <f t="shared" si="130"/>
        <v>42750.000000000007</v>
      </c>
      <c r="AD82" s="120">
        <f t="shared" si="130"/>
        <v>36611.000000000007</v>
      </c>
      <c r="AE82" s="120">
        <f t="shared" si="130"/>
        <v>35266.000000000007</v>
      </c>
      <c r="AF82" s="120">
        <f t="shared" si="130"/>
        <v>36832.000000000007</v>
      </c>
      <c r="AG82" s="120">
        <f t="shared" si="130"/>
        <v>34213.000000000007</v>
      </c>
      <c r="AH82" s="120">
        <f t="shared" si="130"/>
        <v>35552.000000000007</v>
      </c>
      <c r="AI82" s="120">
        <f t="shared" ref="AI82:AT82" si="131">+AH91</f>
        <v>33878.000000000007</v>
      </c>
      <c r="AJ82" s="120">
        <f t="shared" si="131"/>
        <v>33106.000000000007</v>
      </c>
      <c r="AK82" s="120">
        <f t="shared" si="131"/>
        <v>31961.000000000007</v>
      </c>
      <c r="AL82" s="120">
        <f t="shared" si="131"/>
        <v>26648.000000000007</v>
      </c>
      <c r="AM82" s="120">
        <f t="shared" si="131"/>
        <v>30830.000000000007</v>
      </c>
      <c r="AN82" s="120">
        <f t="shared" si="131"/>
        <v>29638.000000000007</v>
      </c>
      <c r="AO82" s="120">
        <f t="shared" si="131"/>
        <v>26394.000000000007</v>
      </c>
      <c r="AP82" s="120">
        <f t="shared" si="131"/>
        <v>32330.000000000007</v>
      </c>
      <c r="AQ82" s="120">
        <f t="shared" si="131"/>
        <v>28382.000000000007</v>
      </c>
      <c r="AR82" s="120">
        <f t="shared" si="131"/>
        <v>28655.000000000007</v>
      </c>
      <c r="AS82" s="120">
        <f t="shared" si="131"/>
        <v>26478.000000000007</v>
      </c>
      <c r="AT82" s="120">
        <f t="shared" si="131"/>
        <v>26648.000000000007</v>
      </c>
      <c r="AU82" s="120">
        <f t="shared" ref="AU82" si="132">+AT91</f>
        <v>28015.000000000007</v>
      </c>
      <c r="AV82" s="120">
        <f t="shared" ref="AV82" si="133">+AU91</f>
        <v>28737.000000000007</v>
      </c>
      <c r="AW82" s="120">
        <f>+AV91</f>
        <v>29329.000000000007</v>
      </c>
      <c r="AX82" s="120">
        <f>+AW91</f>
        <v>28133.000000000007</v>
      </c>
    </row>
    <row r="83" spans="2:50" x14ac:dyDescent="0.25">
      <c r="B83" s="130" t="s">
        <v>702</v>
      </c>
      <c r="C83" s="131">
        <v>0</v>
      </c>
      <c r="D83" s="131">
        <v>0</v>
      </c>
      <c r="E83" s="131">
        <v>0</v>
      </c>
      <c r="F83" s="131">
        <v>0</v>
      </c>
      <c r="G83" s="131">
        <v>0</v>
      </c>
      <c r="H83" s="131">
        <v>0</v>
      </c>
      <c r="I83" s="131">
        <v>0</v>
      </c>
      <c r="J83" s="118">
        <v>0</v>
      </c>
      <c r="K83" s="118">
        <v>0</v>
      </c>
      <c r="L83" s="118">
        <v>0</v>
      </c>
      <c r="M83" s="118">
        <v>0</v>
      </c>
      <c r="N83" s="118">
        <v>0</v>
      </c>
      <c r="O83" s="118">
        <v>0</v>
      </c>
      <c r="P83" s="118">
        <v>0</v>
      </c>
      <c r="Q83" s="118">
        <v>0</v>
      </c>
      <c r="R83" s="118">
        <v>0</v>
      </c>
      <c r="S83" s="118">
        <v>2762</v>
      </c>
      <c r="T83" s="118">
        <v>21052</v>
      </c>
      <c r="U83" s="118">
        <v>3614</v>
      </c>
      <c r="V83" s="262">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2">
        <v>6931</v>
      </c>
      <c r="AP83" s="118">
        <v>415</v>
      </c>
      <c r="AQ83" s="118">
        <v>478</v>
      </c>
      <c r="AR83" s="118">
        <v>197</v>
      </c>
      <c r="AS83" s="118">
        <v>369</v>
      </c>
      <c r="AT83" s="118">
        <v>1068</v>
      </c>
      <c r="AU83" s="118">
        <v>894</v>
      </c>
      <c r="AV83" s="118">
        <v>480</v>
      </c>
      <c r="AW83" s="118">
        <v>-23</v>
      </c>
      <c r="AX83" s="118">
        <v>476</v>
      </c>
    </row>
    <row r="84" spans="2:50" x14ac:dyDescent="0.25">
      <c r="B84" s="130" t="s">
        <v>980</v>
      </c>
      <c r="C84" s="131">
        <v>0</v>
      </c>
      <c r="D84" s="131">
        <v>0</v>
      </c>
      <c r="E84" s="131">
        <v>0</v>
      </c>
      <c r="F84" s="131">
        <v>0</v>
      </c>
      <c r="G84" s="131">
        <v>0</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0</v>
      </c>
      <c r="AA84" s="131">
        <v>0</v>
      </c>
      <c r="AB84" s="131">
        <v>0</v>
      </c>
      <c r="AC84" s="131">
        <v>0</v>
      </c>
      <c r="AD84" s="131">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row>
    <row r="85" spans="2:50" ht="24.75" customHeight="1" x14ac:dyDescent="0.25">
      <c r="B85" s="130" t="s">
        <v>703</v>
      </c>
      <c r="C85" s="131">
        <v>0</v>
      </c>
      <c r="D85" s="131">
        <v>0</v>
      </c>
      <c r="E85" s="131">
        <v>0</v>
      </c>
      <c r="F85" s="131">
        <v>0</v>
      </c>
      <c r="G85" s="131">
        <v>0</v>
      </c>
      <c r="H85" s="131">
        <v>0</v>
      </c>
      <c r="I85" s="131">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47</v>
      </c>
      <c r="Y85" s="118" t="s">
        <v>47</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row>
    <row r="86" spans="2:50" x14ac:dyDescent="0.25">
      <c r="B86" s="130" t="s">
        <v>770</v>
      </c>
      <c r="C86" s="131" t="s">
        <v>47</v>
      </c>
      <c r="D86" s="131" t="s">
        <v>47</v>
      </c>
      <c r="E86" s="131" t="s">
        <v>47</v>
      </c>
      <c r="F86" s="131" t="s">
        <v>47</v>
      </c>
      <c r="G86" s="131" t="s">
        <v>47</v>
      </c>
      <c r="H86" s="131" t="s">
        <v>47</v>
      </c>
      <c r="I86" s="131" t="s">
        <v>47</v>
      </c>
      <c r="J86" s="118" t="s">
        <v>47</v>
      </c>
      <c r="K86" s="118" t="s">
        <v>47</v>
      </c>
      <c r="L86" s="118" t="s">
        <v>47</v>
      </c>
      <c r="M86" s="118" t="s">
        <v>47</v>
      </c>
      <c r="N86" s="118" t="s">
        <v>47</v>
      </c>
      <c r="O86" s="118" t="s">
        <v>47</v>
      </c>
      <c r="P86" s="118" t="s">
        <v>47</v>
      </c>
      <c r="Q86" s="118" t="s">
        <v>47</v>
      </c>
      <c r="R86" s="118" t="s">
        <v>47</v>
      </c>
      <c r="S86" s="118" t="s">
        <v>47</v>
      </c>
      <c r="T86" s="118" t="s">
        <v>47</v>
      </c>
      <c r="U86" s="118" t="s">
        <v>47</v>
      </c>
      <c r="V86" s="118" t="s">
        <v>47</v>
      </c>
      <c r="W86" s="118">
        <v>-1482</v>
      </c>
      <c r="X86" s="118">
        <v>0</v>
      </c>
      <c r="Y86" s="118">
        <v>0</v>
      </c>
      <c r="Z86" s="118">
        <v>0</v>
      </c>
      <c r="AA86" s="118">
        <v>0</v>
      </c>
      <c r="AB86" s="118" t="s">
        <v>47</v>
      </c>
      <c r="AC86" s="118" t="s">
        <v>47</v>
      </c>
      <c r="AD86" s="118" t="s">
        <v>47</v>
      </c>
      <c r="AE86" s="118" t="s">
        <v>47</v>
      </c>
      <c r="AF86" s="118" t="s">
        <v>47</v>
      </c>
      <c r="AG86" s="118" t="s">
        <v>47</v>
      </c>
      <c r="AH86" s="118" t="s">
        <v>47</v>
      </c>
      <c r="AI86" s="118" t="s">
        <v>47</v>
      </c>
      <c r="AJ86" s="118" t="s">
        <v>47</v>
      </c>
      <c r="AK86" s="118" t="s">
        <v>47</v>
      </c>
      <c r="AL86" s="118" t="s">
        <v>47</v>
      </c>
      <c r="AM86" s="118">
        <v>0</v>
      </c>
      <c r="AN86" s="118">
        <v>0</v>
      </c>
      <c r="AO86" s="118">
        <v>0</v>
      </c>
      <c r="AP86" s="118">
        <v>0</v>
      </c>
      <c r="AQ86" s="118">
        <v>0</v>
      </c>
      <c r="AR86" s="118">
        <v>0</v>
      </c>
      <c r="AS86" s="118">
        <v>0</v>
      </c>
      <c r="AT86" s="118">
        <v>0</v>
      </c>
      <c r="AU86" s="118">
        <v>0</v>
      </c>
      <c r="AV86" s="118">
        <v>0</v>
      </c>
      <c r="AW86" s="118">
        <v>0</v>
      </c>
      <c r="AX86" s="118">
        <v>0</v>
      </c>
    </row>
    <row r="87" spans="2:50" x14ac:dyDescent="0.25">
      <c r="B87" s="130" t="s">
        <v>743</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row>
    <row r="88" spans="2:50" x14ac:dyDescent="0.25">
      <c r="B88" s="130" t="s">
        <v>704</v>
      </c>
      <c r="C88" s="131">
        <v>0</v>
      </c>
      <c r="D88" s="131">
        <v>0</v>
      </c>
      <c r="E88" s="131">
        <v>0</v>
      </c>
      <c r="F88" s="131">
        <v>0</v>
      </c>
      <c r="G88" s="131">
        <v>0</v>
      </c>
      <c r="H88" s="131">
        <v>0</v>
      </c>
      <c r="I88" s="131">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row>
    <row r="89" spans="2:50" x14ac:dyDescent="0.25">
      <c r="B89" s="130" t="s">
        <v>14</v>
      </c>
      <c r="C89" s="131">
        <v>0</v>
      </c>
      <c r="D89" s="131">
        <v>0</v>
      </c>
      <c r="E89" s="131">
        <v>0</v>
      </c>
      <c r="F89" s="131">
        <v>0</v>
      </c>
      <c r="G89" s="131">
        <v>0</v>
      </c>
      <c r="H89" s="131">
        <v>0</v>
      </c>
      <c r="I89" s="131">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row>
    <row r="90" spans="2:50" x14ac:dyDescent="0.25">
      <c r="B90" s="130" t="s">
        <v>705</v>
      </c>
      <c r="C90" s="131">
        <v>0</v>
      </c>
      <c r="D90" s="131">
        <v>0</v>
      </c>
      <c r="E90" s="131">
        <v>0</v>
      </c>
      <c r="F90" s="131">
        <v>0</v>
      </c>
      <c r="G90" s="131">
        <v>0</v>
      </c>
      <c r="H90" s="131">
        <v>0</v>
      </c>
      <c r="I90" s="131">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1">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row>
    <row r="91" spans="2:50" x14ac:dyDescent="0.25">
      <c r="B91" s="127" t="s">
        <v>706</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34">+SUM(S82:S90)</f>
        <v>14709.10462</v>
      </c>
      <c r="T91" s="120">
        <f t="shared" si="134"/>
        <v>36603.414620000003</v>
      </c>
      <c r="U91" s="120">
        <f t="shared" si="134"/>
        <v>34954.246920000005</v>
      </c>
      <c r="V91" s="120">
        <f t="shared" si="134"/>
        <v>38983.000000000007</v>
      </c>
      <c r="W91" s="120">
        <f t="shared" si="134"/>
        <v>43770.000000000007</v>
      </c>
      <c r="X91" s="120">
        <f t="shared" si="134"/>
        <v>41092.000000000007</v>
      </c>
      <c r="Y91" s="120">
        <f t="shared" si="134"/>
        <v>36834.000000000007</v>
      </c>
      <c r="Z91" s="120">
        <f t="shared" si="134"/>
        <v>44444.000000000007</v>
      </c>
      <c r="AA91" s="120">
        <f t="shared" si="134"/>
        <v>43202.000000000007</v>
      </c>
      <c r="AB91" s="120">
        <f t="shared" si="134"/>
        <v>42750.000000000007</v>
      </c>
      <c r="AC91" s="120">
        <f t="shared" si="134"/>
        <v>36611.000000000007</v>
      </c>
      <c r="AD91" s="120">
        <f t="shared" si="134"/>
        <v>35266.000000000007</v>
      </c>
      <c r="AE91" s="120">
        <f t="shared" si="134"/>
        <v>36832.000000000007</v>
      </c>
      <c r="AF91" s="120">
        <f>+SUM(AF82:AF90)</f>
        <v>34213.000000000007</v>
      </c>
      <c r="AG91" s="120">
        <f>+SUM(AG82:AG90)</f>
        <v>35552.000000000007</v>
      </c>
      <c r="AH91" s="120">
        <f>+SUM(AH82:AH90)</f>
        <v>33878.000000000007</v>
      </c>
      <c r="AI91" s="120">
        <f t="shared" ref="AI91:AN91" si="135">+SUM(AI82:AI90)</f>
        <v>33106.000000000007</v>
      </c>
      <c r="AJ91" s="120">
        <f t="shared" si="135"/>
        <v>31961.000000000007</v>
      </c>
      <c r="AK91" s="120">
        <f t="shared" si="135"/>
        <v>26648.000000000007</v>
      </c>
      <c r="AL91" s="120">
        <f t="shared" si="135"/>
        <v>30830.000000000007</v>
      </c>
      <c r="AM91" s="120">
        <f t="shared" si="135"/>
        <v>29638.000000000007</v>
      </c>
      <c r="AN91" s="120">
        <f t="shared" si="135"/>
        <v>26394.000000000007</v>
      </c>
      <c r="AO91" s="120">
        <f t="shared" ref="AO91:AX91" si="136">+SUM(AO82:AO90)</f>
        <v>32330.000000000007</v>
      </c>
      <c r="AP91" s="120">
        <f t="shared" si="136"/>
        <v>28382.000000000007</v>
      </c>
      <c r="AQ91" s="120">
        <f t="shared" si="136"/>
        <v>28655.000000000007</v>
      </c>
      <c r="AR91" s="120">
        <f t="shared" si="136"/>
        <v>26478.000000000007</v>
      </c>
      <c r="AS91" s="120">
        <f t="shared" si="136"/>
        <v>26648.000000000007</v>
      </c>
      <c r="AT91" s="120">
        <f t="shared" si="136"/>
        <v>28015.000000000007</v>
      </c>
      <c r="AU91" s="120">
        <f t="shared" si="136"/>
        <v>28737.000000000007</v>
      </c>
      <c r="AV91" s="120">
        <f t="shared" si="136"/>
        <v>29329.000000000007</v>
      </c>
      <c r="AW91" s="120">
        <f t="shared" si="136"/>
        <v>28133.000000000007</v>
      </c>
      <c r="AX91" s="120">
        <f t="shared" si="136"/>
        <v>21692.000000000007</v>
      </c>
    </row>
    <row r="92" spans="2:50" x14ac:dyDescent="0.25">
      <c r="S92" s="660">
        <f t="shared" ref="S92:AB92" si="137">S91-S47</f>
        <v>0.1046200000000681</v>
      </c>
      <c r="T92" s="660">
        <f t="shared" si="137"/>
        <v>0.41462000000319676</v>
      </c>
      <c r="U92" s="660">
        <f t="shared" si="137"/>
        <v>0.24692000000504777</v>
      </c>
      <c r="V92" s="661">
        <f t="shared" si="137"/>
        <v>0</v>
      </c>
      <c r="W92" s="680">
        <f t="shared" si="137"/>
        <v>0</v>
      </c>
      <c r="X92" s="680">
        <f t="shared" si="137"/>
        <v>0</v>
      </c>
      <c r="Y92" s="680">
        <f t="shared" si="137"/>
        <v>0</v>
      </c>
      <c r="Z92" s="680">
        <f t="shared" si="137"/>
        <v>0</v>
      </c>
      <c r="AA92" s="680">
        <f t="shared" si="137"/>
        <v>0</v>
      </c>
      <c r="AB92" s="680">
        <f t="shared" si="137"/>
        <v>0</v>
      </c>
      <c r="AC92" s="680">
        <v>0</v>
      </c>
      <c r="AD92" s="680">
        <f t="shared" ref="AD92:AI92" si="138">AD91-AD47</f>
        <v>0</v>
      </c>
      <c r="AE92" s="680">
        <f t="shared" si="138"/>
        <v>0</v>
      </c>
      <c r="AF92" s="680">
        <f t="shared" si="138"/>
        <v>0</v>
      </c>
      <c r="AG92" s="680">
        <f t="shared" si="138"/>
        <v>0</v>
      </c>
      <c r="AH92" s="680">
        <f t="shared" si="138"/>
        <v>0</v>
      </c>
      <c r="AI92" s="680">
        <f t="shared" si="138"/>
        <v>0</v>
      </c>
      <c r="AJ92" s="680">
        <v>0</v>
      </c>
      <c r="AK92" s="680">
        <v>0</v>
      </c>
      <c r="AL92" s="680"/>
      <c r="AM92" s="680">
        <v>0</v>
      </c>
      <c r="AN92" s="680">
        <f t="shared" ref="AN92:AS92" si="139">AN91-AN47</f>
        <v>0</v>
      </c>
      <c r="AO92" s="680">
        <f t="shared" si="139"/>
        <v>0</v>
      </c>
      <c r="AP92" s="680">
        <f t="shared" si="139"/>
        <v>0</v>
      </c>
      <c r="AQ92" s="680">
        <f t="shared" si="139"/>
        <v>0</v>
      </c>
      <c r="AR92" s="680">
        <f t="shared" si="139"/>
        <v>0</v>
      </c>
      <c r="AS92" s="680">
        <f t="shared" si="139"/>
        <v>0</v>
      </c>
      <c r="AT92" s="680">
        <f>AT91-AT47</f>
        <v>0</v>
      </c>
      <c r="AU92" s="680">
        <f>AU91-AU47</f>
        <v>0</v>
      </c>
      <c r="AV92" s="680">
        <f t="shared" ref="AV92:AX92" si="140">AV91-AV47</f>
        <v>0</v>
      </c>
      <c r="AW92" s="680">
        <f t="shared" si="140"/>
        <v>0</v>
      </c>
      <c r="AX92" s="680">
        <f t="shared" si="140"/>
        <v>0</v>
      </c>
    </row>
    <row r="93" spans="2:50" x14ac:dyDescent="0.25">
      <c r="B93" s="146" t="s">
        <v>397</v>
      </c>
      <c r="C93" s="146" t="s">
        <v>47</v>
      </c>
      <c r="D93" s="146" t="s">
        <v>47</v>
      </c>
      <c r="E93" s="146" t="s">
        <v>47</v>
      </c>
      <c r="F93" s="146" t="s">
        <v>47</v>
      </c>
      <c r="G93" s="146" t="s">
        <v>47</v>
      </c>
      <c r="H93" s="146" t="s">
        <v>47</v>
      </c>
      <c r="I93" s="146" t="s">
        <v>47</v>
      </c>
      <c r="J93" s="115" t="s">
        <v>47</v>
      </c>
      <c r="K93" s="115" t="s">
        <v>47</v>
      </c>
      <c r="L93" s="115" t="s">
        <v>47</v>
      </c>
      <c r="M93" s="115" t="s">
        <v>47</v>
      </c>
      <c r="N93" s="115" t="s">
        <v>47</v>
      </c>
      <c r="O93" s="115" t="s">
        <v>47</v>
      </c>
      <c r="P93" s="115" t="s">
        <v>47</v>
      </c>
      <c r="Q93" s="115" t="s">
        <v>47</v>
      </c>
      <c r="R93" s="115" t="s">
        <v>47</v>
      </c>
      <c r="S93" s="115" t="str">
        <f>S$5</f>
        <v>1Q17</v>
      </c>
      <c r="T93" s="115" t="str">
        <f t="shared" ref="T93:AX93" si="141">T$5</f>
        <v>2Q17</v>
      </c>
      <c r="U93" s="115" t="str">
        <f t="shared" si="141"/>
        <v>3Q17</v>
      </c>
      <c r="V93" s="115" t="str">
        <f t="shared" si="141"/>
        <v>4Q17</v>
      </c>
      <c r="W93" s="115" t="str">
        <f t="shared" si="141"/>
        <v>1Q18</v>
      </c>
      <c r="X93" s="115" t="str">
        <f t="shared" si="141"/>
        <v>2Q18</v>
      </c>
      <c r="Y93" s="115" t="str">
        <f t="shared" si="141"/>
        <v>3Q18</v>
      </c>
      <c r="Z93" s="115" t="str">
        <f t="shared" si="141"/>
        <v>4Q18</v>
      </c>
      <c r="AA93" s="115" t="str">
        <f t="shared" si="141"/>
        <v>1Q19</v>
      </c>
      <c r="AB93" s="115" t="str">
        <f t="shared" si="141"/>
        <v>2Q19</v>
      </c>
      <c r="AC93" s="115" t="str">
        <f t="shared" si="141"/>
        <v>3Q19</v>
      </c>
      <c r="AD93" s="115" t="str">
        <f t="shared" si="141"/>
        <v>4Q19</v>
      </c>
      <c r="AE93" s="115" t="str">
        <f t="shared" si="141"/>
        <v>1Q20</v>
      </c>
      <c r="AF93" s="115" t="str">
        <f t="shared" si="141"/>
        <v>2Q20</v>
      </c>
      <c r="AG93" s="115" t="str">
        <f t="shared" si="141"/>
        <v>3Q20</v>
      </c>
      <c r="AH93" s="115" t="str">
        <f t="shared" si="141"/>
        <v>4Q20</v>
      </c>
      <c r="AI93" s="115" t="str">
        <f t="shared" si="141"/>
        <v>1Q21</v>
      </c>
      <c r="AJ93" s="115" t="str">
        <f t="shared" si="141"/>
        <v>2Q21</v>
      </c>
      <c r="AK93" s="115" t="str">
        <f t="shared" si="141"/>
        <v>3Q21</v>
      </c>
      <c r="AL93" s="115" t="str">
        <f t="shared" si="141"/>
        <v>4Q21</v>
      </c>
      <c r="AM93" s="115" t="str">
        <f t="shared" si="141"/>
        <v>1Q22</v>
      </c>
      <c r="AN93" s="115" t="str">
        <f t="shared" si="141"/>
        <v>2Q22</v>
      </c>
      <c r="AO93" s="115" t="str">
        <f t="shared" si="141"/>
        <v>3Q22</v>
      </c>
      <c r="AP93" s="115" t="str">
        <f t="shared" si="141"/>
        <v>4Q22</v>
      </c>
      <c r="AQ93" s="115" t="str">
        <f t="shared" si="141"/>
        <v>1Q23</v>
      </c>
      <c r="AR93" s="115" t="str">
        <f t="shared" si="141"/>
        <v>2Q23</v>
      </c>
      <c r="AS93" s="115" t="str">
        <f t="shared" si="141"/>
        <v>3Q23</v>
      </c>
      <c r="AT93" s="115" t="str">
        <f t="shared" si="141"/>
        <v>4Q23</v>
      </c>
      <c r="AU93" s="115" t="str">
        <f t="shared" si="141"/>
        <v>1Q24</v>
      </c>
      <c r="AV93" s="115" t="str">
        <f t="shared" si="141"/>
        <v>2Q24</v>
      </c>
      <c r="AW93" s="115" t="str">
        <f t="shared" si="141"/>
        <v>3Q24</v>
      </c>
      <c r="AX93" s="115" t="str">
        <f t="shared" si="141"/>
        <v>4Q24</v>
      </c>
    </row>
    <row r="94" spans="2:50" ht="25.5" x14ac:dyDescent="0.25">
      <c r="B94" s="127" t="s">
        <v>701</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42">+S103</f>
        <v>6104</v>
      </c>
      <c r="U94" s="120">
        <f t="shared" si="142"/>
        <v>27314</v>
      </c>
      <c r="V94" s="120">
        <f t="shared" si="142"/>
        <v>27220.255570000001</v>
      </c>
      <c r="W94" s="120">
        <f t="shared" si="142"/>
        <v>30926</v>
      </c>
      <c r="X94" s="120">
        <f t="shared" si="142"/>
        <v>32903</v>
      </c>
      <c r="Y94" s="120">
        <f t="shared" si="142"/>
        <v>30032</v>
      </c>
      <c r="Z94" s="120">
        <f t="shared" si="142"/>
        <v>26056</v>
      </c>
      <c r="AA94" s="120">
        <f t="shared" si="142"/>
        <v>34419</v>
      </c>
      <c r="AB94" s="120">
        <f t="shared" ref="AB94:AH94" si="143">+AA103</f>
        <v>33700</v>
      </c>
      <c r="AC94" s="120">
        <f t="shared" si="143"/>
        <v>32422</v>
      </c>
      <c r="AD94" s="120">
        <f t="shared" si="143"/>
        <v>32048</v>
      </c>
      <c r="AE94" s="120">
        <f t="shared" si="143"/>
        <v>30606</v>
      </c>
      <c r="AF94" s="120">
        <f t="shared" si="143"/>
        <v>32570</v>
      </c>
      <c r="AG94" s="120">
        <f t="shared" si="143"/>
        <v>30269</v>
      </c>
      <c r="AH94" s="120">
        <f t="shared" si="143"/>
        <v>31629</v>
      </c>
      <c r="AI94" s="120">
        <f t="shared" ref="AI94:AU94" si="144">+AH103</f>
        <v>30151</v>
      </c>
      <c r="AJ94" s="120">
        <f t="shared" si="144"/>
        <v>29631</v>
      </c>
      <c r="AK94" s="120">
        <f t="shared" si="144"/>
        <v>28660</v>
      </c>
      <c r="AL94" s="120">
        <f t="shared" si="144"/>
        <v>23482</v>
      </c>
      <c r="AM94" s="120">
        <f t="shared" si="144"/>
        <v>27802</v>
      </c>
      <c r="AN94" s="120">
        <f t="shared" si="144"/>
        <v>25994</v>
      </c>
      <c r="AO94" s="120">
        <f t="shared" si="144"/>
        <v>22639</v>
      </c>
      <c r="AP94" s="120">
        <f t="shared" si="144"/>
        <v>28573</v>
      </c>
      <c r="AQ94" s="120">
        <f t="shared" si="144"/>
        <v>24627</v>
      </c>
      <c r="AR94" s="120">
        <f t="shared" si="144"/>
        <v>24853</v>
      </c>
      <c r="AS94" s="120">
        <f t="shared" si="144"/>
        <v>23987</v>
      </c>
      <c r="AT94" s="120">
        <f t="shared" si="144"/>
        <v>24185</v>
      </c>
      <c r="AU94" s="120">
        <f t="shared" si="144"/>
        <v>24904</v>
      </c>
      <c r="AV94" s="120">
        <f t="shared" ref="AV94" si="145">+AU103</f>
        <v>25407</v>
      </c>
      <c r="AW94" s="120">
        <f>+AV103</f>
        <v>26457</v>
      </c>
      <c r="AX94" s="120">
        <f>+AW103</f>
        <v>25243</v>
      </c>
    </row>
    <row r="95" spans="2:50" x14ac:dyDescent="0.25">
      <c r="B95" s="130" t="s">
        <v>702</v>
      </c>
      <c r="C95" s="131">
        <v>0</v>
      </c>
      <c r="D95" s="131">
        <v>0</v>
      </c>
      <c r="E95" s="131">
        <v>0</v>
      </c>
      <c r="F95" s="131">
        <v>0</v>
      </c>
      <c r="G95" s="131">
        <v>0</v>
      </c>
      <c r="H95" s="131">
        <v>0</v>
      </c>
      <c r="I95" s="131">
        <v>0</v>
      </c>
      <c r="J95" s="118">
        <v>0</v>
      </c>
      <c r="K95" s="118">
        <v>0</v>
      </c>
      <c r="L95" s="118">
        <v>0</v>
      </c>
      <c r="M95" s="118">
        <v>0</v>
      </c>
      <c r="N95" s="118">
        <v>0</v>
      </c>
      <c r="O95" s="118">
        <v>0</v>
      </c>
      <c r="P95" s="118">
        <v>0</v>
      </c>
      <c r="Q95" s="118">
        <v>0</v>
      </c>
      <c r="R95" s="118">
        <v>0</v>
      </c>
      <c r="S95" s="118">
        <v>1883</v>
      </c>
      <c r="T95" s="262">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2">
        <v>6905</v>
      </c>
      <c r="AP95" s="118">
        <v>226</v>
      </c>
      <c r="AQ95" s="118">
        <v>443</v>
      </c>
      <c r="AR95" s="118">
        <v>559</v>
      </c>
      <c r="AS95" s="118">
        <v>322</v>
      </c>
      <c r="AT95" s="118">
        <v>459</v>
      </c>
      <c r="AU95" s="118">
        <v>660</v>
      </c>
      <c r="AV95" s="118">
        <v>431</v>
      </c>
      <c r="AW95" s="118">
        <v>-144</v>
      </c>
      <c r="AX95" s="118">
        <v>236</v>
      </c>
    </row>
    <row r="96" spans="2:50" x14ac:dyDescent="0.25">
      <c r="B96" s="130" t="s">
        <v>980</v>
      </c>
      <c r="C96" s="131">
        <v>0</v>
      </c>
      <c r="D96" s="131">
        <v>0</v>
      </c>
      <c r="E96" s="131">
        <v>0</v>
      </c>
      <c r="F96" s="131">
        <v>0</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0</v>
      </c>
      <c r="AB96" s="131">
        <v>0</v>
      </c>
      <c r="AC96" s="131">
        <v>0</v>
      </c>
      <c r="AD96" s="131">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row>
    <row r="97" spans="2:50" x14ac:dyDescent="0.25">
      <c r="B97" s="130" t="s">
        <v>703</v>
      </c>
      <c r="C97" s="131">
        <v>0</v>
      </c>
      <c r="D97" s="131">
        <v>0</v>
      </c>
      <c r="E97" s="131">
        <v>0</v>
      </c>
      <c r="F97" s="131">
        <v>0</v>
      </c>
      <c r="G97" s="131">
        <v>0</v>
      </c>
      <c r="H97" s="131">
        <v>0</v>
      </c>
      <c r="I97" s="131">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row>
    <row r="98" spans="2:50" x14ac:dyDescent="0.25">
      <c r="B98" s="130" t="s">
        <v>770</v>
      </c>
      <c r="C98" s="131">
        <v>0</v>
      </c>
      <c r="D98" s="131">
        <v>0</v>
      </c>
      <c r="E98" s="131">
        <v>0</v>
      </c>
      <c r="F98" s="131">
        <v>0</v>
      </c>
      <c r="G98" s="131">
        <v>0</v>
      </c>
      <c r="H98" s="131">
        <v>0</v>
      </c>
      <c r="I98" s="131">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47</v>
      </c>
      <c r="AE98" s="118" t="s">
        <v>47</v>
      </c>
      <c r="AF98" s="118" t="s">
        <v>47</v>
      </c>
      <c r="AG98" s="118" t="s">
        <v>47</v>
      </c>
      <c r="AH98" s="118" t="s">
        <v>47</v>
      </c>
      <c r="AI98" s="118" t="s">
        <v>47</v>
      </c>
      <c r="AJ98" s="118" t="s">
        <v>47</v>
      </c>
      <c r="AK98" s="118" t="s">
        <v>47</v>
      </c>
      <c r="AL98" s="118" t="s">
        <v>47</v>
      </c>
      <c r="AM98" s="118">
        <v>0</v>
      </c>
      <c r="AN98" s="118">
        <v>0</v>
      </c>
      <c r="AO98" s="118">
        <v>0</v>
      </c>
      <c r="AP98" s="118">
        <v>0</v>
      </c>
      <c r="AQ98" s="118">
        <v>0</v>
      </c>
      <c r="AR98" s="118">
        <v>0</v>
      </c>
      <c r="AS98" s="118">
        <v>0</v>
      </c>
      <c r="AT98" s="118">
        <v>0</v>
      </c>
      <c r="AU98" s="118">
        <v>0</v>
      </c>
      <c r="AV98" s="118">
        <v>0</v>
      </c>
      <c r="AW98" s="118">
        <v>0</v>
      </c>
      <c r="AX98" s="118">
        <v>0</v>
      </c>
    </row>
    <row r="99" spans="2:50" x14ac:dyDescent="0.25">
      <c r="B99" s="130" t="s">
        <v>743</v>
      </c>
      <c r="C99" s="131">
        <v>0</v>
      </c>
      <c r="D99" s="131">
        <v>0</v>
      </c>
      <c r="E99" s="131">
        <v>0</v>
      </c>
      <c r="F99" s="131">
        <v>0</v>
      </c>
      <c r="G99" s="131">
        <v>0</v>
      </c>
      <c r="H99" s="131">
        <v>0</v>
      </c>
      <c r="I99" s="131">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row>
    <row r="100" spans="2:50" x14ac:dyDescent="0.25">
      <c r="B100" s="130" t="s">
        <v>704</v>
      </c>
      <c r="C100" s="131">
        <v>0</v>
      </c>
      <c r="D100" s="131">
        <v>0</v>
      </c>
      <c r="E100" s="131">
        <v>0</v>
      </c>
      <c r="F100" s="131">
        <v>0</v>
      </c>
      <c r="G100" s="131">
        <v>0</v>
      </c>
      <c r="H100" s="131">
        <v>0</v>
      </c>
      <c r="I100" s="131">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row>
    <row r="101" spans="2:50" x14ac:dyDescent="0.25">
      <c r="B101" s="130" t="s">
        <v>14</v>
      </c>
      <c r="C101" s="131" t="s">
        <v>47</v>
      </c>
      <c r="D101" s="131" t="s">
        <v>47</v>
      </c>
      <c r="E101" s="131" t="s">
        <v>47</v>
      </c>
      <c r="F101" s="131" t="s">
        <v>47</v>
      </c>
      <c r="G101" s="131" t="s">
        <v>47</v>
      </c>
      <c r="H101" s="131" t="s">
        <v>47</v>
      </c>
      <c r="I101" s="131" t="s">
        <v>47</v>
      </c>
      <c r="J101" s="118" t="s">
        <v>47</v>
      </c>
      <c r="K101" s="118" t="s">
        <v>47</v>
      </c>
      <c r="L101" s="118" t="s">
        <v>47</v>
      </c>
      <c r="M101" s="118" t="s">
        <v>47</v>
      </c>
      <c r="N101" s="118" t="s">
        <v>47</v>
      </c>
      <c r="O101" s="118" t="s">
        <v>47</v>
      </c>
      <c r="P101" s="118" t="s">
        <v>47</v>
      </c>
      <c r="Q101" s="118" t="s">
        <v>47</v>
      </c>
      <c r="R101" s="118" t="s">
        <v>47</v>
      </c>
      <c r="S101" s="118" t="s">
        <v>47</v>
      </c>
      <c r="T101" s="118" t="s">
        <v>47</v>
      </c>
      <c r="U101" s="118" t="s">
        <v>47</v>
      </c>
      <c r="V101" s="118" t="s">
        <v>47</v>
      </c>
      <c r="W101" s="118" t="s">
        <v>47</v>
      </c>
      <c r="X101" s="118" t="s">
        <v>47</v>
      </c>
      <c r="Y101" s="118" t="s">
        <v>47</v>
      </c>
      <c r="Z101" s="118" t="s">
        <v>47</v>
      </c>
      <c r="AA101" s="118" t="s">
        <v>47</v>
      </c>
      <c r="AB101" s="118" t="s">
        <v>47</v>
      </c>
      <c r="AC101" s="118" t="s">
        <v>47</v>
      </c>
      <c r="AD101" s="118" t="s">
        <v>47</v>
      </c>
      <c r="AE101" s="118" t="s">
        <v>47</v>
      </c>
      <c r="AF101" s="118" t="s">
        <v>47</v>
      </c>
      <c r="AG101" s="118" t="s">
        <v>47</v>
      </c>
      <c r="AH101" s="118" t="s">
        <v>47</v>
      </c>
      <c r="AI101" s="118" t="s">
        <v>47</v>
      </c>
      <c r="AJ101" s="118" t="s">
        <v>47</v>
      </c>
      <c r="AK101" s="118" t="s">
        <v>47</v>
      </c>
      <c r="AL101" s="118" t="s">
        <v>47</v>
      </c>
      <c r="AM101" s="118">
        <v>494</v>
      </c>
      <c r="AN101" s="118">
        <v>1</v>
      </c>
      <c r="AO101" s="118">
        <v>-1</v>
      </c>
      <c r="AP101" s="118">
        <v>0</v>
      </c>
      <c r="AQ101" s="118">
        <v>0</v>
      </c>
      <c r="AR101" s="118">
        <v>0</v>
      </c>
      <c r="AS101" s="118">
        <v>0</v>
      </c>
      <c r="AT101" s="118">
        <v>0</v>
      </c>
      <c r="AU101" s="118">
        <v>0</v>
      </c>
      <c r="AV101" s="118">
        <v>487</v>
      </c>
      <c r="AW101" s="118">
        <v>0</v>
      </c>
      <c r="AX101" s="118">
        <v>0</v>
      </c>
    </row>
    <row r="102" spans="2:50" x14ac:dyDescent="0.25">
      <c r="B102" s="130" t="s">
        <v>705</v>
      </c>
      <c r="C102" s="131">
        <v>0</v>
      </c>
      <c r="D102" s="131">
        <v>0</v>
      </c>
      <c r="E102" s="131">
        <v>0</v>
      </c>
      <c r="F102" s="131">
        <v>0</v>
      </c>
      <c r="G102" s="131">
        <v>0</v>
      </c>
      <c r="H102" s="131">
        <v>0</v>
      </c>
      <c r="I102" s="131">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row>
    <row r="103" spans="2:50" x14ac:dyDescent="0.25">
      <c r="B103" s="127" t="s">
        <v>706</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46">+SUM(S94:S102)</f>
        <v>6104</v>
      </c>
      <c r="T103" s="120">
        <f t="shared" si="146"/>
        <v>27314</v>
      </c>
      <c r="U103" s="120">
        <f t="shared" si="146"/>
        <v>27220.255570000001</v>
      </c>
      <c r="V103" s="120">
        <f t="shared" si="146"/>
        <v>30926</v>
      </c>
      <c r="W103" s="120">
        <f t="shared" si="146"/>
        <v>32903</v>
      </c>
      <c r="X103" s="120">
        <f t="shared" si="146"/>
        <v>30032</v>
      </c>
      <c r="Y103" s="120">
        <f t="shared" si="146"/>
        <v>26056</v>
      </c>
      <c r="Z103" s="120">
        <f t="shared" si="146"/>
        <v>34419</v>
      </c>
      <c r="AA103" s="120">
        <f t="shared" si="146"/>
        <v>33700</v>
      </c>
      <c r="AB103" s="120">
        <f t="shared" ref="AB103:AG103" si="147">+SUM(AB94:AB102)</f>
        <v>32422</v>
      </c>
      <c r="AC103" s="120">
        <f t="shared" si="147"/>
        <v>32048</v>
      </c>
      <c r="AD103" s="120">
        <f t="shared" si="147"/>
        <v>30606</v>
      </c>
      <c r="AE103" s="120">
        <f t="shared" si="147"/>
        <v>32570</v>
      </c>
      <c r="AF103" s="120">
        <f t="shared" si="147"/>
        <v>30269</v>
      </c>
      <c r="AG103" s="120">
        <f t="shared" si="147"/>
        <v>31629</v>
      </c>
      <c r="AH103" s="120">
        <f>+SUM(AH94:AH102)</f>
        <v>30151</v>
      </c>
      <c r="AI103" s="120">
        <f t="shared" ref="AI103:AN103" si="148">+SUM(AI94:AI102)</f>
        <v>29631</v>
      </c>
      <c r="AJ103" s="120">
        <f t="shared" si="148"/>
        <v>28660</v>
      </c>
      <c r="AK103" s="120">
        <f t="shared" si="148"/>
        <v>23482</v>
      </c>
      <c r="AL103" s="120">
        <f t="shared" si="148"/>
        <v>27802</v>
      </c>
      <c r="AM103" s="120">
        <f t="shared" si="148"/>
        <v>25994</v>
      </c>
      <c r="AN103" s="120">
        <f t="shared" si="148"/>
        <v>22639</v>
      </c>
      <c r="AO103" s="120">
        <f t="shared" ref="AO103:AX103" si="149">+SUM(AO94:AO102)</f>
        <v>28573</v>
      </c>
      <c r="AP103" s="120">
        <f t="shared" si="149"/>
        <v>24627</v>
      </c>
      <c r="AQ103" s="120">
        <f t="shared" si="149"/>
        <v>24853</v>
      </c>
      <c r="AR103" s="120">
        <f t="shared" si="149"/>
        <v>23987</v>
      </c>
      <c r="AS103" s="120">
        <f t="shared" si="149"/>
        <v>24185</v>
      </c>
      <c r="AT103" s="120">
        <f t="shared" si="149"/>
        <v>24904</v>
      </c>
      <c r="AU103" s="120">
        <f t="shared" si="149"/>
        <v>25407</v>
      </c>
      <c r="AV103" s="120">
        <f t="shared" si="149"/>
        <v>26457</v>
      </c>
      <c r="AW103" s="120">
        <f t="shared" si="149"/>
        <v>25243</v>
      </c>
      <c r="AX103" s="120">
        <f t="shared" si="149"/>
        <v>18674</v>
      </c>
    </row>
    <row r="104" spans="2:50" x14ac:dyDescent="0.25">
      <c r="S104" s="659">
        <f t="shared" ref="S104:AB104" si="150">S103-S53</f>
        <v>0</v>
      </c>
      <c r="T104" s="659">
        <f t="shared" si="150"/>
        <v>0</v>
      </c>
      <c r="U104" s="659">
        <f t="shared" si="150"/>
        <v>-0.74442999999882886</v>
      </c>
      <c r="V104" s="659">
        <f t="shared" si="150"/>
        <v>0</v>
      </c>
      <c r="W104" s="680">
        <f t="shared" si="150"/>
        <v>0</v>
      </c>
      <c r="X104" s="680">
        <f t="shared" si="150"/>
        <v>0</v>
      </c>
      <c r="Y104" s="680">
        <f t="shared" si="150"/>
        <v>0</v>
      </c>
      <c r="Z104" s="680">
        <f t="shared" si="150"/>
        <v>0</v>
      </c>
      <c r="AA104" s="680">
        <f t="shared" si="150"/>
        <v>0</v>
      </c>
      <c r="AB104" s="680">
        <f t="shared" si="150"/>
        <v>0</v>
      </c>
      <c r="AC104" s="680">
        <v>0</v>
      </c>
      <c r="AD104" s="680">
        <f t="shared" ref="AD104:AI104" si="151">AD103-AD53</f>
        <v>0</v>
      </c>
      <c r="AE104" s="680">
        <f t="shared" si="151"/>
        <v>0</v>
      </c>
      <c r="AF104" s="680">
        <f t="shared" si="151"/>
        <v>0</v>
      </c>
      <c r="AG104" s="680">
        <f t="shared" si="151"/>
        <v>0</v>
      </c>
      <c r="AH104" s="680">
        <f t="shared" si="151"/>
        <v>0</v>
      </c>
      <c r="AI104" s="680">
        <f t="shared" si="151"/>
        <v>0</v>
      </c>
      <c r="AJ104" s="680">
        <v>0</v>
      </c>
      <c r="AK104" s="680">
        <v>0</v>
      </c>
      <c r="AL104" s="680"/>
      <c r="AM104" s="680">
        <v>0</v>
      </c>
      <c r="AN104" s="680">
        <f t="shared" ref="AN104:AS104" si="152">AN103-AN53</f>
        <v>0</v>
      </c>
      <c r="AO104" s="680">
        <f t="shared" si="152"/>
        <v>0</v>
      </c>
      <c r="AP104" s="680">
        <f t="shared" si="152"/>
        <v>0</v>
      </c>
      <c r="AQ104" s="680">
        <f t="shared" si="152"/>
        <v>0</v>
      </c>
      <c r="AR104" s="680">
        <f t="shared" si="152"/>
        <v>0</v>
      </c>
      <c r="AS104" s="680">
        <f t="shared" si="152"/>
        <v>0</v>
      </c>
      <c r="AT104" s="680">
        <f>AT103-AT53</f>
        <v>0</v>
      </c>
      <c r="AU104" s="680">
        <f>AU103-AU53</f>
        <v>0</v>
      </c>
      <c r="AV104" s="680">
        <f t="shared" ref="AV104:AX104" si="153">AV103-AV53</f>
        <v>0</v>
      </c>
      <c r="AW104" s="680"/>
      <c r="AX104" s="680">
        <f t="shared" si="153"/>
        <v>0</v>
      </c>
    </row>
    <row r="105" spans="2:50" x14ac:dyDescent="0.25">
      <c r="B105" s="146" t="s">
        <v>503</v>
      </c>
      <c r="C105" s="146" t="s">
        <v>47</v>
      </c>
      <c r="D105" s="146" t="s">
        <v>47</v>
      </c>
      <c r="E105" s="146" t="s">
        <v>47</v>
      </c>
      <c r="F105" s="146" t="s">
        <v>47</v>
      </c>
      <c r="G105" s="146" t="s">
        <v>47</v>
      </c>
      <c r="H105" s="146" t="s">
        <v>47</v>
      </c>
      <c r="I105" s="146" t="s">
        <v>47</v>
      </c>
      <c r="J105" s="115" t="s">
        <v>47</v>
      </c>
      <c r="K105" s="115" t="s">
        <v>47</v>
      </c>
      <c r="L105" s="115" t="s">
        <v>47</v>
      </c>
      <c r="M105" s="115" t="s">
        <v>47</v>
      </c>
      <c r="N105" s="115" t="s">
        <v>47</v>
      </c>
      <c r="O105" s="115" t="s">
        <v>47</v>
      </c>
      <c r="P105" s="115" t="s">
        <v>47</v>
      </c>
      <c r="Q105" s="115" t="s">
        <v>47</v>
      </c>
      <c r="R105" s="115" t="s">
        <v>47</v>
      </c>
      <c r="S105" s="115" t="str">
        <f>S$5</f>
        <v>1Q17</v>
      </c>
      <c r="T105" s="115" t="str">
        <f t="shared" ref="T105:AX105" si="154">T$5</f>
        <v>2Q17</v>
      </c>
      <c r="U105" s="115" t="str">
        <f t="shared" si="154"/>
        <v>3Q17</v>
      </c>
      <c r="V105" s="115" t="str">
        <f t="shared" si="154"/>
        <v>4Q17</v>
      </c>
      <c r="W105" s="115" t="str">
        <f t="shared" si="154"/>
        <v>1Q18</v>
      </c>
      <c r="X105" s="115" t="str">
        <f t="shared" si="154"/>
        <v>2Q18</v>
      </c>
      <c r="Y105" s="115" t="str">
        <f t="shared" si="154"/>
        <v>3Q18</v>
      </c>
      <c r="Z105" s="115" t="str">
        <f t="shared" si="154"/>
        <v>4Q18</v>
      </c>
      <c r="AA105" s="115" t="str">
        <f t="shared" si="154"/>
        <v>1Q19</v>
      </c>
      <c r="AB105" s="115" t="str">
        <f t="shared" si="154"/>
        <v>2Q19</v>
      </c>
      <c r="AC105" s="115" t="str">
        <f t="shared" si="154"/>
        <v>3Q19</v>
      </c>
      <c r="AD105" s="115" t="str">
        <f t="shared" si="154"/>
        <v>4Q19</v>
      </c>
      <c r="AE105" s="115" t="str">
        <f t="shared" si="154"/>
        <v>1Q20</v>
      </c>
      <c r="AF105" s="115" t="str">
        <f t="shared" si="154"/>
        <v>2Q20</v>
      </c>
      <c r="AG105" s="115" t="str">
        <f t="shared" si="154"/>
        <v>3Q20</v>
      </c>
      <c r="AH105" s="115" t="str">
        <f t="shared" si="154"/>
        <v>4Q20</v>
      </c>
      <c r="AI105" s="115" t="str">
        <f t="shared" si="154"/>
        <v>1Q21</v>
      </c>
      <c r="AJ105" s="115" t="str">
        <f t="shared" si="154"/>
        <v>2Q21</v>
      </c>
      <c r="AK105" s="115" t="str">
        <f t="shared" si="154"/>
        <v>3Q21</v>
      </c>
      <c r="AL105" s="115" t="str">
        <f t="shared" si="154"/>
        <v>4Q21</v>
      </c>
      <c r="AM105" s="115" t="str">
        <f t="shared" si="154"/>
        <v>1Q22</v>
      </c>
      <c r="AN105" s="115" t="str">
        <f t="shared" si="154"/>
        <v>2Q22</v>
      </c>
      <c r="AO105" s="115" t="str">
        <f t="shared" si="154"/>
        <v>3Q22</v>
      </c>
      <c r="AP105" s="115" t="str">
        <f t="shared" si="154"/>
        <v>4Q22</v>
      </c>
      <c r="AQ105" s="115" t="str">
        <f t="shared" si="154"/>
        <v>1Q23</v>
      </c>
      <c r="AR105" s="115" t="str">
        <f t="shared" si="154"/>
        <v>2Q23</v>
      </c>
      <c r="AS105" s="115" t="str">
        <f t="shared" si="154"/>
        <v>3Q23</v>
      </c>
      <c r="AT105" s="115" t="str">
        <f t="shared" si="154"/>
        <v>4Q23</v>
      </c>
      <c r="AU105" s="115" t="str">
        <f t="shared" si="154"/>
        <v>1Q24</v>
      </c>
      <c r="AV105" s="115" t="str">
        <f t="shared" si="154"/>
        <v>2Q24</v>
      </c>
      <c r="AW105" s="115" t="str">
        <f t="shared" si="154"/>
        <v>3Q24</v>
      </c>
      <c r="AX105" s="115" t="str">
        <f t="shared" si="154"/>
        <v>4Q24</v>
      </c>
    </row>
    <row r="106" spans="2:50" ht="25.5" x14ac:dyDescent="0.25">
      <c r="B106" s="127" t="s">
        <v>701</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55">+S82-S94</f>
        <v>9992</v>
      </c>
      <c r="T106" s="120">
        <f t="shared" si="155"/>
        <v>8605.1046200000001</v>
      </c>
      <c r="U106" s="120">
        <f t="shared" si="155"/>
        <v>9289.4146200000032</v>
      </c>
      <c r="V106" s="120">
        <f t="shared" si="155"/>
        <v>7733.9913500000039</v>
      </c>
      <c r="W106" s="120">
        <f t="shared" si="155"/>
        <v>8057.0000000000073</v>
      </c>
      <c r="X106" s="120">
        <f t="shared" si="155"/>
        <v>10867.000000000007</v>
      </c>
      <c r="Y106" s="120">
        <f t="shared" si="155"/>
        <v>11060.000000000007</v>
      </c>
      <c r="Z106" s="120">
        <f t="shared" si="155"/>
        <v>10778.000000000007</v>
      </c>
      <c r="AA106" s="120">
        <f t="shared" si="155"/>
        <v>10025.000000000007</v>
      </c>
      <c r="AB106" s="120">
        <f t="shared" si="155"/>
        <v>9502.0000000000073</v>
      </c>
      <c r="AC106" s="120">
        <f t="shared" si="155"/>
        <v>10328.000000000007</v>
      </c>
      <c r="AD106" s="120">
        <f t="shared" si="155"/>
        <v>4563.0000000000073</v>
      </c>
      <c r="AE106" s="120">
        <f t="shared" si="155"/>
        <v>4660.0000000000073</v>
      </c>
      <c r="AF106" s="120">
        <f>+AF82-AF94</f>
        <v>4262.0000000000073</v>
      </c>
      <c r="AG106" s="120">
        <f>+AG82-AG94</f>
        <v>3944.0000000000073</v>
      </c>
      <c r="AH106" s="120">
        <f t="shared" ref="AH106:AN106" si="156">+AH82-AH94</f>
        <v>3923.0000000000073</v>
      </c>
      <c r="AI106" s="120">
        <f t="shared" si="156"/>
        <v>3727.0000000000073</v>
      </c>
      <c r="AJ106" s="120">
        <f t="shared" si="156"/>
        <v>3475.0000000000073</v>
      </c>
      <c r="AK106" s="120">
        <f t="shared" si="156"/>
        <v>3301.0000000000073</v>
      </c>
      <c r="AL106" s="120">
        <f t="shared" si="156"/>
        <v>3166.0000000000073</v>
      </c>
      <c r="AM106" s="120">
        <f>+AM82-AM94</f>
        <v>3028.0000000000073</v>
      </c>
      <c r="AN106" s="120">
        <f t="shared" si="156"/>
        <v>3644.0000000000073</v>
      </c>
      <c r="AO106" s="120">
        <f t="shared" ref="AO106:AU107" si="157">+AO82-AO94</f>
        <v>3755.0000000000073</v>
      </c>
      <c r="AP106" s="120">
        <f t="shared" si="157"/>
        <v>3757.0000000000073</v>
      </c>
      <c r="AQ106" s="120">
        <f t="shared" si="157"/>
        <v>3755.0000000000073</v>
      </c>
      <c r="AR106" s="120">
        <f t="shared" si="157"/>
        <v>3802.0000000000073</v>
      </c>
      <c r="AS106" s="120">
        <f t="shared" si="157"/>
        <v>2491.0000000000073</v>
      </c>
      <c r="AT106" s="120">
        <f t="shared" si="157"/>
        <v>2463.0000000000073</v>
      </c>
      <c r="AU106" s="120">
        <f t="shared" si="157"/>
        <v>3111.0000000000073</v>
      </c>
      <c r="AV106" s="120">
        <f t="shared" ref="AV106" si="158">+AV82-AV94</f>
        <v>3330.0000000000073</v>
      </c>
      <c r="AW106" s="120">
        <f>+AW82-AW94</f>
        <v>2872.0000000000073</v>
      </c>
      <c r="AX106" s="120">
        <f>+AX82-AX94</f>
        <v>2890.0000000000073</v>
      </c>
    </row>
    <row r="107" spans="2:50" x14ac:dyDescent="0.25">
      <c r="B107" s="130" t="s">
        <v>702</v>
      </c>
      <c r="C107" s="131">
        <v>0</v>
      </c>
      <c r="D107" s="131">
        <v>0</v>
      </c>
      <c r="E107" s="131">
        <v>0</v>
      </c>
      <c r="F107" s="131">
        <v>0</v>
      </c>
      <c r="G107" s="131">
        <v>0</v>
      </c>
      <c r="H107" s="131">
        <v>0</v>
      </c>
      <c r="I107" s="131">
        <v>0</v>
      </c>
      <c r="J107" s="118">
        <v>0</v>
      </c>
      <c r="K107" s="118">
        <v>0</v>
      </c>
      <c r="L107" s="118">
        <v>0</v>
      </c>
      <c r="M107" s="118">
        <v>0</v>
      </c>
      <c r="N107" s="118">
        <v>0</v>
      </c>
      <c r="O107" s="118">
        <v>0</v>
      </c>
      <c r="P107" s="118">
        <v>0</v>
      </c>
      <c r="Q107" s="118">
        <v>0</v>
      </c>
      <c r="R107" s="118">
        <v>0</v>
      </c>
      <c r="S107" s="118">
        <f t="shared" ref="S107:AB107" si="159">+S83-S95</f>
        <v>879</v>
      </c>
      <c r="T107" s="118">
        <f t="shared" si="159"/>
        <v>2904.5887599999987</v>
      </c>
      <c r="U107" s="118">
        <f t="shared" si="159"/>
        <v>419.41123999999991</v>
      </c>
      <c r="V107" s="118">
        <f t="shared" si="159"/>
        <v>3029</v>
      </c>
      <c r="W107" s="118">
        <f t="shared" si="159"/>
        <v>4705</v>
      </c>
      <c r="X107" s="118">
        <f t="shared" si="159"/>
        <v>870</v>
      </c>
      <c r="Y107" s="118">
        <f t="shared" si="159"/>
        <v>1405</v>
      </c>
      <c r="Z107" s="118">
        <f t="shared" si="159"/>
        <v>957</v>
      </c>
      <c r="AA107" s="118">
        <f t="shared" si="159"/>
        <v>309</v>
      </c>
      <c r="AB107" s="118">
        <f t="shared" si="159"/>
        <v>1174</v>
      </c>
      <c r="AC107" s="118">
        <v>660</v>
      </c>
      <c r="AD107" s="118">
        <f>+AD83-AD95</f>
        <v>383</v>
      </c>
      <c r="AE107" s="118">
        <f>+AE83-AE95</f>
        <v>157</v>
      </c>
      <c r="AF107" s="118">
        <v>31</v>
      </c>
      <c r="AG107" s="118">
        <f>+AG83-AG95</f>
        <v>298</v>
      </c>
      <c r="AH107" s="118">
        <f t="shared" ref="AH107:AN107" si="160">+AH83-AH95</f>
        <v>-339</v>
      </c>
      <c r="AI107" s="118">
        <f t="shared" si="160"/>
        <v>54</v>
      </c>
      <c r="AJ107" s="118">
        <f t="shared" si="160"/>
        <v>115</v>
      </c>
      <c r="AK107" s="118">
        <f t="shared" si="160"/>
        <v>5</v>
      </c>
      <c r="AL107" s="118">
        <f t="shared" si="160"/>
        <v>371</v>
      </c>
      <c r="AM107" s="118">
        <f>+AM83-AM95</f>
        <v>26</v>
      </c>
      <c r="AN107" s="118">
        <f t="shared" si="160"/>
        <v>165</v>
      </c>
      <c r="AO107" s="118">
        <f t="shared" si="157"/>
        <v>26</v>
      </c>
      <c r="AP107" s="118">
        <f t="shared" si="157"/>
        <v>189</v>
      </c>
      <c r="AQ107" s="118">
        <f t="shared" si="157"/>
        <v>35</v>
      </c>
      <c r="AR107" s="118">
        <f t="shared" si="157"/>
        <v>-362</v>
      </c>
      <c r="AS107" s="118">
        <f t="shared" si="157"/>
        <v>47</v>
      </c>
      <c r="AT107" s="118">
        <f t="shared" si="157"/>
        <v>609</v>
      </c>
      <c r="AU107" s="118">
        <f t="shared" si="157"/>
        <v>234</v>
      </c>
      <c r="AV107" s="118">
        <f t="shared" ref="AV107" si="161">+AV83-AV95</f>
        <v>49</v>
      </c>
      <c r="AW107" s="118">
        <f>+AW83-AW95</f>
        <v>121</v>
      </c>
      <c r="AX107" s="118">
        <f>+AX83-AX95</f>
        <v>240</v>
      </c>
    </row>
    <row r="108" spans="2:50" x14ac:dyDescent="0.25">
      <c r="B108" s="130" t="s">
        <v>703</v>
      </c>
      <c r="C108" s="131">
        <v>0</v>
      </c>
      <c r="D108" s="131">
        <v>0</v>
      </c>
      <c r="E108" s="131">
        <v>0</v>
      </c>
      <c r="F108" s="131">
        <v>0</v>
      </c>
      <c r="G108" s="131">
        <v>0</v>
      </c>
      <c r="H108" s="131">
        <v>0</v>
      </c>
      <c r="I108" s="131">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62">+Z85-Z97</f>
        <v>0</v>
      </c>
      <c r="AA108" s="118">
        <f t="shared" si="16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63">+AN85-AN97</f>
        <v>0</v>
      </c>
      <c r="AO108" s="118">
        <f t="shared" si="163"/>
        <v>0</v>
      </c>
      <c r="AP108" s="118">
        <f t="shared" si="163"/>
        <v>0</v>
      </c>
      <c r="AQ108" s="118">
        <f t="shared" ref="AQ108:AU111" si="164">+AQ85-AQ97</f>
        <v>0</v>
      </c>
      <c r="AR108" s="118">
        <f t="shared" si="164"/>
        <v>0</v>
      </c>
      <c r="AS108" s="118">
        <f t="shared" si="164"/>
        <v>0</v>
      </c>
      <c r="AT108" s="118">
        <f t="shared" si="164"/>
        <v>0</v>
      </c>
      <c r="AU108" s="118">
        <f t="shared" si="164"/>
        <v>0</v>
      </c>
      <c r="AV108" s="118">
        <f t="shared" ref="AV108" si="165">+AV85-AV97</f>
        <v>0</v>
      </c>
      <c r="AW108" s="118">
        <f t="shared" ref="AW108:AX111" si="166">+AW85-AW97</f>
        <v>0</v>
      </c>
      <c r="AX108" s="118">
        <f t="shared" si="166"/>
        <v>0</v>
      </c>
    </row>
    <row r="109" spans="2:50" x14ac:dyDescent="0.25">
      <c r="B109" s="130" t="s">
        <v>770</v>
      </c>
      <c r="C109" s="131"/>
      <c r="D109" s="131"/>
      <c r="E109" s="131"/>
      <c r="F109" s="131"/>
      <c r="G109" s="131"/>
      <c r="H109" s="131"/>
      <c r="I109" s="131"/>
      <c r="J109" s="118"/>
      <c r="K109" s="118"/>
      <c r="L109" s="118"/>
      <c r="M109" s="118"/>
      <c r="N109" s="118"/>
      <c r="O109" s="118"/>
      <c r="P109" s="118"/>
      <c r="Q109" s="118"/>
      <c r="R109" s="118"/>
      <c r="S109" s="118">
        <v>0</v>
      </c>
      <c r="T109" s="118">
        <v>0</v>
      </c>
      <c r="U109" s="118">
        <v>0</v>
      </c>
      <c r="V109" s="118">
        <v>0</v>
      </c>
      <c r="W109" s="118">
        <f>+W86-W98</f>
        <v>-1482</v>
      </c>
      <c r="X109" s="118">
        <f t="shared" ref="X109:Y111" si="167">+X86-X98</f>
        <v>0</v>
      </c>
      <c r="Y109" s="118">
        <f t="shared" si="167"/>
        <v>0</v>
      </c>
      <c r="Z109" s="118">
        <f t="shared" si="162"/>
        <v>0</v>
      </c>
      <c r="AA109" s="118">
        <f t="shared" si="16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63"/>
        <v>0</v>
      </c>
      <c r="AO109" s="118">
        <f t="shared" si="163"/>
        <v>0</v>
      </c>
      <c r="AP109" s="118">
        <f t="shared" si="163"/>
        <v>0</v>
      </c>
      <c r="AQ109" s="118">
        <f t="shared" si="164"/>
        <v>0</v>
      </c>
      <c r="AR109" s="118">
        <f t="shared" si="164"/>
        <v>0</v>
      </c>
      <c r="AS109" s="118">
        <f t="shared" si="164"/>
        <v>0</v>
      </c>
      <c r="AT109" s="118">
        <f t="shared" si="164"/>
        <v>0</v>
      </c>
      <c r="AU109" s="118">
        <f t="shared" si="164"/>
        <v>0</v>
      </c>
      <c r="AV109" s="118">
        <f t="shared" ref="AV109" si="168">+AV86-AV98</f>
        <v>0</v>
      </c>
      <c r="AW109" s="118">
        <f t="shared" si="166"/>
        <v>0</v>
      </c>
      <c r="AX109" s="118">
        <f t="shared" si="166"/>
        <v>0</v>
      </c>
    </row>
    <row r="110" spans="2:50" x14ac:dyDescent="0.25">
      <c r="B110" s="130" t="s">
        <v>743</v>
      </c>
      <c r="C110" s="131">
        <f t="shared" ref="C110:V110" si="169">+C87-C99</f>
        <v>0</v>
      </c>
      <c r="D110" s="131">
        <f t="shared" si="169"/>
        <v>0</v>
      </c>
      <c r="E110" s="131">
        <f t="shared" si="169"/>
        <v>0</v>
      </c>
      <c r="F110" s="131">
        <f t="shared" si="169"/>
        <v>0</v>
      </c>
      <c r="G110" s="131">
        <f t="shared" si="169"/>
        <v>0</v>
      </c>
      <c r="H110" s="131">
        <f t="shared" si="169"/>
        <v>0</v>
      </c>
      <c r="I110" s="131">
        <f t="shared" si="169"/>
        <v>0</v>
      </c>
      <c r="J110" s="118">
        <f t="shared" si="169"/>
        <v>0</v>
      </c>
      <c r="K110" s="118">
        <f t="shared" si="169"/>
        <v>0</v>
      </c>
      <c r="L110" s="118">
        <f t="shared" si="169"/>
        <v>0</v>
      </c>
      <c r="M110" s="118">
        <f t="shared" si="169"/>
        <v>0</v>
      </c>
      <c r="N110" s="118">
        <f t="shared" si="169"/>
        <v>0</v>
      </c>
      <c r="O110" s="118">
        <f t="shared" si="169"/>
        <v>0</v>
      </c>
      <c r="P110" s="118">
        <f t="shared" si="169"/>
        <v>0</v>
      </c>
      <c r="Q110" s="118">
        <f t="shared" si="169"/>
        <v>0</v>
      </c>
      <c r="R110" s="118">
        <f t="shared" si="169"/>
        <v>0</v>
      </c>
      <c r="S110" s="118">
        <f t="shared" si="169"/>
        <v>0</v>
      </c>
      <c r="T110" s="118">
        <f t="shared" si="169"/>
        <v>0</v>
      </c>
      <c r="U110" s="118">
        <f t="shared" si="169"/>
        <v>0</v>
      </c>
      <c r="V110" s="118">
        <f t="shared" si="169"/>
        <v>-183</v>
      </c>
      <c r="W110" s="118">
        <f>+W87-W99</f>
        <v>182</v>
      </c>
      <c r="X110" s="118">
        <f t="shared" si="167"/>
        <v>-216</v>
      </c>
      <c r="Y110" s="118">
        <f t="shared" si="167"/>
        <v>-186</v>
      </c>
      <c r="Z110" s="118">
        <f t="shared" si="162"/>
        <v>-612</v>
      </c>
      <c r="AA110" s="118">
        <f t="shared" si="162"/>
        <v>-313</v>
      </c>
      <c r="AB110" s="118">
        <f>+AB87-AB99</f>
        <v>286</v>
      </c>
      <c r="AC110" s="118">
        <v>-258</v>
      </c>
      <c r="AD110" s="118">
        <f>+AD87-AD99</f>
        <v>285</v>
      </c>
      <c r="AE110" s="118">
        <f>+AE87-AE99</f>
        <v>-55</v>
      </c>
      <c r="AF110" s="118">
        <v>55</v>
      </c>
      <c r="AG110" s="118">
        <f>+AG87-AG99</f>
        <v>-144</v>
      </c>
      <c r="AH110" s="118">
        <f t="shared" ref="AH110:AN110" si="170">+AH87-AH99</f>
        <v>42</v>
      </c>
      <c r="AI110" s="118">
        <f t="shared" si="170"/>
        <v>0</v>
      </c>
      <c r="AJ110" s="118">
        <f t="shared" si="170"/>
        <v>0</v>
      </c>
      <c r="AK110" s="118">
        <f t="shared" si="170"/>
        <v>0</v>
      </c>
      <c r="AL110" s="118">
        <f t="shared" si="170"/>
        <v>-13</v>
      </c>
      <c r="AM110" s="118">
        <f>+AM87-AM99</f>
        <v>0</v>
      </c>
      <c r="AN110" s="118">
        <f t="shared" si="170"/>
        <v>0</v>
      </c>
      <c r="AO110" s="118">
        <f>+AO87-AO99</f>
        <v>0</v>
      </c>
      <c r="AP110" s="118">
        <f>+AP87-AP99</f>
        <v>-105</v>
      </c>
      <c r="AQ110" s="118">
        <f t="shared" si="164"/>
        <v>0</v>
      </c>
      <c r="AR110" s="118">
        <f t="shared" si="164"/>
        <v>-201</v>
      </c>
      <c r="AS110" s="118">
        <f t="shared" si="164"/>
        <v>201</v>
      </c>
      <c r="AT110" s="118">
        <f t="shared" si="164"/>
        <v>0</v>
      </c>
      <c r="AU110" s="118">
        <f t="shared" si="164"/>
        <v>-28</v>
      </c>
      <c r="AV110" s="118">
        <f t="shared" ref="AV110" si="171">+AV87-AV99</f>
        <v>28</v>
      </c>
      <c r="AW110" s="118">
        <f t="shared" si="166"/>
        <v>0</v>
      </c>
      <c r="AX110" s="118">
        <f t="shared" si="166"/>
        <v>0</v>
      </c>
    </row>
    <row r="111" spans="2:50" x14ac:dyDescent="0.25">
      <c r="B111" s="130" t="s">
        <v>704</v>
      </c>
      <c r="C111" s="131">
        <v>0</v>
      </c>
      <c r="D111" s="131">
        <v>0</v>
      </c>
      <c r="E111" s="131">
        <v>0</v>
      </c>
      <c r="F111" s="131">
        <v>0</v>
      </c>
      <c r="G111" s="131">
        <v>0</v>
      </c>
      <c r="H111" s="131">
        <v>0</v>
      </c>
      <c r="I111" s="131">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67"/>
        <v>-419</v>
      </c>
      <c r="Y111" s="118">
        <f t="shared" si="167"/>
        <v>-357</v>
      </c>
      <c r="Z111" s="118">
        <f t="shared" si="162"/>
        <v>-458</v>
      </c>
      <c r="AA111" s="118">
        <f t="shared" si="162"/>
        <v>-283</v>
      </c>
      <c r="AB111" s="118">
        <f>+AB88-AB100</f>
        <v>-190</v>
      </c>
      <c r="AC111" s="118">
        <v>211</v>
      </c>
      <c r="AD111" s="118">
        <f>+AD88-AD100</f>
        <v>0</v>
      </c>
      <c r="AE111" s="118">
        <f>+AE88-AE100</f>
        <v>-282</v>
      </c>
      <c r="AF111" s="118">
        <v>-303</v>
      </c>
      <c r="AG111" s="118">
        <f t="shared" ref="AG111:AN111" si="172">+AG88-AG100</f>
        <v>-48</v>
      </c>
      <c r="AH111" s="118">
        <f t="shared" si="172"/>
        <v>612</v>
      </c>
      <c r="AI111" s="118">
        <f t="shared" si="172"/>
        <v>-66</v>
      </c>
      <c r="AJ111" s="118">
        <f t="shared" si="172"/>
        <v>-148</v>
      </c>
      <c r="AK111" s="118">
        <f t="shared" si="172"/>
        <v>-60</v>
      </c>
      <c r="AL111" s="118">
        <f t="shared" si="172"/>
        <v>-127</v>
      </c>
      <c r="AM111" s="118">
        <f>+AM88-AM100</f>
        <v>-38</v>
      </c>
      <c r="AN111" s="118">
        <f t="shared" si="172"/>
        <v>3</v>
      </c>
      <c r="AO111" s="118">
        <f>+AO88-AO100</f>
        <v>-466</v>
      </c>
      <c r="AP111" s="118">
        <f>+AP88-AP100</f>
        <v>-42</v>
      </c>
      <c r="AQ111" s="118">
        <f t="shared" si="164"/>
        <v>-2</v>
      </c>
      <c r="AR111" s="118">
        <f t="shared" si="164"/>
        <v>-65</v>
      </c>
      <c r="AS111" s="118">
        <f t="shared" si="164"/>
        <v>-31</v>
      </c>
      <c r="AT111" s="118">
        <f t="shared" si="164"/>
        <v>-9</v>
      </c>
      <c r="AU111" s="118">
        <f t="shared" si="164"/>
        <v>0</v>
      </c>
      <c r="AV111" s="118">
        <f t="shared" ref="AV111" si="173">+AV88-AV100</f>
        <v>-37</v>
      </c>
      <c r="AW111" s="118">
        <f t="shared" si="166"/>
        <v>-90</v>
      </c>
      <c r="AX111" s="118">
        <f t="shared" si="166"/>
        <v>-132</v>
      </c>
    </row>
    <row r="112" spans="2:50" x14ac:dyDescent="0.25">
      <c r="B112" s="130" t="s">
        <v>705</v>
      </c>
      <c r="C112" s="131">
        <v>0</v>
      </c>
      <c r="D112" s="131">
        <v>0</v>
      </c>
      <c r="E112" s="131">
        <v>0</v>
      </c>
      <c r="F112" s="131">
        <v>0</v>
      </c>
      <c r="G112" s="131">
        <v>0</v>
      </c>
      <c r="H112" s="131">
        <v>0</v>
      </c>
      <c r="I112" s="131">
        <v>0</v>
      </c>
      <c r="J112" s="118">
        <v>0</v>
      </c>
      <c r="K112" s="118">
        <v>0</v>
      </c>
      <c r="L112" s="118">
        <v>0</v>
      </c>
      <c r="M112" s="118">
        <v>0</v>
      </c>
      <c r="N112" s="118">
        <v>0</v>
      </c>
      <c r="O112" s="118">
        <v>0</v>
      </c>
      <c r="P112" s="118">
        <v>0</v>
      </c>
      <c r="Q112" s="118">
        <v>0</v>
      </c>
      <c r="R112" s="118">
        <v>0</v>
      </c>
      <c r="S112" s="118">
        <f t="shared" ref="S112:AB112" si="174">+S90-S102</f>
        <v>-439.29037999999991</v>
      </c>
      <c r="T112" s="118">
        <f t="shared" si="174"/>
        <v>-2895</v>
      </c>
      <c r="U112" s="118">
        <f t="shared" si="174"/>
        <v>1705</v>
      </c>
      <c r="V112" s="118">
        <f t="shared" si="174"/>
        <v>-819.70962000000009</v>
      </c>
      <c r="W112" s="118">
        <f t="shared" si="174"/>
        <v>-326</v>
      </c>
      <c r="X112" s="118">
        <f t="shared" si="174"/>
        <v>-42</v>
      </c>
      <c r="Y112" s="118">
        <f t="shared" si="174"/>
        <v>-1144</v>
      </c>
      <c r="Z112" s="118">
        <f t="shared" si="174"/>
        <v>-640</v>
      </c>
      <c r="AA112" s="118">
        <f t="shared" si="174"/>
        <v>-236</v>
      </c>
      <c r="AB112" s="118">
        <f t="shared" si="174"/>
        <v>-444</v>
      </c>
      <c r="AC112" s="261">
        <v>-6378</v>
      </c>
      <c r="AD112" s="118">
        <f>+AD90-AD102</f>
        <v>-571</v>
      </c>
      <c r="AE112" s="118">
        <f>+AE90-AE102</f>
        <v>-218</v>
      </c>
      <c r="AF112" s="118">
        <v>-101</v>
      </c>
      <c r="AG112" s="118">
        <f t="shared" ref="AG112:AN112" si="175">+AG90-AG102</f>
        <v>-127</v>
      </c>
      <c r="AH112" s="118">
        <f t="shared" si="175"/>
        <v>-511</v>
      </c>
      <c r="AI112" s="118">
        <f t="shared" si="175"/>
        <v>-240</v>
      </c>
      <c r="AJ112" s="118">
        <f t="shared" si="175"/>
        <v>-141</v>
      </c>
      <c r="AK112" s="118">
        <f t="shared" si="175"/>
        <v>-80</v>
      </c>
      <c r="AL112" s="118">
        <f t="shared" si="175"/>
        <v>-369</v>
      </c>
      <c r="AM112" s="118">
        <f>+AM90-AM102</f>
        <v>-24</v>
      </c>
      <c r="AN112" s="118">
        <f t="shared" si="175"/>
        <v>-86</v>
      </c>
      <c r="AO112" s="118">
        <f t="shared" ref="AO112:AU112" si="176">+AO90-AO102</f>
        <v>-37</v>
      </c>
      <c r="AP112" s="118">
        <f t="shared" si="176"/>
        <v>-103</v>
      </c>
      <c r="AQ112" s="118">
        <f t="shared" si="176"/>
        <v>-13</v>
      </c>
      <c r="AR112" s="118">
        <f t="shared" si="176"/>
        <v>-708</v>
      </c>
      <c r="AS112" s="118">
        <f t="shared" si="176"/>
        <v>-274</v>
      </c>
      <c r="AT112" s="118">
        <f t="shared" si="176"/>
        <v>25</v>
      </c>
      <c r="AU112" s="118">
        <f t="shared" si="176"/>
        <v>-8</v>
      </c>
      <c r="AV112" s="118">
        <f t="shared" ref="AV112" si="177">+AV90-AV102</f>
        <v>-31</v>
      </c>
      <c r="AW112" s="118">
        <f>+AW90-AW102</f>
        <v>-38</v>
      </c>
      <c r="AX112" s="118">
        <f>+AX90-AX102</f>
        <v>-8</v>
      </c>
    </row>
    <row r="113" spans="2:50" x14ac:dyDescent="0.25">
      <c r="B113" s="127" t="s">
        <v>706</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78">+S91-S103</f>
        <v>8605.1046200000001</v>
      </c>
      <c r="T113" s="120">
        <f t="shared" si="178"/>
        <v>9289.4146200000032</v>
      </c>
      <c r="U113" s="120">
        <f t="shared" si="178"/>
        <v>7733.9913500000039</v>
      </c>
      <c r="V113" s="120">
        <f t="shared" si="178"/>
        <v>8057.0000000000073</v>
      </c>
      <c r="W113" s="120">
        <f t="shared" si="178"/>
        <v>10867.000000000007</v>
      </c>
      <c r="X113" s="120">
        <f t="shared" si="178"/>
        <v>11060.000000000007</v>
      </c>
      <c r="Y113" s="120">
        <f t="shared" si="178"/>
        <v>10778.000000000007</v>
      </c>
      <c r="Z113" s="120">
        <f t="shared" si="178"/>
        <v>10025.000000000007</v>
      </c>
      <c r="AA113" s="120">
        <f t="shared" si="178"/>
        <v>9502.0000000000073</v>
      </c>
      <c r="AB113" s="120">
        <f t="shared" si="178"/>
        <v>10328.000000000007</v>
      </c>
      <c r="AC113" s="120">
        <f t="shared" si="178"/>
        <v>4563.0000000000073</v>
      </c>
      <c r="AD113" s="120">
        <f t="shared" si="178"/>
        <v>4660.0000000000073</v>
      </c>
      <c r="AE113" s="120">
        <f t="shared" ref="AE113:AL113" si="179">+AE91-AE103</f>
        <v>4262.0000000000073</v>
      </c>
      <c r="AF113" s="120">
        <f t="shared" si="179"/>
        <v>3944.0000000000073</v>
      </c>
      <c r="AG113" s="120">
        <f t="shared" si="179"/>
        <v>3923.0000000000073</v>
      </c>
      <c r="AH113" s="120">
        <f t="shared" si="179"/>
        <v>3727.0000000000073</v>
      </c>
      <c r="AI113" s="120">
        <f t="shared" si="179"/>
        <v>3475.0000000000073</v>
      </c>
      <c r="AJ113" s="120">
        <f t="shared" si="179"/>
        <v>3301.0000000000073</v>
      </c>
      <c r="AK113" s="120">
        <f t="shared" si="179"/>
        <v>3166.0000000000073</v>
      </c>
      <c r="AL113" s="120">
        <f t="shared" si="179"/>
        <v>3028.0000000000073</v>
      </c>
      <c r="AM113" s="120">
        <f>+AM91-AM103</f>
        <v>3644.0000000000073</v>
      </c>
      <c r="AN113" s="120">
        <f t="shared" ref="AN113:AS113" si="180">+AN91-AN103</f>
        <v>3755.0000000000073</v>
      </c>
      <c r="AO113" s="120">
        <f t="shared" si="180"/>
        <v>3757.0000000000073</v>
      </c>
      <c r="AP113" s="120">
        <f t="shared" si="180"/>
        <v>3755.0000000000073</v>
      </c>
      <c r="AQ113" s="120">
        <f t="shared" si="180"/>
        <v>3802.0000000000073</v>
      </c>
      <c r="AR113" s="120">
        <f t="shared" si="180"/>
        <v>2491.0000000000073</v>
      </c>
      <c r="AS113" s="120">
        <f t="shared" si="180"/>
        <v>2463.0000000000073</v>
      </c>
      <c r="AT113" s="120">
        <f>+AT91-AT103</f>
        <v>3111.0000000000073</v>
      </c>
      <c r="AU113" s="120">
        <f>+AU91-AU103</f>
        <v>3330.0000000000073</v>
      </c>
      <c r="AV113" s="120">
        <f>+AV91-AV103</f>
        <v>2872.0000000000073</v>
      </c>
      <c r="AW113" s="120">
        <f>+AW91-AW103</f>
        <v>2890.0000000000073</v>
      </c>
      <c r="AX113" s="120">
        <f>+AX91-AX103</f>
        <v>3018.0000000000073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X85:AX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ilha4">
    <pageSetUpPr autoPageBreaks="0"/>
  </sheetPr>
  <dimension ref="A1:FG160"/>
  <sheetViews>
    <sheetView showGridLines="0" zoomScaleNormal="100" workbookViewId="0">
      <pane xSplit="2" topLeftCell="AG1" activePane="topRight" state="frozen"/>
      <selection activeCell="Z31" sqref="Z31"/>
      <selection pane="topRight" activeCell="AP5" sqref="AP5"/>
    </sheetView>
  </sheetViews>
  <sheetFormatPr defaultColWidth="9.28515625" defaultRowHeight="14.25" outlineLevelRow="1" x14ac:dyDescent="0.2"/>
  <cols>
    <col min="1" max="1" width="1.28515625" customWidth="1"/>
    <col min="2" max="2" width="57.7109375" style="25" bestFit="1" customWidth="1"/>
    <col min="3" max="12" width="10.7109375" style="25" customWidth="1"/>
    <col min="13" max="16" width="12.28515625" style="25" bestFit="1" customWidth="1"/>
    <col min="17" max="17" width="12.28515625" style="25" customWidth="1"/>
    <col min="18" max="18" width="12.28515625" style="25" bestFit="1" customWidth="1"/>
    <col min="19" max="21" width="12.28515625" style="25" customWidth="1"/>
    <col min="22" max="29" width="12.28515625" style="25" bestFit="1" customWidth="1"/>
    <col min="30" max="31" width="12.28515625" style="25" customWidth="1"/>
    <col min="32" max="39" width="12.28515625" style="25" bestFit="1" customWidth="1"/>
    <col min="40" max="41" width="12.28515625" style="25" customWidth="1"/>
    <col min="42" max="42" width="12.28515625" style="25" bestFit="1" customWidth="1"/>
    <col min="43" max="86" width="10.5703125" style="25" customWidth="1"/>
    <col min="87" max="87" width="5" style="25" customWidth="1"/>
    <col min="88" max="89" width="7" style="25" customWidth="1"/>
    <col min="90" max="90" width="6.42578125" style="25" customWidth="1"/>
    <col min="91" max="91" width="6.5703125" style="25" customWidth="1"/>
    <col min="92" max="92" width="8.28515625" style="25" customWidth="1"/>
    <col min="93" max="93" width="8.42578125" style="25" customWidth="1"/>
    <col min="94" max="94" width="7" style="25" customWidth="1"/>
    <col min="95" max="95" width="6.7109375" style="25" customWidth="1"/>
    <col min="96" max="96" width="7.42578125" style="25" customWidth="1"/>
    <col min="97" max="98" width="6.7109375" style="25" customWidth="1"/>
    <col min="99" max="99" width="7.28515625" style="25" customWidth="1"/>
    <col min="100" max="100" width="8" style="25" customWidth="1"/>
    <col min="101" max="101" width="8.28515625" style="25" customWidth="1"/>
    <col min="102" max="102" width="7.28515625" style="25" customWidth="1"/>
    <col min="103" max="103" width="7.7109375" style="25" customWidth="1"/>
    <col min="104" max="106" width="9.28515625" style="25" customWidth="1"/>
    <col min="107" max="107" width="32.42578125" customWidth="1"/>
    <col min="108" max="109" width="11.7109375" customWidth="1"/>
    <col min="110" max="110" width="8.7109375" customWidth="1"/>
    <col min="111" max="111" width="9" customWidth="1"/>
    <col min="112" max="113" width="8.7109375" customWidth="1"/>
    <col min="114" max="114" width="9.28515625" customWidth="1"/>
    <col min="115" max="115" width="32.42578125" customWidth="1"/>
    <col min="116" max="117" width="11.7109375" customWidth="1"/>
    <col min="118" max="118" width="9.28515625" customWidth="1"/>
    <col min="119" max="119" width="32.42578125" customWidth="1"/>
    <col min="120" max="121" width="11.7109375" customWidth="1"/>
    <col min="122" max="122" width="39.5703125" customWidth="1"/>
    <col min="123" max="123" width="1.7109375" customWidth="1"/>
    <col min="124" max="124" width="10" customWidth="1"/>
    <col min="125" max="125" width="10.5703125" customWidth="1"/>
    <col min="126" max="126" width="1" customWidth="1"/>
    <col min="127" max="128" width="9.7109375" customWidth="1"/>
    <col min="129" max="129" width="1" customWidth="1"/>
    <col min="130" max="131" width="10.5703125" customWidth="1"/>
    <col min="132" max="132" width="2.7109375" customWidth="1"/>
    <col min="133" max="133" width="8.7109375" customWidth="1"/>
    <col min="134" max="134" width="9.28515625" customWidth="1"/>
    <col min="135" max="135" width="1.7109375" customWidth="1"/>
    <col min="136" max="137" width="8.28515625" customWidth="1"/>
    <col min="138" max="138" width="1.28515625" customWidth="1"/>
    <col min="139" max="140" width="8.7109375" customWidth="1"/>
    <col min="141" max="141" width="2.7109375" customWidth="1"/>
    <col min="142" max="142" width="8.7109375" customWidth="1"/>
    <col min="143" max="143" width="9.28515625" customWidth="1"/>
    <col min="144" max="144" width="1.7109375" customWidth="1"/>
    <col min="145" max="146" width="8.28515625" customWidth="1"/>
    <col min="147" max="147" width="1.28515625" customWidth="1"/>
    <col min="148" max="149" width="8.7109375" customWidth="1"/>
    <col min="150" max="150" width="9.28515625" customWidth="1"/>
    <col min="151" max="151" width="11.42578125" customWidth="1"/>
    <col min="152" max="152" width="11" customWidth="1"/>
    <col min="153" max="153" width="12.28515625" customWidth="1"/>
    <col min="154" max="154" width="10.28515625" customWidth="1"/>
    <col min="156" max="156" width="13.28515625" customWidth="1"/>
    <col min="157" max="157" width="14.5703125" customWidth="1"/>
    <col min="158" max="158" width="11.42578125" customWidth="1"/>
    <col min="159" max="159" width="12.42578125" customWidth="1"/>
    <col min="160" max="160" width="11.7109375" customWidth="1"/>
    <col min="161" max="161" width="10.7109375" customWidth="1"/>
    <col min="164" max="16384" width="9.28515625" style="25"/>
  </cols>
  <sheetData>
    <row r="1" spans="1:163" s="556" customFormat="1" ht="7.5" customHeight="1" x14ac:dyDescent="0.2">
      <c r="A1" s="55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row>
    <row r="2" spans="1:163" s="556" customFormat="1" ht="12.75" customHeight="1" x14ac:dyDescent="0.25">
      <c r="A2" s="551"/>
      <c r="D2" s="561"/>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row>
    <row r="3" spans="1:163" ht="12.75" customHeight="1" x14ac:dyDescent="0.2">
      <c r="R3" s="556"/>
      <c r="S3" s="556"/>
      <c r="T3" s="556"/>
      <c r="U3" s="556"/>
      <c r="V3" s="556"/>
      <c r="W3" s="556"/>
      <c r="X3" s="556"/>
      <c r="Y3" s="556"/>
      <c r="Z3" s="556"/>
      <c r="AA3" s="556"/>
      <c r="AB3" s="556"/>
      <c r="AC3" s="556"/>
      <c r="AD3" s="776"/>
      <c r="AE3" s="776"/>
      <c r="AF3" s="776"/>
      <c r="AG3" s="776"/>
      <c r="AH3" s="776"/>
      <c r="AI3" s="776"/>
      <c r="AJ3" s="776"/>
      <c r="AK3" s="776"/>
      <c r="AL3" s="776"/>
      <c r="AM3" s="354"/>
      <c r="AN3" s="354"/>
      <c r="AO3" s="354"/>
      <c r="AP3" s="776"/>
    </row>
    <row r="4" spans="1:163" ht="12.75" customHeight="1" x14ac:dyDescent="0.2"/>
    <row r="5" spans="1:163" ht="14.25" customHeight="1" x14ac:dyDescent="0.2">
      <c r="B5" s="115" t="s">
        <v>391</v>
      </c>
      <c r="C5" s="115" t="s">
        <v>475</v>
      </c>
      <c r="D5" s="115" t="s">
        <v>476</v>
      </c>
      <c r="E5" s="115" t="s">
        <v>477</v>
      </c>
      <c r="F5" s="115" t="s">
        <v>478</v>
      </c>
      <c r="G5" s="115" t="s">
        <v>479</v>
      </c>
      <c r="H5" s="115" t="s">
        <v>371</v>
      </c>
      <c r="I5" s="115" t="s">
        <v>372</v>
      </c>
      <c r="J5" s="115" t="s">
        <v>373</v>
      </c>
      <c r="K5" s="115" t="s">
        <v>374</v>
      </c>
      <c r="L5" s="115" t="s">
        <v>375</v>
      </c>
      <c r="M5" s="115" t="s">
        <v>376</v>
      </c>
      <c r="N5" s="115" t="s">
        <v>694</v>
      </c>
      <c r="O5" s="115" t="s">
        <v>758</v>
      </c>
      <c r="P5" s="115" t="s">
        <v>771</v>
      </c>
      <c r="Q5" s="115" t="s">
        <v>788</v>
      </c>
      <c r="R5" s="115" t="s">
        <v>844</v>
      </c>
      <c r="S5" s="115" t="s">
        <v>862</v>
      </c>
      <c r="T5" s="115" t="s">
        <v>922</v>
      </c>
      <c r="U5" s="115" t="s">
        <v>923</v>
      </c>
      <c r="V5" s="115" t="s">
        <v>924</v>
      </c>
      <c r="W5" s="115" t="s">
        <v>995</v>
      </c>
      <c r="X5" s="115" t="s">
        <v>1027</v>
      </c>
      <c r="Y5" s="115" t="s">
        <v>1028</v>
      </c>
      <c r="Z5" s="115" t="s">
        <v>993</v>
      </c>
      <c r="AA5" s="115" t="s">
        <v>1124</v>
      </c>
      <c r="AB5" s="115" t="s">
        <v>1125</v>
      </c>
      <c r="AC5" s="115" t="s">
        <v>1126</v>
      </c>
      <c r="AD5" s="115" t="s">
        <v>1127</v>
      </c>
      <c r="AE5" s="115" t="s">
        <v>1181</v>
      </c>
      <c r="AF5" s="115" t="s">
        <v>1189</v>
      </c>
      <c r="AG5" s="115" t="s">
        <v>1191</v>
      </c>
      <c r="AH5" s="115" t="s">
        <v>1193</v>
      </c>
      <c r="AI5" s="115" t="s">
        <v>1232</v>
      </c>
      <c r="AJ5" s="115" t="s">
        <v>1245</v>
      </c>
      <c r="AK5" s="115" t="s">
        <v>1247</v>
      </c>
      <c r="AL5" s="115" t="s">
        <v>1249</v>
      </c>
      <c r="AM5" s="115" t="s">
        <v>1306</v>
      </c>
      <c r="AN5" s="115" t="s">
        <v>1316</v>
      </c>
      <c r="AO5" s="115" t="s">
        <v>1317</v>
      </c>
      <c r="AP5" s="115" t="s">
        <v>1318</v>
      </c>
    </row>
    <row r="6" spans="1:163" s="252" customFormat="1" ht="15.75" customHeight="1" x14ac:dyDescent="0.2">
      <c r="A6" s="143"/>
      <c r="B6" s="251" t="s">
        <v>509</v>
      </c>
      <c r="C6" s="122">
        <v>10729</v>
      </c>
      <c r="D6" s="122">
        <v>1695</v>
      </c>
      <c r="E6" s="122">
        <v>8172</v>
      </c>
      <c r="F6" s="122">
        <v>-9420</v>
      </c>
      <c r="G6" s="122">
        <v>-2088</v>
      </c>
      <c r="H6" s="122">
        <v>522</v>
      </c>
      <c r="I6" s="122">
        <v>7019</v>
      </c>
      <c r="J6" s="122">
        <v>21346</v>
      </c>
      <c r="K6" s="122">
        <v>9751</v>
      </c>
      <c r="L6" s="122">
        <v>16290</v>
      </c>
      <c r="M6" s="122">
        <v>24165</v>
      </c>
      <c r="N6" s="122">
        <v>67287</v>
      </c>
      <c r="O6" s="122">
        <v>20229</v>
      </c>
      <c r="P6" s="122">
        <v>35186</v>
      </c>
      <c r="Q6" s="122">
        <v>41037</v>
      </c>
      <c r="R6" s="122">
        <v>47844</v>
      </c>
      <c r="S6" s="122">
        <v>38197</v>
      </c>
      <c r="T6" s="122">
        <v>43438</v>
      </c>
      <c r="U6" s="122">
        <v>131449</v>
      </c>
      <c r="V6" s="122">
        <v>52214</v>
      </c>
      <c r="W6" s="122">
        <v>26137</v>
      </c>
      <c r="X6" s="122">
        <v>-8987</v>
      </c>
      <c r="Y6" s="122">
        <v>41959</v>
      </c>
      <c r="Z6" s="122">
        <v>37943</v>
      </c>
      <c r="AA6" s="122">
        <v>28150</v>
      </c>
      <c r="AB6" s="122">
        <v>32336</v>
      </c>
      <c r="AC6" s="122">
        <v>24630</v>
      </c>
      <c r="AD6" s="122">
        <v>39270</v>
      </c>
      <c r="AE6" s="122">
        <v>24074</v>
      </c>
      <c r="AF6" s="122">
        <v>38628</v>
      </c>
      <c r="AG6" s="122">
        <v>71117</v>
      </c>
      <c r="AH6" s="122">
        <v>74076</v>
      </c>
      <c r="AI6" s="122">
        <v>45356</v>
      </c>
      <c r="AJ6" s="122">
        <v>50439</v>
      </c>
      <c r="AK6" s="122">
        <v>73080</v>
      </c>
      <c r="AL6" s="122">
        <v>66601</v>
      </c>
      <c r="AM6" s="122">
        <v>53124</v>
      </c>
      <c r="AN6" s="122">
        <v>84659</v>
      </c>
      <c r="AO6" s="122">
        <v>120378</v>
      </c>
      <c r="AP6" s="122">
        <v>119307</v>
      </c>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63" ht="15" customHeight="1" x14ac:dyDescent="0.2">
      <c r="B7" s="130" t="s">
        <v>510</v>
      </c>
      <c r="C7" s="253">
        <v>0.34</v>
      </c>
      <c r="D7" s="253">
        <v>0.34</v>
      </c>
      <c r="E7" s="253">
        <v>0.34</v>
      </c>
      <c r="F7" s="253">
        <v>0.34</v>
      </c>
      <c r="G7" s="253">
        <v>0.34</v>
      </c>
      <c r="H7" s="253">
        <v>0.34</v>
      </c>
      <c r="I7" s="253">
        <v>0.34</v>
      </c>
      <c r="J7" s="253">
        <v>0.34</v>
      </c>
      <c r="K7" s="253">
        <v>0.34</v>
      </c>
      <c r="L7" s="253">
        <v>0.34</v>
      </c>
      <c r="M7" s="253">
        <v>0.34</v>
      </c>
      <c r="N7" s="253">
        <v>0.34</v>
      </c>
      <c r="O7" s="253">
        <v>0.34</v>
      </c>
      <c r="P7" s="253">
        <v>0.34</v>
      </c>
      <c r="Q7" s="253">
        <v>0.34</v>
      </c>
      <c r="R7" s="253">
        <v>0.34</v>
      </c>
      <c r="S7" s="253">
        <v>0.34</v>
      </c>
      <c r="T7" s="253">
        <v>0.34</v>
      </c>
      <c r="U7" s="253">
        <v>0.34</v>
      </c>
      <c r="V7" s="253">
        <v>0.34</v>
      </c>
      <c r="W7" s="253">
        <v>0.34</v>
      </c>
      <c r="X7" s="253">
        <v>0.34</v>
      </c>
      <c r="Y7" s="253">
        <v>0.34</v>
      </c>
      <c r="Z7" s="253">
        <v>0.34</v>
      </c>
      <c r="AA7" s="253">
        <v>0.34</v>
      </c>
      <c r="AB7" s="253">
        <v>0.34</v>
      </c>
      <c r="AC7" s="253">
        <v>0.34</v>
      </c>
      <c r="AD7" s="253">
        <v>0.34</v>
      </c>
      <c r="AE7" s="253">
        <v>0.34</v>
      </c>
      <c r="AF7" s="253">
        <v>0.34</v>
      </c>
      <c r="AG7" s="253">
        <v>0.34</v>
      </c>
      <c r="AH7" s="253">
        <v>0.34</v>
      </c>
      <c r="AI7" s="253">
        <v>0.34</v>
      </c>
      <c r="AJ7" s="253">
        <v>0.34</v>
      </c>
      <c r="AK7" s="253">
        <v>0.34</v>
      </c>
      <c r="AL7" s="253">
        <v>0.34</v>
      </c>
      <c r="AM7" s="253">
        <v>0.34</v>
      </c>
      <c r="AN7" s="253">
        <v>0.34</v>
      </c>
      <c r="AO7" s="253">
        <v>0.34</v>
      </c>
      <c r="AP7" s="253">
        <v>0.34</v>
      </c>
    </row>
    <row r="8" spans="1:163" s="252" customFormat="1" ht="15.75" customHeight="1" x14ac:dyDescent="0.2">
      <c r="A8" s="143"/>
      <c r="B8" s="251" t="s">
        <v>511</v>
      </c>
      <c r="C8" s="122">
        <f>+C6*-C7</f>
        <v>-3647.86</v>
      </c>
      <c r="D8" s="122">
        <f t="shared" ref="D8:K8" si="0">+D6*-D7</f>
        <v>-576.30000000000007</v>
      </c>
      <c r="E8" s="122">
        <f t="shared" si="0"/>
        <v>-2778.48</v>
      </c>
      <c r="F8" s="122">
        <f t="shared" si="0"/>
        <v>3202.8</v>
      </c>
      <c r="G8" s="122">
        <f t="shared" si="0"/>
        <v>709.92000000000007</v>
      </c>
      <c r="H8" s="122">
        <f t="shared" si="0"/>
        <v>-177.48000000000002</v>
      </c>
      <c r="I8" s="122">
        <f t="shared" si="0"/>
        <v>-2386.46</v>
      </c>
      <c r="J8" s="122">
        <f t="shared" si="0"/>
        <v>-7257.64</v>
      </c>
      <c r="K8" s="122">
        <f t="shared" si="0"/>
        <v>-3315.34</v>
      </c>
      <c r="L8" s="122">
        <f t="shared" ref="L8:W8" si="1">+L6*-L7</f>
        <v>-5538.6</v>
      </c>
      <c r="M8" s="122">
        <f t="shared" si="1"/>
        <v>-8216.1</v>
      </c>
      <c r="N8" s="122">
        <f t="shared" si="1"/>
        <v>-22877.58</v>
      </c>
      <c r="O8" s="122">
        <f t="shared" si="1"/>
        <v>-6877.8600000000006</v>
      </c>
      <c r="P8" s="122">
        <f t="shared" si="1"/>
        <v>-11963.240000000002</v>
      </c>
      <c r="Q8" s="122">
        <f t="shared" si="1"/>
        <v>-13952.580000000002</v>
      </c>
      <c r="R8" s="122">
        <f t="shared" si="1"/>
        <v>-16266.960000000001</v>
      </c>
      <c r="S8" s="122">
        <f t="shared" si="1"/>
        <v>-12986.980000000001</v>
      </c>
      <c r="T8" s="122">
        <f t="shared" si="1"/>
        <v>-14768.920000000002</v>
      </c>
      <c r="U8" s="122">
        <f t="shared" si="1"/>
        <v>-44692.66</v>
      </c>
      <c r="V8" s="122">
        <f t="shared" si="1"/>
        <v>-17752.760000000002</v>
      </c>
      <c r="W8" s="122">
        <f t="shared" si="1"/>
        <v>-8886.58</v>
      </c>
      <c r="X8" s="122">
        <f t="shared" ref="X8:AC8" si="2">+X6*-X7</f>
        <v>3055.5800000000004</v>
      </c>
      <c r="Y8" s="122">
        <f t="shared" si="2"/>
        <v>-14266.060000000001</v>
      </c>
      <c r="Z8" s="122">
        <f t="shared" si="2"/>
        <v>-12900.62</v>
      </c>
      <c r="AA8" s="122">
        <f t="shared" si="2"/>
        <v>-9571</v>
      </c>
      <c r="AB8" s="122">
        <f t="shared" si="2"/>
        <v>-10994.240000000002</v>
      </c>
      <c r="AC8" s="122">
        <f t="shared" si="2"/>
        <v>-8374.2000000000007</v>
      </c>
      <c r="AD8" s="122">
        <f t="shared" ref="AD8:AI8" si="3">+AD6*-AD7</f>
        <v>-13351.800000000001</v>
      </c>
      <c r="AE8" s="122">
        <f t="shared" si="3"/>
        <v>-8185.1600000000008</v>
      </c>
      <c r="AF8" s="122">
        <f t="shared" si="3"/>
        <v>-13133.52</v>
      </c>
      <c r="AG8" s="122">
        <f t="shared" si="3"/>
        <v>-24179.780000000002</v>
      </c>
      <c r="AH8" s="122">
        <f t="shared" si="3"/>
        <v>-25185.84</v>
      </c>
      <c r="AI8" s="122">
        <f t="shared" si="3"/>
        <v>-15421.04</v>
      </c>
      <c r="AJ8" s="122">
        <f t="shared" ref="AJ8:AP8" si="4">+AJ6*-AJ7</f>
        <v>-17149.260000000002</v>
      </c>
      <c r="AK8" s="122">
        <f t="shared" si="4"/>
        <v>-24847.200000000001</v>
      </c>
      <c r="AL8" s="122">
        <f t="shared" si="4"/>
        <v>-22644.34</v>
      </c>
      <c r="AM8" s="122">
        <f t="shared" si="4"/>
        <v>-18062.16</v>
      </c>
      <c r="AN8" s="122">
        <f t="shared" si="4"/>
        <v>-28784.06</v>
      </c>
      <c r="AO8" s="122">
        <f t="shared" si="4"/>
        <v>-40928.520000000004</v>
      </c>
      <c r="AP8" s="122">
        <f t="shared" si="4"/>
        <v>-40564.380000000005</v>
      </c>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63" s="252" customFormat="1" x14ac:dyDescent="0.2">
      <c r="A9" s="143"/>
      <c r="B9" s="251" t="s">
        <v>512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63" x14ac:dyDescent="0.2">
      <c r="B10" s="193" t="s">
        <v>513</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row>
    <row r="11" spans="1:163" x14ac:dyDescent="0.2">
      <c r="B11" s="193" t="s">
        <v>1295</v>
      </c>
      <c r="C11" s="118">
        <v>0</v>
      </c>
      <c r="D11" s="118">
        <v>0</v>
      </c>
      <c r="E11" s="118">
        <v>0</v>
      </c>
      <c r="F11" s="118">
        <v>0</v>
      </c>
      <c r="G11" s="118">
        <v>0</v>
      </c>
      <c r="H11" s="118">
        <v>0</v>
      </c>
      <c r="I11" s="118">
        <v>0</v>
      </c>
      <c r="J11" s="118">
        <v>0</v>
      </c>
      <c r="K11" s="118">
        <v>0</v>
      </c>
      <c r="L11" s="118">
        <v>0</v>
      </c>
      <c r="M11" s="118">
        <v>0</v>
      </c>
      <c r="N11" s="262">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row>
    <row r="12" spans="1:163" x14ac:dyDescent="0.2">
      <c r="B12" s="193" t="s">
        <v>698</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row>
    <row r="13" spans="1:163" s="249" customFormat="1" x14ac:dyDescent="0.2">
      <c r="A13" s="233"/>
      <c r="B13" s="193" t="s">
        <v>1171</v>
      </c>
      <c r="C13" s="219">
        <v>0</v>
      </c>
      <c r="D13" s="219">
        <v>0</v>
      </c>
      <c r="E13" s="219">
        <v>0</v>
      </c>
      <c r="F13" s="219">
        <v>0</v>
      </c>
      <c r="G13" s="219">
        <v>0</v>
      </c>
      <c r="H13" s="219">
        <v>0</v>
      </c>
      <c r="I13" s="219">
        <v>0</v>
      </c>
      <c r="J13" s="219">
        <v>0</v>
      </c>
      <c r="K13" s="219">
        <v>0</v>
      </c>
      <c r="L13" s="219">
        <v>0</v>
      </c>
      <c r="M13" s="219">
        <v>0</v>
      </c>
      <c r="N13" s="219">
        <v>0</v>
      </c>
      <c r="O13" s="219">
        <v>0</v>
      </c>
      <c r="P13" s="219">
        <v>0</v>
      </c>
      <c r="Q13" s="219">
        <v>0</v>
      </c>
      <c r="R13" s="219">
        <v>0</v>
      </c>
      <c r="S13" s="219">
        <v>0</v>
      </c>
      <c r="T13" s="219">
        <v>0</v>
      </c>
      <c r="U13" s="219">
        <v>0</v>
      </c>
      <c r="V13" s="219">
        <v>0</v>
      </c>
      <c r="W13" s="219">
        <v>0</v>
      </c>
      <c r="X13" s="219">
        <v>0</v>
      </c>
      <c r="Y13" s="219">
        <v>0</v>
      </c>
      <c r="Z13" s="219">
        <v>0</v>
      </c>
      <c r="AA13" s="219">
        <v>0</v>
      </c>
      <c r="AB13" s="219">
        <v>0</v>
      </c>
      <c r="AC13" s="262">
        <v>12919</v>
      </c>
      <c r="AD13" s="118">
        <v>0</v>
      </c>
      <c r="AE13" s="118">
        <v>0</v>
      </c>
      <c r="AF13" s="118">
        <v>0</v>
      </c>
      <c r="AG13" s="118">
        <v>0</v>
      </c>
      <c r="AH13" s="118">
        <v>0</v>
      </c>
      <c r="AI13" s="118">
        <v>0</v>
      </c>
      <c r="AJ13" s="118">
        <v>0</v>
      </c>
      <c r="AK13" s="118">
        <v>0</v>
      </c>
      <c r="AL13" s="118">
        <v>0</v>
      </c>
      <c r="AM13" s="118">
        <v>0</v>
      </c>
      <c r="AN13" s="118">
        <v>0</v>
      </c>
      <c r="AO13" s="118">
        <v>0</v>
      </c>
      <c r="AP13" s="118">
        <v>0</v>
      </c>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63" s="776" customFormat="1" x14ac:dyDescent="0.2">
      <c r="A14"/>
      <c r="B14" s="193" t="s">
        <v>224</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row>
    <row r="15" spans="1:163" s="249" customFormat="1" hidden="1" outlineLevel="1" x14ac:dyDescent="0.2">
      <c r="A15" s="233"/>
      <c r="B15" s="775" t="s">
        <v>699</v>
      </c>
      <c r="C15" s="219">
        <v>0</v>
      </c>
      <c r="D15" s="219">
        <v>0</v>
      </c>
      <c r="E15" s="219">
        <v>0</v>
      </c>
      <c r="F15" s="219">
        <v>0</v>
      </c>
      <c r="G15" s="219">
        <v>0</v>
      </c>
      <c r="H15" s="219">
        <v>0</v>
      </c>
      <c r="I15" s="219">
        <v>0</v>
      </c>
      <c r="J15" s="219">
        <v>0</v>
      </c>
      <c r="K15" s="219">
        <v>0</v>
      </c>
      <c r="L15" s="219">
        <v>0</v>
      </c>
      <c r="M15" s="219">
        <v>0</v>
      </c>
      <c r="N15" s="219">
        <v>9690</v>
      </c>
      <c r="O15" s="219">
        <v>0</v>
      </c>
      <c r="P15" s="219">
        <v>0</v>
      </c>
      <c r="Q15" s="219">
        <v>0</v>
      </c>
      <c r="R15" s="219">
        <v>0</v>
      </c>
      <c r="S15" s="219">
        <v>0</v>
      </c>
      <c r="T15" s="219">
        <v>0</v>
      </c>
      <c r="U15" s="219">
        <v>0</v>
      </c>
      <c r="V15" s="219">
        <v>0</v>
      </c>
      <c r="W15" s="219">
        <v>0</v>
      </c>
      <c r="X15" s="219">
        <v>0</v>
      </c>
      <c r="Y15" s="219">
        <v>0</v>
      </c>
      <c r="Z15" s="219">
        <v>0</v>
      </c>
      <c r="AA15" s="219">
        <v>0</v>
      </c>
      <c r="AB15" s="219">
        <v>0</v>
      </c>
      <c r="AC15" s="219">
        <v>0</v>
      </c>
      <c r="AD15" s="219"/>
      <c r="AE15" s="219">
        <v>0</v>
      </c>
      <c r="AF15" s="219">
        <v>0</v>
      </c>
      <c r="AG15" s="219">
        <v>0</v>
      </c>
      <c r="AH15" s="219">
        <v>0</v>
      </c>
      <c r="AI15" s="219">
        <v>0</v>
      </c>
      <c r="AJ15" s="219">
        <v>0</v>
      </c>
      <c r="AK15" s="219">
        <v>0</v>
      </c>
      <c r="AL15" s="219">
        <v>0</v>
      </c>
      <c r="AM15" s="219">
        <v>0</v>
      </c>
      <c r="AN15" s="219"/>
      <c r="AO15" s="219"/>
      <c r="AP15" s="219">
        <v>0</v>
      </c>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row>
    <row r="16" spans="1:163" s="249" customFormat="1" hidden="1" outlineLevel="1" x14ac:dyDescent="0.2">
      <c r="A16" s="233"/>
      <c r="B16" s="775" t="s">
        <v>515</v>
      </c>
      <c r="C16" s="219">
        <v>691</v>
      </c>
      <c r="D16" s="219">
        <v>0</v>
      </c>
      <c r="E16" s="219">
        <v>0</v>
      </c>
      <c r="F16" s="219">
        <v>4751</v>
      </c>
      <c r="G16" s="219">
        <v>0</v>
      </c>
      <c r="H16" s="219">
        <v>0</v>
      </c>
      <c r="I16" s="219">
        <v>522</v>
      </c>
      <c r="J16" s="219">
        <v>0</v>
      </c>
      <c r="K16" s="219">
        <v>0</v>
      </c>
      <c r="L16" s="219">
        <v>0</v>
      </c>
      <c r="M16" s="219">
        <v>0</v>
      </c>
      <c r="N16" s="219">
        <v>0</v>
      </c>
      <c r="O16" s="219">
        <v>0</v>
      </c>
      <c r="P16" s="219">
        <v>0</v>
      </c>
      <c r="Q16" s="219">
        <v>0</v>
      </c>
      <c r="R16" s="219">
        <v>0</v>
      </c>
      <c r="S16" s="219">
        <v>0</v>
      </c>
      <c r="T16" s="219">
        <v>0</v>
      </c>
      <c r="U16" s="219">
        <v>0</v>
      </c>
      <c r="V16" s="219">
        <v>0</v>
      </c>
      <c r="W16" s="219">
        <v>0</v>
      </c>
      <c r="X16" s="219">
        <v>0</v>
      </c>
      <c r="Y16" s="219">
        <v>0</v>
      </c>
      <c r="Z16" s="219">
        <v>0</v>
      </c>
      <c r="AA16" s="219">
        <v>0</v>
      </c>
      <c r="AB16" s="219">
        <v>0</v>
      </c>
      <c r="AC16" s="219">
        <v>0</v>
      </c>
      <c r="AD16" s="219"/>
      <c r="AE16" s="219">
        <v>0</v>
      </c>
      <c r="AF16" s="219">
        <v>0</v>
      </c>
      <c r="AG16" s="219">
        <v>0</v>
      </c>
      <c r="AH16" s="219">
        <v>0</v>
      </c>
      <c r="AI16" s="219">
        <v>0</v>
      </c>
      <c r="AJ16" s="219">
        <v>0</v>
      </c>
      <c r="AK16" s="219">
        <v>0</v>
      </c>
      <c r="AL16" s="219">
        <v>0</v>
      </c>
      <c r="AM16" s="219">
        <v>0</v>
      </c>
      <c r="AN16" s="219"/>
      <c r="AO16" s="219"/>
      <c r="AP16" s="219">
        <v>0</v>
      </c>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row>
    <row r="17" spans="1:163" s="249" customFormat="1" hidden="1" outlineLevel="1" x14ac:dyDescent="0.2">
      <c r="A17" s="233"/>
      <c r="B17" s="775" t="s">
        <v>514</v>
      </c>
      <c r="C17" s="219">
        <v>0</v>
      </c>
      <c r="D17" s="219">
        <v>0</v>
      </c>
      <c r="E17" s="219">
        <v>0</v>
      </c>
      <c r="F17" s="219">
        <v>0</v>
      </c>
      <c r="G17" s="219">
        <v>0</v>
      </c>
      <c r="H17" s="219">
        <v>0</v>
      </c>
      <c r="I17" s="219">
        <v>0</v>
      </c>
      <c r="J17" s="219">
        <v>0</v>
      </c>
      <c r="K17" s="219">
        <v>0</v>
      </c>
      <c r="L17" s="219">
        <v>12206</v>
      </c>
      <c r="M17" s="219">
        <v>0</v>
      </c>
      <c r="N17" s="219">
        <v>0</v>
      </c>
      <c r="O17" s="219">
        <v>0</v>
      </c>
      <c r="P17" s="219">
        <v>0</v>
      </c>
      <c r="Q17" s="219">
        <v>0</v>
      </c>
      <c r="R17" s="219">
        <v>0</v>
      </c>
      <c r="S17" s="219">
        <v>0</v>
      </c>
      <c r="T17" s="219">
        <v>0</v>
      </c>
      <c r="U17" s="219">
        <v>0</v>
      </c>
      <c r="V17" s="219">
        <v>0</v>
      </c>
      <c r="W17" s="219">
        <v>0</v>
      </c>
      <c r="X17" s="219">
        <v>0</v>
      </c>
      <c r="Y17" s="219">
        <v>0</v>
      </c>
      <c r="Z17" s="219">
        <v>0</v>
      </c>
      <c r="AA17" s="219">
        <v>0</v>
      </c>
      <c r="AB17" s="219">
        <v>0</v>
      </c>
      <c r="AC17" s="219">
        <v>0</v>
      </c>
      <c r="AD17" s="219"/>
      <c r="AE17" s="219">
        <v>0</v>
      </c>
      <c r="AF17" s="219">
        <v>0</v>
      </c>
      <c r="AG17" s="219">
        <v>0</v>
      </c>
      <c r="AH17" s="219">
        <v>0</v>
      </c>
      <c r="AI17" s="219">
        <v>0</v>
      </c>
      <c r="AJ17" s="219">
        <v>0</v>
      </c>
      <c r="AK17" s="219">
        <v>0</v>
      </c>
      <c r="AL17" s="219">
        <v>0</v>
      </c>
      <c r="AM17" s="219">
        <v>0</v>
      </c>
      <c r="AN17" s="219"/>
      <c r="AO17" s="219"/>
      <c r="AP17" s="219">
        <v>0</v>
      </c>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row>
    <row r="18" spans="1:163" s="249" customFormat="1" hidden="1" outlineLevel="1" x14ac:dyDescent="0.2">
      <c r="A18" s="233"/>
      <c r="B18" s="775" t="s">
        <v>125</v>
      </c>
      <c r="C18" s="219">
        <v>0</v>
      </c>
      <c r="D18" s="219">
        <v>0</v>
      </c>
      <c r="E18" s="219">
        <v>0</v>
      </c>
      <c r="F18" s="219">
        <v>-5013</v>
      </c>
      <c r="G18" s="219">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219">
        <v>0</v>
      </c>
      <c r="Z18" s="219">
        <v>0</v>
      </c>
      <c r="AA18" s="219">
        <v>0</v>
      </c>
      <c r="AB18" s="219">
        <v>0</v>
      </c>
      <c r="AC18" s="219">
        <v>0</v>
      </c>
      <c r="AD18" s="219"/>
      <c r="AE18" s="219">
        <v>0</v>
      </c>
      <c r="AF18" s="219">
        <v>0</v>
      </c>
      <c r="AG18" s="219">
        <v>0</v>
      </c>
      <c r="AH18" s="219">
        <v>0</v>
      </c>
      <c r="AI18" s="219">
        <v>0</v>
      </c>
      <c r="AJ18" s="219">
        <v>0</v>
      </c>
      <c r="AK18" s="219">
        <v>0</v>
      </c>
      <c r="AL18" s="219">
        <v>0</v>
      </c>
      <c r="AM18" s="219">
        <v>0</v>
      </c>
      <c r="AN18" s="219"/>
      <c r="AO18" s="219"/>
      <c r="AP18" s="219">
        <v>0</v>
      </c>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row>
    <row r="19" spans="1:163" s="249" customFormat="1" hidden="1" outlineLevel="1" x14ac:dyDescent="0.2">
      <c r="A19" s="233"/>
      <c r="B19" s="775" t="s">
        <v>516</v>
      </c>
      <c r="C19" s="219">
        <v>0</v>
      </c>
      <c r="D19" s="219">
        <v>0</v>
      </c>
      <c r="E19" s="219">
        <v>0</v>
      </c>
      <c r="F19" s="219">
        <v>4066</v>
      </c>
      <c r="G19" s="219">
        <v>0</v>
      </c>
      <c r="H19" s="219">
        <v>0</v>
      </c>
      <c r="I19" s="219">
        <v>0</v>
      </c>
      <c r="J19" s="219">
        <v>0</v>
      </c>
      <c r="K19" s="219">
        <v>0</v>
      </c>
      <c r="L19" s="219">
        <v>0</v>
      </c>
      <c r="M19" s="219">
        <v>0</v>
      </c>
      <c r="N19" s="219">
        <v>0</v>
      </c>
      <c r="O19" s="219">
        <v>0</v>
      </c>
      <c r="P19" s="219">
        <v>0</v>
      </c>
      <c r="Q19" s="219">
        <v>0</v>
      </c>
      <c r="R19" s="219">
        <v>0</v>
      </c>
      <c r="S19" s="219">
        <v>0</v>
      </c>
      <c r="T19" s="219">
        <v>0</v>
      </c>
      <c r="U19" s="219">
        <v>0</v>
      </c>
      <c r="V19" s="219">
        <v>0</v>
      </c>
      <c r="W19" s="219">
        <v>0</v>
      </c>
      <c r="X19" s="219">
        <v>0</v>
      </c>
      <c r="Y19" s="219">
        <v>0</v>
      </c>
      <c r="Z19" s="219">
        <v>0</v>
      </c>
      <c r="AA19" s="219">
        <v>0</v>
      </c>
      <c r="AB19" s="219">
        <v>0</v>
      </c>
      <c r="AC19" s="219">
        <v>0</v>
      </c>
      <c r="AD19" s="219"/>
      <c r="AE19" s="219">
        <v>0</v>
      </c>
      <c r="AF19" s="219">
        <v>0</v>
      </c>
      <c r="AG19" s="219">
        <v>0</v>
      </c>
      <c r="AH19" s="219">
        <v>0</v>
      </c>
      <c r="AI19" s="219">
        <v>0</v>
      </c>
      <c r="AJ19" s="219">
        <v>0</v>
      </c>
      <c r="AK19" s="219">
        <v>0</v>
      </c>
      <c r="AL19" s="219">
        <v>0</v>
      </c>
      <c r="AM19" s="219">
        <v>0</v>
      </c>
      <c r="AN19" s="219"/>
      <c r="AO19" s="219"/>
      <c r="AP19" s="219">
        <v>0</v>
      </c>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row>
    <row r="20" spans="1:163" s="249" customFormat="1" hidden="1" outlineLevel="1" x14ac:dyDescent="0.2">
      <c r="A20" s="233"/>
      <c r="B20" s="775" t="s">
        <v>517</v>
      </c>
      <c r="C20" s="219">
        <v>0</v>
      </c>
      <c r="D20" s="219">
        <v>0</v>
      </c>
      <c r="E20" s="219">
        <v>0</v>
      </c>
      <c r="F20" s="219">
        <v>0</v>
      </c>
      <c r="G20" s="219">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219">
        <v>0</v>
      </c>
      <c r="Z20" s="219">
        <v>0</v>
      </c>
      <c r="AA20" s="219">
        <v>0</v>
      </c>
      <c r="AB20" s="219">
        <v>0</v>
      </c>
      <c r="AC20" s="219">
        <v>0</v>
      </c>
      <c r="AD20" s="219"/>
      <c r="AE20" s="219">
        <v>0</v>
      </c>
      <c r="AF20" s="219">
        <v>0</v>
      </c>
      <c r="AG20" s="219">
        <v>0</v>
      </c>
      <c r="AH20" s="219">
        <v>0</v>
      </c>
      <c r="AI20" s="219">
        <v>0</v>
      </c>
      <c r="AJ20" s="219">
        <v>0</v>
      </c>
      <c r="AK20" s="219">
        <v>0</v>
      </c>
      <c r="AL20" s="219">
        <v>0</v>
      </c>
      <c r="AM20" s="219">
        <v>0</v>
      </c>
      <c r="AN20" s="219"/>
      <c r="AO20" s="219"/>
      <c r="AP20" s="219">
        <v>0</v>
      </c>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row>
    <row r="21" spans="1:163" s="252" customFormat="1" collapsed="1" x14ac:dyDescent="0.2">
      <c r="A21" s="143"/>
      <c r="B21" s="251" t="s">
        <v>518</v>
      </c>
      <c r="C21" s="122">
        <f t="shared" ref="C21:L21" si="5">SUM(C8:C20)</f>
        <v>-3228.86</v>
      </c>
      <c r="D21" s="122">
        <f t="shared" si="5"/>
        <v>-512.30000000000007</v>
      </c>
      <c r="E21" s="122">
        <f t="shared" si="5"/>
        <v>-3070.48</v>
      </c>
      <c r="F21" s="122">
        <f t="shared" si="5"/>
        <v>5565.8</v>
      </c>
      <c r="G21" s="122">
        <f t="shared" si="5"/>
        <v>184.92000000000007</v>
      </c>
      <c r="H21" s="122">
        <f t="shared" si="5"/>
        <v>-1209.48</v>
      </c>
      <c r="I21" s="122">
        <f t="shared" si="5"/>
        <v>-3178.46</v>
      </c>
      <c r="J21" s="122">
        <f t="shared" si="5"/>
        <v>-8769.64</v>
      </c>
      <c r="K21" s="122">
        <f t="shared" si="5"/>
        <v>-4299.34</v>
      </c>
      <c r="L21" s="122">
        <f t="shared" si="5"/>
        <v>7766.5357691940007</v>
      </c>
      <c r="M21" s="122">
        <v>-8878.5865395720011</v>
      </c>
      <c r="N21" s="122">
        <f t="shared" ref="N21:AK21" si="6">SUM(N8:N20)</f>
        <v>-8318.2292296220003</v>
      </c>
      <c r="O21" s="122">
        <f t="shared" si="6"/>
        <v>-6232.3600000000006</v>
      </c>
      <c r="P21" s="122">
        <f t="shared" si="6"/>
        <v>-7001.7400000000016</v>
      </c>
      <c r="Q21" s="122">
        <f t="shared" si="6"/>
        <v>-9929.5800000000017</v>
      </c>
      <c r="R21" s="122">
        <f t="shared" si="6"/>
        <v>-12882.960000000001</v>
      </c>
      <c r="S21" s="122">
        <f t="shared" si="6"/>
        <v>-11575.980000000001</v>
      </c>
      <c r="T21" s="122">
        <f t="shared" si="6"/>
        <v>-10923.920000000002</v>
      </c>
      <c r="U21" s="122">
        <f t="shared" si="6"/>
        <v>-40056.660000000003</v>
      </c>
      <c r="V21" s="122">
        <f t="shared" si="6"/>
        <v>-8769.760000000002</v>
      </c>
      <c r="W21" s="122">
        <f t="shared" si="6"/>
        <v>-6850.58</v>
      </c>
      <c r="X21" s="122">
        <f t="shared" si="6"/>
        <v>4623.58</v>
      </c>
      <c r="Y21" s="122">
        <f t="shared" si="6"/>
        <v>-12020.060000000001</v>
      </c>
      <c r="Z21" s="122">
        <f t="shared" si="6"/>
        <v>-9295.6200000000008</v>
      </c>
      <c r="AA21" s="122">
        <f t="shared" si="6"/>
        <v>-7993</v>
      </c>
      <c r="AB21" s="122">
        <f t="shared" si="6"/>
        <v>-8179.2400000000016</v>
      </c>
      <c r="AC21" s="122">
        <f t="shared" si="6"/>
        <v>9562.7999999999993</v>
      </c>
      <c r="AD21" s="122">
        <f t="shared" si="6"/>
        <v>-9991.8000000000011</v>
      </c>
      <c r="AE21" s="122">
        <f t="shared" si="6"/>
        <v>-5291.1600000000008</v>
      </c>
      <c r="AF21" s="122">
        <f t="shared" si="6"/>
        <v>-8047.52</v>
      </c>
      <c r="AG21" s="122">
        <f t="shared" si="6"/>
        <v>-17647.780000000002</v>
      </c>
      <c r="AH21" s="122">
        <f t="shared" si="6"/>
        <v>-17244.84</v>
      </c>
      <c r="AI21" s="122">
        <f t="shared" si="6"/>
        <v>-10633.04</v>
      </c>
      <c r="AJ21" s="122">
        <f t="shared" si="6"/>
        <v>-10583.260000000002</v>
      </c>
      <c r="AK21" s="122">
        <f t="shared" si="6"/>
        <v>-16767.2</v>
      </c>
      <c r="AL21" s="122">
        <f>SUM(AL8:AL20)</f>
        <v>-15581.34</v>
      </c>
      <c r="AM21" s="122">
        <f>SUM(AM8:AM20)</f>
        <v>-15609.16</v>
      </c>
      <c r="AN21" s="122">
        <f>SUM(AN8:AN20)</f>
        <v>-21144.06</v>
      </c>
      <c r="AO21" s="122">
        <f>SUM(AO8:AO20)</f>
        <v>-35932.520000000004</v>
      </c>
      <c r="AP21" s="122">
        <f>SUM(AP8:AP20)</f>
        <v>-34170.380000000005</v>
      </c>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row>
    <row r="22" spans="1:163" x14ac:dyDescent="0.2">
      <c r="B22" s="130" t="s">
        <v>432</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row>
    <row r="23" spans="1:163" x14ac:dyDescent="0.2">
      <c r="B23" s="130" t="s">
        <v>519</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row>
    <row r="24" spans="1:163" s="252" customFormat="1" x14ac:dyDescent="0.2">
      <c r="A24" s="143"/>
      <c r="B24" s="251" t="s">
        <v>520</v>
      </c>
      <c r="C24" s="622">
        <f t="shared" ref="C24:AK24" si="7">+C21/C6</f>
        <v>-0.30094696616646471</v>
      </c>
      <c r="D24" s="622">
        <f t="shared" si="7"/>
        <v>-0.30224188790560474</v>
      </c>
      <c r="E24" s="622">
        <f t="shared" si="7"/>
        <v>-0.37573176700930006</v>
      </c>
      <c r="F24" s="622">
        <f t="shared" si="7"/>
        <v>-0.59084925690021228</v>
      </c>
      <c r="G24" s="622">
        <f t="shared" si="7"/>
        <v>-8.8563218390804638E-2</v>
      </c>
      <c r="H24" s="622">
        <f t="shared" si="7"/>
        <v>-2.3170114942528737</v>
      </c>
      <c r="I24" s="622">
        <f t="shared" si="7"/>
        <v>-0.45283658640832025</v>
      </c>
      <c r="J24" s="622">
        <f t="shared" si="7"/>
        <v>-0.41083294294012929</v>
      </c>
      <c r="K24" s="622">
        <f t="shared" si="7"/>
        <v>-0.44091272689980515</v>
      </c>
      <c r="L24" s="622">
        <f t="shared" si="7"/>
        <v>0.47676708220957648</v>
      </c>
      <c r="M24" s="622">
        <f t="shared" si="7"/>
        <v>-0.36741512681862204</v>
      </c>
      <c r="N24" s="622">
        <f t="shared" si="7"/>
        <v>-0.1236231252637508</v>
      </c>
      <c r="O24" s="622">
        <f t="shared" si="7"/>
        <v>-0.30809036531711903</v>
      </c>
      <c r="P24" s="622">
        <f t="shared" si="7"/>
        <v>-0.19899221281191387</v>
      </c>
      <c r="Q24" s="622">
        <f t="shared" si="7"/>
        <v>-0.24196651802032318</v>
      </c>
      <c r="R24" s="622">
        <f t="shared" si="7"/>
        <v>-0.26927012791572613</v>
      </c>
      <c r="S24" s="622">
        <f t="shared" si="7"/>
        <v>-0.3030599261722125</v>
      </c>
      <c r="T24" s="622">
        <f t="shared" si="7"/>
        <v>-0.25148303328882549</v>
      </c>
      <c r="U24" s="622">
        <f t="shared" si="7"/>
        <v>-0.30473156889744313</v>
      </c>
      <c r="V24" s="622">
        <f t="shared" si="7"/>
        <v>-0.16795801892212819</v>
      </c>
      <c r="W24" s="622">
        <f t="shared" si="7"/>
        <v>-0.26210276619351874</v>
      </c>
      <c r="X24" s="622">
        <f t="shared" si="7"/>
        <v>-0.5144742405697118</v>
      </c>
      <c r="Y24" s="622">
        <f t="shared" si="7"/>
        <v>-0.28647155556614795</v>
      </c>
      <c r="Z24" s="622">
        <f t="shared" si="7"/>
        <v>-0.24498906254118022</v>
      </c>
      <c r="AA24" s="622">
        <f t="shared" si="7"/>
        <v>-0.28394316163410299</v>
      </c>
      <c r="AB24" s="622">
        <f t="shared" si="7"/>
        <v>-0.25294532409698173</v>
      </c>
      <c r="AC24" s="622">
        <f t="shared" si="7"/>
        <v>0.38825822168087692</v>
      </c>
      <c r="AD24" s="622">
        <f t="shared" si="7"/>
        <v>-0.25443850267379681</v>
      </c>
      <c r="AE24" s="622">
        <f t="shared" si="7"/>
        <v>-0.21978732242253057</v>
      </c>
      <c r="AF24" s="622">
        <f t="shared" si="7"/>
        <v>-0.20833385109247179</v>
      </c>
      <c r="AG24" s="622">
        <f t="shared" si="7"/>
        <v>-0.24815135621581341</v>
      </c>
      <c r="AH24" s="622">
        <f t="shared" si="7"/>
        <v>-0.23279928721853232</v>
      </c>
      <c r="AI24" s="622">
        <f t="shared" si="7"/>
        <v>-0.23443513537348976</v>
      </c>
      <c r="AJ24" s="622">
        <f t="shared" si="7"/>
        <v>-0.20982295445984261</v>
      </c>
      <c r="AK24" s="622">
        <f t="shared" si="7"/>
        <v>-0.22943623426382048</v>
      </c>
      <c r="AL24" s="622">
        <f>+AL21/AL6</f>
        <v>-0.23395054128316392</v>
      </c>
      <c r="AM24" s="622">
        <f>+AM21/AM6</f>
        <v>-0.29382501317671861</v>
      </c>
      <c r="AN24" s="622">
        <f>+AN21/AN6</f>
        <v>-0.24975560779125672</v>
      </c>
      <c r="AO24" s="622">
        <f>+AO21/AO6</f>
        <v>-0.29849739985711676</v>
      </c>
      <c r="AP24" s="622">
        <f>+AP21/AP6</f>
        <v>-0.28640716806222605</v>
      </c>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row>
    <row r="25" spans="1:163" customFormat="1" ht="12.75" x14ac:dyDescent="0.2"/>
    <row r="26" spans="1:163" x14ac:dyDescent="0.2">
      <c r="B26" s="31"/>
      <c r="C26" s="30"/>
      <c r="D26" s="30"/>
      <c r="E26" s="29"/>
      <c r="F26" s="29"/>
      <c r="G26" s="29"/>
      <c r="H26" s="29"/>
      <c r="I26" s="29"/>
      <c r="J26" s="29"/>
      <c r="K26" s="29"/>
      <c r="L26" s="29"/>
      <c r="M26" s="29"/>
      <c r="N26" s="29"/>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row>
    <row r="27" spans="1:163" x14ac:dyDescent="0.2">
      <c r="AG27" s="1131"/>
      <c r="AH27" s="1131"/>
      <c r="AI27" s="1131"/>
      <c r="AJ27" s="1131"/>
      <c r="AK27" s="1131"/>
      <c r="AL27" s="1131"/>
      <c r="AM27" s="1131"/>
      <c r="AN27" s="1131"/>
      <c r="AO27" s="1131"/>
      <c r="AP27" s="1131"/>
    </row>
    <row r="28" spans="1:163" x14ac:dyDescent="0.2">
      <c r="AG28" s="1132"/>
      <c r="AH28" s="1132"/>
      <c r="AI28" s="1132"/>
      <c r="AJ28" s="1132"/>
      <c r="AK28" s="1132"/>
      <c r="AL28" s="1132"/>
      <c r="AM28" s="1132"/>
      <c r="AN28" s="1132"/>
      <c r="AO28" s="1132"/>
      <c r="AP28" s="1132"/>
    </row>
    <row r="29" spans="1:163" x14ac:dyDescent="0.2">
      <c r="AG29" s="1132"/>
      <c r="AH29" s="1132"/>
      <c r="AI29" s="1132"/>
      <c r="AJ29" s="1132"/>
      <c r="AK29" s="1132"/>
      <c r="AL29" s="1132"/>
      <c r="AM29" s="1132"/>
      <c r="AN29" s="1132"/>
      <c r="AO29" s="1132"/>
      <c r="AP29" s="1132"/>
    </row>
    <row r="30" spans="1:163" x14ac:dyDescent="0.2">
      <c r="AG30" s="1131"/>
      <c r="AH30" s="1131"/>
      <c r="AI30" s="1131"/>
      <c r="AJ30" s="1131"/>
      <c r="AK30" s="1131"/>
      <c r="AL30" s="1131"/>
      <c r="AM30" s="1131"/>
      <c r="AN30" s="1131"/>
      <c r="AO30" s="1131"/>
      <c r="AP30" s="1131"/>
    </row>
    <row r="73" ht="15" customHeight="1" x14ac:dyDescent="0.2"/>
    <row r="77" ht="14.25" customHeight="1" x14ac:dyDescent="0.2"/>
    <row r="100" ht="15" customHeight="1" x14ac:dyDescent="0.2"/>
    <row r="104" ht="20.25" customHeight="1" x14ac:dyDescent="0.2"/>
    <row r="130" ht="15" customHeight="1" x14ac:dyDescent="0.2"/>
    <row r="147" spans="1:163" x14ac:dyDescent="0.2">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row>
    <row r="152" spans="1:163" s="36" customFormat="1" ht="26.25" customHeight="1" x14ac:dyDescent="0.2">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row>
    <row r="153" spans="1:163" ht="14.25" customHeight="1" x14ac:dyDescent="0.2"/>
    <row r="160" spans="1:163"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44">
    <pageSetUpPr autoPageBreaks="0"/>
  </sheetPr>
  <dimension ref="B1:AU52"/>
  <sheetViews>
    <sheetView showGridLines="0" workbookViewId="0">
      <pane xSplit="2" ySplit="5" topLeftCell="AJ6" activePane="bottomRight" state="frozen"/>
      <selection activeCell="Z31" sqref="Z31"/>
      <selection pane="topRight" activeCell="Z31" sqref="Z31"/>
      <selection pane="bottomLeft" activeCell="Z31" sqref="Z31"/>
      <selection pane="bottomRight" activeCell="AU5" sqref="AU5"/>
    </sheetView>
  </sheetViews>
  <sheetFormatPr defaultRowHeight="12.75" outlineLevelRow="1" x14ac:dyDescent="0.2"/>
  <cols>
    <col min="1" max="1" width="1.42578125" customWidth="1"/>
    <col min="2" max="2" width="45.42578125" customWidth="1"/>
    <col min="3" max="47" width="10.7109375" customWidth="1"/>
  </cols>
  <sheetData>
    <row r="1" spans="2:47" s="551" customFormat="1" ht="7.5" customHeight="1" x14ac:dyDescent="0.2"/>
    <row r="2" spans="2:47" s="551" customFormat="1" ht="12.75" customHeight="1" x14ac:dyDescent="0.25">
      <c r="E2" s="561"/>
    </row>
    <row r="3" spans="2:47" ht="12.75" customHeight="1" x14ac:dyDescent="0.2">
      <c r="W3" s="329"/>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row>
    <row r="4" spans="2:47" ht="12.75" customHeight="1" x14ac:dyDescent="0.2">
      <c r="C4" s="1250" t="s">
        <v>1435</v>
      </c>
      <c r="D4" s="1251"/>
      <c r="E4" s="225" t="s">
        <v>1439</v>
      </c>
      <c r="W4" s="329"/>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row>
    <row r="5" spans="2:47" x14ac:dyDescent="0.2">
      <c r="B5" s="115" t="s">
        <v>27</v>
      </c>
      <c r="C5" s="115" t="s">
        <v>622</v>
      </c>
      <c r="D5" s="115" t="s">
        <v>471</v>
      </c>
      <c r="E5" s="223" t="s">
        <v>472</v>
      </c>
      <c r="F5" s="115" t="s">
        <v>473</v>
      </c>
      <c r="G5" s="115" t="s">
        <v>474</v>
      </c>
      <c r="H5" s="115" t="s">
        <v>475</v>
      </c>
      <c r="I5" s="115" t="s">
        <v>476</v>
      </c>
      <c r="J5" s="115" t="s">
        <v>477</v>
      </c>
      <c r="K5" s="115" t="s">
        <v>478</v>
      </c>
      <c r="L5" s="115" t="s">
        <v>479</v>
      </c>
      <c r="M5" s="115" t="s">
        <v>371</v>
      </c>
      <c r="N5" s="115" t="s">
        <v>372</v>
      </c>
      <c r="O5" s="115" t="s">
        <v>373</v>
      </c>
      <c r="P5" s="115" t="s">
        <v>374</v>
      </c>
      <c r="Q5" s="115" t="s">
        <v>375</v>
      </c>
      <c r="R5" s="115" t="s">
        <v>376</v>
      </c>
      <c r="S5" s="115" t="s">
        <v>694</v>
      </c>
      <c r="T5" s="115" t="s">
        <v>758</v>
      </c>
      <c r="U5" s="115" t="s">
        <v>771</v>
      </c>
      <c r="V5" s="115" t="s">
        <v>788</v>
      </c>
      <c r="W5" s="115" t="s">
        <v>844</v>
      </c>
      <c r="X5" s="115" t="s">
        <v>862</v>
      </c>
      <c r="Y5" s="115" t="s">
        <v>922</v>
      </c>
      <c r="Z5" s="115" t="s">
        <v>923</v>
      </c>
      <c r="AA5" s="115" t="s">
        <v>924</v>
      </c>
      <c r="AB5" s="115" t="s">
        <v>995</v>
      </c>
      <c r="AC5" s="115" t="s">
        <v>1027</v>
      </c>
      <c r="AD5" s="115" t="s">
        <v>1028</v>
      </c>
      <c r="AE5" s="115" t="s">
        <v>993</v>
      </c>
      <c r="AF5" s="115" t="s">
        <v>1124</v>
      </c>
      <c r="AG5" s="115" t="s">
        <v>1125</v>
      </c>
      <c r="AH5" s="115" t="s">
        <v>1126</v>
      </c>
      <c r="AI5" s="115" t="s">
        <v>1127</v>
      </c>
      <c r="AJ5" s="115" t="s">
        <v>1181</v>
      </c>
      <c r="AK5" s="115" t="s">
        <v>1189</v>
      </c>
      <c r="AL5" s="115" t="s">
        <v>1191</v>
      </c>
      <c r="AM5" s="115" t="s">
        <v>1193</v>
      </c>
      <c r="AN5" s="115" t="s">
        <v>1232</v>
      </c>
      <c r="AO5" s="115" t="s">
        <v>1245</v>
      </c>
      <c r="AP5" s="115" t="s">
        <v>1247</v>
      </c>
      <c r="AQ5" s="115" t="s">
        <v>1249</v>
      </c>
      <c r="AR5" s="115" t="s">
        <v>1306</v>
      </c>
      <c r="AS5" s="115" t="s">
        <v>1316</v>
      </c>
      <c r="AT5" s="115" t="s">
        <v>1317</v>
      </c>
      <c r="AU5" s="115" t="s">
        <v>1318</v>
      </c>
    </row>
    <row r="6" spans="2:47" x14ac:dyDescent="0.2">
      <c r="B6" s="130" t="s">
        <v>1296</v>
      </c>
      <c r="C6" s="118">
        <v>36191</v>
      </c>
      <c r="D6" s="118">
        <v>41304</v>
      </c>
      <c r="E6" s="161">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row>
    <row r="7" spans="2:47" x14ac:dyDescent="0.2">
      <c r="B7" s="130" t="s">
        <v>522</v>
      </c>
      <c r="C7" s="118">
        <v>13235</v>
      </c>
      <c r="D7" s="118">
        <v>15081</v>
      </c>
      <c r="E7" s="161">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row>
    <row r="8" spans="2:47" x14ac:dyDescent="0.2">
      <c r="B8" s="130" t="s">
        <v>497</v>
      </c>
      <c r="C8" s="118">
        <v>2652</v>
      </c>
      <c r="D8" s="118">
        <v>1630</v>
      </c>
      <c r="E8" s="161">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row>
    <row r="9" spans="2:47" x14ac:dyDescent="0.2">
      <c r="B9" s="193" t="s">
        <v>410</v>
      </c>
      <c r="C9" s="118">
        <v>1850</v>
      </c>
      <c r="D9" s="118">
        <v>2012</v>
      </c>
      <c r="E9" s="161">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row>
    <row r="10" spans="2:47" x14ac:dyDescent="0.2">
      <c r="B10" s="130" t="s">
        <v>507</v>
      </c>
      <c r="C10" s="118">
        <v>8047</v>
      </c>
      <c r="D10" s="118">
        <v>8009</v>
      </c>
      <c r="E10" s="161">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row>
    <row r="11" spans="2:47" x14ac:dyDescent="0.2">
      <c r="B11" s="130" t="s">
        <v>525</v>
      </c>
      <c r="C11" s="118">
        <v>5206</v>
      </c>
      <c r="D11" s="118">
        <v>3117</v>
      </c>
      <c r="E11" s="161">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row>
    <row r="12" spans="2:47" x14ac:dyDescent="0.2">
      <c r="B12" s="130" t="s">
        <v>526</v>
      </c>
      <c r="C12" s="118">
        <v>0</v>
      </c>
      <c r="D12" s="118">
        <v>0</v>
      </c>
      <c r="E12" s="161">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row>
    <row r="13" spans="2:47" x14ac:dyDescent="0.2">
      <c r="B13" s="130" t="s">
        <v>784</v>
      </c>
      <c r="C13" s="118">
        <v>0</v>
      </c>
      <c r="D13" s="118">
        <v>0</v>
      </c>
      <c r="E13" s="161">
        <v>0</v>
      </c>
      <c r="F13" s="118">
        <v>0</v>
      </c>
      <c r="G13" s="118">
        <v>0</v>
      </c>
      <c r="H13" s="118">
        <v>0</v>
      </c>
      <c r="I13" s="118">
        <v>0</v>
      </c>
      <c r="J13" s="118">
        <v>0</v>
      </c>
      <c r="K13" s="118">
        <v>0</v>
      </c>
      <c r="L13" s="118">
        <v>0</v>
      </c>
      <c r="M13" s="118">
        <v>0</v>
      </c>
      <c r="N13" s="118">
        <v>0</v>
      </c>
      <c r="O13" s="118">
        <v>0</v>
      </c>
      <c r="P13" s="118">
        <v>0</v>
      </c>
      <c r="Q13" s="118">
        <v>0</v>
      </c>
      <c r="R13" s="118">
        <v>0</v>
      </c>
      <c r="S13" s="118">
        <v>0</v>
      </c>
      <c r="T13" s="118">
        <v>0</v>
      </c>
      <c r="U13" s="118">
        <v>3898</v>
      </c>
      <c r="V13" s="118">
        <v>3898</v>
      </c>
      <c r="W13" s="118">
        <v>4546</v>
      </c>
      <c r="X13" s="118">
        <v>4546</v>
      </c>
      <c r="Y13" s="118">
        <v>4546</v>
      </c>
      <c r="Z13" s="118">
        <v>4546</v>
      </c>
      <c r="AA13" s="118">
        <v>0</v>
      </c>
      <c r="AB13" s="118">
        <v>0</v>
      </c>
      <c r="AC13" s="118">
        <v>0</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AS13" s="118">
        <v>0</v>
      </c>
      <c r="AT13" s="118">
        <v>0</v>
      </c>
      <c r="AU13" s="118">
        <v>0</v>
      </c>
    </row>
    <row r="14" spans="2:47" x14ac:dyDescent="0.2">
      <c r="B14" s="130" t="s">
        <v>527</v>
      </c>
      <c r="C14" s="118">
        <v>0</v>
      </c>
      <c r="D14" s="118">
        <v>0</v>
      </c>
      <c r="E14" s="161">
        <v>0</v>
      </c>
      <c r="F14" s="118">
        <v>0</v>
      </c>
      <c r="G14" s="118">
        <v>0</v>
      </c>
      <c r="H14" s="118">
        <v>0</v>
      </c>
      <c r="I14" s="118">
        <v>0</v>
      </c>
      <c r="J14" s="118">
        <v>0</v>
      </c>
      <c r="K14" s="118">
        <v>0</v>
      </c>
      <c r="L14" s="118">
        <v>0</v>
      </c>
      <c r="M14" s="118">
        <v>0</v>
      </c>
      <c r="N14" s="118">
        <v>0</v>
      </c>
      <c r="O14" s="118">
        <v>0</v>
      </c>
      <c r="P14" s="118">
        <v>1122</v>
      </c>
      <c r="Q14" s="118">
        <v>1348.7877622000001</v>
      </c>
      <c r="R14" s="118">
        <v>1123.2933974000007</v>
      </c>
      <c r="S14" s="118">
        <v>1107</v>
      </c>
      <c r="T14" s="118">
        <v>4514</v>
      </c>
      <c r="U14" s="118">
        <v>5191</v>
      </c>
      <c r="V14" s="118">
        <v>4643</v>
      </c>
      <c r="W14" s="118">
        <v>3518</v>
      </c>
      <c r="X14" s="118">
        <v>1726</v>
      </c>
      <c r="Y14" s="118">
        <v>1507</v>
      </c>
      <c r="Z14" s="118">
        <v>2002</v>
      </c>
      <c r="AA14" s="118">
        <v>1790</v>
      </c>
      <c r="AB14" s="118">
        <v>956</v>
      </c>
      <c r="AC14" s="118">
        <v>1114</v>
      </c>
      <c r="AD14" s="118">
        <v>1696</v>
      </c>
      <c r="AE14" s="118">
        <v>1532</v>
      </c>
      <c r="AF14" s="118">
        <v>1236</v>
      </c>
      <c r="AG14" s="118">
        <v>1140</v>
      </c>
      <c r="AH14" s="118">
        <v>1140</v>
      </c>
      <c r="AI14" s="118">
        <v>1136</v>
      </c>
      <c r="AJ14" s="118">
        <v>2869</v>
      </c>
      <c r="AK14" s="118">
        <v>3787</v>
      </c>
      <c r="AL14" s="118">
        <v>4278</v>
      </c>
      <c r="AM14" s="118">
        <v>8343</v>
      </c>
      <c r="AN14" s="118">
        <v>4142</v>
      </c>
      <c r="AO14" s="118">
        <v>3897</v>
      </c>
      <c r="AP14" s="118">
        <v>4334</v>
      </c>
      <c r="AQ14" s="118">
        <v>3421</v>
      </c>
      <c r="AR14" s="118">
        <v>2695</v>
      </c>
      <c r="AS14" s="118">
        <v>4411</v>
      </c>
      <c r="AT14" s="118">
        <v>-2437</v>
      </c>
      <c r="AU14" s="118">
        <v>3444</v>
      </c>
    </row>
    <row r="15" spans="2:47" x14ac:dyDescent="0.2">
      <c r="B15" s="130" t="s">
        <v>1135</v>
      </c>
      <c r="C15" s="118">
        <v>0</v>
      </c>
      <c r="D15" s="118">
        <v>0</v>
      </c>
      <c r="E15" s="161">
        <v>0</v>
      </c>
      <c r="F15" s="118">
        <v>0</v>
      </c>
      <c r="G15" s="118">
        <v>0</v>
      </c>
      <c r="H15" s="118">
        <v>0</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18">
        <v>0</v>
      </c>
      <c r="AD15" s="118">
        <v>0</v>
      </c>
      <c r="AE15" s="118">
        <v>833</v>
      </c>
      <c r="AF15" s="118">
        <v>833</v>
      </c>
      <c r="AG15" s="118">
        <v>833</v>
      </c>
      <c r="AH15" s="118">
        <v>833</v>
      </c>
      <c r="AI15" s="118">
        <v>990</v>
      </c>
      <c r="AJ15" s="118">
        <v>990</v>
      </c>
      <c r="AK15" s="118">
        <v>990</v>
      </c>
      <c r="AL15" s="118">
        <v>990</v>
      </c>
      <c r="AM15" s="118">
        <v>262</v>
      </c>
      <c r="AN15" s="118">
        <v>2726</v>
      </c>
      <c r="AO15" s="118">
        <v>2726</v>
      </c>
      <c r="AP15" s="118">
        <v>2726</v>
      </c>
      <c r="AQ15" s="118">
        <v>2475</v>
      </c>
      <c r="AR15" s="118">
        <v>2475</v>
      </c>
      <c r="AS15" s="118">
        <v>2475</v>
      </c>
      <c r="AT15" s="118">
        <v>2475</v>
      </c>
      <c r="AU15" s="118">
        <v>1856</v>
      </c>
    </row>
    <row r="16" spans="2:47" x14ac:dyDescent="0.2">
      <c r="B16" s="130" t="s">
        <v>256</v>
      </c>
      <c r="C16" s="118">
        <v>10850</v>
      </c>
      <c r="D16" s="118">
        <v>12473</v>
      </c>
      <c r="E16" s="161">
        <v>5981</v>
      </c>
      <c r="F16" s="118">
        <v>7516</v>
      </c>
      <c r="G16" s="118">
        <v>6603</v>
      </c>
      <c r="H16" s="118">
        <v>4827</v>
      </c>
      <c r="I16" s="118">
        <v>6401</v>
      </c>
      <c r="J16" s="118">
        <v>4339</v>
      </c>
      <c r="K16" s="118">
        <v>7400</v>
      </c>
      <c r="L16" s="118">
        <v>7206</v>
      </c>
      <c r="M16" s="118">
        <v>5014</v>
      </c>
      <c r="N16" s="118">
        <v>4630</v>
      </c>
      <c r="O16" s="118">
        <v>5622</v>
      </c>
      <c r="P16" s="118">
        <v>4495</v>
      </c>
      <c r="Q16" s="118">
        <v>3551.2823502000006</v>
      </c>
      <c r="R16" s="118">
        <v>5719.0271699999994</v>
      </c>
      <c r="S16" s="118">
        <v>12214</v>
      </c>
      <c r="T16" s="118">
        <v>10046</v>
      </c>
      <c r="U16" s="118">
        <v>5627</v>
      </c>
      <c r="V16" s="118">
        <v>6236</v>
      </c>
      <c r="W16" s="118">
        <v>7910</v>
      </c>
      <c r="X16" s="118">
        <v>8082</v>
      </c>
      <c r="Y16" s="118">
        <v>7130</v>
      </c>
      <c r="Z16" s="118">
        <v>10089</v>
      </c>
      <c r="AA16" s="118">
        <v>8980</v>
      </c>
      <c r="AB16" s="118">
        <v>7650</v>
      </c>
      <c r="AC16" s="118">
        <v>8137</v>
      </c>
      <c r="AD16" s="118">
        <v>8129</v>
      </c>
      <c r="AE16" s="118">
        <v>8932</v>
      </c>
      <c r="AF16" s="118">
        <v>8383</v>
      </c>
      <c r="AG16" s="118">
        <v>8615</v>
      </c>
      <c r="AH16" s="118">
        <v>9100</v>
      </c>
      <c r="AI16" s="118">
        <v>7899</v>
      </c>
      <c r="AJ16" s="118">
        <v>8237</v>
      </c>
      <c r="AK16" s="118">
        <v>8270</v>
      </c>
      <c r="AL16" s="118">
        <v>7685</v>
      </c>
      <c r="AM16" s="118">
        <v>3519</v>
      </c>
      <c r="AN16" s="118">
        <v>7417</v>
      </c>
      <c r="AO16" s="118">
        <v>7827</v>
      </c>
      <c r="AP16" s="118">
        <v>7654</v>
      </c>
      <c r="AQ16" s="118">
        <v>7765</v>
      </c>
      <c r="AR16" s="118">
        <v>7843</v>
      </c>
      <c r="AS16" s="118">
        <v>7940</v>
      </c>
      <c r="AT16" s="118">
        <v>19091</v>
      </c>
      <c r="AU16" s="118">
        <v>10731</v>
      </c>
    </row>
    <row r="17" spans="2:47" s="312" customFormat="1" hidden="1" outlineLevel="1" x14ac:dyDescent="0.2">
      <c r="B17" s="319" t="s">
        <v>528</v>
      </c>
      <c r="C17" s="313">
        <v>2874</v>
      </c>
      <c r="D17" s="313">
        <v>1242</v>
      </c>
      <c r="E17" s="320">
        <v>1098</v>
      </c>
      <c r="F17" s="313">
        <v>1516</v>
      </c>
      <c r="G17" s="313">
        <v>144</v>
      </c>
      <c r="H17" s="313">
        <v>153</v>
      </c>
      <c r="I17" s="313">
        <v>0</v>
      </c>
      <c r="J17" s="313">
        <v>0</v>
      </c>
      <c r="K17" s="313">
        <v>0</v>
      </c>
      <c r="L17" s="313">
        <v>0</v>
      </c>
      <c r="M17" s="313">
        <v>0</v>
      </c>
      <c r="N17" s="313">
        <v>0</v>
      </c>
      <c r="O17" s="313">
        <v>0</v>
      </c>
      <c r="P17" s="313">
        <v>0</v>
      </c>
      <c r="Q17" s="313">
        <v>0</v>
      </c>
      <c r="R17" s="313">
        <v>0</v>
      </c>
      <c r="S17" s="313">
        <v>0</v>
      </c>
      <c r="T17" s="313">
        <v>0</v>
      </c>
      <c r="U17" s="313">
        <v>0</v>
      </c>
      <c r="V17" s="313">
        <v>0</v>
      </c>
      <c r="W17" s="313">
        <v>0</v>
      </c>
      <c r="X17" s="313">
        <v>0</v>
      </c>
      <c r="Y17" s="313"/>
      <c r="Z17" s="313">
        <v>0</v>
      </c>
      <c r="AA17" s="313">
        <v>0</v>
      </c>
      <c r="AB17" s="313">
        <v>0</v>
      </c>
      <c r="AC17" s="313">
        <v>0</v>
      </c>
      <c r="AD17" s="313">
        <v>0</v>
      </c>
      <c r="AE17" s="313">
        <v>0</v>
      </c>
      <c r="AF17" s="313">
        <v>0</v>
      </c>
      <c r="AG17" s="313">
        <v>0</v>
      </c>
      <c r="AH17" s="313">
        <v>0</v>
      </c>
      <c r="AI17" s="313"/>
      <c r="AJ17" s="313">
        <v>0</v>
      </c>
      <c r="AK17" s="313">
        <v>0</v>
      </c>
      <c r="AL17" s="313">
        <v>0</v>
      </c>
      <c r="AM17" s="313">
        <v>0</v>
      </c>
      <c r="AN17" s="313">
        <v>0</v>
      </c>
      <c r="AO17" s="313">
        <v>0</v>
      </c>
      <c r="AP17" s="313">
        <v>0</v>
      </c>
      <c r="AQ17" s="313">
        <v>0</v>
      </c>
      <c r="AR17" s="313">
        <v>0</v>
      </c>
      <c r="AS17" s="313"/>
      <c r="AT17" s="313"/>
      <c r="AU17" s="313">
        <v>0</v>
      </c>
    </row>
    <row r="18" spans="2:47" s="312" customFormat="1" hidden="1" outlineLevel="1" x14ac:dyDescent="0.2">
      <c r="B18" s="319" t="s">
        <v>523</v>
      </c>
      <c r="C18" s="313">
        <v>0</v>
      </c>
      <c r="D18" s="313">
        <v>0</v>
      </c>
      <c r="E18" s="320">
        <v>-10946</v>
      </c>
      <c r="F18" s="313">
        <v>4068</v>
      </c>
      <c r="G18" s="313">
        <v>0</v>
      </c>
      <c r="H18" s="313">
        <v>0</v>
      </c>
      <c r="I18" s="313">
        <v>0</v>
      </c>
      <c r="J18" s="313">
        <v>0</v>
      </c>
      <c r="K18" s="313">
        <v>0</v>
      </c>
      <c r="L18" s="313">
        <v>0</v>
      </c>
      <c r="M18" s="313">
        <v>0</v>
      </c>
      <c r="N18" s="313">
        <v>0</v>
      </c>
      <c r="O18" s="313">
        <v>0</v>
      </c>
      <c r="P18" s="313">
        <v>0</v>
      </c>
      <c r="Q18" s="313">
        <v>0</v>
      </c>
      <c r="R18" s="313">
        <v>0</v>
      </c>
      <c r="S18" s="313">
        <v>0</v>
      </c>
      <c r="T18" s="313">
        <v>0</v>
      </c>
      <c r="U18" s="313">
        <v>0</v>
      </c>
      <c r="V18" s="313">
        <v>0</v>
      </c>
      <c r="W18" s="313">
        <v>0</v>
      </c>
      <c r="X18" s="313">
        <v>0</v>
      </c>
      <c r="Y18" s="313"/>
      <c r="Z18" s="313">
        <v>0</v>
      </c>
      <c r="AA18" s="313">
        <v>0</v>
      </c>
      <c r="AB18" s="313">
        <v>0</v>
      </c>
      <c r="AC18" s="313">
        <v>0</v>
      </c>
      <c r="AD18" s="313">
        <v>0</v>
      </c>
      <c r="AE18" s="313">
        <v>0</v>
      </c>
      <c r="AF18" s="313">
        <v>0</v>
      </c>
      <c r="AG18" s="313">
        <v>0</v>
      </c>
      <c r="AH18" s="313">
        <v>0</v>
      </c>
      <c r="AI18" s="313"/>
      <c r="AJ18" s="313">
        <v>0</v>
      </c>
      <c r="AK18" s="313">
        <v>0</v>
      </c>
      <c r="AL18" s="313">
        <v>0</v>
      </c>
      <c r="AM18" s="313">
        <v>0</v>
      </c>
      <c r="AN18" s="313">
        <v>0</v>
      </c>
      <c r="AO18" s="313">
        <v>0</v>
      </c>
      <c r="AP18" s="313">
        <v>0</v>
      </c>
      <c r="AQ18" s="313">
        <v>0</v>
      </c>
      <c r="AR18" s="313">
        <v>0</v>
      </c>
      <c r="AS18" s="313"/>
      <c r="AT18" s="313"/>
      <c r="AU18" s="313">
        <v>0</v>
      </c>
    </row>
    <row r="19" spans="2:47" s="312" customFormat="1" hidden="1" outlineLevel="1" x14ac:dyDescent="0.2">
      <c r="B19" s="319" t="s">
        <v>524</v>
      </c>
      <c r="C19" s="313">
        <v>0</v>
      </c>
      <c r="D19" s="313">
        <v>0</v>
      </c>
      <c r="E19" s="320">
        <v>0</v>
      </c>
      <c r="F19" s="313">
        <v>0</v>
      </c>
      <c r="G19" s="313">
        <v>0</v>
      </c>
      <c r="H19" s="313">
        <v>0</v>
      </c>
      <c r="I19" s="313">
        <v>0</v>
      </c>
      <c r="J19" s="313">
        <v>0</v>
      </c>
      <c r="K19" s="313">
        <v>0</v>
      </c>
      <c r="L19" s="313">
        <v>0</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c r="AQ19" s="313">
        <v>0</v>
      </c>
      <c r="AR19" s="313">
        <v>0</v>
      </c>
      <c r="AS19" s="313"/>
      <c r="AT19" s="313"/>
      <c r="AU19" s="313">
        <v>0</v>
      </c>
    </row>
    <row r="20" spans="2:47" s="312" customFormat="1" hidden="1" outlineLevel="1" x14ac:dyDescent="0.2">
      <c r="B20" s="319" t="s">
        <v>529</v>
      </c>
      <c r="C20" s="313">
        <v>14612</v>
      </c>
      <c r="D20" s="313">
        <v>13406</v>
      </c>
      <c r="E20" s="320">
        <v>24478</v>
      </c>
      <c r="F20" s="313">
        <v>13077</v>
      </c>
      <c r="G20" s="313">
        <v>11185</v>
      </c>
      <c r="H20" s="313">
        <v>9293</v>
      </c>
      <c r="I20" s="313">
        <v>7401</v>
      </c>
      <c r="J20" s="313">
        <v>5509</v>
      </c>
      <c r="K20" s="313">
        <v>0</v>
      </c>
      <c r="L20" s="313">
        <v>0</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c r="AQ20" s="313">
        <v>0</v>
      </c>
      <c r="AR20" s="313">
        <v>0</v>
      </c>
      <c r="AS20" s="313"/>
      <c r="AT20" s="313"/>
      <c r="AU20" s="313">
        <v>0</v>
      </c>
    </row>
    <row r="21" spans="2:47" collapsed="1" x14ac:dyDescent="0.2">
      <c r="B21" s="127" t="s">
        <v>86</v>
      </c>
      <c r="C21" s="120">
        <f t="shared" ref="C21:J21" si="0">SUM(C6:C20)</f>
        <v>95517</v>
      </c>
      <c r="D21" s="120">
        <f t="shared" si="0"/>
        <v>98274</v>
      </c>
      <c r="E21" s="163">
        <f t="shared" si="0"/>
        <v>51278</v>
      </c>
      <c r="F21" s="120">
        <f t="shared" si="0"/>
        <v>56362</v>
      </c>
      <c r="G21" s="120">
        <f t="shared" si="0"/>
        <v>45006</v>
      </c>
      <c r="H21" s="120">
        <f t="shared" si="0"/>
        <v>44210</v>
      </c>
      <c r="I21" s="120">
        <f t="shared" si="0"/>
        <v>42123</v>
      </c>
      <c r="J21" s="120">
        <f t="shared" si="0"/>
        <v>40316</v>
      </c>
      <c r="K21" s="120">
        <f>SUM(K6:K16)</f>
        <v>41334</v>
      </c>
      <c r="L21" s="120">
        <f>SUM(L6:L16)</f>
        <v>42242</v>
      </c>
      <c r="M21" s="120">
        <f>SUM(M6:M16)</f>
        <v>40549</v>
      </c>
      <c r="N21" s="120">
        <f t="shared" ref="N21:AA21" si="1">SUM(N6:N20)</f>
        <v>38795</v>
      </c>
      <c r="O21" s="120">
        <f t="shared" si="1"/>
        <v>39459</v>
      </c>
      <c r="P21" s="120">
        <f t="shared" si="1"/>
        <v>40255</v>
      </c>
      <c r="Q21" s="120">
        <f t="shared" si="1"/>
        <v>45970.528785850343</v>
      </c>
      <c r="R21" s="120">
        <f t="shared" si="1"/>
        <v>49265.50898869033</v>
      </c>
      <c r="S21" s="120">
        <f t="shared" si="1"/>
        <v>68890</v>
      </c>
      <c r="T21" s="120">
        <f t="shared" si="1"/>
        <v>47487</v>
      </c>
      <c r="U21" s="120">
        <f t="shared" si="1"/>
        <v>45720</v>
      </c>
      <c r="V21" s="120">
        <f t="shared" si="1"/>
        <v>45581</v>
      </c>
      <c r="W21" s="120">
        <f t="shared" si="1"/>
        <v>50669</v>
      </c>
      <c r="X21" s="120">
        <f t="shared" si="1"/>
        <v>46673</v>
      </c>
      <c r="Y21" s="120">
        <f t="shared" si="1"/>
        <v>46205</v>
      </c>
      <c r="Z21" s="120">
        <f t="shared" si="1"/>
        <v>47837</v>
      </c>
      <c r="AA21" s="120">
        <f t="shared" si="1"/>
        <v>42020</v>
      </c>
      <c r="AB21" s="120">
        <f t="shared" ref="AB21:AJ21" si="2">SUM(AB6:AB20)</f>
        <v>36800</v>
      </c>
      <c r="AC21" s="120">
        <f t="shared" si="2"/>
        <v>44796</v>
      </c>
      <c r="AD21" s="120">
        <f t="shared" si="2"/>
        <v>42057</v>
      </c>
      <c r="AE21" s="120">
        <f t="shared" si="2"/>
        <v>42533</v>
      </c>
      <c r="AF21" s="120">
        <f t="shared" si="2"/>
        <v>38102</v>
      </c>
      <c r="AG21" s="120">
        <f t="shared" si="2"/>
        <v>37792</v>
      </c>
      <c r="AH21" s="120">
        <f t="shared" si="2"/>
        <v>36068</v>
      </c>
      <c r="AI21" s="120">
        <f t="shared" si="2"/>
        <v>35374</v>
      </c>
      <c r="AJ21" s="120">
        <f t="shared" si="2"/>
        <v>33753</v>
      </c>
      <c r="AK21" s="120">
        <f t="shared" ref="AK21:AP21" si="3">SUM(AK6:AK20)</f>
        <v>33784</v>
      </c>
      <c r="AL21" s="120">
        <f t="shared" si="3"/>
        <v>36598</v>
      </c>
      <c r="AM21" s="120">
        <f t="shared" si="3"/>
        <v>32983</v>
      </c>
      <c r="AN21" s="120">
        <f t="shared" si="3"/>
        <v>34632</v>
      </c>
      <c r="AO21" s="120">
        <f t="shared" si="3"/>
        <v>33918</v>
      </c>
      <c r="AP21" s="120">
        <f t="shared" si="3"/>
        <v>33818</v>
      </c>
      <c r="AQ21" s="120">
        <f>SUM(AQ6:AQ20)</f>
        <v>33717</v>
      </c>
      <c r="AR21" s="120">
        <f>SUM(AR6:AR20)</f>
        <v>30771</v>
      </c>
      <c r="AS21" s="120">
        <f>SUM(AS6:AS20)</f>
        <v>34941</v>
      </c>
      <c r="AT21" s="120">
        <f>SUM(AT6:AT20)</f>
        <v>37000</v>
      </c>
      <c r="AU21" s="120">
        <f>SUM(AU6:AU20)</f>
        <v>37568</v>
      </c>
    </row>
    <row r="22" spans="2:47" x14ac:dyDescent="0.2">
      <c r="B22" s="130" t="s">
        <v>530</v>
      </c>
      <c r="C22" s="118">
        <v>-35578</v>
      </c>
      <c r="D22" s="118">
        <v>-37562</v>
      </c>
      <c r="E22" s="161">
        <v>-26858</v>
      </c>
      <c r="F22" s="118">
        <v>-27589</v>
      </c>
      <c r="G22" s="118">
        <v>-28320</v>
      </c>
      <c r="H22" s="118">
        <v>-29050</v>
      </c>
      <c r="I22" s="118">
        <v>-29781</v>
      </c>
      <c r="J22" s="118">
        <v>-30512</v>
      </c>
      <c r="K22" s="118">
        <v>-20459</v>
      </c>
      <c r="L22" s="118">
        <v>-20459</v>
      </c>
      <c r="M22" s="118">
        <v>-20459</v>
      </c>
      <c r="N22" s="118">
        <v>-20459</v>
      </c>
      <c r="O22" s="118">
        <v>-20459</v>
      </c>
      <c r="P22" s="118">
        <v>-20459</v>
      </c>
      <c r="Q22" s="118">
        <v>-20459</v>
      </c>
      <c r="R22" s="118">
        <v>-20459.16150242856</v>
      </c>
      <c r="S22" s="118">
        <v>-20459</v>
      </c>
      <c r="T22" s="118">
        <v>-20459</v>
      </c>
      <c r="U22" s="118">
        <v>-20459</v>
      </c>
      <c r="V22" s="118">
        <v>-20459</v>
      </c>
      <c r="W22" s="118">
        <v>-20459</v>
      </c>
      <c r="X22" s="118">
        <v>-20459</v>
      </c>
      <c r="Y22" s="118">
        <v>-20459</v>
      </c>
      <c r="Z22" s="118">
        <v>-20459</v>
      </c>
      <c r="AA22" s="118">
        <v>-20459</v>
      </c>
      <c r="AB22" s="118">
        <v>-20459</v>
      </c>
      <c r="AC22" s="118">
        <v>-20459</v>
      </c>
      <c r="AD22" s="118">
        <v>-20459</v>
      </c>
      <c r="AE22" s="118">
        <v>-20459</v>
      </c>
      <c r="AF22" s="118">
        <v>-20459</v>
      </c>
      <c r="AG22" s="118">
        <v>-20459</v>
      </c>
      <c r="AH22" s="118">
        <v>-20459</v>
      </c>
      <c r="AI22" s="118">
        <v>-20459</v>
      </c>
      <c r="AJ22" s="118">
        <v>-20459</v>
      </c>
      <c r="AK22" s="118">
        <v>-20459</v>
      </c>
      <c r="AL22" s="118">
        <v>-20459</v>
      </c>
      <c r="AM22" s="118">
        <v>-20459</v>
      </c>
      <c r="AN22" s="118">
        <v>-20459</v>
      </c>
      <c r="AO22" s="118">
        <v>-20459</v>
      </c>
      <c r="AP22" s="118">
        <v>-20459</v>
      </c>
      <c r="AQ22" s="118">
        <v>-20459</v>
      </c>
      <c r="AR22" s="118">
        <v>-20459</v>
      </c>
      <c r="AS22" s="118">
        <v>-20459</v>
      </c>
      <c r="AT22" s="118">
        <v>-20459</v>
      </c>
      <c r="AU22" s="118">
        <v>-20459</v>
      </c>
    </row>
    <row r="23" spans="2:47" x14ac:dyDescent="0.2">
      <c r="B23" s="130" t="s">
        <v>531</v>
      </c>
      <c r="C23" s="118">
        <v>-16016</v>
      </c>
      <c r="D23" s="118">
        <v>-18080</v>
      </c>
      <c r="E23" s="161">
        <v>-10316</v>
      </c>
      <c r="F23" s="118">
        <v>-18591</v>
      </c>
      <c r="G23" s="118">
        <v>-19649</v>
      </c>
      <c r="H23" s="118">
        <v>-19900</v>
      </c>
      <c r="I23" s="118">
        <v>-19867</v>
      </c>
      <c r="J23" s="118">
        <v>-19985</v>
      </c>
      <c r="K23" s="118">
        <v>-19639</v>
      </c>
      <c r="L23" s="118">
        <v>-19190</v>
      </c>
      <c r="M23" s="118">
        <v>-18120</v>
      </c>
      <c r="N23" s="118">
        <v>-17746</v>
      </c>
      <c r="O23" s="118">
        <v>-17541</v>
      </c>
      <c r="P23" s="118">
        <v>-17541</v>
      </c>
      <c r="Q23" s="118">
        <v>-17469.500855800005</v>
      </c>
      <c r="R23" s="118">
        <v>-17153.889378800006</v>
      </c>
      <c r="S23" s="118">
        <v>-16751</v>
      </c>
      <c r="T23" s="118">
        <v>-16366</v>
      </c>
      <c r="U23" s="118">
        <v>-16089</v>
      </c>
      <c r="V23" s="118">
        <v>-15775</v>
      </c>
      <c r="W23" s="118">
        <v>-14925</v>
      </c>
      <c r="X23" s="118">
        <v>-14561</v>
      </c>
      <c r="Y23" s="118">
        <v>-14418</v>
      </c>
      <c r="Z23" s="118">
        <v>-14303</v>
      </c>
      <c r="AA23" s="118">
        <v>-7410</v>
      </c>
      <c r="AB23" s="118">
        <v>-7315</v>
      </c>
      <c r="AC23" s="118">
        <v>-7308</v>
      </c>
      <c r="AD23" s="118">
        <v>-7305</v>
      </c>
      <c r="AE23" s="118">
        <v>-7399</v>
      </c>
      <c r="AF23" s="118">
        <v>-7502</v>
      </c>
      <c r="AG23" s="118">
        <v>-7568</v>
      </c>
      <c r="AH23" s="118">
        <v>-7719</v>
      </c>
      <c r="AI23" s="118">
        <v>-7960</v>
      </c>
      <c r="AJ23" s="118">
        <v>-8205</v>
      </c>
      <c r="AK23" s="118">
        <v>-8299</v>
      </c>
      <c r="AL23" s="118">
        <v>-8667</v>
      </c>
      <c r="AM23" s="118">
        <v>-8807</v>
      </c>
      <c r="AN23" s="118">
        <v>-9251</v>
      </c>
      <c r="AO23" s="118">
        <v>-9906</v>
      </c>
      <c r="AP23" s="118">
        <v>-10546</v>
      </c>
      <c r="AQ23" s="118">
        <v>-10947</v>
      </c>
      <c r="AR23" s="118">
        <v>-11273</v>
      </c>
      <c r="AS23" s="118">
        <v>-12146</v>
      </c>
      <c r="AT23" s="118">
        <v>-13008</v>
      </c>
      <c r="AU23" s="118">
        <v>-13873</v>
      </c>
    </row>
    <row r="24" spans="2:47" x14ac:dyDescent="0.2">
      <c r="B24" s="130" t="s">
        <v>256</v>
      </c>
      <c r="C24" s="118">
        <v>-1749</v>
      </c>
      <c r="D24" s="118">
        <v>-72</v>
      </c>
      <c r="E24" s="161">
        <v>-8171</v>
      </c>
      <c r="F24" s="118">
        <v>-236</v>
      </c>
      <c r="G24" s="118">
        <v>-1749</v>
      </c>
      <c r="H24" s="118">
        <v>-1749</v>
      </c>
      <c r="I24" s="118">
        <v>-1749</v>
      </c>
      <c r="J24" s="118">
        <v>-1749</v>
      </c>
      <c r="K24" s="118">
        <v>-1749</v>
      </c>
      <c r="L24" s="118">
        <v>-1749</v>
      </c>
      <c r="M24" s="118">
        <v>-1749</v>
      </c>
      <c r="N24" s="118">
        <v>-1749</v>
      </c>
      <c r="O24" s="118">
        <v>-1749</v>
      </c>
      <c r="P24" s="118">
        <v>-1749</v>
      </c>
      <c r="Q24" s="118">
        <v>-1749</v>
      </c>
      <c r="R24" s="118">
        <v>-1749.4986586000002</v>
      </c>
      <c r="S24" s="118">
        <v>-1749</v>
      </c>
      <c r="T24" s="118">
        <v>-1749</v>
      </c>
      <c r="U24" s="118">
        <v>-1749</v>
      </c>
      <c r="V24" s="118">
        <v>-1749</v>
      </c>
      <c r="W24" s="118">
        <v>1749</v>
      </c>
      <c r="X24" s="118">
        <v>-1749</v>
      </c>
      <c r="Y24" s="118">
        <v>-1749</v>
      </c>
      <c r="Z24" s="118">
        <v>-1749</v>
      </c>
      <c r="AA24" s="118">
        <v>0</v>
      </c>
      <c r="AB24" s="118">
        <v>0</v>
      </c>
      <c r="AC24" s="118">
        <v>0</v>
      </c>
      <c r="AD24" s="118">
        <v>0</v>
      </c>
      <c r="AE24" s="118">
        <v>0</v>
      </c>
      <c r="AF24" s="118">
        <v>0</v>
      </c>
      <c r="AG24" s="118">
        <v>-3501</v>
      </c>
      <c r="AH24" s="118">
        <v>-2062</v>
      </c>
      <c r="AI24" s="118">
        <v>-3268</v>
      </c>
      <c r="AJ24" s="118">
        <v>-3326</v>
      </c>
      <c r="AK24" s="118">
        <v>-3249</v>
      </c>
      <c r="AL24" s="118">
        <v>-4744</v>
      </c>
      <c r="AM24" s="118">
        <v>-6938</v>
      </c>
      <c r="AN24" s="118">
        <v>-3531</v>
      </c>
      <c r="AO24" s="118">
        <v>-3553</v>
      </c>
      <c r="AP24" s="118">
        <v>-1491</v>
      </c>
      <c r="AQ24" s="118">
        <v>-1491</v>
      </c>
      <c r="AR24" s="118">
        <v>-1565</v>
      </c>
      <c r="AS24" s="118">
        <v>-1636</v>
      </c>
      <c r="AT24" s="118">
        <v>-1564</v>
      </c>
      <c r="AU24" s="118">
        <v>-1662</v>
      </c>
    </row>
    <row r="25" spans="2:47" s="312" customFormat="1" hidden="1" outlineLevel="1" x14ac:dyDescent="0.2">
      <c r="B25" s="319" t="s">
        <v>87</v>
      </c>
      <c r="C25" s="313">
        <v>-14754</v>
      </c>
      <c r="D25" s="313">
        <v>-7104</v>
      </c>
      <c r="E25" s="320">
        <v>0</v>
      </c>
      <c r="F25" s="313">
        <v>-2842</v>
      </c>
      <c r="G25" s="313">
        <v>-5448</v>
      </c>
      <c r="H25" s="313">
        <v>-6519</v>
      </c>
      <c r="I25" s="313">
        <v>0</v>
      </c>
      <c r="J25" s="313">
        <v>0</v>
      </c>
      <c r="K25" s="313">
        <v>0</v>
      </c>
      <c r="L25" s="313">
        <v>0</v>
      </c>
      <c r="M25" s="313">
        <v>0</v>
      </c>
      <c r="N25" s="313">
        <v>0</v>
      </c>
      <c r="O25" s="313">
        <v>0</v>
      </c>
      <c r="P25" s="313">
        <v>0</v>
      </c>
      <c r="Q25" s="313">
        <v>0</v>
      </c>
      <c r="R25" s="313">
        <v>0</v>
      </c>
      <c r="S25" s="313">
        <v>0</v>
      </c>
      <c r="T25" s="313">
        <v>0</v>
      </c>
      <c r="U25" s="313">
        <v>0</v>
      </c>
      <c r="V25" s="313">
        <v>0</v>
      </c>
      <c r="W25" s="313">
        <v>0</v>
      </c>
      <c r="X25" s="313">
        <v>0</v>
      </c>
      <c r="Y25" s="313"/>
      <c r="Z25" s="313">
        <v>0</v>
      </c>
      <c r="AA25" s="313">
        <v>0</v>
      </c>
      <c r="AB25" s="313">
        <v>0</v>
      </c>
      <c r="AC25" s="313">
        <v>0</v>
      </c>
      <c r="AD25" s="313">
        <v>0</v>
      </c>
      <c r="AE25" s="313">
        <v>0</v>
      </c>
      <c r="AF25" s="313">
        <v>0</v>
      </c>
      <c r="AG25" s="313">
        <v>0</v>
      </c>
      <c r="AH25" s="313">
        <v>0</v>
      </c>
      <c r="AI25" s="313"/>
      <c r="AJ25" s="313">
        <v>0</v>
      </c>
      <c r="AK25" s="313">
        <v>0</v>
      </c>
      <c r="AL25" s="313">
        <v>0</v>
      </c>
      <c r="AM25" s="313">
        <v>0</v>
      </c>
      <c r="AN25" s="313">
        <v>0</v>
      </c>
      <c r="AO25" s="313">
        <v>0</v>
      </c>
      <c r="AP25" s="313">
        <v>0</v>
      </c>
      <c r="AQ25" s="313">
        <v>0</v>
      </c>
      <c r="AR25" s="313">
        <v>0</v>
      </c>
      <c r="AS25" s="313"/>
      <c r="AT25" s="313"/>
      <c r="AU25" s="313">
        <v>0</v>
      </c>
    </row>
    <row r="26" spans="2:47" collapsed="1" x14ac:dyDescent="0.2">
      <c r="B26" s="127" t="s">
        <v>86</v>
      </c>
      <c r="C26" s="120">
        <f t="shared" ref="C26:H26" si="4">SUM(C22:C25)</f>
        <v>-68097</v>
      </c>
      <c r="D26" s="120">
        <f t="shared" si="4"/>
        <v>-62818</v>
      </c>
      <c r="E26" s="163">
        <f t="shared" si="4"/>
        <v>-45345</v>
      </c>
      <c r="F26" s="120">
        <f t="shared" si="4"/>
        <v>-49258</v>
      </c>
      <c r="G26" s="120">
        <f t="shared" si="4"/>
        <v>-55166</v>
      </c>
      <c r="H26" s="120">
        <f t="shared" si="4"/>
        <v>-57218</v>
      </c>
      <c r="I26" s="120">
        <f t="shared" ref="I26:Q26" si="5">SUM(I22:I24)</f>
        <v>-51397</v>
      </c>
      <c r="J26" s="120">
        <f t="shared" si="5"/>
        <v>-52246</v>
      </c>
      <c r="K26" s="120">
        <f t="shared" si="5"/>
        <v>-41847</v>
      </c>
      <c r="L26" s="120">
        <f t="shared" si="5"/>
        <v>-41398</v>
      </c>
      <c r="M26" s="120">
        <f t="shared" si="5"/>
        <v>-40328</v>
      </c>
      <c r="N26" s="120">
        <f t="shared" si="5"/>
        <v>-39954</v>
      </c>
      <c r="O26" s="120">
        <f t="shared" si="5"/>
        <v>-39749</v>
      </c>
      <c r="P26" s="120">
        <f t="shared" si="5"/>
        <v>-39749</v>
      </c>
      <c r="Q26" s="120">
        <f t="shared" si="5"/>
        <v>-39677.500855800005</v>
      </c>
      <c r="R26" s="120">
        <f t="shared" ref="R26:X26" si="6">SUM(R22:R24)</f>
        <v>-39362.549539828571</v>
      </c>
      <c r="S26" s="120">
        <f t="shared" si="6"/>
        <v>-38959</v>
      </c>
      <c r="T26" s="120">
        <f t="shared" si="6"/>
        <v>-38574</v>
      </c>
      <c r="U26" s="120">
        <f t="shared" si="6"/>
        <v>-38297</v>
      </c>
      <c r="V26" s="120">
        <f t="shared" si="6"/>
        <v>-37983</v>
      </c>
      <c r="W26" s="120">
        <f t="shared" si="6"/>
        <v>-33635</v>
      </c>
      <c r="X26" s="120">
        <f t="shared" si="6"/>
        <v>-36769</v>
      </c>
      <c r="Y26" s="120">
        <f t="shared" ref="Y26:AD26" si="7">SUM(Y22:Y24)</f>
        <v>-36626</v>
      </c>
      <c r="Z26" s="120">
        <f t="shared" si="7"/>
        <v>-36511</v>
      </c>
      <c r="AA26" s="120">
        <f t="shared" si="7"/>
        <v>-27869</v>
      </c>
      <c r="AB26" s="120">
        <f t="shared" si="7"/>
        <v>-27774</v>
      </c>
      <c r="AC26" s="120">
        <f t="shared" si="7"/>
        <v>-27767</v>
      </c>
      <c r="AD26" s="120">
        <f t="shared" si="7"/>
        <v>-27764</v>
      </c>
      <c r="AE26" s="120">
        <f t="shared" ref="AE26:AJ26" si="8">SUM(AE22:AE24)</f>
        <v>-27858</v>
      </c>
      <c r="AF26" s="120">
        <f t="shared" si="8"/>
        <v>-27961</v>
      </c>
      <c r="AG26" s="120">
        <f t="shared" si="8"/>
        <v>-31528</v>
      </c>
      <c r="AH26" s="120">
        <f t="shared" si="8"/>
        <v>-30240</v>
      </c>
      <c r="AI26" s="120">
        <f t="shared" si="8"/>
        <v>-31687</v>
      </c>
      <c r="AJ26" s="120">
        <f t="shared" si="8"/>
        <v>-31990</v>
      </c>
      <c r="AK26" s="120">
        <f t="shared" ref="AK26:AP26" si="9">SUM(AK22:AK24)</f>
        <v>-32007</v>
      </c>
      <c r="AL26" s="120">
        <f t="shared" si="9"/>
        <v>-33870</v>
      </c>
      <c r="AM26" s="120">
        <f t="shared" si="9"/>
        <v>-36204</v>
      </c>
      <c r="AN26" s="120">
        <f t="shared" si="9"/>
        <v>-33241</v>
      </c>
      <c r="AO26" s="120">
        <f t="shared" si="9"/>
        <v>-33918</v>
      </c>
      <c r="AP26" s="120">
        <f t="shared" si="9"/>
        <v>-32496</v>
      </c>
      <c r="AQ26" s="120">
        <f>SUM(AQ22:AQ24)</f>
        <v>-32897</v>
      </c>
      <c r="AR26" s="120">
        <f>SUM(AR22:AR24)</f>
        <v>-33297</v>
      </c>
      <c r="AS26" s="120">
        <f>SUM(AS22:AS24)</f>
        <v>-34241</v>
      </c>
      <c r="AT26" s="120">
        <f>SUM(AT22:AT24)</f>
        <v>-35031</v>
      </c>
      <c r="AU26" s="120">
        <f>SUM(AU22:AU24)</f>
        <v>-35994</v>
      </c>
    </row>
    <row r="27" spans="2:47" x14ac:dyDescent="0.2">
      <c r="B27" s="127" t="s">
        <v>36</v>
      </c>
      <c r="C27" s="120">
        <f t="shared" ref="C27:Q27" si="10">C26+C21</f>
        <v>27420</v>
      </c>
      <c r="D27" s="120">
        <f t="shared" si="10"/>
        <v>35456</v>
      </c>
      <c r="E27" s="163">
        <f t="shared" si="10"/>
        <v>5933</v>
      </c>
      <c r="F27" s="120">
        <f t="shared" si="10"/>
        <v>7104</v>
      </c>
      <c r="G27" s="120">
        <f t="shared" si="10"/>
        <v>-10160</v>
      </c>
      <c r="H27" s="120">
        <f t="shared" si="10"/>
        <v>-13008</v>
      </c>
      <c r="I27" s="120">
        <f t="shared" si="10"/>
        <v>-9274</v>
      </c>
      <c r="J27" s="120">
        <f t="shared" si="10"/>
        <v>-11930</v>
      </c>
      <c r="K27" s="120">
        <f t="shared" si="10"/>
        <v>-513</v>
      </c>
      <c r="L27" s="120">
        <f t="shared" si="10"/>
        <v>844</v>
      </c>
      <c r="M27" s="120">
        <f t="shared" si="10"/>
        <v>221</v>
      </c>
      <c r="N27" s="120">
        <f t="shared" si="10"/>
        <v>-1159</v>
      </c>
      <c r="O27" s="120">
        <f t="shared" si="10"/>
        <v>-290</v>
      </c>
      <c r="P27" s="120">
        <f t="shared" si="10"/>
        <v>506</v>
      </c>
      <c r="Q27" s="120">
        <f t="shared" si="10"/>
        <v>6293.0279300503389</v>
      </c>
      <c r="R27" s="120">
        <f t="shared" ref="R27:X27" si="11">R26+R21</f>
        <v>9902.9594488617586</v>
      </c>
      <c r="S27" s="120">
        <f t="shared" si="11"/>
        <v>29931</v>
      </c>
      <c r="T27" s="120">
        <f t="shared" si="11"/>
        <v>8913</v>
      </c>
      <c r="U27" s="120">
        <f t="shared" si="11"/>
        <v>7423</v>
      </c>
      <c r="V27" s="120">
        <f t="shared" si="11"/>
        <v>7598</v>
      </c>
      <c r="W27" s="120">
        <f t="shared" si="11"/>
        <v>17034</v>
      </c>
      <c r="X27" s="120">
        <f t="shared" si="11"/>
        <v>9904</v>
      </c>
      <c r="Y27" s="120">
        <f t="shared" ref="Y27:AD27" si="12">Y26+Y21</f>
        <v>9579</v>
      </c>
      <c r="Z27" s="120">
        <f t="shared" si="12"/>
        <v>11326</v>
      </c>
      <c r="AA27" s="120">
        <f t="shared" si="12"/>
        <v>14151</v>
      </c>
      <c r="AB27" s="120">
        <f t="shared" si="12"/>
        <v>9026</v>
      </c>
      <c r="AC27" s="120">
        <f t="shared" si="12"/>
        <v>17029</v>
      </c>
      <c r="AD27" s="120">
        <f t="shared" si="12"/>
        <v>14293</v>
      </c>
      <c r="AE27" s="120">
        <f t="shared" ref="AE27:AJ27" si="13">AE26+AE21</f>
        <v>14675</v>
      </c>
      <c r="AF27" s="120">
        <f t="shared" si="13"/>
        <v>10141</v>
      </c>
      <c r="AG27" s="120">
        <f t="shared" si="13"/>
        <v>6264</v>
      </c>
      <c r="AH27" s="120">
        <f t="shared" si="13"/>
        <v>5828</v>
      </c>
      <c r="AI27" s="120">
        <f t="shared" si="13"/>
        <v>3687</v>
      </c>
      <c r="AJ27" s="120">
        <f t="shared" si="13"/>
        <v>1763</v>
      </c>
      <c r="AK27" s="120">
        <f t="shared" ref="AK27:AP27" si="14">AK26+AK21</f>
        <v>1777</v>
      </c>
      <c r="AL27" s="120">
        <f t="shared" si="14"/>
        <v>2728</v>
      </c>
      <c r="AM27" s="120">
        <f t="shared" si="14"/>
        <v>-3221</v>
      </c>
      <c r="AN27" s="120">
        <f t="shared" si="14"/>
        <v>1391</v>
      </c>
      <c r="AO27" s="120">
        <f t="shared" si="14"/>
        <v>0</v>
      </c>
      <c r="AP27" s="120">
        <f t="shared" si="14"/>
        <v>1322</v>
      </c>
      <c r="AQ27" s="120">
        <f>AQ26+AQ21</f>
        <v>820</v>
      </c>
      <c r="AR27" s="120">
        <f>AR26+AR21</f>
        <v>-2526</v>
      </c>
      <c r="AS27" s="120">
        <f>AS26+AS21</f>
        <v>700</v>
      </c>
      <c r="AT27" s="120">
        <f>AT26+AT21</f>
        <v>1969</v>
      </c>
      <c r="AU27" s="120">
        <f>AU26+AU21</f>
        <v>1574</v>
      </c>
    </row>
    <row r="29" spans="2:47" x14ac:dyDescent="0.2">
      <c r="B29" s="115" t="s">
        <v>28</v>
      </c>
      <c r="C29" s="115" t="str">
        <f t="shared" ref="C29:AA29" si="15">C5</f>
        <v>2013</v>
      </c>
      <c r="D29" s="115" t="str">
        <f t="shared" si="15"/>
        <v>1Q14</v>
      </c>
      <c r="E29" s="223" t="str">
        <f t="shared" si="15"/>
        <v>2Q14</v>
      </c>
      <c r="F29" s="115" t="str">
        <f t="shared" si="15"/>
        <v>3Q14</v>
      </c>
      <c r="G29" s="115" t="str">
        <f t="shared" si="15"/>
        <v>4Q14</v>
      </c>
      <c r="H29" s="115" t="str">
        <f t="shared" si="15"/>
        <v>1Q15</v>
      </c>
      <c r="I29" s="115" t="str">
        <f t="shared" si="15"/>
        <v>2Q15</v>
      </c>
      <c r="J29" s="115" t="str">
        <f t="shared" si="15"/>
        <v>3Q15</v>
      </c>
      <c r="K29" s="115" t="str">
        <f t="shared" si="15"/>
        <v>4Q15</v>
      </c>
      <c r="L29" s="115" t="str">
        <f t="shared" si="15"/>
        <v>1Q16</v>
      </c>
      <c r="M29" s="115" t="str">
        <f t="shared" si="15"/>
        <v>2Q16</v>
      </c>
      <c r="N29" s="115" t="str">
        <f t="shared" si="15"/>
        <v>3Q16</v>
      </c>
      <c r="O29" s="115" t="str">
        <f t="shared" si="15"/>
        <v>4Q16</v>
      </c>
      <c r="P29" s="115" t="str">
        <f t="shared" si="15"/>
        <v>1Q17</v>
      </c>
      <c r="Q29" s="115" t="str">
        <f t="shared" si="15"/>
        <v>2Q17</v>
      </c>
      <c r="R29" s="115" t="str">
        <f t="shared" si="15"/>
        <v>3Q17</v>
      </c>
      <c r="S29" s="115" t="str">
        <f t="shared" si="15"/>
        <v>4Q17</v>
      </c>
      <c r="T29" s="115" t="str">
        <f t="shared" si="15"/>
        <v>1Q18</v>
      </c>
      <c r="U29" s="115" t="str">
        <f t="shared" si="15"/>
        <v>2Q18</v>
      </c>
      <c r="V29" s="115" t="str">
        <f t="shared" si="15"/>
        <v>3Q18</v>
      </c>
      <c r="W29" s="115" t="str">
        <f t="shared" si="15"/>
        <v>4Q18</v>
      </c>
      <c r="X29" s="115" t="str">
        <f t="shared" si="15"/>
        <v>1Q19</v>
      </c>
      <c r="Y29" s="115" t="str">
        <f t="shared" si="15"/>
        <v>2Q19</v>
      </c>
      <c r="Z29" s="115" t="str">
        <f t="shared" si="15"/>
        <v>3Q19</v>
      </c>
      <c r="AA29" s="115" t="str">
        <f t="shared" si="15"/>
        <v>4Q19</v>
      </c>
      <c r="AB29" s="115" t="str">
        <f t="shared" ref="AB29:AJ29" si="16">AB5</f>
        <v>1Q20</v>
      </c>
      <c r="AC29" s="115" t="str">
        <f t="shared" si="16"/>
        <v>2Q20</v>
      </c>
      <c r="AD29" s="115" t="str">
        <f t="shared" si="16"/>
        <v>3Q20</v>
      </c>
      <c r="AE29" s="115" t="str">
        <f t="shared" si="16"/>
        <v>4Q20</v>
      </c>
      <c r="AF29" s="115" t="str">
        <f t="shared" si="16"/>
        <v>1Q21</v>
      </c>
      <c r="AG29" s="115" t="str">
        <f t="shared" si="16"/>
        <v>2Q21</v>
      </c>
      <c r="AH29" s="115" t="str">
        <f t="shared" si="16"/>
        <v>3Q21</v>
      </c>
      <c r="AI29" s="115" t="str">
        <f t="shared" si="16"/>
        <v>4Q21</v>
      </c>
      <c r="AJ29" s="115" t="str">
        <f t="shared" si="16"/>
        <v>1Q22</v>
      </c>
      <c r="AK29" s="115" t="str">
        <f t="shared" ref="AK29:AP29" si="17">AK5</f>
        <v>2Q22</v>
      </c>
      <c r="AL29" s="115" t="str">
        <f t="shared" si="17"/>
        <v>3Q22</v>
      </c>
      <c r="AM29" s="115" t="str">
        <f t="shared" si="17"/>
        <v>4Q22</v>
      </c>
      <c r="AN29" s="115" t="str">
        <f t="shared" si="17"/>
        <v>1Q23</v>
      </c>
      <c r="AO29" s="115" t="str">
        <f t="shared" si="17"/>
        <v>2Q23</v>
      </c>
      <c r="AP29" s="115" t="str">
        <f t="shared" si="17"/>
        <v>3Q23</v>
      </c>
      <c r="AQ29" s="115" t="str">
        <f>AQ5</f>
        <v>4Q23</v>
      </c>
      <c r="AR29" s="115" t="str">
        <f>AR5</f>
        <v>1Q24</v>
      </c>
      <c r="AS29" s="115" t="str">
        <f>AS5</f>
        <v>2Q24</v>
      </c>
      <c r="AT29" s="115" t="str">
        <f>AT5</f>
        <v>3Q24</v>
      </c>
      <c r="AU29" s="115" t="str">
        <f>AU5</f>
        <v>4Q24</v>
      </c>
    </row>
    <row r="30" spans="2:47" x14ac:dyDescent="0.2">
      <c r="B30" s="130" t="s">
        <v>497</v>
      </c>
      <c r="C30" s="118">
        <v>1926</v>
      </c>
      <c r="D30" s="118">
        <v>943</v>
      </c>
      <c r="E30" s="161">
        <v>1371</v>
      </c>
      <c r="F30" s="118">
        <v>1474</v>
      </c>
      <c r="G30" s="118">
        <v>3223</v>
      </c>
      <c r="H30" s="118">
        <v>2798</v>
      </c>
      <c r="I30" s="118">
        <v>1313</v>
      </c>
      <c r="J30" s="118">
        <v>2073</v>
      </c>
      <c r="K30" s="118">
        <v>2359</v>
      </c>
      <c r="L30" s="118">
        <v>2053</v>
      </c>
      <c r="M30" s="118">
        <v>1436</v>
      </c>
      <c r="N30" s="118">
        <v>1947</v>
      </c>
      <c r="O30" s="118">
        <v>2045</v>
      </c>
      <c r="P30" s="118">
        <v>2200</v>
      </c>
      <c r="Q30" s="118">
        <v>1330.5081653999994</v>
      </c>
      <c r="R30" s="118">
        <v>1777.5883093999996</v>
      </c>
      <c r="S30" s="118">
        <v>2385</v>
      </c>
      <c r="T30" s="118">
        <v>1080</v>
      </c>
      <c r="U30" s="118">
        <v>1267</v>
      </c>
      <c r="V30" s="118">
        <v>1769</v>
      </c>
      <c r="W30" s="118">
        <v>2517</v>
      </c>
      <c r="X30" s="118">
        <v>927</v>
      </c>
      <c r="Y30" s="118">
        <v>1547</v>
      </c>
      <c r="Z30" s="118">
        <v>2083</v>
      </c>
      <c r="AA30" s="118">
        <v>2851</v>
      </c>
      <c r="AB30" s="118">
        <v>1217</v>
      </c>
      <c r="AC30" s="118">
        <v>1377</v>
      </c>
      <c r="AD30" s="118">
        <v>1604</v>
      </c>
      <c r="AE30" s="118">
        <v>1944</v>
      </c>
      <c r="AF30" s="118">
        <v>785</v>
      </c>
      <c r="AG30" s="118">
        <v>1415</v>
      </c>
      <c r="AH30" s="118">
        <v>1766</v>
      </c>
      <c r="AI30" s="118">
        <v>2709</v>
      </c>
      <c r="AJ30" s="118">
        <v>31</v>
      </c>
      <c r="AK30" s="118">
        <v>1360</v>
      </c>
      <c r="AL30" s="118">
        <v>1905</v>
      </c>
      <c r="AM30" s="118">
        <v>2710</v>
      </c>
      <c r="AN30" s="118">
        <v>935</v>
      </c>
      <c r="AO30" s="118">
        <v>1752</v>
      </c>
      <c r="AP30" s="118">
        <v>2375</v>
      </c>
      <c r="AQ30" s="118">
        <v>3191</v>
      </c>
      <c r="AR30" s="118">
        <v>1044</v>
      </c>
      <c r="AS30" s="118">
        <v>1823</v>
      </c>
      <c r="AT30" s="118">
        <v>2475</v>
      </c>
      <c r="AU30" s="118">
        <v>3344</v>
      </c>
    </row>
    <row r="31" spans="2:47" x14ac:dyDescent="0.2">
      <c r="B31" s="193" t="s">
        <v>410</v>
      </c>
      <c r="C31" s="118">
        <v>443</v>
      </c>
      <c r="D31" s="118">
        <v>552</v>
      </c>
      <c r="E31" s="161">
        <v>1101</v>
      </c>
      <c r="F31" s="118">
        <v>1210</v>
      </c>
      <c r="G31" s="118">
        <v>3947</v>
      </c>
      <c r="H31" s="118">
        <v>3960</v>
      </c>
      <c r="I31" s="118">
        <v>3879</v>
      </c>
      <c r="J31" s="118">
        <v>3983</v>
      </c>
      <c r="K31" s="118">
        <v>3729</v>
      </c>
      <c r="L31" s="118">
        <v>3751</v>
      </c>
      <c r="M31" s="118">
        <v>3714</v>
      </c>
      <c r="N31" s="118">
        <v>3714</v>
      </c>
      <c r="O31" s="118">
        <v>3703</v>
      </c>
      <c r="P31" s="118">
        <v>3704</v>
      </c>
      <c r="Q31" s="118">
        <v>3705.5262882000006</v>
      </c>
      <c r="R31" s="118">
        <v>3682.7848986000008</v>
      </c>
      <c r="S31" s="118">
        <v>-466</v>
      </c>
      <c r="T31" s="118">
        <v>57</v>
      </c>
      <c r="U31" s="118">
        <v>20</v>
      </c>
      <c r="V31" s="118">
        <v>22</v>
      </c>
      <c r="W31" s="118">
        <v>27</v>
      </c>
      <c r="X31" s="118">
        <v>54</v>
      </c>
      <c r="Y31" s="118">
        <v>27</v>
      </c>
      <c r="Z31" s="118">
        <v>56</v>
      </c>
      <c r="AA31" s="118">
        <v>60</v>
      </c>
      <c r="AB31" s="118">
        <v>33</v>
      </c>
      <c r="AC31" s="118">
        <v>54</v>
      </c>
      <c r="AD31" s="118">
        <v>94</v>
      </c>
      <c r="AE31" s="118">
        <v>82</v>
      </c>
      <c r="AF31" s="118">
        <v>113</v>
      </c>
      <c r="AG31" s="118">
        <v>126</v>
      </c>
      <c r="AH31" s="118">
        <v>167</v>
      </c>
      <c r="AI31" s="118">
        <v>284</v>
      </c>
      <c r="AJ31" s="118">
        <v>11</v>
      </c>
      <c r="AK31" s="118">
        <v>316</v>
      </c>
      <c r="AL31" s="118">
        <v>292</v>
      </c>
      <c r="AM31" s="118">
        <v>271</v>
      </c>
      <c r="AN31" s="118">
        <v>261</v>
      </c>
      <c r="AO31" s="118">
        <v>371</v>
      </c>
      <c r="AP31" s="118">
        <v>360</v>
      </c>
      <c r="AQ31" s="118">
        <v>356</v>
      </c>
      <c r="AR31" s="118">
        <v>382</v>
      </c>
      <c r="AS31" s="118">
        <v>550</v>
      </c>
      <c r="AT31" s="118">
        <v>760</v>
      </c>
      <c r="AU31" s="118">
        <v>1129</v>
      </c>
    </row>
    <row r="32" spans="2:47" x14ac:dyDescent="0.2">
      <c r="B32" s="130" t="s">
        <v>507</v>
      </c>
      <c r="C32" s="118">
        <v>1044</v>
      </c>
      <c r="D32" s="118">
        <v>1679</v>
      </c>
      <c r="E32" s="161">
        <v>1044</v>
      </c>
      <c r="F32" s="118">
        <v>1044</v>
      </c>
      <c r="G32" s="118">
        <v>1086</v>
      </c>
      <c r="H32" s="118">
        <v>1086</v>
      </c>
      <c r="I32" s="118">
        <v>863</v>
      </c>
      <c r="J32" s="118">
        <v>855</v>
      </c>
      <c r="K32" s="118">
        <v>1697</v>
      </c>
      <c r="L32" s="118">
        <v>1770</v>
      </c>
      <c r="M32" s="118">
        <v>1802</v>
      </c>
      <c r="N32" s="118">
        <v>1700</v>
      </c>
      <c r="O32" s="118">
        <v>1682</v>
      </c>
      <c r="P32" s="118">
        <v>2075</v>
      </c>
      <c r="Q32" s="118">
        <v>9286.9084065999996</v>
      </c>
      <c r="R32" s="118">
        <v>9255.0934030000008</v>
      </c>
      <c r="S32" s="118">
        <v>10515</v>
      </c>
      <c r="T32" s="118">
        <v>11187</v>
      </c>
      <c r="U32" s="118">
        <v>10565</v>
      </c>
      <c r="V32" s="118">
        <v>9370</v>
      </c>
      <c r="W32" s="118">
        <v>11702</v>
      </c>
      <c r="X32" s="118">
        <v>11458</v>
      </c>
      <c r="Y32" s="118">
        <v>11023</v>
      </c>
      <c r="Z32" s="118">
        <v>10896</v>
      </c>
      <c r="AA32" s="118">
        <v>10406</v>
      </c>
      <c r="AB32" s="118">
        <v>11074</v>
      </c>
      <c r="AC32" s="118">
        <v>10291</v>
      </c>
      <c r="AD32" s="118">
        <v>10754</v>
      </c>
      <c r="AE32" s="118">
        <v>10251</v>
      </c>
      <c r="AF32" s="118">
        <v>10074</v>
      </c>
      <c r="AG32" s="118">
        <v>9744</v>
      </c>
      <c r="AH32" s="118">
        <v>7984</v>
      </c>
      <c r="AI32" s="118">
        <v>9453</v>
      </c>
      <c r="AJ32" s="118">
        <v>995</v>
      </c>
      <c r="AK32" s="118">
        <v>7697</v>
      </c>
      <c r="AL32" s="118">
        <v>9715</v>
      </c>
      <c r="AM32" s="118">
        <v>8373</v>
      </c>
      <c r="AN32" s="118">
        <v>8450</v>
      </c>
      <c r="AO32" s="118">
        <v>8156</v>
      </c>
      <c r="AP32" s="118">
        <v>8223</v>
      </c>
      <c r="AQ32" s="118">
        <v>8467</v>
      </c>
      <c r="AR32" s="118">
        <v>8638</v>
      </c>
      <c r="AS32" s="118">
        <v>9161</v>
      </c>
      <c r="AT32" s="118">
        <v>8748</v>
      </c>
      <c r="AU32" s="118">
        <v>6514</v>
      </c>
    </row>
    <row r="33" spans="2:47" x14ac:dyDescent="0.2">
      <c r="B33" s="130" t="s">
        <v>525</v>
      </c>
      <c r="C33" s="118">
        <v>1359</v>
      </c>
      <c r="D33" s="118">
        <v>1229</v>
      </c>
      <c r="E33" s="161">
        <v>965</v>
      </c>
      <c r="F33" s="118">
        <v>1214</v>
      </c>
      <c r="G33" s="118">
        <v>1200</v>
      </c>
      <c r="H33" s="118">
        <v>512</v>
      </c>
      <c r="I33" s="118">
        <v>445</v>
      </c>
      <c r="J33" s="118">
        <v>473</v>
      </c>
      <c r="K33" s="118">
        <v>1013</v>
      </c>
      <c r="L33" s="118">
        <v>574</v>
      </c>
      <c r="M33" s="118">
        <v>612</v>
      </c>
      <c r="N33" s="118">
        <v>539</v>
      </c>
      <c r="O33" s="118">
        <v>592</v>
      </c>
      <c r="P33" s="118">
        <v>643</v>
      </c>
      <c r="Q33" s="118">
        <v>756.66080640000018</v>
      </c>
      <c r="R33" s="118">
        <v>1098.2985796000003</v>
      </c>
      <c r="S33" s="118">
        <v>853</v>
      </c>
      <c r="T33" s="118">
        <v>809</v>
      </c>
      <c r="U33" s="118">
        <v>748</v>
      </c>
      <c r="V33" s="118">
        <v>732</v>
      </c>
      <c r="W33" s="118">
        <v>882</v>
      </c>
      <c r="X33" s="118">
        <v>889</v>
      </c>
      <c r="Y33" s="118">
        <v>954</v>
      </c>
      <c r="Z33" s="118">
        <v>875</v>
      </c>
      <c r="AA33" s="118">
        <v>1211</v>
      </c>
      <c r="AB33" s="118">
        <v>104</v>
      </c>
      <c r="AC33" s="118">
        <v>362</v>
      </c>
      <c r="AD33" s="118">
        <v>489</v>
      </c>
      <c r="AE33" s="118">
        <v>1108</v>
      </c>
      <c r="AF33" s="118">
        <v>0</v>
      </c>
      <c r="AG33" s="118">
        <v>228</v>
      </c>
      <c r="AH33" s="118">
        <v>146</v>
      </c>
      <c r="AI33" s="118">
        <v>318</v>
      </c>
      <c r="AJ33" s="118">
        <v>310</v>
      </c>
      <c r="AK33" s="118">
        <v>0</v>
      </c>
      <c r="AL33" s="118">
        <v>0</v>
      </c>
      <c r="AM33" s="118">
        <v>544</v>
      </c>
      <c r="AN33" s="118">
        <v>1143</v>
      </c>
      <c r="AO33" s="118">
        <v>732</v>
      </c>
      <c r="AP33" s="118">
        <v>689</v>
      </c>
      <c r="AQ33" s="118">
        <v>719</v>
      </c>
      <c r="AR33" s="118">
        <v>1056</v>
      </c>
      <c r="AS33" s="118">
        <v>1443</v>
      </c>
      <c r="AT33" s="118">
        <v>1745</v>
      </c>
      <c r="AU33" s="118">
        <v>2116</v>
      </c>
    </row>
    <row r="34" spans="2:47" x14ac:dyDescent="0.2">
      <c r="B34" s="130" t="s">
        <v>526</v>
      </c>
      <c r="C34" s="118"/>
      <c r="D34" s="118"/>
      <c r="E34" s="161"/>
      <c r="F34" s="118"/>
      <c r="G34" s="118"/>
      <c r="H34" s="118"/>
      <c r="I34" s="118"/>
      <c r="J34" s="118"/>
      <c r="K34" s="118"/>
      <c r="L34" s="118"/>
      <c r="M34" s="118"/>
      <c r="N34" s="118"/>
      <c r="O34" s="118"/>
      <c r="P34" s="118">
        <v>873</v>
      </c>
      <c r="Q34" s="118">
        <v>978.60587380000004</v>
      </c>
      <c r="R34" s="118">
        <v>1052.8120671999998</v>
      </c>
      <c r="S34" s="118">
        <v>1368</v>
      </c>
      <c r="T34" s="118">
        <v>1107</v>
      </c>
      <c r="U34" s="118">
        <v>357</v>
      </c>
      <c r="V34" s="118">
        <v>426</v>
      </c>
      <c r="W34" s="118">
        <v>813</v>
      </c>
      <c r="X34" s="118">
        <v>594</v>
      </c>
      <c r="Y34" s="118">
        <v>1066</v>
      </c>
      <c r="Z34" s="118">
        <v>583</v>
      </c>
      <c r="AA34" s="118">
        <v>676</v>
      </c>
      <c r="AB34" s="118">
        <v>498</v>
      </c>
      <c r="AC34" s="118">
        <v>274</v>
      </c>
      <c r="AD34" s="118">
        <v>531</v>
      </c>
      <c r="AE34" s="118">
        <v>1218</v>
      </c>
      <c r="AF34" s="118">
        <v>496</v>
      </c>
      <c r="AG34" s="118">
        <v>532</v>
      </c>
      <c r="AH34" s="118">
        <v>532</v>
      </c>
      <c r="AI34" s="118">
        <v>652</v>
      </c>
      <c r="AJ34" s="118">
        <v>8838</v>
      </c>
      <c r="AK34" s="118">
        <v>522</v>
      </c>
      <c r="AL34" s="118">
        <v>565</v>
      </c>
      <c r="AM34" s="118">
        <v>111</v>
      </c>
      <c r="AN34" s="118">
        <v>708</v>
      </c>
      <c r="AO34" s="118">
        <v>658</v>
      </c>
      <c r="AP34" s="118">
        <v>778</v>
      </c>
      <c r="AQ34" s="118">
        <v>920</v>
      </c>
      <c r="AR34" s="118">
        <v>797</v>
      </c>
      <c r="AS34" s="118">
        <v>2023</v>
      </c>
      <c r="AT34" s="118">
        <v>-389</v>
      </c>
      <c r="AU34" s="118">
        <v>3785</v>
      </c>
    </row>
    <row r="35" spans="2:47" x14ac:dyDescent="0.2">
      <c r="B35" s="130" t="s">
        <v>527</v>
      </c>
      <c r="C35" s="118"/>
      <c r="D35" s="118"/>
      <c r="E35" s="161"/>
      <c r="F35" s="118"/>
      <c r="G35" s="118"/>
      <c r="H35" s="118"/>
      <c r="I35" s="118"/>
      <c r="J35" s="118"/>
      <c r="K35" s="118"/>
      <c r="L35" s="118"/>
      <c r="M35" s="118"/>
      <c r="N35" s="118"/>
      <c r="O35" s="118"/>
      <c r="P35" s="118">
        <v>1122</v>
      </c>
      <c r="Q35" s="118">
        <v>1348.7877622000001</v>
      </c>
      <c r="R35" s="118">
        <v>1123.2933974000007</v>
      </c>
      <c r="S35" s="118">
        <v>1107</v>
      </c>
      <c r="T35" s="118">
        <v>4514</v>
      </c>
      <c r="U35" s="118">
        <v>5191</v>
      </c>
      <c r="V35" s="118">
        <v>4643</v>
      </c>
      <c r="W35" s="118">
        <v>3518</v>
      </c>
      <c r="X35" s="118">
        <v>1726</v>
      </c>
      <c r="Y35" s="118">
        <v>1507</v>
      </c>
      <c r="Z35" s="118">
        <v>2002</v>
      </c>
      <c r="AA35" s="118">
        <v>1790</v>
      </c>
      <c r="AB35" s="118">
        <v>956</v>
      </c>
      <c r="AC35" s="118">
        <v>1114</v>
      </c>
      <c r="AD35" s="118">
        <v>1696</v>
      </c>
      <c r="AE35" s="118">
        <v>1532</v>
      </c>
      <c r="AF35" s="118">
        <v>1236</v>
      </c>
      <c r="AG35" s="118">
        <v>1140</v>
      </c>
      <c r="AH35" s="118">
        <v>1140</v>
      </c>
      <c r="AI35" s="118">
        <v>1136</v>
      </c>
      <c r="AJ35" s="118">
        <v>25</v>
      </c>
      <c r="AK35" s="118">
        <v>3787</v>
      </c>
      <c r="AL35" s="118">
        <v>4278</v>
      </c>
      <c r="AM35" s="118">
        <v>7166</v>
      </c>
      <c r="AN35" s="118">
        <v>4142</v>
      </c>
      <c r="AO35" s="118">
        <v>3897</v>
      </c>
      <c r="AP35" s="118">
        <v>4334</v>
      </c>
      <c r="AQ35" s="118">
        <v>3421</v>
      </c>
      <c r="AR35" s="118">
        <v>2695</v>
      </c>
      <c r="AS35" s="118">
        <v>4411</v>
      </c>
      <c r="AT35" s="118">
        <v>-2437</v>
      </c>
      <c r="AU35" s="118">
        <v>3444</v>
      </c>
    </row>
    <row r="36" spans="2:47" x14ac:dyDescent="0.2">
      <c r="B36" s="193" t="s">
        <v>1149</v>
      </c>
      <c r="C36" s="118"/>
      <c r="D36" s="118"/>
      <c r="E36" s="161"/>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v>833</v>
      </c>
      <c r="AF36" s="118">
        <v>833</v>
      </c>
      <c r="AG36" s="118">
        <v>833</v>
      </c>
      <c r="AH36" s="118">
        <v>833</v>
      </c>
      <c r="AI36" s="118">
        <v>990</v>
      </c>
      <c r="AJ36" s="118">
        <v>449</v>
      </c>
      <c r="AK36" s="118">
        <v>990</v>
      </c>
      <c r="AL36" s="118">
        <v>990</v>
      </c>
      <c r="AM36" s="118">
        <v>262</v>
      </c>
      <c r="AN36" s="118">
        <v>2726</v>
      </c>
      <c r="AO36" s="118">
        <v>2726</v>
      </c>
      <c r="AP36" s="118">
        <v>2726</v>
      </c>
      <c r="AQ36" s="118">
        <v>2475</v>
      </c>
      <c r="AR36" s="118">
        <v>2475</v>
      </c>
      <c r="AS36" s="118">
        <v>2475</v>
      </c>
      <c r="AT36" s="118">
        <v>2475</v>
      </c>
      <c r="AU36" s="118">
        <v>1856</v>
      </c>
    </row>
    <row r="37" spans="2:47" x14ac:dyDescent="0.2">
      <c r="B37" s="130" t="s">
        <v>256</v>
      </c>
      <c r="C37" s="118">
        <v>6532</v>
      </c>
      <c r="D37" s="118">
        <v>5040</v>
      </c>
      <c r="E37" s="161">
        <v>5023</v>
      </c>
      <c r="F37" s="118">
        <v>4933</v>
      </c>
      <c r="G37" s="118">
        <v>5582</v>
      </c>
      <c r="H37" s="118">
        <v>3840</v>
      </c>
      <c r="I37" s="118">
        <v>4864</v>
      </c>
      <c r="J37" s="118">
        <v>3320</v>
      </c>
      <c r="K37" s="118">
        <v>4076</v>
      </c>
      <c r="L37" s="118">
        <v>3797</v>
      </c>
      <c r="M37" s="118">
        <v>3853</v>
      </c>
      <c r="N37" s="118">
        <v>3691</v>
      </c>
      <c r="O37" s="118">
        <v>4678</v>
      </c>
      <c r="P37" s="118">
        <v>3293</v>
      </c>
      <c r="Q37" s="118">
        <v>2947.5920940000001</v>
      </c>
      <c r="R37" s="118">
        <v>2780.8365665999991</v>
      </c>
      <c r="S37" s="118">
        <v>7091</v>
      </c>
      <c r="T37" s="118">
        <v>5117</v>
      </c>
      <c r="U37" s="118">
        <v>0</v>
      </c>
      <c r="V37" s="118">
        <v>4528</v>
      </c>
      <c r="W37" s="118">
        <v>6078</v>
      </c>
      <c r="X37" s="118">
        <v>6350</v>
      </c>
      <c r="Y37" s="118">
        <v>5411</v>
      </c>
      <c r="Z37" s="118">
        <v>8390</v>
      </c>
      <c r="AA37" s="118">
        <v>6676</v>
      </c>
      <c r="AB37" s="118">
        <v>5753</v>
      </c>
      <c r="AC37" s="118">
        <v>6343</v>
      </c>
      <c r="AD37" s="118">
        <v>6369</v>
      </c>
      <c r="AE37" s="118">
        <v>6683</v>
      </c>
      <c r="AF37" s="118">
        <v>6746</v>
      </c>
      <c r="AG37" s="118">
        <v>6823</v>
      </c>
      <c r="AH37" s="118">
        <v>7378</v>
      </c>
      <c r="AI37" s="118">
        <v>6339</v>
      </c>
      <c r="AJ37" s="118">
        <v>0</v>
      </c>
      <c r="AK37" s="118">
        <v>6605</v>
      </c>
      <c r="AL37" s="118">
        <v>6085</v>
      </c>
      <c r="AM37" s="118">
        <v>3154</v>
      </c>
      <c r="AN37" s="118">
        <v>4962</v>
      </c>
      <c r="AO37" s="118">
        <v>5929</v>
      </c>
      <c r="AP37" s="118">
        <v>5470</v>
      </c>
      <c r="AQ37" s="118">
        <v>5796</v>
      </c>
      <c r="AR37" s="118">
        <v>6110</v>
      </c>
      <c r="AS37" s="118">
        <v>6620</v>
      </c>
      <c r="AT37" s="118">
        <v>18072</v>
      </c>
      <c r="AU37" s="118">
        <v>9657</v>
      </c>
    </row>
    <row r="38" spans="2:47" s="312" customFormat="1" hidden="1" outlineLevel="1" x14ac:dyDescent="0.2">
      <c r="B38" s="319" t="s">
        <v>528</v>
      </c>
      <c r="C38" s="313">
        <v>0</v>
      </c>
      <c r="D38" s="313">
        <v>0</v>
      </c>
      <c r="E38" s="320">
        <v>0</v>
      </c>
      <c r="F38" s="313">
        <v>0</v>
      </c>
      <c r="G38" s="313">
        <v>0</v>
      </c>
      <c r="H38" s="313">
        <v>0</v>
      </c>
      <c r="I38" s="313">
        <v>0</v>
      </c>
      <c r="J38" s="313">
        <v>0</v>
      </c>
      <c r="K38" s="313">
        <v>0</v>
      </c>
      <c r="L38" s="313">
        <v>0</v>
      </c>
      <c r="M38" s="313">
        <v>0</v>
      </c>
      <c r="N38" s="313">
        <v>0</v>
      </c>
      <c r="O38" s="313">
        <v>0</v>
      </c>
      <c r="P38" s="313">
        <v>0</v>
      </c>
      <c r="Q38" s="313">
        <v>0</v>
      </c>
      <c r="R38" s="118">
        <v>0</v>
      </c>
      <c r="S38" s="118">
        <v>0</v>
      </c>
      <c r="T38" s="118">
        <v>0</v>
      </c>
      <c r="U38" s="118">
        <v>0</v>
      </c>
      <c r="V38" s="118">
        <v>0</v>
      </c>
      <c r="W38" s="118">
        <v>0</v>
      </c>
      <c r="X38" s="118">
        <v>0</v>
      </c>
      <c r="Y38" s="118">
        <v>0</v>
      </c>
      <c r="Z38" s="118">
        <v>0</v>
      </c>
      <c r="AA38" s="118">
        <v>0</v>
      </c>
      <c r="AB38" s="118">
        <v>0</v>
      </c>
      <c r="AC38" s="118">
        <v>0</v>
      </c>
      <c r="AD38" s="118">
        <v>0</v>
      </c>
      <c r="AE38" s="118">
        <v>0</v>
      </c>
      <c r="AF38" s="118">
        <v>0</v>
      </c>
      <c r="AG38" s="118">
        <v>0</v>
      </c>
      <c r="AH38" s="118">
        <v>0</v>
      </c>
      <c r="AI38" s="118"/>
      <c r="AJ38" s="118">
        <v>2869</v>
      </c>
      <c r="AK38" s="118">
        <v>0</v>
      </c>
      <c r="AL38" s="118">
        <v>0</v>
      </c>
      <c r="AM38" s="118">
        <v>0</v>
      </c>
      <c r="AN38" s="118">
        <v>0</v>
      </c>
      <c r="AO38" s="118">
        <v>0</v>
      </c>
      <c r="AP38" s="118">
        <v>0</v>
      </c>
      <c r="AQ38" s="118">
        <v>0</v>
      </c>
      <c r="AR38" s="118">
        <v>0</v>
      </c>
      <c r="AS38" s="118"/>
      <c r="AT38" s="118"/>
      <c r="AU38" s="118">
        <v>0</v>
      </c>
    </row>
    <row r="39" spans="2:47" s="312" customFormat="1" hidden="1" outlineLevel="1" x14ac:dyDescent="0.2">
      <c r="B39" s="319" t="s">
        <v>521</v>
      </c>
      <c r="C39" s="313">
        <v>0</v>
      </c>
      <c r="D39" s="313">
        <v>0</v>
      </c>
      <c r="E39" s="320">
        <v>0</v>
      </c>
      <c r="F39" s="313">
        <v>0</v>
      </c>
      <c r="G39" s="313">
        <v>0</v>
      </c>
      <c r="H39" s="313">
        <v>2193</v>
      </c>
      <c r="I39" s="313">
        <v>0</v>
      </c>
      <c r="J39" s="313">
        <v>0</v>
      </c>
      <c r="K39" s="313">
        <v>0</v>
      </c>
      <c r="L39" s="313">
        <v>710</v>
      </c>
      <c r="M39" s="313">
        <v>0</v>
      </c>
      <c r="N39" s="313">
        <v>0</v>
      </c>
      <c r="O39" s="313">
        <v>0</v>
      </c>
      <c r="P39" s="313">
        <v>0</v>
      </c>
      <c r="Q39" s="313">
        <v>0</v>
      </c>
      <c r="R39" s="118">
        <v>0</v>
      </c>
      <c r="S39" s="118">
        <v>0</v>
      </c>
      <c r="T39" s="118">
        <v>0</v>
      </c>
      <c r="U39" s="118">
        <v>0</v>
      </c>
      <c r="V39" s="118">
        <v>0</v>
      </c>
      <c r="W39" s="118">
        <v>0</v>
      </c>
      <c r="X39" s="118">
        <v>0</v>
      </c>
      <c r="Y39" s="118">
        <v>0</v>
      </c>
      <c r="Z39" s="118">
        <v>0</v>
      </c>
      <c r="AA39" s="118">
        <v>0</v>
      </c>
      <c r="AB39" s="118">
        <v>126</v>
      </c>
      <c r="AC39" s="118">
        <v>6518</v>
      </c>
      <c r="AD39" s="118">
        <v>4261</v>
      </c>
      <c r="AE39" s="118">
        <v>2378</v>
      </c>
      <c r="AF39" s="118">
        <v>1781</v>
      </c>
      <c r="AG39" s="118">
        <v>0</v>
      </c>
      <c r="AH39" s="118">
        <v>980</v>
      </c>
      <c r="AI39" s="118"/>
      <c r="AJ39" s="118">
        <v>990</v>
      </c>
      <c r="AK39" s="118">
        <v>0</v>
      </c>
      <c r="AL39" s="118">
        <v>0</v>
      </c>
      <c r="AM39" s="118">
        <v>0</v>
      </c>
      <c r="AN39" s="118">
        <v>0</v>
      </c>
      <c r="AO39" s="118">
        <v>0</v>
      </c>
      <c r="AP39" s="118">
        <v>0</v>
      </c>
      <c r="AQ39" s="118">
        <v>0</v>
      </c>
      <c r="AR39" s="118">
        <v>0</v>
      </c>
      <c r="AS39" s="118"/>
      <c r="AT39" s="118"/>
      <c r="AU39" s="118">
        <v>0</v>
      </c>
    </row>
    <row r="40" spans="2:47" s="312" customFormat="1" hidden="1" outlineLevel="1" x14ac:dyDescent="0.2">
      <c r="B40" s="319" t="s">
        <v>522</v>
      </c>
      <c r="C40" s="313">
        <v>0</v>
      </c>
      <c r="D40" s="313">
        <v>0</v>
      </c>
      <c r="E40" s="320">
        <v>0</v>
      </c>
      <c r="F40" s="313">
        <v>0</v>
      </c>
      <c r="G40" s="313">
        <v>0</v>
      </c>
      <c r="H40" s="313">
        <v>790</v>
      </c>
      <c r="I40" s="313">
        <v>0</v>
      </c>
      <c r="J40" s="313">
        <v>0</v>
      </c>
      <c r="K40" s="313">
        <v>0</v>
      </c>
      <c r="L40" s="313">
        <v>256</v>
      </c>
      <c r="M40" s="313">
        <v>0</v>
      </c>
      <c r="N40" s="313">
        <v>0</v>
      </c>
      <c r="O40" s="313">
        <v>0</v>
      </c>
      <c r="P40" s="313">
        <v>0</v>
      </c>
      <c r="Q40" s="313">
        <v>0</v>
      </c>
      <c r="R40" s="118">
        <v>0</v>
      </c>
      <c r="S40" s="118">
        <v>0</v>
      </c>
      <c r="T40" s="118">
        <v>0</v>
      </c>
      <c r="U40" s="118">
        <v>0</v>
      </c>
      <c r="V40" s="118">
        <v>0</v>
      </c>
      <c r="W40" s="118">
        <v>0</v>
      </c>
      <c r="X40" s="118">
        <v>0</v>
      </c>
      <c r="Y40" s="118">
        <v>0</v>
      </c>
      <c r="Z40" s="118">
        <v>0</v>
      </c>
      <c r="AA40" s="118">
        <v>0</v>
      </c>
      <c r="AB40" s="118">
        <v>45</v>
      </c>
      <c r="AC40" s="118">
        <v>1534</v>
      </c>
      <c r="AD40" s="118">
        <v>1534</v>
      </c>
      <c r="AE40" s="118">
        <v>856</v>
      </c>
      <c r="AF40" s="118">
        <v>641</v>
      </c>
      <c r="AG40" s="118">
        <v>0</v>
      </c>
      <c r="AH40" s="118">
        <v>353</v>
      </c>
      <c r="AI40" s="118"/>
      <c r="AJ40" s="118">
        <v>6698</v>
      </c>
      <c r="AK40" s="118">
        <v>0</v>
      </c>
      <c r="AL40" s="118">
        <v>0</v>
      </c>
      <c r="AM40" s="118">
        <v>0</v>
      </c>
      <c r="AN40" s="118">
        <v>0</v>
      </c>
      <c r="AO40" s="118">
        <v>0</v>
      </c>
      <c r="AP40" s="118">
        <v>0</v>
      </c>
      <c r="AQ40" s="118">
        <v>0</v>
      </c>
      <c r="AR40" s="118">
        <v>0</v>
      </c>
      <c r="AS40" s="118"/>
      <c r="AT40" s="118"/>
      <c r="AU40" s="118">
        <v>0</v>
      </c>
    </row>
    <row r="41" spans="2:47" s="312" customFormat="1" hidden="1" outlineLevel="1" x14ac:dyDescent="0.2">
      <c r="B41" s="319" t="s">
        <v>523</v>
      </c>
      <c r="C41" s="313">
        <v>0</v>
      </c>
      <c r="D41" s="313"/>
      <c r="E41" s="320">
        <v>-10946</v>
      </c>
      <c r="F41" s="313">
        <v>4068</v>
      </c>
      <c r="G41" s="313">
        <v>0</v>
      </c>
      <c r="H41" s="313">
        <v>0</v>
      </c>
      <c r="I41" s="313">
        <v>0</v>
      </c>
      <c r="J41" s="313">
        <v>0</v>
      </c>
      <c r="K41" s="313">
        <v>0</v>
      </c>
      <c r="L41" s="313">
        <v>0</v>
      </c>
      <c r="M41" s="313">
        <v>0</v>
      </c>
      <c r="N41" s="313">
        <v>0</v>
      </c>
      <c r="O41" s="313">
        <v>0</v>
      </c>
      <c r="P41" s="313">
        <v>0</v>
      </c>
      <c r="Q41" s="313">
        <v>0</v>
      </c>
      <c r="R41" s="118">
        <v>0</v>
      </c>
      <c r="S41" s="118">
        <v>0</v>
      </c>
      <c r="T41" s="118">
        <v>0</v>
      </c>
      <c r="U41" s="118">
        <v>0</v>
      </c>
      <c r="V41" s="118">
        <v>0</v>
      </c>
      <c r="W41" s="118">
        <v>0</v>
      </c>
      <c r="X41" s="118">
        <v>0</v>
      </c>
      <c r="Y41" s="118">
        <v>0</v>
      </c>
      <c r="Z41" s="118">
        <v>0</v>
      </c>
      <c r="AA41" s="118">
        <v>0</v>
      </c>
      <c r="AB41" s="118">
        <v>0</v>
      </c>
      <c r="AC41" s="118">
        <v>0</v>
      </c>
      <c r="AD41" s="118">
        <v>0</v>
      </c>
      <c r="AE41" s="118">
        <v>0</v>
      </c>
      <c r="AF41" s="118">
        <v>0</v>
      </c>
      <c r="AG41" s="118">
        <v>0</v>
      </c>
      <c r="AH41" s="118">
        <v>0</v>
      </c>
      <c r="AI41" s="118"/>
      <c r="AJ41" s="118">
        <v>0</v>
      </c>
      <c r="AK41" s="313">
        <v>0</v>
      </c>
      <c r="AL41" s="313">
        <v>0</v>
      </c>
      <c r="AM41" s="313">
        <v>0</v>
      </c>
      <c r="AN41" s="313">
        <v>0</v>
      </c>
      <c r="AO41" s="313">
        <v>0</v>
      </c>
      <c r="AP41" s="313">
        <v>0</v>
      </c>
      <c r="AQ41" s="313">
        <v>0</v>
      </c>
      <c r="AR41" s="313">
        <v>0</v>
      </c>
      <c r="AS41" s="313"/>
      <c r="AT41" s="313"/>
      <c r="AU41" s="313">
        <v>0</v>
      </c>
    </row>
    <row r="42" spans="2:47" s="312" customFormat="1" hidden="1" outlineLevel="1" x14ac:dyDescent="0.2">
      <c r="B42" s="319" t="s">
        <v>524</v>
      </c>
      <c r="C42" s="313">
        <v>0</v>
      </c>
      <c r="D42" s="313">
        <v>0</v>
      </c>
      <c r="E42" s="320">
        <v>0</v>
      </c>
      <c r="F42" s="313">
        <v>0</v>
      </c>
      <c r="G42" s="313">
        <v>0</v>
      </c>
      <c r="H42" s="313">
        <v>0</v>
      </c>
      <c r="I42" s="313">
        <v>0</v>
      </c>
      <c r="J42" s="313">
        <v>0</v>
      </c>
      <c r="K42" s="313">
        <v>0</v>
      </c>
      <c r="L42" s="313">
        <v>0</v>
      </c>
      <c r="M42" s="313">
        <v>0</v>
      </c>
      <c r="N42" s="313">
        <v>0</v>
      </c>
      <c r="O42" s="313">
        <v>0</v>
      </c>
      <c r="P42" s="313">
        <v>0</v>
      </c>
      <c r="Q42" s="313">
        <v>0</v>
      </c>
      <c r="R42" s="118">
        <v>0</v>
      </c>
      <c r="S42" s="118">
        <v>0</v>
      </c>
      <c r="T42" s="118">
        <v>0</v>
      </c>
      <c r="U42" s="118">
        <v>0</v>
      </c>
      <c r="V42" s="118">
        <v>0</v>
      </c>
      <c r="W42" s="118">
        <v>0</v>
      </c>
      <c r="X42" s="118">
        <v>0</v>
      </c>
      <c r="Y42" s="118">
        <v>0</v>
      </c>
      <c r="Z42" s="118">
        <v>0</v>
      </c>
      <c r="AA42" s="118">
        <v>0</v>
      </c>
      <c r="AB42" s="118">
        <v>0</v>
      </c>
      <c r="AC42" s="118">
        <v>0</v>
      </c>
      <c r="AD42" s="118">
        <v>0</v>
      </c>
      <c r="AE42" s="118">
        <v>0</v>
      </c>
      <c r="AF42" s="118">
        <v>0</v>
      </c>
      <c r="AG42" s="118">
        <v>0</v>
      </c>
      <c r="AH42" s="118">
        <v>0</v>
      </c>
      <c r="AI42" s="118"/>
      <c r="AJ42" s="118">
        <v>0</v>
      </c>
      <c r="AK42" s="313">
        <v>0</v>
      </c>
      <c r="AL42" s="313">
        <v>0</v>
      </c>
      <c r="AM42" s="313">
        <v>0</v>
      </c>
      <c r="AN42" s="313">
        <v>0</v>
      </c>
      <c r="AO42" s="313">
        <v>0</v>
      </c>
      <c r="AP42" s="313">
        <v>0</v>
      </c>
      <c r="AQ42" s="313">
        <v>0</v>
      </c>
      <c r="AR42" s="313">
        <v>0</v>
      </c>
      <c r="AS42" s="313"/>
      <c r="AT42" s="313"/>
      <c r="AU42" s="313">
        <v>0</v>
      </c>
    </row>
    <row r="43" spans="2:47" s="312" customFormat="1" hidden="1" outlineLevel="1" x14ac:dyDescent="0.2">
      <c r="B43" s="319" t="s">
        <v>784</v>
      </c>
      <c r="C43" s="313" t="s">
        <v>47</v>
      </c>
      <c r="D43" s="313" t="s">
        <v>47</v>
      </c>
      <c r="E43" s="320" t="s">
        <v>47</v>
      </c>
      <c r="F43" s="313" t="s">
        <v>47</v>
      </c>
      <c r="G43" s="313" t="s">
        <v>47</v>
      </c>
      <c r="H43" s="313" t="s">
        <v>47</v>
      </c>
      <c r="I43" s="313" t="s">
        <v>47</v>
      </c>
      <c r="J43" s="313" t="s">
        <v>47</v>
      </c>
      <c r="K43" s="313" t="s">
        <v>47</v>
      </c>
      <c r="L43" s="313" t="s">
        <v>47</v>
      </c>
      <c r="M43" s="313" t="s">
        <v>47</v>
      </c>
      <c r="N43" s="313" t="s">
        <v>47</v>
      </c>
      <c r="O43" s="313" t="s">
        <v>47</v>
      </c>
      <c r="P43" s="313" t="s">
        <v>47</v>
      </c>
      <c r="Q43" s="313" t="s">
        <v>47</v>
      </c>
      <c r="R43" s="118" t="s">
        <v>47</v>
      </c>
      <c r="S43" s="118" t="s">
        <v>47</v>
      </c>
      <c r="T43" s="118" t="s">
        <v>47</v>
      </c>
      <c r="U43" s="118" t="s">
        <v>47</v>
      </c>
      <c r="V43" s="118" t="s">
        <v>47</v>
      </c>
      <c r="W43" s="118">
        <v>0</v>
      </c>
      <c r="X43" s="118">
        <v>0</v>
      </c>
      <c r="Y43" s="118">
        <v>0</v>
      </c>
      <c r="Z43" s="118">
        <v>0</v>
      </c>
      <c r="AA43" s="118">
        <v>0</v>
      </c>
      <c r="AB43" s="118">
        <v>0</v>
      </c>
      <c r="AC43" s="118">
        <v>0</v>
      </c>
      <c r="AD43" s="118">
        <v>0</v>
      </c>
      <c r="AE43" s="118">
        <v>0</v>
      </c>
      <c r="AF43" s="118">
        <v>0</v>
      </c>
      <c r="AG43" s="118">
        <v>0</v>
      </c>
      <c r="AH43" s="118">
        <v>0</v>
      </c>
      <c r="AI43" s="118"/>
      <c r="AJ43" s="118">
        <v>0</v>
      </c>
      <c r="AK43" s="313">
        <v>0</v>
      </c>
      <c r="AL43" s="313">
        <v>0</v>
      </c>
      <c r="AM43" s="313">
        <v>0</v>
      </c>
      <c r="AN43" s="313">
        <v>0</v>
      </c>
      <c r="AO43" s="313">
        <v>0</v>
      </c>
      <c r="AP43" s="313">
        <v>0</v>
      </c>
      <c r="AQ43" s="313">
        <v>0</v>
      </c>
      <c r="AR43" s="313">
        <v>0</v>
      </c>
      <c r="AS43" s="313"/>
      <c r="AT43" s="313"/>
      <c r="AU43" s="313">
        <v>0</v>
      </c>
    </row>
    <row r="44" spans="2:47" s="312" customFormat="1" hidden="1" outlineLevel="1" x14ac:dyDescent="0.2">
      <c r="B44" s="319" t="s">
        <v>529</v>
      </c>
      <c r="C44" s="313">
        <v>9455</v>
      </c>
      <c r="D44" s="313">
        <v>8548</v>
      </c>
      <c r="E44" s="320">
        <v>24478</v>
      </c>
      <c r="F44" s="313">
        <v>13077</v>
      </c>
      <c r="G44" s="313">
        <v>11185</v>
      </c>
      <c r="H44" s="313">
        <v>9293</v>
      </c>
      <c r="I44" s="313">
        <v>7401</v>
      </c>
      <c r="J44" s="313">
        <v>5509</v>
      </c>
      <c r="K44" s="313">
        <v>0</v>
      </c>
      <c r="L44" s="313">
        <v>0</v>
      </c>
      <c r="M44" s="313">
        <v>0</v>
      </c>
      <c r="N44" s="313">
        <v>0</v>
      </c>
      <c r="O44" s="313">
        <v>0</v>
      </c>
      <c r="P44" s="313">
        <v>0</v>
      </c>
      <c r="Q44" s="313">
        <v>0</v>
      </c>
      <c r="R44" s="118">
        <v>0</v>
      </c>
      <c r="S44" s="118">
        <v>0</v>
      </c>
      <c r="T44" s="118">
        <v>0</v>
      </c>
      <c r="U44" s="118">
        <v>0</v>
      </c>
      <c r="V44" s="118">
        <v>0</v>
      </c>
      <c r="W44" s="118">
        <v>0</v>
      </c>
      <c r="X44" s="118">
        <v>0</v>
      </c>
      <c r="Y44" s="118">
        <v>0</v>
      </c>
      <c r="Z44" s="118">
        <v>0</v>
      </c>
      <c r="AA44" s="118">
        <v>0</v>
      </c>
      <c r="AB44" s="118">
        <v>0</v>
      </c>
      <c r="AC44" s="118">
        <v>0</v>
      </c>
      <c r="AD44" s="118">
        <v>0</v>
      </c>
      <c r="AE44" s="118">
        <v>0</v>
      </c>
      <c r="AF44" s="118">
        <v>0</v>
      </c>
      <c r="AG44" s="118">
        <v>0</v>
      </c>
      <c r="AH44" s="118">
        <v>0</v>
      </c>
      <c r="AI44" s="118"/>
      <c r="AJ44" s="118">
        <v>0</v>
      </c>
      <c r="AK44" s="313">
        <v>0</v>
      </c>
      <c r="AL44" s="313">
        <v>0</v>
      </c>
      <c r="AM44" s="313">
        <v>0</v>
      </c>
      <c r="AN44" s="313">
        <v>0</v>
      </c>
      <c r="AO44" s="313">
        <v>0</v>
      </c>
      <c r="AP44" s="313">
        <v>0</v>
      </c>
      <c r="AQ44" s="313">
        <v>0</v>
      </c>
      <c r="AR44" s="313">
        <v>0</v>
      </c>
      <c r="AS44" s="313"/>
      <c r="AT44" s="313"/>
      <c r="AU44" s="313">
        <v>0</v>
      </c>
    </row>
    <row r="45" spans="2:47" collapsed="1" x14ac:dyDescent="0.2">
      <c r="B45" s="127" t="s">
        <v>86</v>
      </c>
      <c r="C45" s="120">
        <f t="shared" ref="C45:AE45" si="18">SUM(C30:C44)</f>
        <v>20759</v>
      </c>
      <c r="D45" s="120">
        <f t="shared" si="18"/>
        <v>17991</v>
      </c>
      <c r="E45" s="163">
        <f t="shared" si="18"/>
        <v>23036</v>
      </c>
      <c r="F45" s="120">
        <f t="shared" si="18"/>
        <v>27020</v>
      </c>
      <c r="G45" s="120">
        <f t="shared" si="18"/>
        <v>26223</v>
      </c>
      <c r="H45" s="120">
        <f t="shared" si="18"/>
        <v>24472</v>
      </c>
      <c r="I45" s="120">
        <f t="shared" si="18"/>
        <v>18765</v>
      </c>
      <c r="J45" s="120">
        <f t="shared" si="18"/>
        <v>16213</v>
      </c>
      <c r="K45" s="120">
        <f t="shared" si="18"/>
        <v>12874</v>
      </c>
      <c r="L45" s="120">
        <f t="shared" si="18"/>
        <v>12911</v>
      </c>
      <c r="M45" s="120">
        <f t="shared" si="18"/>
        <v>11417</v>
      </c>
      <c r="N45" s="120">
        <f t="shared" si="18"/>
        <v>11591</v>
      </c>
      <c r="O45" s="120">
        <f t="shared" si="18"/>
        <v>12700</v>
      </c>
      <c r="P45" s="120">
        <f t="shared" si="18"/>
        <v>13910</v>
      </c>
      <c r="Q45" s="120">
        <f t="shared" si="18"/>
        <v>20354.5893966</v>
      </c>
      <c r="R45" s="120">
        <f t="shared" si="18"/>
        <v>20770.707221800003</v>
      </c>
      <c r="S45" s="120">
        <f t="shared" si="18"/>
        <v>22853</v>
      </c>
      <c r="T45" s="120">
        <f t="shared" si="18"/>
        <v>23871</v>
      </c>
      <c r="U45" s="120">
        <f t="shared" si="18"/>
        <v>18148</v>
      </c>
      <c r="V45" s="120">
        <f t="shared" si="18"/>
        <v>21490</v>
      </c>
      <c r="W45" s="120">
        <f t="shared" si="18"/>
        <v>25537</v>
      </c>
      <c r="X45" s="120">
        <f t="shared" si="18"/>
        <v>21998</v>
      </c>
      <c r="Y45" s="120">
        <f t="shared" si="18"/>
        <v>21535</v>
      </c>
      <c r="Z45" s="120">
        <f t="shared" si="18"/>
        <v>24885</v>
      </c>
      <c r="AA45" s="120">
        <f t="shared" si="18"/>
        <v>23670</v>
      </c>
      <c r="AB45" s="120">
        <f t="shared" si="18"/>
        <v>19806</v>
      </c>
      <c r="AC45" s="120">
        <f t="shared" si="18"/>
        <v>27867</v>
      </c>
      <c r="AD45" s="120">
        <f t="shared" si="18"/>
        <v>27332</v>
      </c>
      <c r="AE45" s="120">
        <f t="shared" si="18"/>
        <v>26885</v>
      </c>
      <c r="AF45" s="120">
        <f t="shared" ref="AF45:AK45" si="19">SUM(AF30:AF44)</f>
        <v>22705</v>
      </c>
      <c r="AG45" s="120">
        <f t="shared" si="19"/>
        <v>20841</v>
      </c>
      <c r="AH45" s="120">
        <f t="shared" si="19"/>
        <v>21279</v>
      </c>
      <c r="AI45" s="120">
        <f t="shared" si="19"/>
        <v>21881</v>
      </c>
      <c r="AJ45" s="120">
        <f t="shared" si="19"/>
        <v>21216</v>
      </c>
      <c r="AK45" s="120">
        <f t="shared" si="19"/>
        <v>21277</v>
      </c>
      <c r="AL45" s="120">
        <f t="shared" ref="AL45:AS45" si="20">SUM(AL30:AL44)</f>
        <v>23830</v>
      </c>
      <c r="AM45" s="120">
        <f t="shared" si="20"/>
        <v>22591</v>
      </c>
      <c r="AN45" s="120">
        <f t="shared" si="20"/>
        <v>23327</v>
      </c>
      <c r="AO45" s="120">
        <f t="shared" si="20"/>
        <v>24221</v>
      </c>
      <c r="AP45" s="120">
        <f t="shared" si="20"/>
        <v>24955</v>
      </c>
      <c r="AQ45" s="120">
        <f t="shared" si="20"/>
        <v>25345</v>
      </c>
      <c r="AR45" s="120">
        <f t="shared" si="20"/>
        <v>23197</v>
      </c>
      <c r="AS45" s="120">
        <f t="shared" si="20"/>
        <v>28506</v>
      </c>
      <c r="AT45" s="120">
        <f>SUM(AT30:AT44)</f>
        <v>31449</v>
      </c>
      <c r="AU45" s="120">
        <f>SUM(AU30:AU44)</f>
        <v>31845</v>
      </c>
    </row>
    <row r="46" spans="2:47" x14ac:dyDescent="0.2">
      <c r="B46" s="130" t="s">
        <v>530</v>
      </c>
      <c r="C46" s="118">
        <v>-31994</v>
      </c>
      <c r="D46" s="118">
        <v>-33978</v>
      </c>
      <c r="E46" s="161">
        <v>-26858</v>
      </c>
      <c r="F46" s="118">
        <v>-27589</v>
      </c>
      <c r="G46" s="118">
        <v>-28320</v>
      </c>
      <c r="H46" s="118">
        <v>-29050</v>
      </c>
      <c r="I46" s="118">
        <v>-29781</v>
      </c>
      <c r="J46" s="118">
        <v>-30512</v>
      </c>
      <c r="K46" s="118">
        <v>-20459</v>
      </c>
      <c r="L46" s="118">
        <v>-20459</v>
      </c>
      <c r="M46" s="118">
        <v>-20459</v>
      </c>
      <c r="N46" s="118">
        <v>-20459</v>
      </c>
      <c r="O46" s="118">
        <v>-20459</v>
      </c>
      <c r="P46" s="118">
        <v>-20459</v>
      </c>
      <c r="Q46" s="118">
        <v>-20459</v>
      </c>
      <c r="R46" s="118">
        <v>-20459.16150242856</v>
      </c>
      <c r="S46" s="118">
        <v>-20459</v>
      </c>
      <c r="T46" s="118">
        <v>-20459</v>
      </c>
      <c r="U46" s="118">
        <v>-20459</v>
      </c>
      <c r="V46" s="118">
        <v>-20459</v>
      </c>
      <c r="W46" s="118">
        <v>-20459</v>
      </c>
      <c r="X46" s="118">
        <v>-20459</v>
      </c>
      <c r="Y46" s="118">
        <v>-20459</v>
      </c>
      <c r="Z46" s="118">
        <v>-20459</v>
      </c>
      <c r="AA46" s="118">
        <v>-20459</v>
      </c>
      <c r="AB46" s="118">
        <v>-20459</v>
      </c>
      <c r="AC46" s="118">
        <v>-20459</v>
      </c>
      <c r="AD46" s="118">
        <v>-20459</v>
      </c>
      <c r="AE46" s="118">
        <v>-20459</v>
      </c>
      <c r="AF46" s="118">
        <v>-20459</v>
      </c>
      <c r="AG46" s="118">
        <v>-20459</v>
      </c>
      <c r="AH46" s="118">
        <v>-20459</v>
      </c>
      <c r="AI46" s="118">
        <v>-20459</v>
      </c>
      <c r="AJ46" s="118">
        <v>-20459</v>
      </c>
      <c r="AK46" s="118">
        <v>-20459</v>
      </c>
      <c r="AL46" s="118">
        <v>-20459</v>
      </c>
      <c r="AM46" s="118">
        <v>-20459</v>
      </c>
      <c r="AN46" s="118">
        <v>-20459</v>
      </c>
      <c r="AO46" s="118">
        <v>-20459</v>
      </c>
      <c r="AP46" s="118">
        <v>-20459</v>
      </c>
      <c r="AQ46" s="118">
        <v>-20459</v>
      </c>
      <c r="AR46" s="118">
        <v>-20459</v>
      </c>
      <c r="AS46" s="118">
        <v>-20459</v>
      </c>
      <c r="AT46" s="118">
        <v>-20459</v>
      </c>
      <c r="AU46" s="118">
        <v>-20459</v>
      </c>
    </row>
    <row r="47" spans="2:47" x14ac:dyDescent="0.2">
      <c r="B47" s="130" t="s">
        <v>531</v>
      </c>
      <c r="C47" s="118">
        <v>-8042</v>
      </c>
      <c r="D47" s="118">
        <v>-8309</v>
      </c>
      <c r="E47" s="161">
        <v>-8567</v>
      </c>
      <c r="F47" s="118">
        <v>-8825</v>
      </c>
      <c r="G47" s="118">
        <v>-11618</v>
      </c>
      <c r="H47" s="118">
        <v>-11895</v>
      </c>
      <c r="I47" s="118">
        <v>-11894</v>
      </c>
      <c r="J47" s="118">
        <v>-12055</v>
      </c>
      <c r="K47" s="118">
        <v>-11742</v>
      </c>
      <c r="L47" s="118">
        <v>-11367</v>
      </c>
      <c r="M47" s="118">
        <v>-10713</v>
      </c>
      <c r="N47" s="118">
        <v>-10285</v>
      </c>
      <c r="O47" s="118">
        <v>-10025</v>
      </c>
      <c r="P47" s="118">
        <v>-9968</v>
      </c>
      <c r="Q47" s="118">
        <v>-9843.5329431999999</v>
      </c>
      <c r="R47" s="118">
        <v>-9477.4993573999982</v>
      </c>
      <c r="S47" s="118">
        <v>-9023</v>
      </c>
      <c r="T47" s="118">
        <v>-8619</v>
      </c>
      <c r="U47" s="118">
        <v>-8284</v>
      </c>
      <c r="V47" s="118">
        <v>-7976</v>
      </c>
      <c r="W47" s="118">
        <v>-7671</v>
      </c>
      <c r="X47" s="118">
        <v>-7331</v>
      </c>
      <c r="Y47" s="118">
        <v>-7209</v>
      </c>
      <c r="Z47" s="118">
        <v>-7094</v>
      </c>
      <c r="AA47" s="118">
        <v>-5970</v>
      </c>
      <c r="AB47" s="118">
        <v>-5859</v>
      </c>
      <c r="AC47" s="118">
        <v>-5767</v>
      </c>
      <c r="AD47" s="118">
        <v>-5670</v>
      </c>
      <c r="AE47" s="118">
        <v>-5671</v>
      </c>
      <c r="AF47" s="118">
        <v>-5674</v>
      </c>
      <c r="AG47" s="118">
        <v>-5659</v>
      </c>
      <c r="AH47" s="118">
        <v>-5686</v>
      </c>
      <c r="AI47" s="118">
        <v>-5788</v>
      </c>
      <c r="AJ47" s="118">
        <v>-5915</v>
      </c>
      <c r="AK47" s="118">
        <v>-5864</v>
      </c>
      <c r="AL47" s="118">
        <v>-6112</v>
      </c>
      <c r="AM47" s="118">
        <v>-6130</v>
      </c>
      <c r="AN47" s="118">
        <v>-6436</v>
      </c>
      <c r="AO47" s="118">
        <v>-6958</v>
      </c>
      <c r="AP47" s="118">
        <v>-7331</v>
      </c>
      <c r="AQ47" s="118">
        <v>-7283</v>
      </c>
      <c r="AR47" s="118">
        <v>-7297</v>
      </c>
      <c r="AS47" s="118">
        <v>-7842</v>
      </c>
      <c r="AT47" s="118">
        <v>-8350</v>
      </c>
      <c r="AU47" s="118">
        <v>-8795</v>
      </c>
    </row>
    <row r="48" spans="2:47" s="312" customFormat="1" x14ac:dyDescent="0.2">
      <c r="B48" s="130" t="s">
        <v>256</v>
      </c>
      <c r="C48" s="313">
        <v>0</v>
      </c>
      <c r="D48" s="313">
        <v>-72</v>
      </c>
      <c r="E48" s="320">
        <v>-167</v>
      </c>
      <c r="F48" s="313">
        <v>-236</v>
      </c>
      <c r="G48" s="313">
        <v>0</v>
      </c>
      <c r="H48" s="313">
        <v>0</v>
      </c>
      <c r="I48" s="313">
        <v>0</v>
      </c>
      <c r="J48" s="313">
        <v>0</v>
      </c>
      <c r="K48" s="313">
        <v>0</v>
      </c>
      <c r="L48" s="313">
        <v>0</v>
      </c>
      <c r="M48" s="313">
        <v>0</v>
      </c>
      <c r="N48" s="313">
        <v>0</v>
      </c>
      <c r="O48" s="313">
        <v>0</v>
      </c>
      <c r="P48" s="313">
        <v>0</v>
      </c>
      <c r="Q48" s="313">
        <v>0</v>
      </c>
      <c r="R48" s="118">
        <v>0</v>
      </c>
      <c r="S48" s="118">
        <v>0</v>
      </c>
      <c r="T48" s="118">
        <v>-7094</v>
      </c>
      <c r="U48" s="118">
        <v>0</v>
      </c>
      <c r="V48" s="118">
        <v>0</v>
      </c>
      <c r="W48" s="118">
        <v>0</v>
      </c>
      <c r="X48" s="118">
        <v>0</v>
      </c>
      <c r="Y48" s="118">
        <v>0</v>
      </c>
      <c r="Z48" s="118">
        <v>0</v>
      </c>
      <c r="AA48" s="118">
        <v>0</v>
      </c>
      <c r="AB48" s="118">
        <v>0</v>
      </c>
      <c r="AC48" s="118">
        <v>0</v>
      </c>
      <c r="AD48" s="118">
        <v>0</v>
      </c>
      <c r="AE48" s="118">
        <v>0</v>
      </c>
      <c r="AF48" s="118">
        <v>0</v>
      </c>
      <c r="AG48" s="118">
        <v>0</v>
      </c>
      <c r="AH48" s="118">
        <v>0</v>
      </c>
      <c r="AI48" s="118">
        <v>-1206</v>
      </c>
      <c r="AJ48" s="118">
        <v>-1264</v>
      </c>
      <c r="AK48" s="118">
        <v>-1187</v>
      </c>
      <c r="AL48" s="118">
        <v>-1187</v>
      </c>
      <c r="AM48" s="118">
        <v>-1406</v>
      </c>
      <c r="AN48" s="118">
        <v>-1469</v>
      </c>
      <c r="AO48" s="118">
        <v>-1490</v>
      </c>
      <c r="AP48" s="118">
        <v>-1491</v>
      </c>
      <c r="AQ48" s="118">
        <v>-1491</v>
      </c>
      <c r="AR48" s="118">
        <v>-1565</v>
      </c>
      <c r="AS48" s="118">
        <v>-1636</v>
      </c>
      <c r="AT48" s="118">
        <v>-1564</v>
      </c>
      <c r="AU48" s="118">
        <v>-1661</v>
      </c>
    </row>
    <row r="49" spans="2:47" s="312" customFormat="1" x14ac:dyDescent="0.2">
      <c r="B49" s="130" t="s">
        <v>1221</v>
      </c>
      <c r="C49" s="313"/>
      <c r="D49" s="313"/>
      <c r="E49" s="320"/>
      <c r="F49" s="313"/>
      <c r="G49" s="313"/>
      <c r="H49" s="313"/>
      <c r="I49" s="313"/>
      <c r="J49" s="313"/>
      <c r="K49" s="313"/>
      <c r="L49" s="313"/>
      <c r="M49" s="313"/>
      <c r="N49" s="313"/>
      <c r="O49" s="313"/>
      <c r="P49" s="313"/>
      <c r="Q49" s="313"/>
      <c r="R49" s="118"/>
      <c r="S49" s="118"/>
      <c r="T49" s="118"/>
      <c r="U49" s="118"/>
      <c r="V49" s="118"/>
      <c r="W49" s="118"/>
      <c r="X49" s="118"/>
      <c r="Y49" s="118"/>
      <c r="Z49" s="118"/>
      <c r="AA49" s="118"/>
      <c r="AB49" s="118"/>
      <c r="AC49" s="118"/>
      <c r="AD49" s="118"/>
      <c r="AE49" s="118"/>
      <c r="AF49" s="118"/>
      <c r="AG49" s="118"/>
      <c r="AH49" s="118"/>
      <c r="AI49" s="118"/>
      <c r="AJ49" s="118"/>
      <c r="AK49" s="118">
        <v>-81</v>
      </c>
      <c r="AL49" s="118">
        <v>780</v>
      </c>
      <c r="AM49" s="118">
        <v>0</v>
      </c>
      <c r="AN49" s="118">
        <v>0</v>
      </c>
      <c r="AO49" s="118">
        <v>0</v>
      </c>
      <c r="AP49" s="118">
        <v>0</v>
      </c>
      <c r="AQ49" s="118">
        <v>0</v>
      </c>
      <c r="AR49" s="118">
        <v>0</v>
      </c>
      <c r="AS49" s="118">
        <v>0</v>
      </c>
      <c r="AT49" s="118">
        <v>0</v>
      </c>
      <c r="AU49" s="118">
        <v>0</v>
      </c>
    </row>
    <row r="50" spans="2:47" s="312" customFormat="1" hidden="1" outlineLevel="1" x14ac:dyDescent="0.2">
      <c r="B50" s="319" t="s">
        <v>87</v>
      </c>
      <c r="C50" s="313">
        <v>-5569</v>
      </c>
      <c r="D50" s="313">
        <v>0</v>
      </c>
      <c r="E50" s="320">
        <v>0</v>
      </c>
      <c r="F50" s="313">
        <v>-2842</v>
      </c>
      <c r="G50" s="313">
        <v>-5448</v>
      </c>
      <c r="H50" s="313">
        <v>-6519</v>
      </c>
      <c r="I50" s="313">
        <v>0</v>
      </c>
      <c r="J50" s="313">
        <v>0</v>
      </c>
      <c r="K50" s="313">
        <v>0</v>
      </c>
      <c r="L50" s="313">
        <v>0</v>
      </c>
      <c r="M50" s="313">
        <v>0</v>
      </c>
      <c r="N50" s="313">
        <v>0</v>
      </c>
      <c r="O50" s="313">
        <v>0</v>
      </c>
      <c r="P50" s="313">
        <v>0</v>
      </c>
      <c r="Q50" s="313">
        <v>0</v>
      </c>
      <c r="R50" s="118">
        <v>0</v>
      </c>
      <c r="S50" s="118">
        <v>0</v>
      </c>
      <c r="T50" s="118">
        <v>0</v>
      </c>
      <c r="U50" s="118">
        <v>0</v>
      </c>
      <c r="V50" s="118">
        <v>0</v>
      </c>
      <c r="W50" s="118">
        <v>0</v>
      </c>
      <c r="X50" s="118">
        <v>0</v>
      </c>
      <c r="Y50" s="118">
        <v>0</v>
      </c>
      <c r="Z50" s="118">
        <v>0</v>
      </c>
      <c r="AA50" s="118">
        <v>0</v>
      </c>
      <c r="AB50" s="118">
        <v>0</v>
      </c>
      <c r="AC50" s="118">
        <v>0</v>
      </c>
      <c r="AD50" s="118">
        <v>0</v>
      </c>
      <c r="AE50" s="118">
        <v>0</v>
      </c>
      <c r="AF50" s="118">
        <v>0</v>
      </c>
      <c r="AG50" s="118">
        <v>0</v>
      </c>
      <c r="AH50" s="118">
        <v>0</v>
      </c>
      <c r="AI50" s="118">
        <v>0</v>
      </c>
      <c r="AJ50" s="118">
        <v>0</v>
      </c>
      <c r="AK50" s="313">
        <v>0</v>
      </c>
      <c r="AL50" s="313">
        <v>0</v>
      </c>
      <c r="AM50" s="313">
        <v>0</v>
      </c>
      <c r="AN50" s="313">
        <v>0</v>
      </c>
      <c r="AO50" s="313">
        <v>0</v>
      </c>
      <c r="AP50" s="313">
        <v>0</v>
      </c>
      <c r="AQ50" s="313">
        <v>0</v>
      </c>
      <c r="AR50" s="313">
        <v>0</v>
      </c>
      <c r="AS50" s="313"/>
      <c r="AT50" s="313"/>
      <c r="AU50" s="313">
        <v>0</v>
      </c>
    </row>
    <row r="51" spans="2:47" collapsed="1" x14ac:dyDescent="0.2">
      <c r="B51" s="127" t="s">
        <v>86</v>
      </c>
      <c r="C51" s="120">
        <f t="shared" ref="C51:H51" si="21">SUM(C46:C50)</f>
        <v>-45605</v>
      </c>
      <c r="D51" s="120">
        <f t="shared" si="21"/>
        <v>-42359</v>
      </c>
      <c r="E51" s="163">
        <f t="shared" si="21"/>
        <v>-35592</v>
      </c>
      <c r="F51" s="120">
        <f t="shared" si="21"/>
        <v>-39492</v>
      </c>
      <c r="G51" s="120">
        <f t="shared" si="21"/>
        <v>-45386</v>
      </c>
      <c r="H51" s="120">
        <f t="shared" si="21"/>
        <v>-47464</v>
      </c>
      <c r="I51" s="120">
        <f t="shared" ref="I51:N51" si="22">SUM(I46:I48)</f>
        <v>-41675</v>
      </c>
      <c r="J51" s="120">
        <f t="shared" si="22"/>
        <v>-42567</v>
      </c>
      <c r="K51" s="120">
        <f t="shared" si="22"/>
        <v>-32201</v>
      </c>
      <c r="L51" s="120">
        <f t="shared" si="22"/>
        <v>-31826</v>
      </c>
      <c r="M51" s="120">
        <f t="shared" si="22"/>
        <v>-31172</v>
      </c>
      <c r="N51" s="120">
        <f t="shared" si="22"/>
        <v>-30744</v>
      </c>
      <c r="O51" s="120">
        <f t="shared" ref="O51:X51" si="23">SUM(O46:O48)</f>
        <v>-30484</v>
      </c>
      <c r="P51" s="120">
        <f t="shared" si="23"/>
        <v>-30427</v>
      </c>
      <c r="Q51" s="120">
        <f t="shared" si="23"/>
        <v>-30302.5329432</v>
      </c>
      <c r="R51" s="120">
        <f t="shared" si="23"/>
        <v>-29936.66085982856</v>
      </c>
      <c r="S51" s="120">
        <f t="shared" si="23"/>
        <v>-29482</v>
      </c>
      <c r="T51" s="120">
        <f t="shared" si="23"/>
        <v>-36172</v>
      </c>
      <c r="U51" s="120">
        <f t="shared" si="23"/>
        <v>-28743</v>
      </c>
      <c r="V51" s="120">
        <f t="shared" si="23"/>
        <v>-28435</v>
      </c>
      <c r="W51" s="120">
        <f t="shared" si="23"/>
        <v>-28130</v>
      </c>
      <c r="X51" s="120">
        <f t="shared" si="23"/>
        <v>-27790</v>
      </c>
      <c r="Y51" s="120">
        <f t="shared" ref="Y51:AD51" si="24">SUM(Y46:Y48)</f>
        <v>-27668</v>
      </c>
      <c r="Z51" s="120">
        <f t="shared" si="24"/>
        <v>-27553</v>
      </c>
      <c r="AA51" s="120">
        <f t="shared" si="24"/>
        <v>-26429</v>
      </c>
      <c r="AB51" s="120">
        <f t="shared" si="24"/>
        <v>-26318</v>
      </c>
      <c r="AC51" s="120">
        <f t="shared" si="24"/>
        <v>-26226</v>
      </c>
      <c r="AD51" s="120">
        <f t="shared" si="24"/>
        <v>-26129</v>
      </c>
      <c r="AE51" s="120">
        <f>SUM(AE46:AE48)</f>
        <v>-26130</v>
      </c>
      <c r="AF51" s="120">
        <f>SUM(AF46:AF48)</f>
        <v>-26133</v>
      </c>
      <c r="AG51" s="120">
        <f>SUM(AG46:AG48)</f>
        <v>-26118</v>
      </c>
      <c r="AH51" s="120">
        <f>SUM(AH46:AH48)</f>
        <v>-26145</v>
      </c>
      <c r="AI51" s="120">
        <f>SUM(AI46:AI48)</f>
        <v>-27453</v>
      </c>
      <c r="AJ51" s="120">
        <f t="shared" ref="AJ51:AR51" si="25">SUM(AJ46:AJ49)</f>
        <v>-27638</v>
      </c>
      <c r="AK51" s="120">
        <f t="shared" si="25"/>
        <v>-27591</v>
      </c>
      <c r="AL51" s="120">
        <f t="shared" si="25"/>
        <v>-26978</v>
      </c>
      <c r="AM51" s="120">
        <f t="shared" si="25"/>
        <v>-27995</v>
      </c>
      <c r="AN51" s="120">
        <f t="shared" si="25"/>
        <v>-28364</v>
      </c>
      <c r="AO51" s="120">
        <f t="shared" si="25"/>
        <v>-28907</v>
      </c>
      <c r="AP51" s="120">
        <f t="shared" si="25"/>
        <v>-29281</v>
      </c>
      <c r="AQ51" s="120">
        <f t="shared" si="25"/>
        <v>-29233</v>
      </c>
      <c r="AR51" s="120">
        <f t="shared" si="25"/>
        <v>-29321</v>
      </c>
      <c r="AS51" s="120">
        <f t="shared" ref="AS51" si="26">SUM(AS46:AS49)</f>
        <v>-29937</v>
      </c>
      <c r="AT51" s="120">
        <f>SUM(AT46:AT49)</f>
        <v>-30373</v>
      </c>
      <c r="AU51" s="120">
        <f>SUM(AU46:AU49)</f>
        <v>-30915</v>
      </c>
    </row>
    <row r="52" spans="2:47" x14ac:dyDescent="0.2">
      <c r="B52" s="127" t="s">
        <v>36</v>
      </c>
      <c r="C52" s="120">
        <f t="shared" ref="C52:N52" si="27">C51+C45</f>
        <v>-24846</v>
      </c>
      <c r="D52" s="120">
        <f t="shared" si="27"/>
        <v>-24368</v>
      </c>
      <c r="E52" s="163">
        <f t="shared" si="27"/>
        <v>-12556</v>
      </c>
      <c r="F52" s="120">
        <f t="shared" si="27"/>
        <v>-12472</v>
      </c>
      <c r="G52" s="120">
        <f t="shared" si="27"/>
        <v>-19163</v>
      </c>
      <c r="H52" s="120">
        <f t="shared" si="27"/>
        <v>-22992</v>
      </c>
      <c r="I52" s="120">
        <f t="shared" si="27"/>
        <v>-22910</v>
      </c>
      <c r="J52" s="120">
        <f t="shared" si="27"/>
        <v>-26354</v>
      </c>
      <c r="K52" s="120">
        <f t="shared" si="27"/>
        <v>-19327</v>
      </c>
      <c r="L52" s="120">
        <f t="shared" si="27"/>
        <v>-18915</v>
      </c>
      <c r="M52" s="120">
        <f t="shared" si="27"/>
        <v>-19755</v>
      </c>
      <c r="N52" s="120">
        <f t="shared" si="27"/>
        <v>-19153</v>
      </c>
      <c r="O52" s="120">
        <f t="shared" ref="O52:X52" si="28">O51+O45</f>
        <v>-17784</v>
      </c>
      <c r="P52" s="120">
        <f t="shared" si="28"/>
        <v>-16517</v>
      </c>
      <c r="Q52" s="120">
        <f t="shared" si="28"/>
        <v>-9947.9435465999995</v>
      </c>
      <c r="R52" s="120">
        <f t="shared" si="28"/>
        <v>-9165.9536380285572</v>
      </c>
      <c r="S52" s="120">
        <f t="shared" si="28"/>
        <v>-6629</v>
      </c>
      <c r="T52" s="120">
        <f t="shared" si="28"/>
        <v>-12301</v>
      </c>
      <c r="U52" s="120">
        <f t="shared" si="28"/>
        <v>-10595</v>
      </c>
      <c r="V52" s="120">
        <f t="shared" si="28"/>
        <v>-6945</v>
      </c>
      <c r="W52" s="120">
        <f t="shared" si="28"/>
        <v>-2593</v>
      </c>
      <c r="X52" s="120">
        <f t="shared" si="28"/>
        <v>-5792</v>
      </c>
      <c r="Y52" s="120">
        <f t="shared" ref="Y52:AD52" si="29">Y51+Y45</f>
        <v>-6133</v>
      </c>
      <c r="Z52" s="120">
        <f t="shared" si="29"/>
        <v>-2668</v>
      </c>
      <c r="AA52" s="120">
        <f t="shared" si="29"/>
        <v>-2759</v>
      </c>
      <c r="AB52" s="120">
        <f t="shared" si="29"/>
        <v>-6512</v>
      </c>
      <c r="AC52" s="120">
        <f t="shared" si="29"/>
        <v>1641</v>
      </c>
      <c r="AD52" s="120">
        <f t="shared" si="29"/>
        <v>1203</v>
      </c>
      <c r="AE52" s="120">
        <f t="shared" ref="AE52:AJ52" si="30">AE51+AE45</f>
        <v>755</v>
      </c>
      <c r="AF52" s="120">
        <f t="shared" si="30"/>
        <v>-3428</v>
      </c>
      <c r="AG52" s="120">
        <f t="shared" si="30"/>
        <v>-5277</v>
      </c>
      <c r="AH52" s="120">
        <f t="shared" si="30"/>
        <v>-4866</v>
      </c>
      <c r="AI52" s="120">
        <f t="shared" si="30"/>
        <v>-5572</v>
      </c>
      <c r="AJ52" s="120">
        <f t="shared" si="30"/>
        <v>-6422</v>
      </c>
      <c r="AK52" s="120">
        <f t="shared" ref="AK52:AP52" si="31">AK51+AK45</f>
        <v>-6314</v>
      </c>
      <c r="AL52" s="120">
        <f t="shared" si="31"/>
        <v>-3148</v>
      </c>
      <c r="AM52" s="120">
        <f t="shared" si="31"/>
        <v>-5404</v>
      </c>
      <c r="AN52" s="120">
        <f t="shared" si="31"/>
        <v>-5037</v>
      </c>
      <c r="AO52" s="120">
        <f t="shared" si="31"/>
        <v>-4686</v>
      </c>
      <c r="AP52" s="120">
        <f t="shared" si="31"/>
        <v>-4326</v>
      </c>
      <c r="AQ52" s="120">
        <f>AQ51+AQ45</f>
        <v>-3888</v>
      </c>
      <c r="AR52" s="120">
        <f>AR51+AR45</f>
        <v>-6124</v>
      </c>
      <c r="AS52" s="120">
        <f>AS51+AS45</f>
        <v>-1431</v>
      </c>
      <c r="AT52" s="120">
        <f>AT51+AT45</f>
        <v>1076</v>
      </c>
      <c r="AU52" s="120">
        <f>AU51+AU45</f>
        <v>930</v>
      </c>
    </row>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45">
    <pageSetUpPr autoPageBreaks="0"/>
  </sheetPr>
  <dimension ref="A1:AT1741"/>
  <sheetViews>
    <sheetView showGridLines="0" zoomScaleNormal="100" workbookViewId="0">
      <pane xSplit="2" ySplit="4" topLeftCell="AH5"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28515625" style="25" customWidth="1"/>
    <col min="2" max="2" width="37.7109375" style="25" customWidth="1"/>
    <col min="3" max="46" width="10.7109375" style="25" customWidth="1"/>
    <col min="47" max="16384" width="9.28515625" style="25"/>
  </cols>
  <sheetData>
    <row r="1" spans="1:46" s="556" customFormat="1" ht="7.5" customHeight="1" x14ac:dyDescent="0.2"/>
    <row r="2" spans="1:46" s="556" customFormat="1" ht="12.75" customHeight="1" x14ac:dyDescent="0.25">
      <c r="D2" s="561"/>
    </row>
    <row r="3" spans="1:46" ht="12.75" customHeight="1" x14ac:dyDescent="0.2">
      <c r="V3" s="556"/>
      <c r="W3" s="556"/>
      <c r="X3" s="556"/>
      <c r="Y3" s="556"/>
      <c r="Z3" s="556"/>
      <c r="AA3" s="556"/>
      <c r="AB3" s="556"/>
      <c r="AC3" s="556"/>
      <c r="AD3" s="556"/>
      <c r="AE3" s="556"/>
      <c r="AF3" s="556"/>
      <c r="AG3" s="556"/>
      <c r="AH3" s="556"/>
      <c r="AI3" s="556"/>
      <c r="AJ3" s="556"/>
      <c r="AK3" s="556"/>
      <c r="AL3" s="556"/>
      <c r="AM3" s="556"/>
      <c r="AN3" s="556"/>
      <c r="AO3" s="556"/>
      <c r="AP3" s="556"/>
      <c r="AQ3" s="354"/>
      <c r="AR3" s="354"/>
      <c r="AS3" s="354"/>
      <c r="AT3" s="354"/>
    </row>
    <row r="4" spans="1:46" ht="12.75" customHeight="1" x14ac:dyDescent="0.2">
      <c r="B4" s="1250" t="s">
        <v>1435</v>
      </c>
      <c r="C4" s="1251"/>
      <c r="D4" s="225" t="s">
        <v>1439</v>
      </c>
      <c r="E4"/>
    </row>
    <row r="5" spans="1:46" x14ac:dyDescent="0.2">
      <c r="B5" s="115" t="s">
        <v>391</v>
      </c>
      <c r="C5" s="115" t="s">
        <v>471</v>
      </c>
      <c r="D5" s="223"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1:46" x14ac:dyDescent="0.2">
      <c r="B6" s="130" t="s">
        <v>532</v>
      </c>
      <c r="C6" s="118">
        <v>1040</v>
      </c>
      <c r="D6" s="161">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row>
    <row r="7" spans="1:46" x14ac:dyDescent="0.2">
      <c r="B7" s="130" t="s">
        <v>533</v>
      </c>
      <c r="C7" s="118">
        <v>2699</v>
      </c>
      <c r="D7" s="161">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row>
    <row r="8" spans="1:46" x14ac:dyDescent="0.2">
      <c r="B8" s="130" t="s">
        <v>345</v>
      </c>
      <c r="C8" s="118">
        <v>10485</v>
      </c>
      <c r="D8" s="161">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row>
    <row r="9" spans="1:46" x14ac:dyDescent="0.2">
      <c r="B9" s="130" t="s">
        <v>534</v>
      </c>
      <c r="C9" s="118">
        <v>4079</v>
      </c>
      <c r="D9" s="161">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row>
    <row r="10" spans="1:46" s="249" customFormat="1" x14ac:dyDescent="0.2">
      <c r="A10" s="25"/>
      <c r="B10" s="130" t="s">
        <v>535</v>
      </c>
      <c r="C10" s="118">
        <v>696</v>
      </c>
      <c r="D10" s="161">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row>
    <row r="11" spans="1:46" ht="14.25" customHeight="1" x14ac:dyDescent="0.2">
      <c r="B11" s="130" t="s">
        <v>536</v>
      </c>
      <c r="C11" s="118">
        <v>1290</v>
      </c>
      <c r="D11" s="161">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row>
    <row r="12" spans="1:46" x14ac:dyDescent="0.2">
      <c r="B12" s="130" t="s">
        <v>537</v>
      </c>
      <c r="C12" s="118">
        <v>1065</v>
      </c>
      <c r="D12" s="161">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row>
    <row r="13" spans="1:46" x14ac:dyDescent="0.2">
      <c r="B13" s="130" t="s">
        <v>538</v>
      </c>
      <c r="C13" s="118">
        <v>1266</v>
      </c>
      <c r="D13" s="161">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row>
    <row r="14" spans="1:46" s="249" customFormat="1" x14ac:dyDescent="0.2">
      <c r="A14" s="25"/>
      <c r="B14" s="130" t="s">
        <v>539</v>
      </c>
      <c r="C14" s="118">
        <v>973</v>
      </c>
      <c r="D14" s="161">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row>
    <row r="15" spans="1:46" s="249" customFormat="1" x14ac:dyDescent="0.2">
      <c r="A15" s="25"/>
      <c r="B15" s="130" t="s">
        <v>541</v>
      </c>
      <c r="C15" s="118">
        <v>0</v>
      </c>
      <c r="D15" s="161">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row>
    <row r="16" spans="1:46" x14ac:dyDescent="0.2">
      <c r="B16" s="130" t="s">
        <v>542</v>
      </c>
      <c r="C16" s="118">
        <v>0</v>
      </c>
      <c r="D16" s="161">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row>
    <row r="17" spans="1:46" x14ac:dyDescent="0.2">
      <c r="B17" s="130" t="s">
        <v>224</v>
      </c>
      <c r="C17" s="118">
        <v>6161</v>
      </c>
      <c r="D17" s="161">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row>
    <row r="18" spans="1:46" s="249" customFormat="1" hidden="1" outlineLevel="1" x14ac:dyDescent="0.2">
      <c r="A18" s="25"/>
      <c r="B18" s="250" t="s">
        <v>540</v>
      </c>
      <c r="C18" s="219">
        <v>16107</v>
      </c>
      <c r="D18" s="220">
        <v>3481</v>
      </c>
      <c r="E18" s="219">
        <v>4497</v>
      </c>
      <c r="F18" s="219">
        <v>425</v>
      </c>
      <c r="G18" s="219">
        <v>450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c r="Y18" s="219">
        <v>0</v>
      </c>
      <c r="Z18" s="219">
        <v>0</v>
      </c>
      <c r="AA18" s="219">
        <v>0</v>
      </c>
      <c r="AB18" s="219">
        <v>0</v>
      </c>
      <c r="AC18" s="219">
        <v>0</v>
      </c>
      <c r="AD18" s="219">
        <v>0</v>
      </c>
      <c r="AE18" s="219">
        <v>0</v>
      </c>
      <c r="AF18" s="219">
        <v>0</v>
      </c>
      <c r="AG18" s="219">
        <v>0</v>
      </c>
      <c r="AH18" s="219"/>
      <c r="AI18" s="219">
        <v>0</v>
      </c>
      <c r="AJ18" s="219">
        <v>0</v>
      </c>
      <c r="AK18" s="219">
        <v>0</v>
      </c>
      <c r="AL18" s="219">
        <v>0</v>
      </c>
      <c r="AM18" s="219">
        <v>0</v>
      </c>
      <c r="AN18" s="219">
        <v>0</v>
      </c>
      <c r="AO18" s="219">
        <v>0</v>
      </c>
      <c r="AP18" s="219">
        <v>0</v>
      </c>
      <c r="AQ18" s="219">
        <v>0</v>
      </c>
      <c r="AR18" s="219"/>
      <c r="AS18" s="219"/>
      <c r="AT18" s="219">
        <v>0</v>
      </c>
    </row>
    <row r="19" spans="1:46" s="249" customFormat="1" hidden="1" outlineLevel="1" x14ac:dyDescent="0.2">
      <c r="A19" s="25"/>
      <c r="B19" s="250" t="s">
        <v>543</v>
      </c>
      <c r="C19" s="219">
        <v>0</v>
      </c>
      <c r="D19" s="220">
        <v>0</v>
      </c>
      <c r="E19" s="219">
        <v>0</v>
      </c>
      <c r="F19" s="219">
        <v>0</v>
      </c>
      <c r="G19" s="219">
        <v>0</v>
      </c>
      <c r="H19" s="219">
        <v>6400</v>
      </c>
      <c r="I19" s="219">
        <v>6400</v>
      </c>
      <c r="J19" s="219">
        <v>6400</v>
      </c>
      <c r="K19" s="219">
        <v>6400</v>
      </c>
      <c r="L19" s="219">
        <v>6400</v>
      </c>
      <c r="M19" s="219">
        <v>6400</v>
      </c>
      <c r="N19" s="219">
        <v>0</v>
      </c>
      <c r="O19" s="219">
        <v>0</v>
      </c>
      <c r="P19" s="219">
        <v>0</v>
      </c>
      <c r="Q19" s="219">
        <v>0</v>
      </c>
      <c r="R19" s="219">
        <v>0</v>
      </c>
      <c r="S19" s="219">
        <v>0</v>
      </c>
      <c r="T19" s="219">
        <v>0</v>
      </c>
      <c r="U19" s="219">
        <v>0</v>
      </c>
      <c r="V19" s="219">
        <v>0</v>
      </c>
      <c r="W19" s="219">
        <v>0</v>
      </c>
      <c r="X19" s="219"/>
      <c r="Y19" s="219">
        <v>0</v>
      </c>
      <c r="Z19" s="219">
        <v>0</v>
      </c>
      <c r="AA19" s="219">
        <v>0</v>
      </c>
      <c r="AB19" s="219">
        <v>0</v>
      </c>
      <c r="AC19" s="219">
        <v>0</v>
      </c>
      <c r="AD19" s="219">
        <v>0</v>
      </c>
      <c r="AE19" s="219">
        <v>0</v>
      </c>
      <c r="AF19" s="219">
        <v>0</v>
      </c>
      <c r="AG19" s="219">
        <v>0</v>
      </c>
      <c r="AH19" s="219"/>
      <c r="AI19" s="219">
        <v>0</v>
      </c>
      <c r="AJ19" s="219">
        <v>0</v>
      </c>
      <c r="AK19" s="219">
        <v>0</v>
      </c>
      <c r="AL19" s="219">
        <v>0</v>
      </c>
      <c r="AM19" s="219">
        <v>0</v>
      </c>
      <c r="AN19" s="219">
        <v>0</v>
      </c>
      <c r="AO19" s="219">
        <v>0</v>
      </c>
      <c r="AP19" s="219">
        <v>0</v>
      </c>
      <c r="AQ19" s="219">
        <v>0</v>
      </c>
      <c r="AR19" s="219"/>
      <c r="AS19" s="219"/>
      <c r="AT19" s="219">
        <v>0</v>
      </c>
    </row>
    <row r="20" spans="1:46" s="249" customFormat="1" hidden="1" outlineLevel="1" x14ac:dyDescent="0.2">
      <c r="A20" s="25"/>
      <c r="B20" s="250" t="s">
        <v>544</v>
      </c>
      <c r="C20" s="219">
        <v>0</v>
      </c>
      <c r="D20" s="220">
        <v>0</v>
      </c>
      <c r="E20" s="219">
        <v>0</v>
      </c>
      <c r="F20" s="219">
        <v>10454</v>
      </c>
      <c r="G20" s="219">
        <v>6948</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c r="Y20" s="219">
        <v>0</v>
      </c>
      <c r="Z20" s="219">
        <v>0</v>
      </c>
      <c r="AA20" s="219">
        <v>0</v>
      </c>
      <c r="AB20" s="219">
        <v>0</v>
      </c>
      <c r="AC20" s="219">
        <v>0</v>
      </c>
      <c r="AD20" s="219">
        <v>0</v>
      </c>
      <c r="AE20" s="219">
        <v>0</v>
      </c>
      <c r="AF20" s="219">
        <v>0</v>
      </c>
      <c r="AG20" s="219">
        <v>0</v>
      </c>
      <c r="AH20" s="219"/>
      <c r="AI20" s="219">
        <v>0</v>
      </c>
      <c r="AJ20" s="219">
        <v>0</v>
      </c>
      <c r="AK20" s="219">
        <v>0</v>
      </c>
      <c r="AL20" s="219">
        <v>0</v>
      </c>
      <c r="AM20" s="219">
        <v>0</v>
      </c>
      <c r="AN20" s="219">
        <v>0</v>
      </c>
      <c r="AO20" s="219">
        <v>0</v>
      </c>
      <c r="AP20" s="219">
        <v>0</v>
      </c>
      <c r="AQ20" s="219">
        <v>0</v>
      </c>
      <c r="AR20" s="219"/>
      <c r="AS20" s="219"/>
      <c r="AT20" s="219">
        <v>0</v>
      </c>
    </row>
    <row r="21" spans="1:46" collapsed="1" x14ac:dyDescent="0.2">
      <c r="A21" s="27"/>
      <c r="B21" s="127" t="s">
        <v>22</v>
      </c>
      <c r="C21" s="120">
        <f t="shared" ref="C21:AT21" si="0">SUM(C6:C20)</f>
        <v>45861</v>
      </c>
      <c r="D21" s="163">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row>
    <row r="22" spans="1:46" ht="15.75" customHeight="1" x14ac:dyDescent="0.2">
      <c r="A22" s="27"/>
      <c r="C22" s="69">
        <f>+C21-BalSheet!S49</f>
        <v>0</v>
      </c>
      <c r="D22" s="69">
        <f>+D21-BalSheet!T49</f>
        <v>0</v>
      </c>
      <c r="E22" s="69">
        <f>+E21-BalSheet!U49</f>
        <v>0</v>
      </c>
      <c r="F22" s="69">
        <f>+F21-BalSheet!V49</f>
        <v>0</v>
      </c>
      <c r="G22" s="69">
        <f>+G21-BalSheet!W49</f>
        <v>0</v>
      </c>
      <c r="H22" s="69">
        <f>+H21-BalSheet!X49</f>
        <v>0</v>
      </c>
      <c r="I22" s="69">
        <f>+I21-BalSheet!Y49</f>
        <v>0</v>
      </c>
      <c r="J22" s="69">
        <f>+J21-BalSheet!Z49</f>
        <v>0</v>
      </c>
      <c r="K22" s="69">
        <f>+K21-BalSheet!AA49</f>
        <v>0</v>
      </c>
      <c r="L22" s="69">
        <f>+L21-BalSheet!AB49</f>
        <v>0</v>
      </c>
      <c r="M22" s="69">
        <f>+M21-BalSheet!AC49</f>
        <v>0</v>
      </c>
      <c r="N22" s="69">
        <f>+N21-BalSheet!AD49</f>
        <v>0</v>
      </c>
      <c r="O22" s="69">
        <f>+O21-BalSheet!AE49</f>
        <v>0</v>
      </c>
      <c r="P22" s="69">
        <f>+P21-BalSheet!AF49</f>
        <v>0</v>
      </c>
      <c r="Q22" s="69">
        <f>+Q21-BalSheet!AG49</f>
        <v>0</v>
      </c>
      <c r="R22" s="69">
        <f>BalSheet!AH49-R21</f>
        <v>0</v>
      </c>
      <c r="S22" s="69">
        <f>BalSheet!AI49-S21</f>
        <v>0</v>
      </c>
      <c r="T22" s="69">
        <f>BalSheet!AJ49-T21</f>
        <v>0</v>
      </c>
      <c r="U22" s="69">
        <f>BalSheet!AK49-U21</f>
        <v>0</v>
      </c>
      <c r="V22" s="69">
        <f>BalSheet!AL49-V21</f>
        <v>0</v>
      </c>
      <c r="W22" s="69">
        <f>BalSheet!AM49-W21</f>
        <v>0</v>
      </c>
      <c r="X22" s="69">
        <f>BalSheet!AN49-X21</f>
        <v>0</v>
      </c>
      <c r="Y22" s="69">
        <v>0</v>
      </c>
      <c r="Z22" s="69">
        <v>0</v>
      </c>
      <c r="AA22" s="69">
        <f>BalSheet!AQ49-AA21</f>
        <v>0</v>
      </c>
      <c r="AB22" s="69">
        <f>BalSheet!AR49-AB21</f>
        <v>0</v>
      </c>
      <c r="AC22" s="69">
        <f>BalSheet!AS49-AC21</f>
        <v>0</v>
      </c>
      <c r="AD22" s="69">
        <f>BalSheet!AT49-AD21</f>
        <v>0</v>
      </c>
      <c r="AE22" s="69">
        <f>BalSheet!AU49-AE21</f>
        <v>0</v>
      </c>
      <c r="AF22" s="69">
        <f>BalSheet!AV49-AF21</f>
        <v>0</v>
      </c>
      <c r="AG22" s="69">
        <f>BalSheet!AW49-AG21</f>
        <v>0</v>
      </c>
      <c r="AH22" s="69">
        <f>BalSheet!AX49-AH21</f>
        <v>0</v>
      </c>
      <c r="AI22" s="69">
        <v>0</v>
      </c>
      <c r="AJ22" s="69">
        <f>BalSheet!AZ49-AJ21</f>
        <v>0</v>
      </c>
      <c r="AK22" s="69">
        <v>0</v>
      </c>
      <c r="AL22" s="69">
        <f>BalSheet!BB49-AL21</f>
        <v>0</v>
      </c>
      <c r="AM22" s="69">
        <f>BalSheet!BC49-AM21</f>
        <v>0</v>
      </c>
      <c r="AN22" s="69">
        <f>BalSheet!BD49-AN21</f>
        <v>0</v>
      </c>
      <c r="AO22" s="69">
        <f>BalSheet!BE49-AO21</f>
        <v>0</v>
      </c>
      <c r="AP22" s="69">
        <f>BalSheet!BF49-AP21</f>
        <v>0</v>
      </c>
      <c r="AQ22" s="69">
        <f>BalSheet!BG49-AQ21</f>
        <v>0</v>
      </c>
      <c r="AR22" s="69">
        <f>BalSheet!BH49-AR21</f>
        <v>0</v>
      </c>
      <c r="AS22" s="69"/>
      <c r="AT22" s="69">
        <f>BalSheet!BJ49-AT21</f>
        <v>0</v>
      </c>
    </row>
    <row r="23" spans="1:46" ht="15.75" customHeight="1" x14ac:dyDescent="0.2">
      <c r="B23" s="115" t="s">
        <v>397</v>
      </c>
      <c r="C23" s="115" t="str">
        <f t="shared" ref="C23:AT23" si="1">C5</f>
        <v>1Q14</v>
      </c>
      <c r="D23" s="223" t="str">
        <f t="shared" si="1"/>
        <v>2Q14</v>
      </c>
      <c r="E23" s="115" t="str">
        <f t="shared" si="1"/>
        <v>3Q14</v>
      </c>
      <c r="F23" s="115" t="str">
        <f t="shared" si="1"/>
        <v>4Q14</v>
      </c>
      <c r="G23" s="115" t="str">
        <f t="shared" si="1"/>
        <v>1Q15</v>
      </c>
      <c r="H23" s="115" t="str">
        <f t="shared" si="1"/>
        <v>2Q15</v>
      </c>
      <c r="I23" s="115" t="str">
        <f t="shared" si="1"/>
        <v>3Q15</v>
      </c>
      <c r="J23" s="115" t="str">
        <f t="shared" si="1"/>
        <v>4Q15</v>
      </c>
      <c r="K23" s="115" t="str">
        <f t="shared" si="1"/>
        <v>1Q16</v>
      </c>
      <c r="L23" s="115" t="str">
        <f t="shared" si="1"/>
        <v>2Q16</v>
      </c>
      <c r="M23" s="115" t="str">
        <f t="shared" si="1"/>
        <v>3Q16</v>
      </c>
      <c r="N23" s="115" t="str">
        <f t="shared" si="1"/>
        <v>4Q16</v>
      </c>
      <c r="O23" s="115" t="str">
        <f t="shared" si="1"/>
        <v>1Q17</v>
      </c>
      <c r="P23" s="115" t="str">
        <f t="shared" si="1"/>
        <v>2Q17</v>
      </c>
      <c r="Q23" s="115" t="str">
        <f t="shared" si="1"/>
        <v>3Q17</v>
      </c>
      <c r="R23" s="115" t="str">
        <f t="shared" si="1"/>
        <v>4Q17</v>
      </c>
      <c r="S23" s="115" t="str">
        <f t="shared" si="1"/>
        <v>1Q18</v>
      </c>
      <c r="T23" s="115" t="str">
        <f t="shared" si="1"/>
        <v>2Q18</v>
      </c>
      <c r="U23" s="115" t="str">
        <f t="shared" si="1"/>
        <v>3Q18</v>
      </c>
      <c r="V23" s="115" t="str">
        <f t="shared" si="1"/>
        <v>4Q18</v>
      </c>
      <c r="W23" s="115" t="str">
        <f t="shared" si="1"/>
        <v>1Q19</v>
      </c>
      <c r="X23" s="115" t="str">
        <f t="shared" si="1"/>
        <v>2Q19</v>
      </c>
      <c r="Y23" s="115" t="str">
        <f t="shared" si="1"/>
        <v>3Q19</v>
      </c>
      <c r="Z23" s="115" t="str">
        <f t="shared" si="1"/>
        <v>4Q19</v>
      </c>
      <c r="AA23" s="115" t="str">
        <f t="shared" si="1"/>
        <v>1Q20</v>
      </c>
      <c r="AB23" s="115" t="str">
        <f t="shared" si="1"/>
        <v>2Q20</v>
      </c>
      <c r="AC23" s="115" t="str">
        <f t="shared" si="1"/>
        <v>3Q20</v>
      </c>
      <c r="AD23" s="115" t="str">
        <f t="shared" si="1"/>
        <v>4Q20</v>
      </c>
      <c r="AE23" s="115" t="str">
        <f t="shared" si="1"/>
        <v>1Q21</v>
      </c>
      <c r="AF23" s="115" t="str">
        <f t="shared" si="1"/>
        <v>2Q21</v>
      </c>
      <c r="AG23" s="115" t="str">
        <f t="shared" si="1"/>
        <v>3Q21</v>
      </c>
      <c r="AH23" s="115" t="str">
        <f t="shared" si="1"/>
        <v>4Q21</v>
      </c>
      <c r="AI23" s="115" t="str">
        <f t="shared" si="1"/>
        <v>1Q22</v>
      </c>
      <c r="AJ23" s="115" t="str">
        <f t="shared" si="1"/>
        <v>2Q22</v>
      </c>
      <c r="AK23" s="115" t="str">
        <f t="shared" si="1"/>
        <v>3Q22</v>
      </c>
      <c r="AL23" s="115" t="str">
        <f t="shared" si="1"/>
        <v>4Q22</v>
      </c>
      <c r="AM23" s="115" t="str">
        <f t="shared" si="1"/>
        <v>1Q23</v>
      </c>
      <c r="AN23" s="115" t="str">
        <f t="shared" si="1"/>
        <v>2Q23</v>
      </c>
      <c r="AO23" s="115" t="str">
        <f t="shared" si="1"/>
        <v>3Q23</v>
      </c>
      <c r="AP23" s="115" t="str">
        <f t="shared" si="1"/>
        <v>4Q23</v>
      </c>
      <c r="AQ23" s="115" t="str">
        <f t="shared" si="1"/>
        <v>1Q24</v>
      </c>
      <c r="AR23" s="115" t="str">
        <f t="shared" si="1"/>
        <v>2Q24</v>
      </c>
      <c r="AS23" s="115" t="str">
        <f t="shared" si="1"/>
        <v>3Q24</v>
      </c>
      <c r="AT23" s="115" t="str">
        <f t="shared" si="1"/>
        <v>4Q24</v>
      </c>
    </row>
    <row r="24" spans="1:46" x14ac:dyDescent="0.2">
      <c r="B24" s="130" t="s">
        <v>532</v>
      </c>
      <c r="C24" s="118">
        <v>663</v>
      </c>
      <c r="D24" s="161">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row>
    <row r="25" spans="1:46" x14ac:dyDescent="0.2">
      <c r="B25" s="130" t="s">
        <v>533</v>
      </c>
      <c r="C25" s="118">
        <v>2676</v>
      </c>
      <c r="D25" s="161">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row>
    <row r="26" spans="1:46" x14ac:dyDescent="0.2">
      <c r="B26" s="130" t="s">
        <v>345</v>
      </c>
      <c r="C26" s="118">
        <v>3140</v>
      </c>
      <c r="D26" s="161">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row>
    <row r="27" spans="1:46" x14ac:dyDescent="0.2">
      <c r="B27" s="130" t="s">
        <v>534</v>
      </c>
      <c r="C27" s="118">
        <v>1184</v>
      </c>
      <c r="D27" s="161">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row>
    <row r="28" spans="1:46" x14ac:dyDescent="0.2">
      <c r="B28" s="130" t="s">
        <v>535</v>
      </c>
      <c r="C28" s="118">
        <v>404</v>
      </c>
      <c r="D28" s="161">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row>
    <row r="29" spans="1:46" x14ac:dyDescent="0.2">
      <c r="B29" s="130" t="s">
        <v>536</v>
      </c>
      <c r="C29" s="118">
        <v>344</v>
      </c>
      <c r="D29" s="161">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row>
    <row r="30" spans="1:46" x14ac:dyDescent="0.2">
      <c r="B30" s="130" t="s">
        <v>537</v>
      </c>
      <c r="C30" s="118">
        <v>809</v>
      </c>
      <c r="D30" s="161">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row>
    <row r="31" spans="1:46" x14ac:dyDescent="0.2">
      <c r="B31" s="130" t="s">
        <v>538</v>
      </c>
      <c r="C31" s="118">
        <v>336</v>
      </c>
      <c r="D31" s="161">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row>
    <row r="32" spans="1:46" x14ac:dyDescent="0.2">
      <c r="B32" s="130" t="s">
        <v>539</v>
      </c>
      <c r="C32" s="118">
        <v>0</v>
      </c>
      <c r="D32" s="161">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row>
    <row r="33" spans="1:46" x14ac:dyDescent="0.2">
      <c r="B33" s="130" t="s">
        <v>541</v>
      </c>
      <c r="C33" s="118">
        <v>0</v>
      </c>
      <c r="D33" s="161">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row>
    <row r="34" spans="1:46" x14ac:dyDescent="0.2">
      <c r="B34" s="130" t="s">
        <v>542</v>
      </c>
      <c r="C34" s="118">
        <v>0</v>
      </c>
      <c r="D34" s="161">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row>
    <row r="35" spans="1:46" x14ac:dyDescent="0.2">
      <c r="B35" s="130" t="s">
        <v>224</v>
      </c>
      <c r="C35" s="118">
        <v>2472</v>
      </c>
      <c r="D35" s="161">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row>
    <row r="36" spans="1:46" s="249" customFormat="1" outlineLevel="1" x14ac:dyDescent="0.2">
      <c r="A36" s="25"/>
      <c r="B36" s="250" t="s">
        <v>540</v>
      </c>
      <c r="C36" s="219">
        <v>0</v>
      </c>
      <c r="D36" s="220">
        <v>0</v>
      </c>
      <c r="E36" s="219">
        <v>37</v>
      </c>
      <c r="F36" s="219">
        <v>0</v>
      </c>
      <c r="G36" s="219">
        <v>0</v>
      </c>
      <c r="H36" s="219">
        <v>0</v>
      </c>
      <c r="I36" s="219">
        <v>0</v>
      </c>
      <c r="J36" s="219">
        <v>0</v>
      </c>
      <c r="K36" s="219">
        <v>0</v>
      </c>
      <c r="L36" s="219">
        <v>0</v>
      </c>
      <c r="M36" s="219">
        <v>0</v>
      </c>
      <c r="N36" s="219">
        <v>0</v>
      </c>
      <c r="O36" s="219">
        <v>0</v>
      </c>
      <c r="P36" s="219">
        <v>0</v>
      </c>
      <c r="Q36" s="219">
        <v>0</v>
      </c>
      <c r="R36" s="219">
        <v>0</v>
      </c>
      <c r="S36" s="219">
        <v>0</v>
      </c>
      <c r="T36" s="219">
        <v>0</v>
      </c>
      <c r="U36" s="219">
        <v>0</v>
      </c>
      <c r="V36" s="219">
        <v>0</v>
      </c>
      <c r="W36" s="219">
        <v>0</v>
      </c>
      <c r="X36" s="219"/>
      <c r="Y36" s="219">
        <v>0</v>
      </c>
      <c r="Z36" s="219">
        <v>0</v>
      </c>
      <c r="AA36" s="219">
        <v>0</v>
      </c>
      <c r="AB36" s="219">
        <v>0</v>
      </c>
      <c r="AC36" s="219">
        <v>0</v>
      </c>
      <c r="AD36" s="219">
        <v>0</v>
      </c>
      <c r="AE36" s="219">
        <v>0</v>
      </c>
      <c r="AF36" s="219">
        <v>0</v>
      </c>
      <c r="AG36" s="219">
        <v>0</v>
      </c>
      <c r="AH36" s="219"/>
      <c r="AI36" s="219">
        <v>0</v>
      </c>
      <c r="AJ36" s="219">
        <v>0</v>
      </c>
      <c r="AK36" s="219">
        <v>0</v>
      </c>
      <c r="AL36" s="219">
        <v>0</v>
      </c>
      <c r="AM36" s="219">
        <v>0</v>
      </c>
      <c r="AN36" s="219">
        <v>0</v>
      </c>
      <c r="AO36" s="219">
        <v>0</v>
      </c>
      <c r="AP36" s="219">
        <v>0</v>
      </c>
      <c r="AQ36" s="219">
        <v>0</v>
      </c>
      <c r="AR36" s="219"/>
      <c r="AS36" s="219"/>
      <c r="AT36" s="219">
        <v>0</v>
      </c>
    </row>
    <row r="37" spans="1:46" s="249" customFormat="1" outlineLevel="1" x14ac:dyDescent="0.2">
      <c r="A37" s="25"/>
      <c r="B37" s="250" t="s">
        <v>543</v>
      </c>
      <c r="C37" s="219">
        <v>0</v>
      </c>
      <c r="D37" s="220">
        <v>0</v>
      </c>
      <c r="E37" s="219">
        <v>0</v>
      </c>
      <c r="F37" s="219">
        <v>0</v>
      </c>
      <c r="G37" s="219">
        <v>0</v>
      </c>
      <c r="H37" s="219">
        <v>0</v>
      </c>
      <c r="I37" s="219">
        <v>0</v>
      </c>
      <c r="J37" s="219">
        <v>0</v>
      </c>
      <c r="K37" s="219">
        <v>0</v>
      </c>
      <c r="L37" s="219">
        <v>0</v>
      </c>
      <c r="M37" s="219">
        <v>0</v>
      </c>
      <c r="N37" s="219">
        <v>0</v>
      </c>
      <c r="O37" s="219">
        <v>0</v>
      </c>
      <c r="P37" s="219">
        <v>0</v>
      </c>
      <c r="Q37" s="219">
        <v>0</v>
      </c>
      <c r="R37" s="219">
        <v>0</v>
      </c>
      <c r="S37" s="219">
        <v>0</v>
      </c>
      <c r="T37" s="219">
        <v>0</v>
      </c>
      <c r="U37" s="219">
        <v>0</v>
      </c>
      <c r="V37" s="219">
        <v>0</v>
      </c>
      <c r="W37" s="219">
        <v>0</v>
      </c>
      <c r="X37" s="219"/>
      <c r="Y37" s="219">
        <v>0</v>
      </c>
      <c r="Z37" s="219">
        <v>0</v>
      </c>
      <c r="AA37" s="219">
        <v>0</v>
      </c>
      <c r="AB37" s="219">
        <v>0</v>
      </c>
      <c r="AC37" s="219">
        <v>0</v>
      </c>
      <c r="AD37" s="219">
        <v>0</v>
      </c>
      <c r="AE37" s="219">
        <v>0</v>
      </c>
      <c r="AF37" s="219">
        <v>0</v>
      </c>
      <c r="AG37" s="219">
        <v>0</v>
      </c>
      <c r="AH37" s="219"/>
      <c r="AI37" s="219">
        <v>0</v>
      </c>
      <c r="AJ37" s="219">
        <v>0</v>
      </c>
      <c r="AK37" s="219">
        <v>0</v>
      </c>
      <c r="AL37" s="219">
        <v>0</v>
      </c>
      <c r="AM37" s="219">
        <v>0</v>
      </c>
      <c r="AN37" s="219">
        <v>0</v>
      </c>
      <c r="AO37" s="219">
        <v>0</v>
      </c>
      <c r="AP37" s="219">
        <v>0</v>
      </c>
      <c r="AQ37" s="219">
        <v>0</v>
      </c>
      <c r="AR37" s="219"/>
      <c r="AS37" s="219"/>
      <c r="AT37" s="219">
        <v>0</v>
      </c>
    </row>
    <row r="38" spans="1:46" s="249" customFormat="1" outlineLevel="1" x14ac:dyDescent="0.2">
      <c r="A38" s="25"/>
      <c r="B38" s="250" t="s">
        <v>544</v>
      </c>
      <c r="C38" s="219">
        <v>0</v>
      </c>
      <c r="D38" s="220">
        <v>0</v>
      </c>
      <c r="E38" s="219">
        <v>0</v>
      </c>
      <c r="F38" s="219">
        <v>10454</v>
      </c>
      <c r="G38" s="219">
        <v>6948</v>
      </c>
      <c r="H38" s="219">
        <v>0</v>
      </c>
      <c r="I38" s="219">
        <v>0</v>
      </c>
      <c r="J38" s="219">
        <v>0</v>
      </c>
      <c r="K38" s="219">
        <v>0</v>
      </c>
      <c r="L38" s="219">
        <v>0</v>
      </c>
      <c r="M38" s="219">
        <v>0</v>
      </c>
      <c r="N38" s="219">
        <v>0</v>
      </c>
      <c r="O38" s="219">
        <v>0</v>
      </c>
      <c r="P38" s="219">
        <v>0</v>
      </c>
      <c r="Q38" s="219">
        <v>0</v>
      </c>
      <c r="R38" s="219">
        <v>0</v>
      </c>
      <c r="S38" s="219">
        <v>0</v>
      </c>
      <c r="T38" s="219">
        <v>0</v>
      </c>
      <c r="U38" s="219">
        <v>0</v>
      </c>
      <c r="V38" s="219">
        <v>0</v>
      </c>
      <c r="W38" s="219">
        <v>0</v>
      </c>
      <c r="X38" s="219"/>
      <c r="Y38" s="219">
        <v>0</v>
      </c>
      <c r="Z38" s="219">
        <v>0</v>
      </c>
      <c r="AA38" s="219">
        <v>0</v>
      </c>
      <c r="AB38" s="219">
        <v>0</v>
      </c>
      <c r="AC38" s="219">
        <v>0</v>
      </c>
      <c r="AD38" s="219">
        <v>0</v>
      </c>
      <c r="AE38" s="219">
        <v>0</v>
      </c>
      <c r="AF38" s="219">
        <v>0</v>
      </c>
      <c r="AG38" s="219">
        <v>0</v>
      </c>
      <c r="AH38" s="219"/>
      <c r="AI38" s="219">
        <v>0</v>
      </c>
      <c r="AJ38" s="219">
        <v>0</v>
      </c>
      <c r="AK38" s="219">
        <v>0</v>
      </c>
      <c r="AL38" s="219">
        <v>0</v>
      </c>
      <c r="AM38" s="219">
        <v>0</v>
      </c>
      <c r="AN38" s="219">
        <v>0</v>
      </c>
      <c r="AO38" s="219">
        <v>0</v>
      </c>
      <c r="AP38" s="219">
        <v>0</v>
      </c>
      <c r="AQ38" s="219">
        <v>0</v>
      </c>
      <c r="AR38" s="219"/>
      <c r="AS38" s="219"/>
      <c r="AT38" s="219">
        <v>0</v>
      </c>
    </row>
    <row r="39" spans="1:46" x14ac:dyDescent="0.2">
      <c r="A39" s="27"/>
      <c r="B39" s="127" t="s">
        <v>22</v>
      </c>
      <c r="C39" s="120">
        <f t="shared" ref="C39:AT39" si="2">SUM(C24:C38)</f>
        <v>12028</v>
      </c>
      <c r="D39" s="163">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row>
    <row r="41" spans="1:46" ht="15.75" customHeight="1" x14ac:dyDescent="0.2">
      <c r="B41" s="115" t="s">
        <v>401</v>
      </c>
      <c r="C41" s="115" t="str">
        <f t="shared" ref="C41:AT41" si="3">C5</f>
        <v>1Q14</v>
      </c>
      <c r="D41" s="223" t="str">
        <f t="shared" si="3"/>
        <v>2Q14</v>
      </c>
      <c r="E41" s="115" t="str">
        <f t="shared" si="3"/>
        <v>3Q14</v>
      </c>
      <c r="F41" s="115" t="str">
        <f t="shared" si="3"/>
        <v>4Q14</v>
      </c>
      <c r="G41" s="115" t="str">
        <f t="shared" si="3"/>
        <v>1Q15</v>
      </c>
      <c r="H41" s="115" t="str">
        <f t="shared" si="3"/>
        <v>2Q15</v>
      </c>
      <c r="I41" s="115" t="str">
        <f t="shared" si="3"/>
        <v>3Q15</v>
      </c>
      <c r="J41" s="115" t="str">
        <f t="shared" si="3"/>
        <v>4Q15</v>
      </c>
      <c r="K41" s="115" t="str">
        <f t="shared" si="3"/>
        <v>1Q16</v>
      </c>
      <c r="L41" s="115" t="str">
        <f t="shared" si="3"/>
        <v>2Q16</v>
      </c>
      <c r="M41" s="115" t="str">
        <f t="shared" si="3"/>
        <v>3Q16</v>
      </c>
      <c r="N41" s="115" t="str">
        <f t="shared" si="3"/>
        <v>4Q16</v>
      </c>
      <c r="O41" s="115" t="str">
        <f t="shared" si="3"/>
        <v>1Q17</v>
      </c>
      <c r="P41" s="115" t="str">
        <f t="shared" si="3"/>
        <v>2Q17</v>
      </c>
      <c r="Q41" s="115" t="str">
        <f t="shared" si="3"/>
        <v>3Q17</v>
      </c>
      <c r="R41" s="115" t="str">
        <f t="shared" si="3"/>
        <v>4Q17</v>
      </c>
      <c r="S41" s="115" t="str">
        <f t="shared" si="3"/>
        <v>1Q18</v>
      </c>
      <c r="T41" s="115" t="str">
        <f t="shared" si="3"/>
        <v>2Q18</v>
      </c>
      <c r="U41" s="115" t="str">
        <f t="shared" si="3"/>
        <v>3Q18</v>
      </c>
      <c r="V41" s="115" t="str">
        <f t="shared" si="3"/>
        <v>4Q18</v>
      </c>
      <c r="W41" s="115" t="str">
        <f t="shared" si="3"/>
        <v>1Q19</v>
      </c>
      <c r="X41" s="115" t="str">
        <f t="shared" si="3"/>
        <v>2Q19</v>
      </c>
      <c r="Y41" s="115" t="str">
        <f t="shared" si="3"/>
        <v>3Q19</v>
      </c>
      <c r="Z41" s="115" t="str">
        <f t="shared" si="3"/>
        <v>4Q19</v>
      </c>
      <c r="AA41" s="115" t="str">
        <f t="shared" si="3"/>
        <v>1Q20</v>
      </c>
      <c r="AB41" s="115" t="str">
        <f t="shared" si="3"/>
        <v>2Q20</v>
      </c>
      <c r="AC41" s="115" t="str">
        <f t="shared" si="3"/>
        <v>3Q20</v>
      </c>
      <c r="AD41" s="115" t="str">
        <f t="shared" si="3"/>
        <v>4Q20</v>
      </c>
      <c r="AE41" s="115" t="str">
        <f t="shared" si="3"/>
        <v>1Q21</v>
      </c>
      <c r="AF41" s="115" t="str">
        <f t="shared" si="3"/>
        <v>2Q21</v>
      </c>
      <c r="AG41" s="115" t="str">
        <f t="shared" si="3"/>
        <v>3Q21</v>
      </c>
      <c r="AH41" s="115" t="str">
        <f t="shared" si="3"/>
        <v>4Q21</v>
      </c>
      <c r="AI41" s="115" t="str">
        <f t="shared" si="3"/>
        <v>1Q22</v>
      </c>
      <c r="AJ41" s="115" t="str">
        <f t="shared" si="3"/>
        <v>2Q22</v>
      </c>
      <c r="AK41" s="115" t="str">
        <f t="shared" si="3"/>
        <v>3Q22</v>
      </c>
      <c r="AL41" s="115" t="str">
        <f t="shared" si="3"/>
        <v>4Q22</v>
      </c>
      <c r="AM41" s="115" t="str">
        <f t="shared" si="3"/>
        <v>1Q23</v>
      </c>
      <c r="AN41" s="115" t="str">
        <f t="shared" si="3"/>
        <v>2Q23</v>
      </c>
      <c r="AO41" s="115" t="str">
        <f t="shared" si="3"/>
        <v>3Q23</v>
      </c>
      <c r="AP41" s="115" t="str">
        <f t="shared" si="3"/>
        <v>4Q23</v>
      </c>
      <c r="AQ41" s="115" t="str">
        <f t="shared" si="3"/>
        <v>1Q24</v>
      </c>
      <c r="AR41" s="115" t="str">
        <f t="shared" si="3"/>
        <v>2Q24</v>
      </c>
      <c r="AS41" s="115" t="str">
        <f t="shared" si="3"/>
        <v>3Q24</v>
      </c>
      <c r="AT41" s="115" t="str">
        <f t="shared" si="3"/>
        <v>4Q24</v>
      </c>
    </row>
    <row r="42" spans="1:46" x14ac:dyDescent="0.2">
      <c r="B42" s="130" t="s">
        <v>532</v>
      </c>
      <c r="C42" s="118">
        <f t="shared" ref="C42:AT42" si="4">+C6-C24</f>
        <v>377</v>
      </c>
      <c r="D42" s="161">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f t="shared" si="4"/>
        <v>271</v>
      </c>
    </row>
    <row r="43" spans="1:46" x14ac:dyDescent="0.2">
      <c r="B43" s="130" t="s">
        <v>533</v>
      </c>
      <c r="C43" s="118">
        <f t="shared" ref="C43:AT43" si="5">+C7-C25</f>
        <v>23</v>
      </c>
      <c r="D43" s="161">
        <f t="shared" si="5"/>
        <v>0</v>
      </c>
      <c r="E43" s="118">
        <f t="shared" si="5"/>
        <v>98</v>
      </c>
      <c r="F43" s="118">
        <f t="shared" si="5"/>
        <v>264</v>
      </c>
      <c r="G43" s="118">
        <f t="shared" si="5"/>
        <v>0</v>
      </c>
      <c r="H43" s="118">
        <f t="shared" si="5"/>
        <v>278</v>
      </c>
      <c r="I43" s="118">
        <f t="shared" si="5"/>
        <v>346</v>
      </c>
      <c r="J43" s="118">
        <f t="shared" si="5"/>
        <v>305</v>
      </c>
      <c r="K43" s="118">
        <f t="shared" si="5"/>
        <v>234</v>
      </c>
      <c r="L43" s="118">
        <f t="shared" si="5"/>
        <v>225</v>
      </c>
      <c r="M43" s="118">
        <f t="shared" si="5"/>
        <v>275</v>
      </c>
      <c r="N43" s="118">
        <f t="shared" si="5"/>
        <v>246</v>
      </c>
      <c r="O43" s="118">
        <f t="shared" si="5"/>
        <v>262</v>
      </c>
      <c r="P43" s="118">
        <f t="shared" si="5"/>
        <v>246</v>
      </c>
      <c r="Q43" s="118">
        <f t="shared" si="5"/>
        <v>226</v>
      </c>
      <c r="R43" s="118">
        <f t="shared" si="5"/>
        <v>183</v>
      </c>
      <c r="S43" s="118">
        <f t="shared" si="5"/>
        <v>354</v>
      </c>
      <c r="T43" s="118">
        <f t="shared" si="5"/>
        <v>240</v>
      </c>
      <c r="U43" s="118">
        <f t="shared" si="5"/>
        <v>699</v>
      </c>
      <c r="V43" s="118">
        <f t="shared" si="5"/>
        <v>341</v>
      </c>
      <c r="W43" s="118">
        <f t="shared" si="5"/>
        <v>811</v>
      </c>
      <c r="X43" s="118">
        <f t="shared" si="5"/>
        <v>702</v>
      </c>
      <c r="Y43" s="118">
        <f t="shared" si="5"/>
        <v>552</v>
      </c>
      <c r="Z43" s="118">
        <f t="shared" si="5"/>
        <v>538</v>
      </c>
      <c r="AA43" s="118">
        <f t="shared" si="5"/>
        <v>536</v>
      </c>
      <c r="AB43" s="118">
        <f t="shared" si="5"/>
        <v>539</v>
      </c>
      <c r="AC43" s="118">
        <f t="shared" si="5"/>
        <v>240</v>
      </c>
      <c r="AD43" s="118">
        <f t="shared" si="5"/>
        <v>404</v>
      </c>
      <c r="AE43" s="118">
        <f t="shared" si="5"/>
        <v>214</v>
      </c>
      <c r="AF43" s="118">
        <f t="shared" si="5"/>
        <v>304</v>
      </c>
      <c r="AG43" s="118">
        <f t="shared" si="5"/>
        <v>622</v>
      </c>
      <c r="AH43" s="118">
        <f t="shared" si="5"/>
        <v>242</v>
      </c>
      <c r="AI43" s="118">
        <f t="shared" si="5"/>
        <v>19</v>
      </c>
      <c r="AJ43" s="118">
        <f t="shared" si="5"/>
        <v>226</v>
      </c>
      <c r="AK43" s="118">
        <f t="shared" si="5"/>
        <v>201</v>
      </c>
      <c r="AL43" s="118">
        <f t="shared" si="5"/>
        <v>244</v>
      </c>
      <c r="AM43" s="118">
        <f t="shared" si="5"/>
        <v>293</v>
      </c>
      <c r="AN43" s="118">
        <f t="shared" si="5"/>
        <v>228</v>
      </c>
      <c r="AO43" s="118">
        <f t="shared" si="5"/>
        <v>263</v>
      </c>
      <c r="AP43" s="118">
        <f t="shared" si="5"/>
        <v>298</v>
      </c>
      <c r="AQ43" s="118">
        <f t="shared" si="5"/>
        <v>271</v>
      </c>
      <c r="AR43" s="118">
        <f t="shared" si="5"/>
        <v>6</v>
      </c>
      <c r="AS43" s="118">
        <f t="shared" si="5"/>
        <v>8</v>
      </c>
      <c r="AT43" s="118">
        <f t="shared" si="5"/>
        <v>9</v>
      </c>
    </row>
    <row r="44" spans="1:46" x14ac:dyDescent="0.2">
      <c r="B44" s="130" t="s">
        <v>345</v>
      </c>
      <c r="C44" s="118">
        <f t="shared" ref="C44:AT44" si="6">+C8-C26</f>
        <v>7345</v>
      </c>
      <c r="D44" s="161">
        <f t="shared" si="6"/>
        <v>2304</v>
      </c>
      <c r="E44" s="118">
        <f t="shared" si="6"/>
        <v>2141</v>
      </c>
      <c r="F44" s="118">
        <f t="shared" si="6"/>
        <v>2894</v>
      </c>
      <c r="G44" s="118">
        <f t="shared" si="6"/>
        <v>3236</v>
      </c>
      <c r="H44" s="118">
        <f t="shared" si="6"/>
        <v>3333</v>
      </c>
      <c r="I44" s="118">
        <f t="shared" si="6"/>
        <v>2317</v>
      </c>
      <c r="J44" s="118">
        <f t="shared" si="6"/>
        <v>2450</v>
      </c>
      <c r="K44" s="118">
        <f t="shared" si="6"/>
        <v>3031</v>
      </c>
      <c r="L44" s="118">
        <f t="shared" si="6"/>
        <v>1462</v>
      </c>
      <c r="M44" s="118">
        <f t="shared" si="6"/>
        <v>1594</v>
      </c>
      <c r="N44" s="118">
        <f t="shared" si="6"/>
        <v>1627</v>
      </c>
      <c r="O44" s="118">
        <f t="shared" si="6"/>
        <v>1936</v>
      </c>
      <c r="P44" s="118">
        <f t="shared" si="6"/>
        <v>1749</v>
      </c>
      <c r="Q44" s="118">
        <f t="shared" si="6"/>
        <v>1667</v>
      </c>
      <c r="R44" s="118">
        <f t="shared" si="6"/>
        <v>1826</v>
      </c>
      <c r="S44" s="118">
        <f t="shared" si="6"/>
        <v>1631</v>
      </c>
      <c r="T44" s="118">
        <f t="shared" si="6"/>
        <v>1667</v>
      </c>
      <c r="U44" s="118">
        <f t="shared" si="6"/>
        <v>1698</v>
      </c>
      <c r="V44" s="118">
        <f t="shared" si="6"/>
        <v>1579</v>
      </c>
      <c r="W44" s="118">
        <f t="shared" si="6"/>
        <v>71</v>
      </c>
      <c r="X44" s="118">
        <f t="shared" si="6"/>
        <v>55</v>
      </c>
      <c r="Y44" s="118">
        <f t="shared" si="6"/>
        <v>96</v>
      </c>
      <c r="Z44" s="118">
        <f t="shared" si="6"/>
        <v>55</v>
      </c>
      <c r="AA44" s="118">
        <f t="shared" si="6"/>
        <v>93</v>
      </c>
      <c r="AB44" s="118">
        <f t="shared" si="6"/>
        <v>92</v>
      </c>
      <c r="AC44" s="118">
        <f t="shared" si="6"/>
        <v>596</v>
      </c>
      <c r="AD44" s="118">
        <f t="shared" si="6"/>
        <v>870</v>
      </c>
      <c r="AE44" s="118">
        <f t="shared" si="6"/>
        <v>231</v>
      </c>
      <c r="AF44" s="118">
        <f t="shared" si="6"/>
        <v>62</v>
      </c>
      <c r="AG44" s="118">
        <f t="shared" si="6"/>
        <v>85</v>
      </c>
      <c r="AH44" s="118">
        <f t="shared" si="6"/>
        <v>-233</v>
      </c>
      <c r="AI44" s="118">
        <f t="shared" si="6"/>
        <v>-165</v>
      </c>
      <c r="AJ44" s="118">
        <f t="shared" si="6"/>
        <v>-378</v>
      </c>
      <c r="AK44" s="118">
        <f t="shared" si="6"/>
        <v>937</v>
      </c>
      <c r="AL44" s="118">
        <f t="shared" si="6"/>
        <v>742</v>
      </c>
      <c r="AM44" s="118">
        <f t="shared" si="6"/>
        <v>862</v>
      </c>
      <c r="AN44" s="118">
        <f t="shared" si="6"/>
        <v>574</v>
      </c>
      <c r="AO44" s="118">
        <f t="shared" si="6"/>
        <v>504</v>
      </c>
      <c r="AP44" s="118">
        <f t="shared" si="6"/>
        <v>556</v>
      </c>
      <c r="AQ44" s="118">
        <f t="shared" si="6"/>
        <v>535</v>
      </c>
      <c r="AR44" s="118">
        <f t="shared" si="6"/>
        <v>630</v>
      </c>
      <c r="AS44" s="118">
        <f t="shared" si="6"/>
        <v>613</v>
      </c>
      <c r="AT44" s="118">
        <f t="shared" si="6"/>
        <v>1344</v>
      </c>
    </row>
    <row r="45" spans="1:46" ht="15.75" customHeight="1" x14ac:dyDescent="0.2">
      <c r="B45" s="130" t="s">
        <v>534</v>
      </c>
      <c r="C45" s="118">
        <f t="shared" ref="C45:AT45" si="7">+C9-C27</f>
        <v>2895</v>
      </c>
      <c r="D45" s="161">
        <f t="shared" si="7"/>
        <v>0</v>
      </c>
      <c r="E45" s="118">
        <f t="shared" si="7"/>
        <v>0</v>
      </c>
      <c r="F45" s="118">
        <f t="shared" si="7"/>
        <v>153</v>
      </c>
      <c r="G45" s="118">
        <f t="shared" si="7"/>
        <v>1</v>
      </c>
      <c r="H45" s="118">
        <f t="shared" si="7"/>
        <v>2</v>
      </c>
      <c r="I45" s="118">
        <f t="shared" si="7"/>
        <v>0</v>
      </c>
      <c r="J45" s="118">
        <f t="shared" si="7"/>
        <v>63</v>
      </c>
      <c r="K45" s="118">
        <f t="shared" si="7"/>
        <v>3352</v>
      </c>
      <c r="L45" s="118">
        <f t="shared" si="7"/>
        <v>496</v>
      </c>
      <c r="M45" s="118">
        <f t="shared" si="7"/>
        <v>84</v>
      </c>
      <c r="N45" s="118">
        <f t="shared" si="7"/>
        <v>99</v>
      </c>
      <c r="O45" s="118">
        <f t="shared" si="7"/>
        <v>94</v>
      </c>
      <c r="P45" s="118">
        <f t="shared" si="7"/>
        <v>77</v>
      </c>
      <c r="Q45" s="118">
        <f t="shared" si="7"/>
        <v>59</v>
      </c>
      <c r="R45" s="118">
        <f t="shared" si="7"/>
        <v>97</v>
      </c>
      <c r="S45" s="118">
        <f t="shared" si="7"/>
        <v>79</v>
      </c>
      <c r="T45" s="118">
        <f t="shared" si="7"/>
        <v>72</v>
      </c>
      <c r="U45" s="118">
        <f t="shared" si="7"/>
        <v>493</v>
      </c>
      <c r="V45" s="118">
        <f t="shared" si="7"/>
        <v>309</v>
      </c>
      <c r="W45" s="118">
        <f t="shared" si="7"/>
        <v>184</v>
      </c>
      <c r="X45" s="118">
        <f t="shared" si="7"/>
        <v>75</v>
      </c>
      <c r="Y45" s="118">
        <f t="shared" si="7"/>
        <v>476</v>
      </c>
      <c r="Z45" s="118">
        <f t="shared" si="7"/>
        <v>301</v>
      </c>
      <c r="AA45" s="118">
        <f t="shared" si="7"/>
        <v>163</v>
      </c>
      <c r="AB45" s="118">
        <f t="shared" si="7"/>
        <v>74</v>
      </c>
      <c r="AC45" s="118">
        <f t="shared" si="7"/>
        <v>657</v>
      </c>
      <c r="AD45" s="118">
        <f t="shared" si="7"/>
        <v>479</v>
      </c>
      <c r="AE45" s="118">
        <f t="shared" si="7"/>
        <v>312</v>
      </c>
      <c r="AF45" s="118">
        <f t="shared" si="7"/>
        <v>114</v>
      </c>
      <c r="AG45" s="118">
        <f t="shared" si="7"/>
        <v>334</v>
      </c>
      <c r="AH45" s="118">
        <f t="shared" si="7"/>
        <v>549</v>
      </c>
      <c r="AI45" s="118">
        <f t="shared" si="7"/>
        <v>337</v>
      </c>
      <c r="AJ45" s="118">
        <f t="shared" si="7"/>
        <v>227</v>
      </c>
      <c r="AK45" s="118">
        <f t="shared" si="7"/>
        <v>1196</v>
      </c>
      <c r="AL45" s="118">
        <f t="shared" si="7"/>
        <v>840</v>
      </c>
      <c r="AM45" s="118">
        <f t="shared" si="7"/>
        <v>511</v>
      </c>
      <c r="AN45" s="118">
        <f t="shared" si="7"/>
        <v>234</v>
      </c>
      <c r="AO45" s="118">
        <f t="shared" si="7"/>
        <v>881</v>
      </c>
      <c r="AP45" s="118">
        <f t="shared" si="7"/>
        <v>524</v>
      </c>
      <c r="AQ45" s="118">
        <f t="shared" si="7"/>
        <v>669</v>
      </c>
      <c r="AR45" s="118">
        <f t="shared" si="7"/>
        <v>579</v>
      </c>
      <c r="AS45" s="118">
        <f t="shared" si="7"/>
        <v>471</v>
      </c>
      <c r="AT45" s="118">
        <f t="shared" si="7"/>
        <v>614</v>
      </c>
    </row>
    <row r="46" spans="1:46" ht="13.5" customHeight="1" x14ac:dyDescent="0.2">
      <c r="B46" s="130" t="s">
        <v>535</v>
      </c>
      <c r="C46" s="118">
        <f t="shared" ref="C46:AT46" si="8">+C10-C28</f>
        <v>292</v>
      </c>
      <c r="D46" s="161">
        <f t="shared" si="8"/>
        <v>125</v>
      </c>
      <c r="E46" s="118">
        <f t="shared" si="8"/>
        <v>130</v>
      </c>
      <c r="F46" s="118">
        <f t="shared" si="8"/>
        <v>143</v>
      </c>
      <c r="G46" s="118">
        <f t="shared" si="8"/>
        <v>112</v>
      </c>
      <c r="H46" s="118">
        <f t="shared" si="8"/>
        <v>95</v>
      </c>
      <c r="I46" s="118">
        <f t="shared" si="8"/>
        <v>0</v>
      </c>
      <c r="J46" s="118">
        <f t="shared" si="8"/>
        <v>0</v>
      </c>
      <c r="K46" s="118">
        <f t="shared" si="8"/>
        <v>402</v>
      </c>
      <c r="L46" s="118">
        <f t="shared" si="8"/>
        <v>0</v>
      </c>
      <c r="M46" s="118">
        <f t="shared" si="8"/>
        <v>0</v>
      </c>
      <c r="N46" s="118">
        <f t="shared" si="8"/>
        <v>0</v>
      </c>
      <c r="O46" s="118">
        <f t="shared" si="8"/>
        <v>0</v>
      </c>
      <c r="P46" s="118">
        <f t="shared" si="8"/>
        <v>0</v>
      </c>
      <c r="Q46" s="118">
        <f t="shared" si="8"/>
        <v>0</v>
      </c>
      <c r="R46" s="118">
        <f t="shared" si="8"/>
        <v>0</v>
      </c>
      <c r="S46" s="118">
        <f t="shared" si="8"/>
        <v>0</v>
      </c>
      <c r="T46" s="118">
        <f t="shared" si="8"/>
        <v>0</v>
      </c>
      <c r="U46" s="118">
        <f t="shared" si="8"/>
        <v>0</v>
      </c>
      <c r="V46" s="118">
        <f t="shared" si="8"/>
        <v>-270</v>
      </c>
      <c r="W46" s="118">
        <f t="shared" si="8"/>
        <v>0</v>
      </c>
      <c r="X46" s="118">
        <f t="shared" si="8"/>
        <v>0</v>
      </c>
      <c r="Y46" s="118">
        <f t="shared" si="8"/>
        <v>0</v>
      </c>
      <c r="Z46" s="118">
        <f t="shared" si="8"/>
        <v>0</v>
      </c>
      <c r="AA46" s="118">
        <f t="shared" si="8"/>
        <v>0</v>
      </c>
      <c r="AB46" s="118">
        <f t="shared" si="8"/>
        <v>0</v>
      </c>
      <c r="AC46" s="118">
        <f t="shared" si="8"/>
        <v>0</v>
      </c>
      <c r="AD46" s="118">
        <f t="shared" si="8"/>
        <v>0</v>
      </c>
      <c r="AE46" s="118">
        <f t="shared" si="8"/>
        <v>0</v>
      </c>
      <c r="AF46" s="118">
        <f t="shared" si="8"/>
        <v>0</v>
      </c>
      <c r="AG46" s="118">
        <f t="shared" si="8"/>
        <v>0</v>
      </c>
      <c r="AH46" s="118">
        <f t="shared" si="8"/>
        <v>0</v>
      </c>
      <c r="AI46" s="118">
        <f t="shared" si="8"/>
        <v>0</v>
      </c>
      <c r="AJ46" s="118">
        <f t="shared" si="8"/>
        <v>0</v>
      </c>
      <c r="AK46" s="118">
        <f t="shared" si="8"/>
        <v>0</v>
      </c>
      <c r="AL46" s="118">
        <f t="shared" si="8"/>
        <v>0</v>
      </c>
      <c r="AM46" s="118">
        <f t="shared" si="8"/>
        <v>0</v>
      </c>
      <c r="AN46" s="118">
        <f t="shared" si="8"/>
        <v>0</v>
      </c>
      <c r="AO46" s="118">
        <f t="shared" si="8"/>
        <v>95</v>
      </c>
      <c r="AP46" s="118">
        <f t="shared" si="8"/>
        <v>201</v>
      </c>
      <c r="AQ46" s="118">
        <f t="shared" si="8"/>
        <v>129</v>
      </c>
      <c r="AR46" s="118">
        <f t="shared" si="8"/>
        <v>191</v>
      </c>
      <c r="AS46" s="118">
        <f t="shared" si="8"/>
        <v>177</v>
      </c>
      <c r="AT46" s="118">
        <f t="shared" si="8"/>
        <v>473</v>
      </c>
    </row>
    <row r="47" spans="1:46" x14ac:dyDescent="0.2">
      <c r="B47" s="130" t="s">
        <v>536</v>
      </c>
      <c r="C47" s="118">
        <f t="shared" ref="C47:AT47" si="9">+C11-C29</f>
        <v>946</v>
      </c>
      <c r="D47" s="161">
        <f t="shared" si="9"/>
        <v>893</v>
      </c>
      <c r="E47" s="118">
        <f t="shared" si="9"/>
        <v>162</v>
      </c>
      <c r="F47" s="118">
        <f t="shared" si="9"/>
        <v>159</v>
      </c>
      <c r="G47" s="118">
        <f t="shared" si="9"/>
        <v>205</v>
      </c>
      <c r="H47" s="118">
        <f t="shared" si="9"/>
        <v>247</v>
      </c>
      <c r="I47" s="118">
        <f t="shared" si="9"/>
        <v>335</v>
      </c>
      <c r="J47" s="118">
        <f t="shared" si="9"/>
        <v>420</v>
      </c>
      <c r="K47" s="118">
        <f t="shared" si="9"/>
        <v>278</v>
      </c>
      <c r="L47" s="118">
        <f t="shared" si="9"/>
        <v>642</v>
      </c>
      <c r="M47" s="118">
        <f t="shared" si="9"/>
        <v>384</v>
      </c>
      <c r="N47" s="118">
        <f t="shared" si="9"/>
        <v>269</v>
      </c>
      <c r="O47" s="118">
        <f t="shared" si="9"/>
        <v>255</v>
      </c>
      <c r="P47" s="118">
        <f t="shared" si="9"/>
        <v>483</v>
      </c>
      <c r="Q47" s="118">
        <f t="shared" si="9"/>
        <v>367</v>
      </c>
      <c r="R47" s="118">
        <f t="shared" si="9"/>
        <v>403</v>
      </c>
      <c r="S47" s="118">
        <f t="shared" si="9"/>
        <v>456</v>
      </c>
      <c r="T47" s="118">
        <f t="shared" si="9"/>
        <v>308</v>
      </c>
      <c r="U47" s="118">
        <f t="shared" si="9"/>
        <v>402</v>
      </c>
      <c r="V47" s="118">
        <f t="shared" si="9"/>
        <v>536</v>
      </c>
      <c r="W47" s="118">
        <f t="shared" si="9"/>
        <v>242</v>
      </c>
      <c r="X47" s="118">
        <f t="shared" si="9"/>
        <v>354</v>
      </c>
      <c r="Y47" s="118">
        <f t="shared" si="9"/>
        <v>858</v>
      </c>
      <c r="Z47" s="118">
        <f t="shared" si="9"/>
        <v>1651</v>
      </c>
      <c r="AA47" s="118">
        <f t="shared" si="9"/>
        <v>894</v>
      </c>
      <c r="AB47" s="118">
        <f t="shared" si="9"/>
        <v>1256</v>
      </c>
      <c r="AC47" s="118">
        <f t="shared" si="9"/>
        <v>1623</v>
      </c>
      <c r="AD47" s="118">
        <f t="shared" si="9"/>
        <v>1250</v>
      </c>
      <c r="AE47" s="118">
        <f t="shared" si="9"/>
        <v>972</v>
      </c>
      <c r="AF47" s="118">
        <f t="shared" si="9"/>
        <v>1003</v>
      </c>
      <c r="AG47" s="118">
        <f t="shared" si="9"/>
        <v>686</v>
      </c>
      <c r="AH47" s="118">
        <f t="shared" si="9"/>
        <v>905</v>
      </c>
      <c r="AI47" s="118">
        <f t="shared" si="9"/>
        <v>883</v>
      </c>
      <c r="AJ47" s="118">
        <f t="shared" si="9"/>
        <v>944</v>
      </c>
      <c r="AK47" s="118">
        <f t="shared" si="9"/>
        <v>556</v>
      </c>
      <c r="AL47" s="118">
        <f t="shared" si="9"/>
        <v>515</v>
      </c>
      <c r="AM47" s="118">
        <f t="shared" si="9"/>
        <v>348</v>
      </c>
      <c r="AN47" s="118">
        <f t="shared" si="9"/>
        <v>266</v>
      </c>
      <c r="AO47" s="118">
        <f t="shared" si="9"/>
        <v>181</v>
      </c>
      <c r="AP47" s="118">
        <f t="shared" si="9"/>
        <v>262</v>
      </c>
      <c r="AQ47" s="118">
        <f t="shared" si="9"/>
        <v>197</v>
      </c>
      <c r="AR47" s="118">
        <f t="shared" si="9"/>
        <v>209</v>
      </c>
      <c r="AS47" s="118">
        <f t="shared" si="9"/>
        <v>185</v>
      </c>
      <c r="AT47" s="118">
        <f t="shared" si="9"/>
        <v>287</v>
      </c>
    </row>
    <row r="48" spans="1:46" ht="14.25" customHeight="1" x14ac:dyDescent="0.2">
      <c r="B48" s="130" t="s">
        <v>537</v>
      </c>
      <c r="C48" s="118">
        <f t="shared" ref="C48:AT48" si="10">+C12-C30</f>
        <v>256</v>
      </c>
      <c r="D48" s="161">
        <f t="shared" si="10"/>
        <v>32</v>
      </c>
      <c r="E48" s="118">
        <f t="shared" si="10"/>
        <v>40</v>
      </c>
      <c r="F48" s="118">
        <f t="shared" si="10"/>
        <v>62</v>
      </c>
      <c r="G48" s="118">
        <f t="shared" si="10"/>
        <v>72</v>
      </c>
      <c r="H48" s="118">
        <f t="shared" si="10"/>
        <v>0</v>
      </c>
      <c r="I48" s="118">
        <f t="shared" si="10"/>
        <v>86</v>
      </c>
      <c r="J48" s="118">
        <f t="shared" si="10"/>
        <v>237</v>
      </c>
      <c r="K48" s="118">
        <f t="shared" si="10"/>
        <v>134</v>
      </c>
      <c r="L48" s="118">
        <f t="shared" si="10"/>
        <v>167</v>
      </c>
      <c r="M48" s="118">
        <f t="shared" si="10"/>
        <v>158</v>
      </c>
      <c r="N48" s="118">
        <f t="shared" si="10"/>
        <v>42</v>
      </c>
      <c r="O48" s="118">
        <f t="shared" si="10"/>
        <v>14</v>
      </c>
      <c r="P48" s="118">
        <f t="shared" si="10"/>
        <v>21</v>
      </c>
      <c r="Q48" s="118">
        <f t="shared" si="10"/>
        <v>73</v>
      </c>
      <c r="R48" s="118">
        <f t="shared" si="10"/>
        <v>122</v>
      </c>
      <c r="S48" s="118">
        <f t="shared" si="10"/>
        <v>83</v>
      </c>
      <c r="T48" s="118">
        <f t="shared" si="10"/>
        <v>109</v>
      </c>
      <c r="U48" s="118">
        <f t="shared" si="10"/>
        <v>153</v>
      </c>
      <c r="V48" s="118">
        <f t="shared" si="10"/>
        <v>77</v>
      </c>
      <c r="W48" s="118">
        <f t="shared" si="10"/>
        <v>56</v>
      </c>
      <c r="X48" s="118">
        <f t="shared" si="10"/>
        <v>197</v>
      </c>
      <c r="Y48" s="118">
        <f t="shared" si="10"/>
        <v>91</v>
      </c>
      <c r="Z48" s="118">
        <f t="shared" si="10"/>
        <v>116</v>
      </c>
      <c r="AA48" s="118">
        <f t="shared" si="10"/>
        <v>71</v>
      </c>
      <c r="AB48" s="118">
        <f t="shared" si="10"/>
        <v>29</v>
      </c>
      <c r="AC48" s="118">
        <f t="shared" si="10"/>
        <v>60</v>
      </c>
      <c r="AD48" s="118">
        <f t="shared" si="10"/>
        <v>235</v>
      </c>
      <c r="AE48" s="118">
        <f t="shared" si="10"/>
        <v>77</v>
      </c>
      <c r="AF48" s="118">
        <f t="shared" si="10"/>
        <v>683</v>
      </c>
      <c r="AG48" s="118">
        <f t="shared" si="10"/>
        <v>749</v>
      </c>
      <c r="AH48" s="118">
        <f t="shared" si="10"/>
        <v>732</v>
      </c>
      <c r="AI48" s="118">
        <f t="shared" si="10"/>
        <v>666</v>
      </c>
      <c r="AJ48" s="118">
        <f t="shared" si="10"/>
        <v>815</v>
      </c>
      <c r="AK48" s="118">
        <f t="shared" si="10"/>
        <v>1209</v>
      </c>
      <c r="AL48" s="118">
        <f t="shared" si="10"/>
        <v>2243</v>
      </c>
      <c r="AM48" s="118">
        <f t="shared" si="10"/>
        <v>2494</v>
      </c>
      <c r="AN48" s="118">
        <f t="shared" si="10"/>
        <v>1230</v>
      </c>
      <c r="AO48" s="118">
        <f t="shared" si="10"/>
        <v>1224</v>
      </c>
      <c r="AP48" s="118">
        <f t="shared" si="10"/>
        <v>1208</v>
      </c>
      <c r="AQ48" s="118">
        <f t="shared" si="10"/>
        <v>59</v>
      </c>
      <c r="AR48" s="118">
        <f t="shared" si="10"/>
        <v>167</v>
      </c>
      <c r="AS48" s="118">
        <f t="shared" si="10"/>
        <v>181</v>
      </c>
      <c r="AT48" s="118">
        <f t="shared" si="10"/>
        <v>131</v>
      </c>
    </row>
    <row r="49" spans="1:46" x14ac:dyDescent="0.2">
      <c r="B49" s="130" t="s">
        <v>538</v>
      </c>
      <c r="C49" s="118">
        <f t="shared" ref="C49:AT49" si="11">+C13-C31</f>
        <v>930</v>
      </c>
      <c r="D49" s="161">
        <f t="shared" si="11"/>
        <v>206</v>
      </c>
      <c r="E49" s="118">
        <f t="shared" si="11"/>
        <v>561</v>
      </c>
      <c r="F49" s="118">
        <f t="shared" si="11"/>
        <v>426</v>
      </c>
      <c r="G49" s="118">
        <f t="shared" si="11"/>
        <v>325</v>
      </c>
      <c r="H49" s="118">
        <f t="shared" si="11"/>
        <v>323</v>
      </c>
      <c r="I49" s="118">
        <f t="shared" si="11"/>
        <v>434</v>
      </c>
      <c r="J49" s="118">
        <f t="shared" si="11"/>
        <v>3120</v>
      </c>
      <c r="K49" s="118">
        <f t="shared" si="11"/>
        <v>1513</v>
      </c>
      <c r="L49" s="118">
        <f t="shared" si="11"/>
        <v>457</v>
      </c>
      <c r="M49" s="118">
        <f t="shared" si="11"/>
        <v>453</v>
      </c>
      <c r="N49" s="118">
        <f t="shared" si="11"/>
        <v>976</v>
      </c>
      <c r="O49" s="118">
        <f t="shared" si="11"/>
        <v>1032</v>
      </c>
      <c r="P49" s="118">
        <f t="shared" si="11"/>
        <v>680</v>
      </c>
      <c r="Q49" s="118">
        <f t="shared" si="11"/>
        <v>462</v>
      </c>
      <c r="R49" s="118">
        <f t="shared" si="11"/>
        <v>461</v>
      </c>
      <c r="S49" s="118">
        <f t="shared" si="11"/>
        <v>237</v>
      </c>
      <c r="T49" s="118">
        <f t="shared" si="11"/>
        <v>261</v>
      </c>
      <c r="U49" s="118">
        <f t="shared" si="11"/>
        <v>279</v>
      </c>
      <c r="V49" s="118">
        <f t="shared" si="11"/>
        <v>342</v>
      </c>
      <c r="W49" s="118">
        <f t="shared" si="11"/>
        <v>347</v>
      </c>
      <c r="X49" s="118">
        <f t="shared" si="11"/>
        <v>300</v>
      </c>
      <c r="Y49" s="118">
        <f t="shared" si="11"/>
        <v>249</v>
      </c>
      <c r="Z49" s="118">
        <f t="shared" si="11"/>
        <v>246</v>
      </c>
      <c r="AA49" s="118">
        <f t="shared" si="11"/>
        <v>273</v>
      </c>
      <c r="AB49" s="118">
        <f t="shared" si="11"/>
        <v>394</v>
      </c>
      <c r="AC49" s="118">
        <f t="shared" si="11"/>
        <v>551</v>
      </c>
      <c r="AD49" s="118">
        <f t="shared" si="11"/>
        <v>1128</v>
      </c>
      <c r="AE49" s="118">
        <f t="shared" si="11"/>
        <v>528</v>
      </c>
      <c r="AF49" s="118">
        <f t="shared" si="11"/>
        <v>308</v>
      </c>
      <c r="AG49" s="118">
        <f t="shared" si="11"/>
        <v>338</v>
      </c>
      <c r="AH49" s="118">
        <f t="shared" si="11"/>
        <v>329</v>
      </c>
      <c r="AI49" s="118">
        <f t="shared" si="11"/>
        <v>415</v>
      </c>
      <c r="AJ49" s="118">
        <f t="shared" si="11"/>
        <v>269</v>
      </c>
      <c r="AK49" s="118">
        <f t="shared" si="11"/>
        <v>360</v>
      </c>
      <c r="AL49" s="118">
        <f t="shared" si="11"/>
        <v>367</v>
      </c>
      <c r="AM49" s="118">
        <f t="shared" si="11"/>
        <v>349</v>
      </c>
      <c r="AN49" s="118">
        <f t="shared" si="11"/>
        <v>360</v>
      </c>
      <c r="AO49" s="118">
        <f t="shared" si="11"/>
        <v>356</v>
      </c>
      <c r="AP49" s="118">
        <f t="shared" si="11"/>
        <v>359</v>
      </c>
      <c r="AQ49" s="118">
        <f t="shared" si="11"/>
        <v>834</v>
      </c>
      <c r="AR49" s="118">
        <f t="shared" si="11"/>
        <v>542</v>
      </c>
      <c r="AS49" s="118">
        <f t="shared" si="11"/>
        <v>451</v>
      </c>
      <c r="AT49" s="118">
        <f t="shared" si="11"/>
        <v>415</v>
      </c>
    </row>
    <row r="50" spans="1:46" x14ac:dyDescent="0.2">
      <c r="B50" s="130" t="s">
        <v>539</v>
      </c>
      <c r="C50" s="118">
        <f t="shared" ref="C50:AT50" si="12">+C14-C32</f>
        <v>973</v>
      </c>
      <c r="D50" s="161">
        <f t="shared" si="12"/>
        <v>0</v>
      </c>
      <c r="E50" s="118">
        <f t="shared" si="12"/>
        <v>0</v>
      </c>
      <c r="F50" s="118">
        <f t="shared" si="12"/>
        <v>0</v>
      </c>
      <c r="G50" s="118">
        <f t="shared" si="12"/>
        <v>0</v>
      </c>
      <c r="H50" s="118">
        <f t="shared" si="12"/>
        <v>0</v>
      </c>
      <c r="I50" s="118">
        <f t="shared" si="12"/>
        <v>0</v>
      </c>
      <c r="J50" s="118">
        <f t="shared" si="12"/>
        <v>0</v>
      </c>
      <c r="K50" s="118">
        <f t="shared" si="12"/>
        <v>0</v>
      </c>
      <c r="L50" s="118">
        <f t="shared" si="12"/>
        <v>0</v>
      </c>
      <c r="M50" s="118">
        <f t="shared" si="12"/>
        <v>0</v>
      </c>
      <c r="N50" s="118">
        <f t="shared" si="12"/>
        <v>0</v>
      </c>
      <c r="O50" s="118">
        <f t="shared" si="12"/>
        <v>0</v>
      </c>
      <c r="P50" s="118">
        <f t="shared" si="12"/>
        <v>0</v>
      </c>
      <c r="Q50" s="118">
        <f t="shared" si="12"/>
        <v>0</v>
      </c>
      <c r="R50" s="118">
        <f t="shared" si="12"/>
        <v>0</v>
      </c>
      <c r="S50" s="118">
        <f t="shared" si="12"/>
        <v>0</v>
      </c>
      <c r="T50" s="118">
        <f t="shared" si="12"/>
        <v>0</v>
      </c>
      <c r="U50" s="118">
        <f t="shared" si="12"/>
        <v>0</v>
      </c>
      <c r="V50" s="118">
        <f t="shared" si="12"/>
        <v>0</v>
      </c>
      <c r="W50" s="118">
        <f t="shared" si="12"/>
        <v>0</v>
      </c>
      <c r="X50" s="118">
        <f t="shared" si="12"/>
        <v>0</v>
      </c>
      <c r="Y50" s="118">
        <f t="shared" si="12"/>
        <v>0</v>
      </c>
      <c r="Z50" s="118">
        <f t="shared" si="12"/>
        <v>0</v>
      </c>
      <c r="AA50" s="118">
        <f t="shared" si="12"/>
        <v>0</v>
      </c>
      <c r="AB50" s="118">
        <f t="shared" si="12"/>
        <v>0</v>
      </c>
      <c r="AC50" s="118">
        <f t="shared" si="12"/>
        <v>0</v>
      </c>
      <c r="AD50" s="118">
        <f t="shared" si="12"/>
        <v>0</v>
      </c>
      <c r="AE50" s="118">
        <f t="shared" si="12"/>
        <v>0</v>
      </c>
      <c r="AF50" s="118">
        <f t="shared" si="12"/>
        <v>0</v>
      </c>
      <c r="AG50" s="118">
        <f t="shared" si="12"/>
        <v>0</v>
      </c>
      <c r="AH50" s="118">
        <f t="shared" si="12"/>
        <v>0</v>
      </c>
      <c r="AI50" s="118">
        <f t="shared" si="12"/>
        <v>0</v>
      </c>
      <c r="AJ50" s="118">
        <f t="shared" si="12"/>
        <v>0</v>
      </c>
      <c r="AK50" s="118">
        <f t="shared" si="12"/>
        <v>0</v>
      </c>
      <c r="AL50" s="118">
        <f t="shared" si="12"/>
        <v>0</v>
      </c>
      <c r="AM50" s="118">
        <f t="shared" si="12"/>
        <v>0</v>
      </c>
      <c r="AN50" s="118">
        <f t="shared" si="12"/>
        <v>0</v>
      </c>
      <c r="AO50" s="118">
        <f t="shared" si="12"/>
        <v>11</v>
      </c>
      <c r="AP50" s="118">
        <f t="shared" si="12"/>
        <v>28</v>
      </c>
      <c r="AQ50" s="118">
        <f t="shared" si="12"/>
        <v>14</v>
      </c>
      <c r="AR50" s="118">
        <f t="shared" si="12"/>
        <v>13</v>
      </c>
      <c r="AS50" s="118">
        <f t="shared" si="12"/>
        <v>24</v>
      </c>
      <c r="AT50" s="118">
        <f t="shared" si="12"/>
        <v>113</v>
      </c>
    </row>
    <row r="51" spans="1:46" s="249" customFormat="1" x14ac:dyDescent="0.2">
      <c r="A51" s="25"/>
      <c r="B51" s="130" t="s">
        <v>541</v>
      </c>
      <c r="C51" s="118">
        <f t="shared" ref="C51:AT51" si="13">+C15-C33</f>
        <v>0</v>
      </c>
      <c r="D51" s="161">
        <f t="shared" si="13"/>
        <v>0</v>
      </c>
      <c r="E51" s="118">
        <f t="shared" si="13"/>
        <v>0</v>
      </c>
      <c r="F51" s="118">
        <f t="shared" si="13"/>
        <v>0</v>
      </c>
      <c r="G51" s="118">
        <f t="shared" si="13"/>
        <v>0</v>
      </c>
      <c r="H51" s="118">
        <f t="shared" si="13"/>
        <v>0</v>
      </c>
      <c r="I51" s="118">
        <f t="shared" si="13"/>
        <v>0</v>
      </c>
      <c r="J51" s="118">
        <f t="shared" si="13"/>
        <v>0</v>
      </c>
      <c r="K51" s="118">
        <f t="shared" si="13"/>
        <v>0</v>
      </c>
      <c r="L51" s="118">
        <f t="shared" si="13"/>
        <v>0</v>
      </c>
      <c r="M51" s="118">
        <f t="shared" si="13"/>
        <v>0</v>
      </c>
      <c r="N51" s="118">
        <f t="shared" si="13"/>
        <v>0</v>
      </c>
      <c r="O51" s="118">
        <f t="shared" si="13"/>
        <v>31</v>
      </c>
      <c r="P51" s="118">
        <f t="shared" si="13"/>
        <v>27</v>
      </c>
      <c r="Q51" s="118">
        <f t="shared" si="13"/>
        <v>10</v>
      </c>
      <c r="R51" s="118">
        <f t="shared" si="13"/>
        <v>0</v>
      </c>
      <c r="S51" s="118">
        <f t="shared" si="13"/>
        <v>0</v>
      </c>
      <c r="T51" s="118">
        <f t="shared" si="13"/>
        <v>0</v>
      </c>
      <c r="U51" s="118">
        <f t="shared" si="13"/>
        <v>0</v>
      </c>
      <c r="V51" s="118">
        <f t="shared" si="13"/>
        <v>0</v>
      </c>
      <c r="W51" s="118">
        <f t="shared" si="13"/>
        <v>0</v>
      </c>
      <c r="X51" s="118">
        <f t="shared" si="13"/>
        <v>0</v>
      </c>
      <c r="Y51" s="118">
        <f t="shared" si="13"/>
        <v>0</v>
      </c>
      <c r="Z51" s="118">
        <f t="shared" si="13"/>
        <v>0</v>
      </c>
      <c r="AA51" s="118">
        <f t="shared" si="13"/>
        <v>0</v>
      </c>
      <c r="AB51" s="118">
        <f t="shared" si="13"/>
        <v>0</v>
      </c>
      <c r="AC51" s="118">
        <f t="shared" si="13"/>
        <v>0</v>
      </c>
      <c r="AD51" s="118">
        <f t="shared" si="13"/>
        <v>0</v>
      </c>
      <c r="AE51" s="118">
        <f t="shared" si="13"/>
        <v>0</v>
      </c>
      <c r="AF51" s="118">
        <f t="shared" si="13"/>
        <v>0</v>
      </c>
      <c r="AG51" s="118">
        <f t="shared" si="13"/>
        <v>0</v>
      </c>
      <c r="AH51" s="118">
        <f t="shared" si="13"/>
        <v>0</v>
      </c>
      <c r="AI51" s="118">
        <f t="shared" si="13"/>
        <v>0</v>
      </c>
      <c r="AJ51" s="118">
        <f t="shared" si="13"/>
        <v>0</v>
      </c>
      <c r="AK51" s="118">
        <f t="shared" si="13"/>
        <v>0</v>
      </c>
      <c r="AL51" s="118">
        <f t="shared" si="13"/>
        <v>0</v>
      </c>
      <c r="AM51" s="118">
        <f t="shared" si="13"/>
        <v>0</v>
      </c>
      <c r="AN51" s="118">
        <f t="shared" si="13"/>
        <v>0</v>
      </c>
      <c r="AO51" s="118">
        <f t="shared" si="13"/>
        <v>61</v>
      </c>
      <c r="AP51" s="118">
        <f t="shared" si="13"/>
        <v>29</v>
      </c>
      <c r="AQ51" s="118">
        <f t="shared" si="13"/>
        <v>383</v>
      </c>
      <c r="AR51" s="118">
        <f t="shared" si="13"/>
        <v>385</v>
      </c>
      <c r="AS51" s="118">
        <f t="shared" si="13"/>
        <v>323</v>
      </c>
      <c r="AT51" s="118">
        <f t="shared" si="13"/>
        <v>198</v>
      </c>
    </row>
    <row r="52" spans="1:46" s="249" customFormat="1" x14ac:dyDescent="0.2">
      <c r="A52" s="25"/>
      <c r="B52" s="130" t="s">
        <v>542</v>
      </c>
      <c r="C52" s="118">
        <f t="shared" ref="C52:AT52" si="14">+C16-C34</f>
        <v>0</v>
      </c>
      <c r="D52" s="161">
        <f t="shared" si="14"/>
        <v>0</v>
      </c>
      <c r="E52" s="118">
        <f t="shared" si="14"/>
        <v>0</v>
      </c>
      <c r="F52" s="118">
        <f t="shared" si="14"/>
        <v>0</v>
      </c>
      <c r="G52" s="118">
        <f t="shared" si="14"/>
        <v>0</v>
      </c>
      <c r="H52" s="118">
        <f t="shared" si="14"/>
        <v>0</v>
      </c>
      <c r="I52" s="118">
        <f t="shared" si="14"/>
        <v>0</v>
      </c>
      <c r="J52" s="118">
        <f t="shared" si="14"/>
        <v>0</v>
      </c>
      <c r="K52" s="118">
        <f t="shared" si="14"/>
        <v>1262</v>
      </c>
      <c r="L52" s="118">
        <f t="shared" si="14"/>
        <v>1276</v>
      </c>
      <c r="M52" s="118">
        <f t="shared" si="14"/>
        <v>936</v>
      </c>
      <c r="N52" s="118">
        <f t="shared" si="14"/>
        <v>977</v>
      </c>
      <c r="O52" s="118">
        <f t="shared" si="14"/>
        <v>1093</v>
      </c>
      <c r="P52" s="118">
        <f t="shared" si="14"/>
        <v>276</v>
      </c>
      <c r="Q52" s="118">
        <f t="shared" si="14"/>
        <v>259</v>
      </c>
      <c r="R52" s="118">
        <f t="shared" si="14"/>
        <v>281</v>
      </c>
      <c r="S52" s="118">
        <f t="shared" si="14"/>
        <v>266</v>
      </c>
      <c r="T52" s="118">
        <f t="shared" si="14"/>
        <v>302</v>
      </c>
      <c r="U52" s="118">
        <f t="shared" si="14"/>
        <v>321</v>
      </c>
      <c r="V52" s="118">
        <f t="shared" si="14"/>
        <v>301</v>
      </c>
      <c r="W52" s="118">
        <f t="shared" si="14"/>
        <v>410</v>
      </c>
      <c r="X52" s="118">
        <f t="shared" si="14"/>
        <v>396</v>
      </c>
      <c r="Y52" s="118">
        <f t="shared" si="14"/>
        <v>292</v>
      </c>
      <c r="Z52" s="118">
        <f t="shared" si="14"/>
        <v>541</v>
      </c>
      <c r="AA52" s="118">
        <f t="shared" si="14"/>
        <v>400</v>
      </c>
      <c r="AB52" s="118">
        <f t="shared" si="14"/>
        <v>400</v>
      </c>
      <c r="AC52" s="118">
        <f t="shared" si="14"/>
        <v>345</v>
      </c>
      <c r="AD52" s="118">
        <f t="shared" si="14"/>
        <v>457</v>
      </c>
      <c r="AE52" s="118">
        <f t="shared" si="14"/>
        <v>312</v>
      </c>
      <c r="AF52" s="118">
        <f t="shared" si="14"/>
        <v>174</v>
      </c>
      <c r="AG52" s="118">
        <f t="shared" si="14"/>
        <v>153</v>
      </c>
      <c r="AH52" s="118">
        <f t="shared" si="14"/>
        <v>154</v>
      </c>
      <c r="AI52" s="118">
        <f t="shared" si="14"/>
        <v>293</v>
      </c>
      <c r="AJ52" s="118">
        <f t="shared" si="14"/>
        <v>193</v>
      </c>
      <c r="AK52" s="118">
        <f t="shared" si="14"/>
        <v>167</v>
      </c>
      <c r="AL52" s="118">
        <f t="shared" si="14"/>
        <v>188</v>
      </c>
      <c r="AM52" s="118">
        <f t="shared" si="14"/>
        <v>197</v>
      </c>
      <c r="AN52" s="118">
        <f t="shared" si="14"/>
        <v>186</v>
      </c>
      <c r="AO52" s="118">
        <f t="shared" si="14"/>
        <v>192</v>
      </c>
      <c r="AP52" s="118">
        <f t="shared" si="14"/>
        <v>161</v>
      </c>
      <c r="AQ52" s="118">
        <f t="shared" si="14"/>
        <v>278</v>
      </c>
      <c r="AR52" s="118">
        <f t="shared" si="14"/>
        <v>175</v>
      </c>
      <c r="AS52" s="118">
        <f t="shared" si="14"/>
        <v>119</v>
      </c>
      <c r="AT52" s="118">
        <f t="shared" si="14"/>
        <v>160</v>
      </c>
    </row>
    <row r="53" spans="1:46" s="249" customFormat="1" x14ac:dyDescent="0.2">
      <c r="A53" s="25"/>
      <c r="B53" s="130" t="s">
        <v>224</v>
      </c>
      <c r="C53" s="118">
        <f t="shared" ref="C53:AT53" si="15">+C17-C35</f>
        <v>3689</v>
      </c>
      <c r="D53" s="161">
        <f t="shared" si="15"/>
        <v>3298</v>
      </c>
      <c r="E53" s="118">
        <f t="shared" si="15"/>
        <v>3078</v>
      </c>
      <c r="F53" s="118">
        <f t="shared" si="15"/>
        <v>1547</v>
      </c>
      <c r="G53" s="118">
        <f t="shared" si="15"/>
        <v>1945</v>
      </c>
      <c r="H53" s="118">
        <f t="shared" si="15"/>
        <v>5809</v>
      </c>
      <c r="I53" s="118">
        <f t="shared" si="15"/>
        <v>1299</v>
      </c>
      <c r="J53" s="118">
        <f t="shared" si="15"/>
        <v>4853</v>
      </c>
      <c r="K53" s="118">
        <f t="shared" si="15"/>
        <v>3594</v>
      </c>
      <c r="L53" s="118">
        <f t="shared" si="15"/>
        <v>766</v>
      </c>
      <c r="M53" s="118">
        <f t="shared" si="15"/>
        <v>-131</v>
      </c>
      <c r="N53" s="118">
        <f t="shared" si="15"/>
        <v>-338</v>
      </c>
      <c r="O53" s="118">
        <f t="shared" si="15"/>
        <v>428</v>
      </c>
      <c r="P53" s="118">
        <f t="shared" si="15"/>
        <v>1109</v>
      </c>
      <c r="Q53" s="118">
        <f t="shared" si="15"/>
        <v>1355</v>
      </c>
      <c r="R53" s="118">
        <f t="shared" si="15"/>
        <v>1844</v>
      </c>
      <c r="S53" s="118">
        <f t="shared" si="15"/>
        <v>1037</v>
      </c>
      <c r="T53" s="118">
        <f t="shared" si="15"/>
        <v>1551</v>
      </c>
      <c r="U53" s="118">
        <f t="shared" si="15"/>
        <v>4130</v>
      </c>
      <c r="V53" s="118">
        <f t="shared" si="15"/>
        <v>4919</v>
      </c>
      <c r="W53" s="118">
        <f t="shared" si="15"/>
        <v>1290</v>
      </c>
      <c r="X53" s="118">
        <f t="shared" si="15"/>
        <v>726</v>
      </c>
      <c r="Y53" s="118">
        <f t="shared" si="15"/>
        <v>841</v>
      </c>
      <c r="Z53" s="118">
        <f t="shared" si="15"/>
        <v>1021</v>
      </c>
      <c r="AA53" s="118">
        <f t="shared" si="15"/>
        <v>927</v>
      </c>
      <c r="AB53" s="118">
        <f t="shared" si="15"/>
        <v>2341</v>
      </c>
      <c r="AC53" s="118">
        <f t="shared" si="15"/>
        <v>1939</v>
      </c>
      <c r="AD53" s="118">
        <f t="shared" si="15"/>
        <v>1347</v>
      </c>
      <c r="AE53" s="118">
        <f t="shared" si="15"/>
        <v>953</v>
      </c>
      <c r="AF53" s="118">
        <f t="shared" si="15"/>
        <v>1007</v>
      </c>
      <c r="AG53" s="118">
        <f t="shared" si="15"/>
        <v>1019</v>
      </c>
      <c r="AH53" s="118">
        <f t="shared" si="15"/>
        <v>335</v>
      </c>
      <c r="AI53" s="118">
        <f t="shared" si="15"/>
        <v>80</v>
      </c>
      <c r="AJ53" s="118">
        <f t="shared" si="15"/>
        <v>-128</v>
      </c>
      <c r="AK53" s="118">
        <f t="shared" si="15"/>
        <v>295</v>
      </c>
      <c r="AL53" s="118">
        <f t="shared" si="15"/>
        <v>4746</v>
      </c>
      <c r="AM53" s="118">
        <f t="shared" si="15"/>
        <v>4378</v>
      </c>
      <c r="AN53" s="118">
        <f t="shared" si="15"/>
        <v>2448</v>
      </c>
      <c r="AO53" s="118">
        <f t="shared" si="15"/>
        <v>2549</v>
      </c>
      <c r="AP53" s="118">
        <f t="shared" si="15"/>
        <v>2078</v>
      </c>
      <c r="AQ53" s="118">
        <f t="shared" si="15"/>
        <v>2090</v>
      </c>
      <c r="AR53" s="118">
        <f t="shared" si="15"/>
        <v>2137</v>
      </c>
      <c r="AS53" s="118">
        <f t="shared" si="15"/>
        <v>2511</v>
      </c>
      <c r="AT53" s="118">
        <f t="shared" si="15"/>
        <v>2324</v>
      </c>
    </row>
    <row r="54" spans="1:46" s="249" customFormat="1" hidden="1" outlineLevel="1" x14ac:dyDescent="0.2">
      <c r="A54" s="25"/>
      <c r="B54" s="130" t="s">
        <v>540</v>
      </c>
      <c r="C54" s="118">
        <f t="shared" ref="C54:AR54" si="16">+C18-C36</f>
        <v>16107</v>
      </c>
      <c r="D54" s="161">
        <f t="shared" si="16"/>
        <v>3481</v>
      </c>
      <c r="E54" s="118">
        <f t="shared" si="16"/>
        <v>4460</v>
      </c>
      <c r="F54" s="118">
        <f t="shared" si="16"/>
        <v>425</v>
      </c>
      <c r="G54" s="118">
        <f t="shared" si="16"/>
        <v>450</v>
      </c>
      <c r="H54" s="118">
        <f t="shared" si="16"/>
        <v>0</v>
      </c>
      <c r="I54" s="118">
        <f t="shared" si="16"/>
        <v>0</v>
      </c>
      <c r="J54" s="118">
        <f t="shared" si="16"/>
        <v>0</v>
      </c>
      <c r="K54" s="118">
        <f t="shared" si="16"/>
        <v>0</v>
      </c>
      <c r="L54" s="118">
        <f t="shared" si="16"/>
        <v>0</v>
      </c>
      <c r="M54" s="118">
        <f t="shared" si="16"/>
        <v>0</v>
      </c>
      <c r="N54" s="118">
        <f t="shared" si="16"/>
        <v>0</v>
      </c>
      <c r="O54" s="118">
        <f t="shared" si="16"/>
        <v>0</v>
      </c>
      <c r="P54" s="118">
        <f t="shared" si="16"/>
        <v>0</v>
      </c>
      <c r="Q54" s="118">
        <f t="shared" si="16"/>
        <v>0</v>
      </c>
      <c r="R54" s="118">
        <f t="shared" si="16"/>
        <v>0</v>
      </c>
      <c r="S54" s="118">
        <f t="shared" si="16"/>
        <v>0</v>
      </c>
      <c r="T54" s="118">
        <f t="shared" si="16"/>
        <v>0</v>
      </c>
      <c r="U54" s="118">
        <f t="shared" si="16"/>
        <v>0</v>
      </c>
      <c r="V54" s="118">
        <f t="shared" si="16"/>
        <v>0</v>
      </c>
      <c r="W54" s="118">
        <f t="shared" si="16"/>
        <v>0</v>
      </c>
      <c r="X54" s="118">
        <f t="shared" si="16"/>
        <v>0</v>
      </c>
      <c r="Y54" s="118">
        <f t="shared" si="16"/>
        <v>0</v>
      </c>
      <c r="Z54" s="118">
        <f t="shared" si="16"/>
        <v>0</v>
      </c>
      <c r="AA54" s="118">
        <f t="shared" si="16"/>
        <v>0</v>
      </c>
      <c r="AB54" s="118">
        <f t="shared" si="16"/>
        <v>0</v>
      </c>
      <c r="AC54" s="118">
        <f t="shared" si="16"/>
        <v>0</v>
      </c>
      <c r="AD54" s="118">
        <f t="shared" si="16"/>
        <v>0</v>
      </c>
      <c r="AE54" s="118">
        <f t="shared" si="16"/>
        <v>0</v>
      </c>
      <c r="AF54" s="118">
        <f t="shared" si="16"/>
        <v>0</v>
      </c>
      <c r="AG54" s="118">
        <f t="shared" si="16"/>
        <v>0</v>
      </c>
      <c r="AH54" s="118">
        <f t="shared" si="16"/>
        <v>0</v>
      </c>
      <c r="AI54" s="118">
        <f t="shared" si="16"/>
        <v>0</v>
      </c>
      <c r="AJ54" s="118">
        <f t="shared" si="16"/>
        <v>0</v>
      </c>
      <c r="AK54" s="118">
        <f t="shared" si="16"/>
        <v>0</v>
      </c>
      <c r="AL54" s="118">
        <f t="shared" si="16"/>
        <v>0</v>
      </c>
      <c r="AM54" s="118">
        <f t="shared" si="16"/>
        <v>0</v>
      </c>
      <c r="AN54" s="118">
        <f t="shared" si="16"/>
        <v>0</v>
      </c>
      <c r="AO54" s="118">
        <f t="shared" si="16"/>
        <v>0</v>
      </c>
      <c r="AP54" s="118">
        <f t="shared" si="16"/>
        <v>0</v>
      </c>
      <c r="AQ54" s="118">
        <f t="shared" si="16"/>
        <v>0</v>
      </c>
      <c r="AR54" s="118">
        <f t="shared" si="16"/>
        <v>0</v>
      </c>
      <c r="AS54" s="118"/>
      <c r="AT54" s="118">
        <f>+AT18-AT36</f>
        <v>0</v>
      </c>
    </row>
    <row r="55" spans="1:46" s="249" customFormat="1" hidden="1" outlineLevel="1" x14ac:dyDescent="0.2">
      <c r="A55" s="25"/>
      <c r="B55" s="130" t="s">
        <v>543</v>
      </c>
      <c r="C55" s="118">
        <f t="shared" ref="C55:AR55" si="17">+C19-C37</f>
        <v>0</v>
      </c>
      <c r="D55" s="161">
        <f t="shared" si="17"/>
        <v>0</v>
      </c>
      <c r="E55" s="118">
        <f t="shared" si="17"/>
        <v>0</v>
      </c>
      <c r="F55" s="118">
        <f t="shared" si="17"/>
        <v>0</v>
      </c>
      <c r="G55" s="118">
        <f t="shared" si="17"/>
        <v>0</v>
      </c>
      <c r="H55" s="118">
        <f t="shared" si="17"/>
        <v>6400</v>
      </c>
      <c r="I55" s="118">
        <f t="shared" si="17"/>
        <v>6400</v>
      </c>
      <c r="J55" s="118">
        <f t="shared" si="17"/>
        <v>6400</v>
      </c>
      <c r="K55" s="118">
        <f t="shared" si="17"/>
        <v>6400</v>
      </c>
      <c r="L55" s="118">
        <f t="shared" si="17"/>
        <v>6400</v>
      </c>
      <c r="M55" s="118">
        <f t="shared" si="17"/>
        <v>6400</v>
      </c>
      <c r="N55" s="118">
        <f t="shared" si="17"/>
        <v>0</v>
      </c>
      <c r="O55" s="118">
        <f t="shared" si="17"/>
        <v>0</v>
      </c>
      <c r="P55" s="118">
        <f t="shared" si="17"/>
        <v>0</v>
      </c>
      <c r="Q55" s="118">
        <f t="shared" si="17"/>
        <v>0</v>
      </c>
      <c r="R55" s="118">
        <f t="shared" si="17"/>
        <v>0</v>
      </c>
      <c r="S55" s="118">
        <f t="shared" si="17"/>
        <v>0</v>
      </c>
      <c r="T55" s="118">
        <f t="shared" si="17"/>
        <v>0</v>
      </c>
      <c r="U55" s="118">
        <f t="shared" si="17"/>
        <v>0</v>
      </c>
      <c r="V55" s="118">
        <f t="shared" si="17"/>
        <v>0</v>
      </c>
      <c r="W55" s="118">
        <f t="shared" si="17"/>
        <v>0</v>
      </c>
      <c r="X55" s="118">
        <f t="shared" si="17"/>
        <v>0</v>
      </c>
      <c r="Y55" s="118">
        <f t="shared" si="17"/>
        <v>0</v>
      </c>
      <c r="Z55" s="118">
        <f t="shared" si="17"/>
        <v>0</v>
      </c>
      <c r="AA55" s="118">
        <f t="shared" si="17"/>
        <v>0</v>
      </c>
      <c r="AB55" s="118">
        <f t="shared" si="17"/>
        <v>0</v>
      </c>
      <c r="AC55" s="118">
        <f t="shared" si="17"/>
        <v>0</v>
      </c>
      <c r="AD55" s="118">
        <f t="shared" si="17"/>
        <v>0</v>
      </c>
      <c r="AE55" s="118">
        <f t="shared" si="17"/>
        <v>0</v>
      </c>
      <c r="AF55" s="118">
        <f t="shared" si="17"/>
        <v>0</v>
      </c>
      <c r="AG55" s="118">
        <f t="shared" si="17"/>
        <v>0</v>
      </c>
      <c r="AH55" s="118">
        <f t="shared" si="17"/>
        <v>0</v>
      </c>
      <c r="AI55" s="118">
        <f t="shared" si="17"/>
        <v>0</v>
      </c>
      <c r="AJ55" s="118">
        <f t="shared" si="17"/>
        <v>0</v>
      </c>
      <c r="AK55" s="118">
        <f t="shared" si="17"/>
        <v>0</v>
      </c>
      <c r="AL55" s="118">
        <f t="shared" si="17"/>
        <v>0</v>
      </c>
      <c r="AM55" s="118">
        <f t="shared" si="17"/>
        <v>0</v>
      </c>
      <c r="AN55" s="118">
        <f t="shared" si="17"/>
        <v>0</v>
      </c>
      <c r="AO55" s="118">
        <f t="shared" si="17"/>
        <v>0</v>
      </c>
      <c r="AP55" s="118">
        <f t="shared" si="17"/>
        <v>0</v>
      </c>
      <c r="AQ55" s="118">
        <f t="shared" si="17"/>
        <v>0</v>
      </c>
      <c r="AR55" s="118">
        <f t="shared" si="17"/>
        <v>0</v>
      </c>
      <c r="AS55" s="118"/>
      <c r="AT55" s="118">
        <f>+AT19-AT37</f>
        <v>0</v>
      </c>
    </row>
    <row r="56" spans="1:46" s="249" customFormat="1" ht="13.5" hidden="1" customHeight="1" outlineLevel="1" x14ac:dyDescent="0.2">
      <c r="A56" s="25"/>
      <c r="B56" s="130" t="s">
        <v>544</v>
      </c>
      <c r="C56" s="118">
        <f t="shared" ref="C56:AR56" si="18">+C20-C38</f>
        <v>0</v>
      </c>
      <c r="D56" s="161">
        <f t="shared" si="18"/>
        <v>0</v>
      </c>
      <c r="E56" s="118">
        <f t="shared" si="18"/>
        <v>0</v>
      </c>
      <c r="F56" s="118">
        <f t="shared" si="18"/>
        <v>0</v>
      </c>
      <c r="G56" s="118">
        <f t="shared" si="18"/>
        <v>0</v>
      </c>
      <c r="H56" s="118">
        <f t="shared" si="18"/>
        <v>0</v>
      </c>
      <c r="I56" s="118">
        <f t="shared" si="18"/>
        <v>0</v>
      </c>
      <c r="J56" s="118">
        <f t="shared" si="18"/>
        <v>0</v>
      </c>
      <c r="K56" s="118">
        <f t="shared" si="18"/>
        <v>0</v>
      </c>
      <c r="L56" s="118">
        <f t="shared" si="18"/>
        <v>0</v>
      </c>
      <c r="M56" s="118">
        <f t="shared" si="18"/>
        <v>0</v>
      </c>
      <c r="N56" s="118">
        <f t="shared" si="18"/>
        <v>0</v>
      </c>
      <c r="O56" s="118">
        <f t="shared" si="18"/>
        <v>0</v>
      </c>
      <c r="P56" s="118">
        <f t="shared" si="18"/>
        <v>0</v>
      </c>
      <c r="Q56" s="118">
        <f t="shared" si="18"/>
        <v>0</v>
      </c>
      <c r="R56" s="118">
        <f t="shared" si="18"/>
        <v>0</v>
      </c>
      <c r="S56" s="118">
        <f t="shared" si="18"/>
        <v>0</v>
      </c>
      <c r="T56" s="118">
        <f t="shared" si="18"/>
        <v>0</v>
      </c>
      <c r="U56" s="118">
        <f t="shared" si="18"/>
        <v>0</v>
      </c>
      <c r="V56" s="118">
        <f t="shared" si="18"/>
        <v>0</v>
      </c>
      <c r="W56" s="118">
        <f t="shared" si="18"/>
        <v>0</v>
      </c>
      <c r="X56" s="118">
        <f t="shared" si="18"/>
        <v>0</v>
      </c>
      <c r="Y56" s="118">
        <f t="shared" si="18"/>
        <v>0</v>
      </c>
      <c r="Z56" s="118">
        <f t="shared" si="18"/>
        <v>0</v>
      </c>
      <c r="AA56" s="118">
        <f t="shared" si="18"/>
        <v>0</v>
      </c>
      <c r="AB56" s="118">
        <f t="shared" si="18"/>
        <v>0</v>
      </c>
      <c r="AC56" s="118">
        <f t="shared" si="18"/>
        <v>0</v>
      </c>
      <c r="AD56" s="118">
        <f t="shared" si="18"/>
        <v>0</v>
      </c>
      <c r="AE56" s="118">
        <f t="shared" si="18"/>
        <v>0</v>
      </c>
      <c r="AF56" s="118">
        <f t="shared" si="18"/>
        <v>0</v>
      </c>
      <c r="AG56" s="118">
        <f t="shared" si="18"/>
        <v>0</v>
      </c>
      <c r="AH56" s="118">
        <f t="shared" si="18"/>
        <v>0</v>
      </c>
      <c r="AI56" s="118">
        <f t="shared" si="18"/>
        <v>0</v>
      </c>
      <c r="AJ56" s="118">
        <f t="shared" si="18"/>
        <v>0</v>
      </c>
      <c r="AK56" s="118">
        <f t="shared" si="18"/>
        <v>0</v>
      </c>
      <c r="AL56" s="118">
        <f t="shared" si="18"/>
        <v>0</v>
      </c>
      <c r="AM56" s="118">
        <f t="shared" si="18"/>
        <v>0</v>
      </c>
      <c r="AN56" s="118">
        <f t="shared" si="18"/>
        <v>0</v>
      </c>
      <c r="AO56" s="118">
        <f t="shared" si="18"/>
        <v>0</v>
      </c>
      <c r="AP56" s="118">
        <f t="shared" si="18"/>
        <v>0</v>
      </c>
      <c r="AQ56" s="118">
        <f t="shared" si="18"/>
        <v>0</v>
      </c>
      <c r="AR56" s="118">
        <f t="shared" si="18"/>
        <v>0</v>
      </c>
      <c r="AS56" s="118"/>
      <c r="AT56" s="118">
        <f>+AT20-AT38</f>
        <v>0</v>
      </c>
    </row>
    <row r="57" spans="1:46" collapsed="1" x14ac:dyDescent="0.2">
      <c r="B57" s="127" t="s">
        <v>22</v>
      </c>
      <c r="C57" s="120">
        <f t="shared" ref="C57:P57" si="19">SUM(C42:C56)</f>
        <v>33833</v>
      </c>
      <c r="D57" s="163">
        <f t="shared" si="19"/>
        <v>10537</v>
      </c>
      <c r="E57" s="120">
        <f t="shared" si="19"/>
        <v>11328</v>
      </c>
      <c r="F57" s="120">
        <f t="shared" si="19"/>
        <v>6489</v>
      </c>
      <c r="G57" s="120">
        <f t="shared" si="19"/>
        <v>6928</v>
      </c>
      <c r="H57" s="120">
        <f t="shared" si="19"/>
        <v>17050</v>
      </c>
      <c r="I57" s="120">
        <f t="shared" si="19"/>
        <v>11526</v>
      </c>
      <c r="J57" s="120">
        <f t="shared" si="19"/>
        <v>17951</v>
      </c>
      <c r="K57" s="120">
        <f t="shared" si="19"/>
        <v>21228</v>
      </c>
      <c r="L57" s="120">
        <f t="shared" si="19"/>
        <v>13013</v>
      </c>
      <c r="M57" s="120">
        <f t="shared" si="19"/>
        <v>11039</v>
      </c>
      <c r="N57" s="120">
        <f t="shared" si="19"/>
        <v>4178</v>
      </c>
      <c r="O57" s="120">
        <f t="shared" si="19"/>
        <v>5962</v>
      </c>
      <c r="P57" s="120">
        <f t="shared" si="19"/>
        <v>4670</v>
      </c>
      <c r="Q57" s="120">
        <f t="shared" ref="Q57:W57" si="20">SUM(Q42:Q56)</f>
        <v>5398</v>
      </c>
      <c r="R57" s="120">
        <f t="shared" si="20"/>
        <v>5747</v>
      </c>
      <c r="S57" s="120">
        <f t="shared" si="20"/>
        <v>4604</v>
      </c>
      <c r="T57" s="120">
        <f t="shared" si="20"/>
        <v>6037</v>
      </c>
      <c r="U57" s="120">
        <f t="shared" si="20"/>
        <v>8175</v>
      </c>
      <c r="V57" s="120">
        <f t="shared" si="20"/>
        <v>8869</v>
      </c>
      <c r="W57" s="120">
        <f t="shared" si="20"/>
        <v>5067</v>
      </c>
      <c r="X57" s="120">
        <f t="shared" ref="X57:AC57" si="21">SUM(X42:X56)</f>
        <v>4601</v>
      </c>
      <c r="Y57" s="120">
        <f t="shared" si="21"/>
        <v>4961</v>
      </c>
      <c r="Z57" s="120">
        <f t="shared" si="21"/>
        <v>6052</v>
      </c>
      <c r="AA57" s="120">
        <f t="shared" si="21"/>
        <v>3636</v>
      </c>
      <c r="AB57" s="120">
        <f t="shared" si="21"/>
        <v>5271</v>
      </c>
      <c r="AC57" s="120">
        <f t="shared" si="21"/>
        <v>6330</v>
      </c>
      <c r="AD57" s="120">
        <f t="shared" ref="AD57:AJ57" si="22">SUM(AD42:AD56)</f>
        <v>6530</v>
      </c>
      <c r="AE57" s="120">
        <f t="shared" si="22"/>
        <v>4025</v>
      </c>
      <c r="AF57" s="120">
        <f t="shared" si="22"/>
        <v>4061</v>
      </c>
      <c r="AG57" s="120">
        <f t="shared" si="22"/>
        <v>4298</v>
      </c>
      <c r="AH57" s="120">
        <f t="shared" si="22"/>
        <v>3501</v>
      </c>
      <c r="AI57" s="120">
        <f t="shared" si="22"/>
        <v>2796</v>
      </c>
      <c r="AJ57" s="120">
        <f t="shared" si="22"/>
        <v>2612</v>
      </c>
      <c r="AK57" s="120">
        <f t="shared" ref="AK57:AQ57" si="23">SUM(AK42:AK56)</f>
        <v>5704</v>
      </c>
      <c r="AL57" s="120">
        <f t="shared" si="23"/>
        <v>10816</v>
      </c>
      <c r="AM57" s="120">
        <f t="shared" si="23"/>
        <v>10362</v>
      </c>
      <c r="AN57" s="120">
        <f t="shared" si="23"/>
        <v>6319</v>
      </c>
      <c r="AO57" s="120">
        <f t="shared" si="23"/>
        <v>7401</v>
      </c>
      <c r="AP57" s="120">
        <f t="shared" si="23"/>
        <v>6866</v>
      </c>
      <c r="AQ57" s="120">
        <f t="shared" si="23"/>
        <v>6514</v>
      </c>
      <c r="AR57" s="120">
        <f t="shared" ref="AR57" si="24">SUM(AR42:AR56)</f>
        <v>5267</v>
      </c>
      <c r="AS57" s="120">
        <f>SUM(AS42:AS56)</f>
        <v>5410</v>
      </c>
      <c r="AT57" s="120">
        <f>SUM(AT42:AT56)</f>
        <v>6339</v>
      </c>
    </row>
    <row r="58" spans="1:46" ht="15" customHeight="1" x14ac:dyDescent="0.2"/>
    <row r="59" spans="1:46" ht="15.75" customHeight="1" x14ac:dyDescent="0.2"/>
    <row r="60" spans="1:46" x14ac:dyDescent="0.2">
      <c r="A60" s="28"/>
    </row>
    <row r="61" spans="1:46" x14ac:dyDescent="0.2">
      <c r="A61" s="28"/>
    </row>
    <row r="62" spans="1:46" x14ac:dyDescent="0.2">
      <c r="A62" s="28"/>
    </row>
    <row r="63" spans="1:46" x14ac:dyDescent="0.2">
      <c r="A63" s="28"/>
    </row>
    <row r="64" spans="1:46"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x14ac:dyDescent="0.2">
      <c r="A87" s="28"/>
    </row>
    <row r="88" spans="1:1" x14ac:dyDescent="0.2">
      <c r="A88" s="28"/>
    </row>
    <row r="89" spans="1:1" x14ac:dyDescent="0.2">
      <c r="A89" s="28"/>
    </row>
    <row r="90" spans="1:1" x14ac:dyDescent="0.2">
      <c r="A90" s="28"/>
    </row>
    <row r="91" spans="1: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x14ac:dyDescent="0.2">
      <c r="A114" s="28"/>
    </row>
    <row r="115" spans="1:1" x14ac:dyDescent="0.2">
      <c r="A115" s="28"/>
    </row>
    <row r="116" spans="1:1" ht="15" customHeight="1" x14ac:dyDescent="0.2">
      <c r="A116" s="28"/>
    </row>
    <row r="117" spans="1:1" x14ac:dyDescent="0.2">
      <c r="A117" s="28"/>
    </row>
    <row r="118" spans="1:1" x14ac:dyDescent="0.2">
      <c r="A118" s="28"/>
    </row>
    <row r="119" spans="1:1" x14ac:dyDescent="0.2">
      <c r="A119" s="28"/>
    </row>
    <row r="120" spans="1:1" ht="14.25" customHeight="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ht="15" customHeight="1" x14ac:dyDescent="0.2">
      <c r="A143" s="28"/>
    </row>
    <row r="144" spans="1:1" x14ac:dyDescent="0.2">
      <c r="A144" s="28"/>
    </row>
    <row r="145" spans="1:1" x14ac:dyDescent="0.2">
      <c r="A145" s="28"/>
    </row>
    <row r="146" spans="1:1" x14ac:dyDescent="0.2">
      <c r="A146" s="28"/>
    </row>
    <row r="147" spans="1:1" ht="20.25" customHeight="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1" x14ac:dyDescent="0.2">
      <c r="A161" s="28"/>
    </row>
    <row r="162" spans="1:1" x14ac:dyDescent="0.2">
      <c r="A162" s="28"/>
    </row>
    <row r="163" spans="1:1" x14ac:dyDescent="0.2">
      <c r="A163" s="28"/>
    </row>
    <row r="164" spans="1:1" x14ac:dyDescent="0.2">
      <c r="A164" s="28"/>
    </row>
    <row r="165" spans="1:1" x14ac:dyDescent="0.2">
      <c r="A165" s="28"/>
    </row>
    <row r="166" spans="1:1" x14ac:dyDescent="0.2">
      <c r="A166" s="28"/>
    </row>
    <row r="167" spans="1:1" x14ac:dyDescent="0.2">
      <c r="A167" s="28"/>
    </row>
    <row r="168" spans="1:1" x14ac:dyDescent="0.2">
      <c r="A168" s="28"/>
    </row>
    <row r="169" spans="1:1" x14ac:dyDescent="0.2">
      <c r="A169" s="28"/>
    </row>
    <row r="170" spans="1:1" x14ac:dyDescent="0.2">
      <c r="A170" s="28"/>
    </row>
    <row r="171" spans="1:1" x14ac:dyDescent="0.2">
      <c r="A171" s="28"/>
    </row>
    <row r="172" spans="1:1" x14ac:dyDescent="0.2">
      <c r="A172" s="28"/>
    </row>
    <row r="173" spans="1:1" ht="15" customHeight="1" x14ac:dyDescent="0.2">
      <c r="A173" s="28"/>
    </row>
    <row r="174" spans="1:1" x14ac:dyDescent="0.2">
      <c r="A174" s="28"/>
    </row>
    <row r="175" spans="1:1" x14ac:dyDescent="0.2">
      <c r="A175" s="28"/>
    </row>
    <row r="176" spans="1:1"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s="36" customFormat="1" ht="26.25" customHeight="1" x14ac:dyDescent="0.2">
      <c r="A195" s="28"/>
    </row>
    <row r="196" spans="1:1" ht="14.25" customHeight="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ht="14.25" customHeight="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row r="1713" spans="1:1" x14ac:dyDescent="0.2">
      <c r="A1713" s="28"/>
    </row>
    <row r="1714" spans="1:1" x14ac:dyDescent="0.2">
      <c r="A1714" s="28"/>
    </row>
    <row r="1715" spans="1:1" x14ac:dyDescent="0.2">
      <c r="A1715" s="28"/>
    </row>
    <row r="1716" spans="1:1" x14ac:dyDescent="0.2">
      <c r="A1716" s="28"/>
    </row>
    <row r="1717" spans="1:1" x14ac:dyDescent="0.2">
      <c r="A1717" s="28"/>
    </row>
    <row r="1718" spans="1:1" x14ac:dyDescent="0.2">
      <c r="A1718" s="28"/>
    </row>
    <row r="1719" spans="1:1" x14ac:dyDescent="0.2">
      <c r="A1719" s="28"/>
    </row>
    <row r="1720" spans="1:1" x14ac:dyDescent="0.2">
      <c r="A1720" s="28"/>
    </row>
    <row r="1721" spans="1:1" x14ac:dyDescent="0.2">
      <c r="A1721" s="28"/>
    </row>
    <row r="1722" spans="1:1" x14ac:dyDescent="0.2">
      <c r="A1722" s="28"/>
    </row>
    <row r="1723" spans="1:1" x14ac:dyDescent="0.2">
      <c r="A1723" s="28"/>
    </row>
    <row r="1724" spans="1:1" x14ac:dyDescent="0.2">
      <c r="A1724" s="28"/>
    </row>
    <row r="1725" spans="1:1" x14ac:dyDescent="0.2">
      <c r="A1725" s="28"/>
    </row>
    <row r="1726" spans="1:1" x14ac:dyDescent="0.2">
      <c r="A1726" s="28"/>
    </row>
    <row r="1727" spans="1:1" x14ac:dyDescent="0.2">
      <c r="A1727" s="28"/>
    </row>
    <row r="1728" spans="1:1" x14ac:dyDescent="0.2">
      <c r="A1728" s="28"/>
    </row>
    <row r="1729" spans="1:1" x14ac:dyDescent="0.2">
      <c r="A1729" s="28"/>
    </row>
    <row r="1730" spans="1:1" x14ac:dyDescent="0.2">
      <c r="A1730" s="28"/>
    </row>
    <row r="1731" spans="1:1" x14ac:dyDescent="0.2">
      <c r="A1731" s="28"/>
    </row>
    <row r="1732" spans="1:1" x14ac:dyDescent="0.2">
      <c r="A1732" s="28"/>
    </row>
    <row r="1733" spans="1:1" x14ac:dyDescent="0.2">
      <c r="A1733" s="28"/>
    </row>
    <row r="1734" spans="1:1" x14ac:dyDescent="0.2">
      <c r="A1734" s="28"/>
    </row>
    <row r="1735" spans="1:1" x14ac:dyDescent="0.2">
      <c r="A1735" s="28"/>
    </row>
    <row r="1736" spans="1:1" x14ac:dyDescent="0.2">
      <c r="A1736" s="28"/>
    </row>
    <row r="1737" spans="1:1" x14ac:dyDescent="0.2">
      <c r="A1737" s="28"/>
    </row>
    <row r="1738" spans="1:1" x14ac:dyDescent="0.2">
      <c r="A1738" s="28"/>
    </row>
    <row r="1739" spans="1:1" x14ac:dyDescent="0.2">
      <c r="A1739" s="28"/>
    </row>
    <row r="1740" spans="1:1" x14ac:dyDescent="0.2">
      <c r="A1740" s="28"/>
    </row>
    <row r="1741" spans="1:1" x14ac:dyDescent="0.2">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48">
    <pageSetUpPr autoPageBreaks="0"/>
  </sheetPr>
  <dimension ref="B1:KO1754"/>
  <sheetViews>
    <sheetView showGridLines="0" zoomScaleNormal="100" workbookViewId="0">
      <pane xSplit="2" ySplit="4" topLeftCell="AJ5"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42578125" style="25" customWidth="1"/>
    <col min="2" max="2" width="56.28515625" style="25" customWidth="1"/>
    <col min="3" max="4" width="10.7109375" style="25" customWidth="1"/>
    <col min="5" max="7" width="10.7109375" style="26" customWidth="1"/>
    <col min="8" max="46" width="10.7109375" style="27" customWidth="1"/>
    <col min="47" max="47" width="1" style="28" customWidth="1"/>
    <col min="48" max="49" width="9.7109375" style="28" bestFit="1" customWidth="1"/>
    <col min="50" max="50" width="1" style="28" customWidth="1"/>
    <col min="51" max="52" width="10.5703125" style="28" bestFit="1" customWidth="1"/>
    <col min="53" max="53" width="2.7109375" style="28" customWidth="1"/>
    <col min="54" max="54" width="8.7109375" style="28" customWidth="1"/>
    <col min="55" max="55" width="9.28515625" style="28" customWidth="1"/>
    <col min="56" max="56" width="1.7109375" style="28" customWidth="1"/>
    <col min="57" max="58" width="8.28515625" style="28" customWidth="1"/>
    <col min="59" max="59" width="1.28515625" style="28" customWidth="1"/>
    <col min="60" max="61" width="8.7109375" style="28" customWidth="1"/>
    <col min="62" max="62" width="2.7109375" style="28" customWidth="1"/>
    <col min="63" max="63" width="8.7109375" style="28" customWidth="1"/>
    <col min="64" max="64" width="9.28515625" style="28" customWidth="1"/>
    <col min="65" max="65" width="1.7109375" style="28" customWidth="1"/>
    <col min="66" max="67" width="8.28515625" style="28" customWidth="1"/>
    <col min="68" max="68" width="1.28515625" style="28" customWidth="1"/>
    <col min="69" max="70" width="8.7109375" style="28" customWidth="1"/>
    <col min="71" max="71" width="9.28515625" style="28"/>
    <col min="72" max="72" width="11.42578125" style="28" customWidth="1"/>
    <col min="73" max="73" width="11" style="28" customWidth="1"/>
    <col min="74" max="74" width="12.28515625" style="28" customWidth="1"/>
    <col min="75" max="75" width="10.28515625" style="28" customWidth="1"/>
    <col min="76" max="76" width="9.28515625" style="28"/>
    <col min="77" max="77" width="13.28515625" style="28" customWidth="1"/>
    <col min="78" max="78" width="14.5703125" style="28" customWidth="1"/>
    <col min="79" max="79" width="11.42578125" style="28" customWidth="1"/>
    <col min="80" max="80" width="12.42578125" style="28" customWidth="1"/>
    <col min="81" max="81" width="11.7109375" style="28" customWidth="1"/>
    <col min="82" max="82" width="10.7109375" style="28" customWidth="1"/>
    <col min="83" max="301" width="9.28515625" style="28"/>
    <col min="302" max="16384" width="9.28515625" style="25"/>
  </cols>
  <sheetData>
    <row r="1" spans="2:301" s="556" customFormat="1" ht="7.5" customHeight="1" x14ac:dyDescent="0.2">
      <c r="E1" s="563"/>
      <c r="F1" s="563"/>
      <c r="G1" s="563"/>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c r="FC1" s="557"/>
      <c r="FD1" s="557"/>
      <c r="FE1" s="557"/>
      <c r="FF1" s="557"/>
      <c r="FG1" s="557"/>
      <c r="FH1" s="557"/>
      <c r="FI1" s="557"/>
      <c r="FJ1" s="557"/>
      <c r="FK1" s="557"/>
      <c r="FL1" s="557"/>
      <c r="FM1" s="557"/>
      <c r="FN1" s="557"/>
      <c r="FO1" s="557"/>
      <c r="FP1" s="557"/>
      <c r="FQ1" s="557"/>
      <c r="FR1" s="557"/>
      <c r="FS1" s="557"/>
      <c r="FT1" s="557"/>
      <c r="FU1" s="557"/>
      <c r="FV1" s="557"/>
      <c r="FW1" s="557"/>
      <c r="FX1" s="557"/>
      <c r="FY1" s="557"/>
      <c r="FZ1" s="557"/>
      <c r="GA1" s="557"/>
      <c r="GB1" s="557"/>
      <c r="GC1" s="557"/>
      <c r="GD1" s="557"/>
      <c r="GE1" s="557"/>
      <c r="GF1" s="557"/>
      <c r="GG1" s="557"/>
      <c r="GH1" s="557"/>
      <c r="GI1" s="557"/>
      <c r="GJ1" s="557"/>
      <c r="GK1" s="557"/>
      <c r="GL1" s="557"/>
      <c r="GM1" s="557"/>
      <c r="GN1" s="557"/>
      <c r="GO1" s="557"/>
      <c r="GP1" s="557"/>
      <c r="GQ1" s="557"/>
      <c r="GR1" s="557"/>
      <c r="GS1" s="557"/>
      <c r="GT1" s="557"/>
      <c r="GU1" s="557"/>
      <c r="GV1" s="557"/>
      <c r="GW1" s="557"/>
      <c r="GX1" s="557"/>
      <c r="GY1" s="557"/>
      <c r="GZ1" s="557"/>
      <c r="HA1" s="557"/>
      <c r="HB1" s="557"/>
      <c r="HC1" s="557"/>
      <c r="HD1" s="557"/>
      <c r="HE1" s="557"/>
      <c r="HF1" s="557"/>
      <c r="HG1" s="557"/>
      <c r="HH1" s="557"/>
      <c r="HI1" s="557"/>
      <c r="HJ1" s="557"/>
      <c r="HK1" s="557"/>
      <c r="HL1" s="557"/>
      <c r="HM1" s="557"/>
      <c r="HN1" s="557"/>
      <c r="HO1" s="557"/>
      <c r="HP1" s="557"/>
      <c r="HQ1" s="557"/>
      <c r="HR1" s="557"/>
      <c r="HS1" s="557"/>
      <c r="HT1" s="557"/>
      <c r="HU1" s="557"/>
      <c r="HV1" s="557"/>
      <c r="HW1" s="557"/>
      <c r="HX1" s="557"/>
      <c r="HY1" s="557"/>
      <c r="HZ1" s="557"/>
      <c r="IA1" s="557"/>
      <c r="IB1" s="557"/>
      <c r="IC1" s="557"/>
      <c r="ID1" s="557"/>
      <c r="IE1" s="557"/>
      <c r="IF1" s="557"/>
      <c r="IG1" s="557"/>
      <c r="IH1" s="557"/>
      <c r="II1" s="557"/>
      <c r="IJ1" s="557"/>
      <c r="IK1" s="557"/>
      <c r="IL1" s="557"/>
      <c r="IM1" s="557"/>
      <c r="IN1" s="557"/>
      <c r="IO1" s="557"/>
      <c r="IP1" s="557"/>
      <c r="IQ1" s="557"/>
      <c r="IR1" s="557"/>
      <c r="IS1" s="557"/>
      <c r="IT1" s="557"/>
      <c r="IU1" s="557"/>
      <c r="IV1" s="557"/>
      <c r="IW1" s="557"/>
      <c r="IX1" s="557"/>
      <c r="IY1" s="557"/>
      <c r="IZ1" s="557"/>
      <c r="JA1" s="557"/>
      <c r="JB1" s="557"/>
      <c r="JC1" s="557"/>
      <c r="JD1" s="557"/>
      <c r="JE1" s="557"/>
      <c r="JF1" s="557"/>
      <c r="JG1" s="557"/>
      <c r="JH1" s="557"/>
      <c r="JI1" s="557"/>
      <c r="JJ1" s="557"/>
      <c r="JK1" s="557"/>
      <c r="JL1" s="557"/>
      <c r="JM1" s="557"/>
      <c r="JN1" s="557"/>
      <c r="JO1" s="557"/>
      <c r="JP1" s="557"/>
      <c r="JQ1" s="557"/>
      <c r="JR1" s="557"/>
      <c r="JS1" s="557"/>
      <c r="JT1" s="557"/>
      <c r="JU1" s="557"/>
      <c r="JV1" s="557"/>
      <c r="JW1" s="557"/>
      <c r="JX1" s="557"/>
      <c r="JY1" s="557"/>
      <c r="JZ1" s="557"/>
      <c r="KA1" s="557"/>
      <c r="KB1" s="557"/>
      <c r="KC1" s="557"/>
      <c r="KD1" s="557"/>
      <c r="KE1" s="557"/>
      <c r="KF1" s="557"/>
      <c r="KG1" s="557"/>
      <c r="KH1" s="557"/>
      <c r="KI1" s="557"/>
      <c r="KJ1" s="557"/>
      <c r="KK1" s="557"/>
      <c r="KL1" s="557"/>
      <c r="KM1" s="557"/>
      <c r="KN1" s="557"/>
      <c r="KO1" s="557"/>
    </row>
    <row r="2" spans="2:301" s="556" customFormat="1" ht="12.75" customHeight="1" x14ac:dyDescent="0.25">
      <c r="D2" s="561"/>
      <c r="E2" s="563"/>
      <c r="F2" s="563"/>
      <c r="G2" s="563"/>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c r="FK2" s="557"/>
      <c r="FL2" s="557"/>
      <c r="FM2" s="557"/>
      <c r="FN2" s="557"/>
      <c r="FO2" s="557"/>
      <c r="FP2" s="557"/>
      <c r="FQ2" s="557"/>
      <c r="FR2" s="557"/>
      <c r="FS2" s="557"/>
      <c r="FT2" s="557"/>
      <c r="FU2" s="557"/>
      <c r="FV2" s="557"/>
      <c r="FW2" s="557"/>
      <c r="FX2" s="557"/>
      <c r="FY2" s="557"/>
      <c r="FZ2" s="557"/>
      <c r="GA2" s="557"/>
      <c r="GB2" s="557"/>
      <c r="GC2" s="557"/>
      <c r="GD2" s="557"/>
      <c r="GE2" s="557"/>
      <c r="GF2" s="557"/>
      <c r="GG2" s="557"/>
      <c r="GH2" s="557"/>
      <c r="GI2" s="557"/>
      <c r="GJ2" s="557"/>
      <c r="GK2" s="557"/>
      <c r="GL2" s="557"/>
      <c r="GM2" s="557"/>
      <c r="GN2" s="557"/>
      <c r="GO2" s="557"/>
      <c r="GP2" s="557"/>
      <c r="GQ2" s="557"/>
      <c r="GR2" s="557"/>
      <c r="GS2" s="557"/>
      <c r="GT2" s="557"/>
      <c r="GU2" s="557"/>
      <c r="GV2" s="557"/>
      <c r="GW2" s="557"/>
      <c r="GX2" s="557"/>
      <c r="GY2" s="557"/>
      <c r="GZ2" s="557"/>
      <c r="HA2" s="557"/>
      <c r="HB2" s="557"/>
      <c r="HC2" s="557"/>
      <c r="HD2" s="557"/>
      <c r="HE2" s="557"/>
      <c r="HF2" s="557"/>
      <c r="HG2" s="557"/>
      <c r="HH2" s="557"/>
      <c r="HI2" s="557"/>
      <c r="HJ2" s="557"/>
      <c r="HK2" s="557"/>
      <c r="HL2" s="557"/>
      <c r="HM2" s="557"/>
      <c r="HN2" s="557"/>
      <c r="HO2" s="557"/>
      <c r="HP2" s="557"/>
      <c r="HQ2" s="557"/>
      <c r="HR2" s="557"/>
      <c r="HS2" s="557"/>
      <c r="HT2" s="557"/>
      <c r="HU2" s="557"/>
      <c r="HV2" s="557"/>
      <c r="HW2" s="557"/>
      <c r="HX2" s="557"/>
      <c r="HY2" s="557"/>
      <c r="HZ2" s="557"/>
      <c r="IA2" s="557"/>
      <c r="IB2" s="557"/>
      <c r="IC2" s="557"/>
      <c r="ID2" s="557"/>
      <c r="IE2" s="557"/>
      <c r="IF2" s="557"/>
      <c r="IG2" s="557"/>
      <c r="IH2" s="557"/>
      <c r="II2" s="557"/>
      <c r="IJ2" s="557"/>
      <c r="IK2" s="557"/>
      <c r="IL2" s="557"/>
      <c r="IM2" s="557"/>
      <c r="IN2" s="557"/>
      <c r="IO2" s="557"/>
      <c r="IP2" s="557"/>
      <c r="IQ2" s="557"/>
      <c r="IR2" s="557"/>
      <c r="IS2" s="557"/>
      <c r="IT2" s="557"/>
      <c r="IU2" s="557"/>
      <c r="IV2" s="557"/>
      <c r="IW2" s="557"/>
      <c r="IX2" s="557"/>
      <c r="IY2" s="557"/>
      <c r="IZ2" s="557"/>
      <c r="JA2" s="557"/>
      <c r="JB2" s="557"/>
      <c r="JC2" s="557"/>
      <c r="JD2" s="557"/>
      <c r="JE2" s="557"/>
      <c r="JF2" s="557"/>
      <c r="JG2" s="557"/>
      <c r="JH2" s="557"/>
      <c r="JI2" s="557"/>
      <c r="JJ2" s="557"/>
      <c r="JK2" s="557"/>
      <c r="JL2" s="557"/>
      <c r="JM2" s="557"/>
      <c r="JN2" s="557"/>
      <c r="JO2" s="557"/>
      <c r="JP2" s="557"/>
      <c r="JQ2" s="557"/>
      <c r="JR2" s="557"/>
      <c r="JS2" s="557"/>
      <c r="JT2" s="557"/>
      <c r="JU2" s="557"/>
      <c r="JV2" s="557"/>
      <c r="JW2" s="557"/>
      <c r="JX2" s="557"/>
      <c r="JY2" s="557"/>
      <c r="JZ2" s="557"/>
      <c r="KA2" s="557"/>
      <c r="KB2" s="557"/>
      <c r="KC2" s="557"/>
      <c r="KD2" s="557"/>
      <c r="KE2" s="557"/>
      <c r="KF2" s="557"/>
      <c r="KG2" s="557"/>
      <c r="KH2" s="557"/>
      <c r="KI2" s="557"/>
      <c r="KJ2" s="557"/>
      <c r="KK2" s="557"/>
      <c r="KL2" s="557"/>
      <c r="KM2" s="557"/>
      <c r="KN2" s="557"/>
      <c r="KO2" s="557"/>
    </row>
    <row r="3" spans="2:301" ht="12.75" customHeight="1" x14ac:dyDescent="0.2"/>
    <row r="4" spans="2:301" ht="12.75" customHeight="1" x14ac:dyDescent="0.2"/>
    <row r="5" spans="2:301" x14ac:dyDescent="0.2">
      <c r="B5" s="115" t="s">
        <v>391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2:301" x14ac:dyDescent="0.2">
      <c r="B6" s="130" t="s">
        <v>545</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row>
    <row r="7" spans="2:301" x14ac:dyDescent="0.2">
      <c r="B7" s="130" t="s">
        <v>546</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row>
    <row r="8" spans="2:301" x14ac:dyDescent="0.2">
      <c r="B8" s="130" t="s">
        <v>547</v>
      </c>
      <c r="C8" s="118">
        <v>124</v>
      </c>
      <c r="D8" s="118">
        <v>50</v>
      </c>
      <c r="E8" s="118">
        <v>267</v>
      </c>
      <c r="F8" s="118">
        <v>1412</v>
      </c>
      <c r="G8" s="118">
        <v>-72</v>
      </c>
      <c r="H8" s="118">
        <v>-107</v>
      </c>
      <c r="I8" s="118">
        <v>441</v>
      </c>
      <c r="J8" s="118">
        <v>-367</v>
      </c>
      <c r="K8" s="118">
        <v>-35</v>
      </c>
      <c r="L8" s="118">
        <v>-369</v>
      </c>
      <c r="M8" s="118">
        <v>-594</v>
      </c>
      <c r="N8" s="262">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row>
    <row r="9" spans="2:301" ht="15" customHeight="1" x14ac:dyDescent="0.2">
      <c r="B9" s="130" t="s">
        <v>549</v>
      </c>
      <c r="C9" s="118">
        <v>0</v>
      </c>
      <c r="D9" s="118">
        <v>0</v>
      </c>
      <c r="E9" s="118">
        <v>0</v>
      </c>
      <c r="F9" s="118">
        <v>0</v>
      </c>
      <c r="G9" s="118">
        <v>-890</v>
      </c>
      <c r="H9" s="118">
        <v>-3033</v>
      </c>
      <c r="I9" s="118">
        <v>-4671</v>
      </c>
      <c r="J9" s="118">
        <v>-21451</v>
      </c>
      <c r="K9" s="118">
        <v>-1666</v>
      </c>
      <c r="L9" s="118">
        <v>-2160</v>
      </c>
      <c r="M9" s="118">
        <v>-1715</v>
      </c>
      <c r="N9" s="118">
        <v>-2355</v>
      </c>
      <c r="O9" s="118">
        <v>-2502</v>
      </c>
      <c r="P9" s="262">
        <v>-23943</v>
      </c>
      <c r="Q9" s="118">
        <v>-2029</v>
      </c>
      <c r="R9" s="262">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2">
        <v>-6930</v>
      </c>
      <c r="AL9" s="118">
        <v>-416</v>
      </c>
      <c r="AM9" s="118">
        <v>-478</v>
      </c>
      <c r="AN9" s="118">
        <v>-197</v>
      </c>
      <c r="AO9" s="118">
        <v>-369</v>
      </c>
      <c r="AP9" s="118">
        <v>-1068</v>
      </c>
      <c r="AQ9" s="118">
        <v>-894</v>
      </c>
      <c r="AR9" s="118">
        <v>-480</v>
      </c>
      <c r="AS9" s="118">
        <v>23</v>
      </c>
      <c r="AT9" s="118">
        <v>-476</v>
      </c>
    </row>
    <row r="10" spans="2:301" x14ac:dyDescent="0.2">
      <c r="B10" s="130" t="s">
        <v>747</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2">
        <v>56475</v>
      </c>
      <c r="Z10" s="322">
        <v>0</v>
      </c>
      <c r="AA10" s="322">
        <v>0</v>
      </c>
      <c r="AB10" s="322">
        <v>0</v>
      </c>
      <c r="AC10" s="322">
        <v>0</v>
      </c>
      <c r="AD10" s="118">
        <v>0</v>
      </c>
      <c r="AE10" s="118">
        <v>0</v>
      </c>
      <c r="AF10" s="262">
        <v>5732</v>
      </c>
      <c r="AG10" s="118">
        <v>0</v>
      </c>
      <c r="AH10" s="118">
        <v>0</v>
      </c>
      <c r="AI10" s="118">
        <v>0</v>
      </c>
      <c r="AJ10" s="118">
        <v>0</v>
      </c>
      <c r="AK10" s="118">
        <v>0</v>
      </c>
      <c r="AL10" s="262">
        <v>9187</v>
      </c>
      <c r="AM10" s="118">
        <v>0</v>
      </c>
      <c r="AN10" s="118">
        <v>0</v>
      </c>
      <c r="AO10" s="118">
        <v>0</v>
      </c>
      <c r="AP10" s="118">
        <v>0</v>
      </c>
      <c r="AQ10" s="118">
        <v>0</v>
      </c>
      <c r="AR10" s="118">
        <v>0</v>
      </c>
      <c r="AS10" s="118">
        <v>0</v>
      </c>
      <c r="AT10" s="118">
        <v>0</v>
      </c>
    </row>
    <row r="11" spans="2:301" ht="15" customHeight="1" x14ac:dyDescent="0.2">
      <c r="B11" s="130" t="s">
        <v>958</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row>
    <row r="12" spans="2:301" x14ac:dyDescent="0.2">
      <c r="B12" s="130" t="s">
        <v>1185</v>
      </c>
      <c r="C12" s="118" t="s">
        <v>47</v>
      </c>
      <c r="D12" s="118" t="s">
        <v>47</v>
      </c>
      <c r="E12" s="118" t="s">
        <v>47</v>
      </c>
      <c r="F12" s="118" t="s">
        <v>47</v>
      </c>
      <c r="G12" s="118" t="s">
        <v>47</v>
      </c>
      <c r="H12" s="118" t="s">
        <v>47</v>
      </c>
      <c r="I12" s="118" t="s">
        <v>47</v>
      </c>
      <c r="J12" s="118" t="s">
        <v>47</v>
      </c>
      <c r="K12" s="118" t="s">
        <v>47</v>
      </c>
      <c r="L12" s="118" t="s">
        <v>47</v>
      </c>
      <c r="M12" s="118" t="s">
        <v>47</v>
      </c>
      <c r="N12" s="118" t="s">
        <v>47</v>
      </c>
      <c r="O12" s="118" t="s">
        <v>47</v>
      </c>
      <c r="P12" s="118" t="s">
        <v>47</v>
      </c>
      <c r="Q12" s="118" t="s">
        <v>47</v>
      </c>
      <c r="R12" s="118" t="s">
        <v>47</v>
      </c>
      <c r="S12" s="118" t="s">
        <v>47</v>
      </c>
      <c r="T12" s="118" t="s">
        <v>47</v>
      </c>
      <c r="U12" s="118" t="s">
        <v>47</v>
      </c>
      <c r="V12" s="118" t="s">
        <v>47</v>
      </c>
      <c r="W12" s="118" t="s">
        <v>47</v>
      </c>
      <c r="X12" s="118" t="s">
        <v>47</v>
      </c>
      <c r="Y12" s="118" t="s">
        <v>47</v>
      </c>
      <c r="Z12" s="118" t="s">
        <v>47</v>
      </c>
      <c r="AA12" s="118" t="s">
        <v>47</v>
      </c>
      <c r="AB12" s="118" t="s">
        <v>47</v>
      </c>
      <c r="AC12" s="118" t="s">
        <v>47</v>
      </c>
      <c r="AD12" s="118" t="s">
        <v>47</v>
      </c>
      <c r="AE12" s="118" t="s">
        <v>47</v>
      </c>
      <c r="AF12" s="118" t="s">
        <v>47</v>
      </c>
      <c r="AG12" s="118" t="s">
        <v>47</v>
      </c>
      <c r="AH12" s="262">
        <v>2592</v>
      </c>
      <c r="AI12" s="118">
        <v>0</v>
      </c>
      <c r="AJ12" s="118">
        <v>0</v>
      </c>
      <c r="AK12" s="118">
        <v>847</v>
      </c>
      <c r="AL12" s="118">
        <v>0</v>
      </c>
      <c r="AM12" s="118">
        <v>0</v>
      </c>
      <c r="AN12" s="118">
        <v>0</v>
      </c>
      <c r="AO12" s="118">
        <v>0</v>
      </c>
      <c r="AP12" s="118">
        <v>0</v>
      </c>
      <c r="AQ12" s="118">
        <v>0</v>
      </c>
      <c r="AR12" s="118">
        <v>0</v>
      </c>
      <c r="AS12" s="118">
        <v>0</v>
      </c>
      <c r="AT12" s="118">
        <v>0</v>
      </c>
    </row>
    <row r="13" spans="2:301" x14ac:dyDescent="0.2">
      <c r="B13" s="130" t="s">
        <v>224</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2">
        <v>6571</v>
      </c>
      <c r="AF13" s="118">
        <v>-1266</v>
      </c>
      <c r="AG13" s="118">
        <v>337</v>
      </c>
      <c r="AH13" s="118">
        <v>-503</v>
      </c>
      <c r="AI13" s="118">
        <v>164</v>
      </c>
      <c r="AJ13" s="118">
        <v>-493</v>
      </c>
      <c r="AK13" s="118">
        <v>-360</v>
      </c>
      <c r="AL13" s="262">
        <v>-3044</v>
      </c>
      <c r="AM13" s="118">
        <v>819</v>
      </c>
      <c r="AN13" s="118">
        <v>-233</v>
      </c>
      <c r="AO13" s="118">
        <v>-42</v>
      </c>
      <c r="AP13" s="118">
        <v>-933</v>
      </c>
      <c r="AQ13" s="118">
        <v>-156</v>
      </c>
      <c r="AR13" s="118">
        <v>649</v>
      </c>
      <c r="AS13" s="118">
        <v>-324</v>
      </c>
      <c r="AT13" s="118">
        <v>1956</v>
      </c>
    </row>
    <row r="14" spans="2:301" s="249" customFormat="1" ht="15" hidden="1" customHeight="1" outlineLevel="1" x14ac:dyDescent="0.2">
      <c r="B14" s="250" t="s">
        <v>517</v>
      </c>
      <c r="C14" s="219">
        <v>0</v>
      </c>
      <c r="D14" s="219">
        <v>0</v>
      </c>
      <c r="E14" s="219">
        <v>0</v>
      </c>
      <c r="F14" s="219">
        <v>0</v>
      </c>
      <c r="G14" s="219">
        <v>0</v>
      </c>
      <c r="H14" s="219">
        <v>0</v>
      </c>
      <c r="I14" s="219">
        <v>0</v>
      </c>
      <c r="J14" s="219">
        <v>0</v>
      </c>
      <c r="K14" s="219">
        <v>0</v>
      </c>
      <c r="L14" s="219">
        <v>0</v>
      </c>
      <c r="M14" s="219">
        <v>0</v>
      </c>
      <c r="N14" s="219">
        <v>0</v>
      </c>
      <c r="O14" s="219">
        <v>0</v>
      </c>
      <c r="P14" s="219">
        <v>-223</v>
      </c>
      <c r="Q14" s="219">
        <v>0</v>
      </c>
      <c r="R14" s="219">
        <v>0</v>
      </c>
      <c r="S14" s="219">
        <v>0</v>
      </c>
      <c r="T14" s="219">
        <v>0</v>
      </c>
      <c r="U14" s="219">
        <v>0</v>
      </c>
      <c r="V14" s="219">
        <v>0</v>
      </c>
      <c r="W14" s="219">
        <v>0</v>
      </c>
      <c r="X14" s="219">
        <v>0</v>
      </c>
      <c r="Y14" s="219">
        <v>0</v>
      </c>
      <c r="Z14" s="219">
        <v>0</v>
      </c>
      <c r="AA14" s="219">
        <v>0</v>
      </c>
      <c r="AB14" s="219">
        <v>0</v>
      </c>
      <c r="AC14" s="219">
        <v>0</v>
      </c>
      <c r="AD14" s="219">
        <v>0</v>
      </c>
      <c r="AE14" s="219">
        <v>0</v>
      </c>
      <c r="AF14" s="219">
        <v>0</v>
      </c>
      <c r="AG14" s="219">
        <v>0</v>
      </c>
      <c r="AH14" s="219">
        <v>0</v>
      </c>
      <c r="AI14" s="219">
        <v>0</v>
      </c>
      <c r="AJ14" s="219">
        <v>0</v>
      </c>
      <c r="AK14" s="219">
        <v>0</v>
      </c>
      <c r="AL14" s="219">
        <v>0</v>
      </c>
      <c r="AM14" s="219">
        <v>0</v>
      </c>
      <c r="AN14" s="219">
        <v>0</v>
      </c>
      <c r="AO14" s="219">
        <v>0</v>
      </c>
      <c r="AP14" s="219">
        <v>0</v>
      </c>
      <c r="AQ14" s="219">
        <v>0</v>
      </c>
      <c r="AR14" s="219"/>
      <c r="AS14" s="219"/>
      <c r="AT14" s="219">
        <v>0</v>
      </c>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c r="FA14" s="777"/>
      <c r="FB14" s="777"/>
      <c r="FC14" s="777"/>
      <c r="FD14" s="777"/>
      <c r="FE14" s="777"/>
      <c r="FF14" s="777"/>
      <c r="FG14" s="777"/>
      <c r="FH14" s="777"/>
      <c r="FI14" s="777"/>
      <c r="FJ14" s="777"/>
      <c r="FK14" s="777"/>
      <c r="FL14" s="777"/>
      <c r="FM14" s="777"/>
      <c r="FN14" s="777"/>
      <c r="FO14" s="777"/>
      <c r="FP14" s="777"/>
      <c r="FQ14" s="777"/>
      <c r="FR14" s="777"/>
      <c r="FS14" s="777"/>
      <c r="FT14" s="777"/>
      <c r="FU14" s="777"/>
      <c r="FV14" s="777"/>
      <c r="FW14" s="777"/>
      <c r="FX14" s="777"/>
      <c r="FY14" s="777"/>
      <c r="FZ14" s="777"/>
      <c r="GA14" s="777"/>
      <c r="GB14" s="777"/>
      <c r="GC14" s="777"/>
      <c r="GD14" s="777"/>
      <c r="GE14" s="777"/>
      <c r="GF14" s="777"/>
      <c r="GG14" s="777"/>
      <c r="GH14" s="777"/>
      <c r="GI14" s="777"/>
      <c r="GJ14" s="777"/>
      <c r="GK14" s="777"/>
      <c r="GL14" s="777"/>
      <c r="GM14" s="777"/>
      <c r="GN14" s="777"/>
      <c r="GO14" s="777"/>
      <c r="GP14" s="777"/>
      <c r="GQ14" s="777"/>
      <c r="GR14" s="777"/>
      <c r="GS14" s="777"/>
      <c r="GT14" s="777"/>
      <c r="GU14" s="777"/>
      <c r="GV14" s="777"/>
      <c r="GW14" s="777"/>
      <c r="GX14" s="777"/>
      <c r="GY14" s="777"/>
      <c r="GZ14" s="777"/>
      <c r="HA14" s="777"/>
      <c r="HB14" s="777"/>
      <c r="HC14" s="777"/>
      <c r="HD14" s="777"/>
      <c r="HE14" s="777"/>
      <c r="HF14" s="777"/>
      <c r="HG14" s="777"/>
      <c r="HH14" s="777"/>
      <c r="HI14" s="777"/>
      <c r="HJ14" s="777"/>
      <c r="HK14" s="777"/>
      <c r="HL14" s="777"/>
      <c r="HM14" s="777"/>
      <c r="HN14" s="777"/>
      <c r="HO14" s="777"/>
      <c r="HP14" s="777"/>
      <c r="HQ14" s="777"/>
      <c r="HR14" s="777"/>
      <c r="HS14" s="777"/>
      <c r="HT14" s="777"/>
      <c r="HU14" s="777"/>
      <c r="HV14" s="777"/>
      <c r="HW14" s="777"/>
      <c r="HX14" s="777"/>
      <c r="HY14" s="777"/>
      <c r="HZ14" s="777"/>
      <c r="IA14" s="777"/>
      <c r="IB14" s="777"/>
      <c r="IC14" s="777"/>
      <c r="ID14" s="777"/>
      <c r="IE14" s="777"/>
      <c r="IF14" s="777"/>
      <c r="IG14" s="777"/>
      <c r="IH14" s="777"/>
      <c r="II14" s="777"/>
      <c r="IJ14" s="777"/>
      <c r="IK14" s="777"/>
      <c r="IL14" s="777"/>
      <c r="IM14" s="777"/>
      <c r="IN14" s="777"/>
      <c r="IO14" s="777"/>
      <c r="IP14" s="777"/>
      <c r="IQ14" s="777"/>
      <c r="IR14" s="777"/>
      <c r="IS14" s="777"/>
      <c r="IT14" s="777"/>
      <c r="IU14" s="777"/>
      <c r="IV14" s="777"/>
      <c r="IW14" s="777"/>
      <c r="IX14" s="777"/>
      <c r="IY14" s="777"/>
      <c r="IZ14" s="777"/>
      <c r="JA14" s="777"/>
      <c r="JB14" s="777"/>
      <c r="JC14" s="777"/>
      <c r="JD14" s="777"/>
      <c r="JE14" s="777"/>
      <c r="JF14" s="777"/>
      <c r="JG14" s="777"/>
      <c r="JH14" s="777"/>
      <c r="JI14" s="777"/>
      <c r="JJ14" s="777"/>
      <c r="JK14" s="777"/>
      <c r="JL14" s="777"/>
      <c r="JM14" s="777"/>
      <c r="JN14" s="777"/>
      <c r="JO14" s="777"/>
      <c r="JP14" s="777"/>
      <c r="JQ14" s="777"/>
      <c r="JR14" s="777"/>
      <c r="JS14" s="777"/>
      <c r="JT14" s="777"/>
      <c r="JU14" s="777"/>
      <c r="JV14" s="777"/>
      <c r="JW14" s="777"/>
      <c r="JX14" s="777"/>
      <c r="JY14" s="777"/>
      <c r="JZ14" s="777"/>
      <c r="KA14" s="777"/>
      <c r="KB14" s="777"/>
      <c r="KC14" s="777"/>
      <c r="KD14" s="777"/>
      <c r="KE14" s="777"/>
      <c r="KF14" s="777"/>
      <c r="KG14" s="777"/>
      <c r="KH14" s="777"/>
      <c r="KI14" s="777"/>
      <c r="KJ14" s="777"/>
      <c r="KK14" s="777"/>
      <c r="KL14" s="777"/>
      <c r="KM14" s="777"/>
      <c r="KN14" s="777"/>
      <c r="KO14" s="777"/>
    </row>
    <row r="15" spans="2:301" s="249" customFormat="1" ht="15" hidden="1" customHeight="1" outlineLevel="1" x14ac:dyDescent="0.2">
      <c r="B15" s="250" t="s">
        <v>548</v>
      </c>
      <c r="C15" s="219">
        <v>-372</v>
      </c>
      <c r="D15" s="219">
        <v>-1631</v>
      </c>
      <c r="E15" s="219">
        <v>-12619</v>
      </c>
      <c r="F15" s="219">
        <v>-5339</v>
      </c>
      <c r="G15" s="219">
        <v>-808</v>
      </c>
      <c r="H15" s="219">
        <v>-894</v>
      </c>
      <c r="I15" s="219">
        <v>-1732</v>
      </c>
      <c r="J15" s="219">
        <v>-1087</v>
      </c>
      <c r="K15" s="219">
        <v>-734</v>
      </c>
      <c r="L15" s="219">
        <v>-956</v>
      </c>
      <c r="M15" s="219">
        <v>-162</v>
      </c>
      <c r="N15" s="219">
        <v>-879</v>
      </c>
      <c r="O15" s="219">
        <v>-168</v>
      </c>
      <c r="P15" s="219">
        <v>-13</v>
      </c>
      <c r="Q15" s="219">
        <v>-1851</v>
      </c>
      <c r="R15" s="219">
        <v>1939</v>
      </c>
      <c r="S15" s="219">
        <v>-63</v>
      </c>
      <c r="T15" s="219">
        <v>410</v>
      </c>
      <c r="U15" s="219">
        <v>308</v>
      </c>
      <c r="V15" s="219">
        <v>-1751</v>
      </c>
      <c r="W15" s="219">
        <v>-76</v>
      </c>
      <c r="X15" s="219">
        <v>1492</v>
      </c>
      <c r="Y15" s="219">
        <v>-132</v>
      </c>
      <c r="Z15" s="219">
        <v>-1284</v>
      </c>
      <c r="AA15" s="219">
        <v>0</v>
      </c>
      <c r="AB15" s="219">
        <v>0</v>
      </c>
      <c r="AC15" s="219">
        <v>0</v>
      </c>
      <c r="AD15" s="219">
        <v>0</v>
      </c>
      <c r="AE15" s="219">
        <v>0</v>
      </c>
      <c r="AF15" s="219">
        <v>0</v>
      </c>
      <c r="AG15" s="219">
        <v>0</v>
      </c>
      <c r="AH15" s="219">
        <v>0</v>
      </c>
      <c r="AI15" s="219">
        <v>0</v>
      </c>
      <c r="AJ15" s="219">
        <v>0</v>
      </c>
      <c r="AK15" s="219">
        <v>0</v>
      </c>
      <c r="AL15" s="219">
        <v>0</v>
      </c>
      <c r="AM15" s="219">
        <v>0</v>
      </c>
      <c r="AN15" s="219">
        <v>0</v>
      </c>
      <c r="AO15" s="219">
        <v>0</v>
      </c>
      <c r="AP15" s="219">
        <v>0</v>
      </c>
      <c r="AQ15" s="219">
        <v>0</v>
      </c>
      <c r="AR15" s="219"/>
      <c r="AS15" s="219"/>
      <c r="AT15" s="219">
        <v>0</v>
      </c>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777"/>
      <c r="CJ15" s="777"/>
      <c r="CK15" s="777"/>
      <c r="CL15" s="777"/>
      <c r="CM15" s="777"/>
      <c r="CN15" s="777"/>
      <c r="CO15" s="777"/>
      <c r="CP15" s="777"/>
      <c r="CQ15" s="777"/>
      <c r="CR15" s="777"/>
      <c r="CS15" s="777"/>
      <c r="CT15" s="777"/>
      <c r="CU15" s="777"/>
      <c r="CV15" s="777"/>
      <c r="CW15" s="777"/>
      <c r="CX15" s="777"/>
      <c r="CY15" s="777"/>
      <c r="CZ15" s="777"/>
      <c r="DA15" s="777"/>
      <c r="DB15" s="777"/>
      <c r="DC15" s="777"/>
      <c r="DD15" s="777"/>
      <c r="DE15" s="777"/>
      <c r="DF15" s="777"/>
      <c r="DG15" s="777"/>
      <c r="DH15" s="777"/>
      <c r="DI15" s="777"/>
      <c r="DJ15" s="777"/>
      <c r="DK15" s="777"/>
      <c r="DL15" s="777"/>
      <c r="DM15" s="777"/>
      <c r="DN15" s="777"/>
      <c r="DO15" s="777"/>
      <c r="DP15" s="777"/>
      <c r="DQ15" s="777"/>
      <c r="DR15" s="777"/>
      <c r="DS15" s="777"/>
      <c r="DT15" s="777"/>
      <c r="DU15" s="777"/>
      <c r="DV15" s="777"/>
      <c r="DW15" s="777"/>
      <c r="DX15" s="777"/>
      <c r="DY15" s="777"/>
      <c r="DZ15" s="777"/>
      <c r="EA15" s="777"/>
      <c r="EB15" s="777"/>
      <c r="EC15" s="777"/>
      <c r="ED15" s="777"/>
      <c r="EE15" s="777"/>
      <c r="EF15" s="777"/>
      <c r="EG15" s="777"/>
      <c r="EH15" s="777"/>
      <c r="EI15" s="777"/>
      <c r="EJ15" s="777"/>
      <c r="EK15" s="777"/>
      <c r="EL15" s="777"/>
      <c r="EM15" s="777"/>
      <c r="EN15" s="777"/>
      <c r="EO15" s="777"/>
      <c r="EP15" s="777"/>
      <c r="EQ15" s="777"/>
      <c r="ER15" s="777"/>
      <c r="ES15" s="777"/>
      <c r="ET15" s="777"/>
      <c r="EU15" s="777"/>
      <c r="EV15" s="777"/>
      <c r="EW15" s="777"/>
      <c r="EX15" s="777"/>
      <c r="EY15" s="777"/>
      <c r="EZ15" s="777"/>
      <c r="FA15" s="777"/>
      <c r="FB15" s="777"/>
      <c r="FC15" s="777"/>
      <c r="FD15" s="777"/>
      <c r="FE15" s="777"/>
      <c r="FF15" s="777"/>
      <c r="FG15" s="777"/>
      <c r="FH15" s="777"/>
      <c r="FI15" s="777"/>
      <c r="FJ15" s="777"/>
      <c r="FK15" s="777"/>
      <c r="FL15" s="777"/>
      <c r="FM15" s="777"/>
      <c r="FN15" s="777"/>
      <c r="FO15" s="777"/>
      <c r="FP15" s="777"/>
      <c r="FQ15" s="777"/>
      <c r="FR15" s="777"/>
      <c r="FS15" s="777"/>
      <c r="FT15" s="777"/>
      <c r="FU15" s="777"/>
      <c r="FV15" s="777"/>
      <c r="FW15" s="777"/>
      <c r="FX15" s="777"/>
      <c r="FY15" s="777"/>
      <c r="FZ15" s="777"/>
      <c r="GA15" s="777"/>
      <c r="GB15" s="777"/>
      <c r="GC15" s="777"/>
      <c r="GD15" s="777"/>
      <c r="GE15" s="777"/>
      <c r="GF15" s="777"/>
      <c r="GG15" s="777"/>
      <c r="GH15" s="777"/>
      <c r="GI15" s="777"/>
      <c r="GJ15" s="777"/>
      <c r="GK15" s="777"/>
      <c r="GL15" s="777"/>
      <c r="GM15" s="777"/>
      <c r="GN15" s="777"/>
      <c r="GO15" s="777"/>
      <c r="GP15" s="777"/>
      <c r="GQ15" s="777"/>
      <c r="GR15" s="777"/>
      <c r="GS15" s="777"/>
      <c r="GT15" s="777"/>
      <c r="GU15" s="777"/>
      <c r="GV15" s="777"/>
      <c r="GW15" s="777"/>
      <c r="GX15" s="777"/>
      <c r="GY15" s="777"/>
      <c r="GZ15" s="777"/>
      <c r="HA15" s="777"/>
      <c r="HB15" s="777"/>
      <c r="HC15" s="777"/>
      <c r="HD15" s="777"/>
      <c r="HE15" s="777"/>
      <c r="HF15" s="777"/>
      <c r="HG15" s="777"/>
      <c r="HH15" s="777"/>
      <c r="HI15" s="777"/>
      <c r="HJ15" s="777"/>
      <c r="HK15" s="777"/>
      <c r="HL15" s="777"/>
      <c r="HM15" s="777"/>
      <c r="HN15" s="777"/>
      <c r="HO15" s="777"/>
      <c r="HP15" s="777"/>
      <c r="HQ15" s="777"/>
      <c r="HR15" s="777"/>
      <c r="HS15" s="777"/>
      <c r="HT15" s="777"/>
      <c r="HU15" s="777"/>
      <c r="HV15" s="777"/>
      <c r="HW15" s="777"/>
      <c r="HX15" s="777"/>
      <c r="HY15" s="777"/>
      <c r="HZ15" s="777"/>
      <c r="IA15" s="777"/>
      <c r="IB15" s="777"/>
      <c r="IC15" s="777"/>
      <c r="ID15" s="777"/>
      <c r="IE15" s="777"/>
      <c r="IF15" s="777"/>
      <c r="IG15" s="777"/>
      <c r="IH15" s="777"/>
      <c r="II15" s="777"/>
      <c r="IJ15" s="777"/>
      <c r="IK15" s="777"/>
      <c r="IL15" s="777"/>
      <c r="IM15" s="777"/>
      <c r="IN15" s="777"/>
      <c r="IO15" s="777"/>
      <c r="IP15" s="777"/>
      <c r="IQ15" s="777"/>
      <c r="IR15" s="777"/>
      <c r="IS15" s="777"/>
      <c r="IT15" s="777"/>
      <c r="IU15" s="777"/>
      <c r="IV15" s="777"/>
      <c r="IW15" s="777"/>
      <c r="IX15" s="777"/>
      <c r="IY15" s="777"/>
      <c r="IZ15" s="777"/>
      <c r="JA15" s="777"/>
      <c r="JB15" s="777"/>
      <c r="JC15" s="777"/>
      <c r="JD15" s="777"/>
      <c r="JE15" s="777"/>
      <c r="JF15" s="777"/>
      <c r="JG15" s="777"/>
      <c r="JH15" s="777"/>
      <c r="JI15" s="777"/>
      <c r="JJ15" s="777"/>
      <c r="JK15" s="777"/>
      <c r="JL15" s="777"/>
      <c r="JM15" s="777"/>
      <c r="JN15" s="777"/>
      <c r="JO15" s="777"/>
      <c r="JP15" s="777"/>
      <c r="JQ15" s="777"/>
      <c r="JR15" s="777"/>
      <c r="JS15" s="777"/>
      <c r="JT15" s="777"/>
      <c r="JU15" s="777"/>
      <c r="JV15" s="777"/>
      <c r="JW15" s="777"/>
      <c r="JX15" s="777"/>
      <c r="JY15" s="777"/>
      <c r="JZ15" s="777"/>
      <c r="KA15" s="777"/>
      <c r="KB15" s="777"/>
      <c r="KC15" s="777"/>
      <c r="KD15" s="777"/>
      <c r="KE15" s="777"/>
      <c r="KF15" s="777"/>
      <c r="KG15" s="777"/>
      <c r="KH15" s="777"/>
      <c r="KI15" s="777"/>
      <c r="KJ15" s="777"/>
      <c r="KK15" s="777"/>
      <c r="KL15" s="777"/>
      <c r="KM15" s="777"/>
      <c r="KN15" s="777"/>
      <c r="KO15" s="777"/>
    </row>
    <row r="16" spans="2:301" s="249" customFormat="1" ht="15" hidden="1" customHeight="1" outlineLevel="1" x14ac:dyDescent="0.2">
      <c r="B16" s="250" t="s">
        <v>548</v>
      </c>
      <c r="C16" s="219">
        <v>0</v>
      </c>
      <c r="D16" s="219">
        <v>0</v>
      </c>
      <c r="E16" s="219">
        <v>0</v>
      </c>
      <c r="F16" s="219">
        <v>0</v>
      </c>
      <c r="G16" s="219">
        <v>0</v>
      </c>
      <c r="H16" s="219">
        <v>0</v>
      </c>
      <c r="I16" s="219">
        <v>0</v>
      </c>
      <c r="J16" s="219">
        <v>0</v>
      </c>
      <c r="K16" s="219">
        <v>0</v>
      </c>
      <c r="L16" s="219">
        <v>0</v>
      </c>
      <c r="M16" s="219">
        <v>0</v>
      </c>
      <c r="N16" s="219">
        <v>0</v>
      </c>
      <c r="O16" s="219">
        <v>0</v>
      </c>
      <c r="P16" s="219">
        <v>0</v>
      </c>
      <c r="Q16" s="219">
        <v>0</v>
      </c>
      <c r="R16" s="219">
        <v>0</v>
      </c>
      <c r="S16" s="219">
        <v>-2527</v>
      </c>
      <c r="T16" s="219">
        <v>0</v>
      </c>
      <c r="U16" s="219">
        <v>0</v>
      </c>
      <c r="V16" s="219">
        <v>0</v>
      </c>
      <c r="W16" s="219">
        <v>0</v>
      </c>
      <c r="X16" s="219">
        <v>0</v>
      </c>
      <c r="Y16" s="219">
        <v>0</v>
      </c>
      <c r="Z16" s="219">
        <v>0</v>
      </c>
      <c r="AA16" s="219">
        <v>0</v>
      </c>
      <c r="AB16" s="219">
        <v>0</v>
      </c>
      <c r="AC16" s="219">
        <v>0</v>
      </c>
      <c r="AD16" s="219">
        <v>0</v>
      </c>
      <c r="AE16" s="219">
        <v>0</v>
      </c>
      <c r="AF16" s="219">
        <v>0</v>
      </c>
      <c r="AG16" s="219">
        <v>0</v>
      </c>
      <c r="AH16" s="219">
        <v>0</v>
      </c>
      <c r="AI16" s="219">
        <v>0</v>
      </c>
      <c r="AJ16" s="219">
        <v>0</v>
      </c>
      <c r="AK16" s="219">
        <v>0</v>
      </c>
      <c r="AL16" s="219">
        <v>0</v>
      </c>
      <c r="AM16" s="219">
        <v>0</v>
      </c>
      <c r="AN16" s="219">
        <v>0</v>
      </c>
      <c r="AO16" s="219">
        <v>0</v>
      </c>
      <c r="AP16" s="219">
        <v>0</v>
      </c>
      <c r="AQ16" s="219">
        <v>0</v>
      </c>
      <c r="AR16" s="219"/>
      <c r="AS16" s="219"/>
      <c r="AT16" s="219">
        <v>0</v>
      </c>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777"/>
      <c r="CJ16" s="777"/>
      <c r="CK16" s="777"/>
      <c r="CL16" s="777"/>
      <c r="CM16" s="777"/>
      <c r="CN16" s="777"/>
      <c r="CO16" s="777"/>
      <c r="CP16" s="777"/>
      <c r="CQ16" s="777"/>
      <c r="CR16" s="777"/>
      <c r="CS16" s="777"/>
      <c r="CT16" s="777"/>
      <c r="CU16" s="777"/>
      <c r="CV16" s="777"/>
      <c r="CW16" s="777"/>
      <c r="CX16" s="777"/>
      <c r="CY16" s="777"/>
      <c r="CZ16" s="777"/>
      <c r="DA16" s="777"/>
      <c r="DB16" s="777"/>
      <c r="DC16" s="777"/>
      <c r="DD16" s="777"/>
      <c r="DE16" s="777"/>
      <c r="DF16" s="777"/>
      <c r="DG16" s="777"/>
      <c r="DH16" s="777"/>
      <c r="DI16" s="777"/>
      <c r="DJ16" s="777"/>
      <c r="DK16" s="777"/>
      <c r="DL16" s="777"/>
      <c r="DM16" s="777"/>
      <c r="DN16" s="777"/>
      <c r="DO16" s="777"/>
      <c r="DP16" s="777"/>
      <c r="DQ16" s="777"/>
      <c r="DR16" s="777"/>
      <c r="DS16" s="777"/>
      <c r="DT16" s="777"/>
      <c r="DU16" s="777"/>
      <c r="DV16" s="777"/>
      <c r="DW16" s="777"/>
      <c r="DX16" s="777"/>
      <c r="DY16" s="777"/>
      <c r="DZ16" s="777"/>
      <c r="EA16" s="777"/>
      <c r="EB16" s="777"/>
      <c r="EC16" s="777"/>
      <c r="ED16" s="777"/>
      <c r="EE16" s="777"/>
      <c r="EF16" s="777"/>
      <c r="EG16" s="777"/>
      <c r="EH16" s="777"/>
      <c r="EI16" s="777"/>
      <c r="EJ16" s="777"/>
      <c r="EK16" s="777"/>
      <c r="EL16" s="777"/>
      <c r="EM16" s="777"/>
      <c r="EN16" s="777"/>
      <c r="EO16" s="777"/>
      <c r="EP16" s="777"/>
      <c r="EQ16" s="777"/>
      <c r="ER16" s="777"/>
      <c r="ES16" s="777"/>
      <c r="ET16" s="777"/>
      <c r="EU16" s="777"/>
      <c r="EV16" s="777"/>
      <c r="EW16" s="777"/>
      <c r="EX16" s="777"/>
      <c r="EY16" s="777"/>
      <c r="EZ16" s="777"/>
      <c r="FA16" s="777"/>
      <c r="FB16" s="777"/>
      <c r="FC16" s="777"/>
      <c r="FD16" s="777"/>
      <c r="FE16" s="777"/>
      <c r="FF16" s="777"/>
      <c r="FG16" s="777"/>
      <c r="FH16" s="777"/>
      <c r="FI16" s="777"/>
      <c r="FJ16" s="777"/>
      <c r="FK16" s="777"/>
      <c r="FL16" s="777"/>
      <c r="FM16" s="777"/>
      <c r="FN16" s="777"/>
      <c r="FO16" s="777"/>
      <c r="FP16" s="777"/>
      <c r="FQ16" s="777"/>
      <c r="FR16" s="777"/>
      <c r="FS16" s="777"/>
      <c r="FT16" s="777"/>
      <c r="FU16" s="777"/>
      <c r="FV16" s="777"/>
      <c r="FW16" s="777"/>
      <c r="FX16" s="777"/>
      <c r="FY16" s="777"/>
      <c r="FZ16" s="777"/>
      <c r="GA16" s="777"/>
      <c r="GB16" s="777"/>
      <c r="GC16" s="777"/>
      <c r="GD16" s="777"/>
      <c r="GE16" s="777"/>
      <c r="GF16" s="777"/>
      <c r="GG16" s="777"/>
      <c r="GH16" s="777"/>
      <c r="GI16" s="777"/>
      <c r="GJ16" s="777"/>
      <c r="GK16" s="777"/>
      <c r="GL16" s="777"/>
      <c r="GM16" s="777"/>
      <c r="GN16" s="777"/>
      <c r="GO16" s="777"/>
      <c r="GP16" s="777"/>
      <c r="GQ16" s="777"/>
      <c r="GR16" s="777"/>
      <c r="GS16" s="777"/>
      <c r="GT16" s="777"/>
      <c r="GU16" s="777"/>
      <c r="GV16" s="777"/>
      <c r="GW16" s="777"/>
      <c r="GX16" s="777"/>
      <c r="GY16" s="777"/>
      <c r="GZ16" s="777"/>
      <c r="HA16" s="777"/>
      <c r="HB16" s="777"/>
      <c r="HC16" s="777"/>
      <c r="HD16" s="777"/>
      <c r="HE16" s="777"/>
      <c r="HF16" s="777"/>
      <c r="HG16" s="777"/>
      <c r="HH16" s="777"/>
      <c r="HI16" s="777"/>
      <c r="HJ16" s="777"/>
      <c r="HK16" s="777"/>
      <c r="HL16" s="777"/>
      <c r="HM16" s="777"/>
      <c r="HN16" s="777"/>
      <c r="HO16" s="777"/>
      <c r="HP16" s="777"/>
      <c r="HQ16" s="777"/>
      <c r="HR16" s="777"/>
      <c r="HS16" s="777"/>
      <c r="HT16" s="777"/>
      <c r="HU16" s="777"/>
      <c r="HV16" s="777"/>
      <c r="HW16" s="777"/>
      <c r="HX16" s="777"/>
      <c r="HY16" s="777"/>
      <c r="HZ16" s="777"/>
      <c r="IA16" s="777"/>
      <c r="IB16" s="777"/>
      <c r="IC16" s="777"/>
      <c r="ID16" s="777"/>
      <c r="IE16" s="777"/>
      <c r="IF16" s="777"/>
      <c r="IG16" s="777"/>
      <c r="IH16" s="777"/>
      <c r="II16" s="777"/>
      <c r="IJ16" s="777"/>
      <c r="IK16" s="777"/>
      <c r="IL16" s="777"/>
      <c r="IM16" s="777"/>
      <c r="IN16" s="777"/>
      <c r="IO16" s="777"/>
      <c r="IP16" s="777"/>
      <c r="IQ16" s="777"/>
      <c r="IR16" s="777"/>
      <c r="IS16" s="777"/>
      <c r="IT16" s="777"/>
      <c r="IU16" s="777"/>
      <c r="IV16" s="777"/>
      <c r="IW16" s="777"/>
      <c r="IX16" s="777"/>
      <c r="IY16" s="777"/>
      <c r="IZ16" s="777"/>
      <c r="JA16" s="777"/>
      <c r="JB16" s="777"/>
      <c r="JC16" s="777"/>
      <c r="JD16" s="777"/>
      <c r="JE16" s="777"/>
      <c r="JF16" s="777"/>
      <c r="JG16" s="777"/>
      <c r="JH16" s="777"/>
      <c r="JI16" s="777"/>
      <c r="JJ16" s="777"/>
      <c r="JK16" s="777"/>
      <c r="JL16" s="777"/>
      <c r="JM16" s="777"/>
      <c r="JN16" s="777"/>
      <c r="JO16" s="777"/>
      <c r="JP16" s="777"/>
      <c r="JQ16" s="777"/>
      <c r="JR16" s="777"/>
      <c r="JS16" s="777"/>
      <c r="JT16" s="777"/>
      <c r="JU16" s="777"/>
      <c r="JV16" s="777"/>
      <c r="JW16" s="777"/>
      <c r="JX16" s="777"/>
      <c r="JY16" s="777"/>
      <c r="JZ16" s="777"/>
      <c r="KA16" s="777"/>
      <c r="KB16" s="777"/>
      <c r="KC16" s="777"/>
      <c r="KD16" s="777"/>
      <c r="KE16" s="777"/>
      <c r="KF16" s="777"/>
      <c r="KG16" s="777"/>
      <c r="KH16" s="777"/>
      <c r="KI16" s="777"/>
      <c r="KJ16" s="777"/>
      <c r="KK16" s="777"/>
      <c r="KL16" s="777"/>
      <c r="KM16" s="777"/>
      <c r="KN16" s="777"/>
      <c r="KO16" s="777"/>
    </row>
    <row r="17" spans="2:301" s="249" customFormat="1" ht="15" hidden="1" customHeight="1" outlineLevel="1" x14ac:dyDescent="0.2">
      <c r="B17" s="250" t="s">
        <v>517</v>
      </c>
      <c r="C17" s="219">
        <v>0</v>
      </c>
      <c r="D17" s="219">
        <v>0</v>
      </c>
      <c r="E17" s="219">
        <v>0</v>
      </c>
      <c r="F17" s="219">
        <v>0</v>
      </c>
      <c r="G17" s="219">
        <v>0</v>
      </c>
      <c r="H17" s="219">
        <v>0</v>
      </c>
      <c r="I17" s="219">
        <v>0</v>
      </c>
      <c r="J17" s="219">
        <v>0</v>
      </c>
      <c r="K17" s="219">
        <v>0</v>
      </c>
      <c r="L17" s="219">
        <v>0</v>
      </c>
      <c r="M17" s="219">
        <v>0</v>
      </c>
      <c r="N17" s="219">
        <v>0</v>
      </c>
      <c r="O17" s="219">
        <v>0</v>
      </c>
      <c r="P17" s="219">
        <v>0</v>
      </c>
      <c r="Q17" s="219">
        <v>0</v>
      </c>
      <c r="R17" s="219">
        <v>0</v>
      </c>
      <c r="S17" s="219">
        <v>1842</v>
      </c>
      <c r="T17" s="219">
        <v>0</v>
      </c>
      <c r="U17" s="219">
        <v>0</v>
      </c>
      <c r="V17" s="219">
        <v>0</v>
      </c>
      <c r="W17" s="219">
        <v>0</v>
      </c>
      <c r="X17" s="219">
        <v>0</v>
      </c>
      <c r="Y17" s="219">
        <v>0</v>
      </c>
      <c r="Z17" s="219">
        <v>0</v>
      </c>
      <c r="AA17" s="219">
        <v>0</v>
      </c>
      <c r="AB17" s="219">
        <v>0</v>
      </c>
      <c r="AC17" s="219">
        <v>0</v>
      </c>
      <c r="AD17" s="219">
        <v>0</v>
      </c>
      <c r="AE17" s="219">
        <v>0</v>
      </c>
      <c r="AF17" s="219">
        <v>0</v>
      </c>
      <c r="AG17" s="219">
        <v>0</v>
      </c>
      <c r="AH17" s="219">
        <v>0</v>
      </c>
      <c r="AI17" s="219">
        <v>0</v>
      </c>
      <c r="AJ17" s="219">
        <v>0</v>
      </c>
      <c r="AK17" s="219">
        <v>0</v>
      </c>
      <c r="AL17" s="219">
        <v>0</v>
      </c>
      <c r="AM17" s="219">
        <v>0</v>
      </c>
      <c r="AN17" s="219">
        <v>0</v>
      </c>
      <c r="AO17" s="219">
        <v>0</v>
      </c>
      <c r="AP17" s="219">
        <v>0</v>
      </c>
      <c r="AQ17" s="219">
        <v>0</v>
      </c>
      <c r="AR17" s="219"/>
      <c r="AS17" s="219"/>
      <c r="AT17" s="219">
        <v>0</v>
      </c>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777"/>
      <c r="DK17" s="777"/>
      <c r="DL17" s="777"/>
      <c r="DM17" s="777"/>
      <c r="DN17" s="777"/>
      <c r="DO17" s="777"/>
      <c r="DP17" s="777"/>
      <c r="DQ17" s="777"/>
      <c r="DR17" s="777"/>
      <c r="DS17" s="777"/>
      <c r="DT17" s="777"/>
      <c r="DU17" s="777"/>
      <c r="DV17" s="777"/>
      <c r="DW17" s="777"/>
      <c r="DX17" s="777"/>
      <c r="DY17" s="777"/>
      <c r="DZ17" s="777"/>
      <c r="EA17" s="777"/>
      <c r="EB17" s="777"/>
      <c r="EC17" s="777"/>
      <c r="ED17" s="777"/>
      <c r="EE17" s="777"/>
      <c r="EF17" s="777"/>
      <c r="EG17" s="777"/>
      <c r="EH17" s="777"/>
      <c r="EI17" s="777"/>
      <c r="EJ17" s="777"/>
      <c r="EK17" s="777"/>
      <c r="EL17" s="777"/>
      <c r="EM17" s="777"/>
      <c r="EN17" s="777"/>
      <c r="EO17" s="777"/>
      <c r="EP17" s="777"/>
      <c r="EQ17" s="777"/>
      <c r="ER17" s="777"/>
      <c r="ES17" s="777"/>
      <c r="ET17" s="777"/>
      <c r="EU17" s="777"/>
      <c r="EV17" s="777"/>
      <c r="EW17" s="777"/>
      <c r="EX17" s="777"/>
      <c r="EY17" s="777"/>
      <c r="EZ17" s="777"/>
      <c r="FA17" s="777"/>
      <c r="FB17" s="777"/>
      <c r="FC17" s="777"/>
      <c r="FD17" s="777"/>
      <c r="FE17" s="777"/>
      <c r="FF17" s="777"/>
      <c r="FG17" s="777"/>
      <c r="FH17" s="777"/>
      <c r="FI17" s="777"/>
      <c r="FJ17" s="777"/>
      <c r="FK17" s="777"/>
      <c r="FL17" s="777"/>
      <c r="FM17" s="777"/>
      <c r="FN17" s="777"/>
      <c r="FO17" s="777"/>
      <c r="FP17" s="777"/>
      <c r="FQ17" s="777"/>
      <c r="FR17" s="777"/>
      <c r="FS17" s="777"/>
      <c r="FT17" s="777"/>
      <c r="FU17" s="777"/>
      <c r="FV17" s="777"/>
      <c r="FW17" s="777"/>
      <c r="FX17" s="777"/>
      <c r="FY17" s="777"/>
      <c r="FZ17" s="777"/>
      <c r="GA17" s="777"/>
      <c r="GB17" s="777"/>
      <c r="GC17" s="777"/>
      <c r="GD17" s="777"/>
      <c r="GE17" s="777"/>
      <c r="GF17" s="777"/>
      <c r="GG17" s="777"/>
      <c r="GH17" s="777"/>
      <c r="GI17" s="777"/>
      <c r="GJ17" s="777"/>
      <c r="GK17" s="777"/>
      <c r="GL17" s="777"/>
      <c r="GM17" s="777"/>
      <c r="GN17" s="777"/>
      <c r="GO17" s="777"/>
      <c r="GP17" s="777"/>
      <c r="GQ17" s="777"/>
      <c r="GR17" s="777"/>
      <c r="GS17" s="777"/>
      <c r="GT17" s="777"/>
      <c r="GU17" s="777"/>
      <c r="GV17" s="777"/>
      <c r="GW17" s="777"/>
      <c r="GX17" s="777"/>
      <c r="GY17" s="777"/>
      <c r="GZ17" s="777"/>
      <c r="HA17" s="777"/>
      <c r="HB17" s="777"/>
      <c r="HC17" s="777"/>
      <c r="HD17" s="777"/>
      <c r="HE17" s="777"/>
      <c r="HF17" s="777"/>
      <c r="HG17" s="777"/>
      <c r="HH17" s="777"/>
      <c r="HI17" s="777"/>
      <c r="HJ17" s="777"/>
      <c r="HK17" s="777"/>
      <c r="HL17" s="777"/>
      <c r="HM17" s="777"/>
      <c r="HN17" s="777"/>
      <c r="HO17" s="777"/>
      <c r="HP17" s="777"/>
      <c r="HQ17" s="777"/>
      <c r="HR17" s="777"/>
      <c r="HS17" s="777"/>
      <c r="HT17" s="777"/>
      <c r="HU17" s="777"/>
      <c r="HV17" s="777"/>
      <c r="HW17" s="777"/>
      <c r="HX17" s="777"/>
      <c r="HY17" s="777"/>
      <c r="HZ17" s="777"/>
      <c r="IA17" s="777"/>
      <c r="IB17" s="777"/>
      <c r="IC17" s="777"/>
      <c r="ID17" s="777"/>
      <c r="IE17" s="777"/>
      <c r="IF17" s="777"/>
      <c r="IG17" s="777"/>
      <c r="IH17" s="777"/>
      <c r="II17" s="777"/>
      <c r="IJ17" s="777"/>
      <c r="IK17" s="777"/>
      <c r="IL17" s="777"/>
      <c r="IM17" s="777"/>
      <c r="IN17" s="777"/>
      <c r="IO17" s="777"/>
      <c r="IP17" s="777"/>
      <c r="IQ17" s="777"/>
      <c r="IR17" s="777"/>
      <c r="IS17" s="777"/>
      <c r="IT17" s="777"/>
      <c r="IU17" s="777"/>
      <c r="IV17" s="777"/>
      <c r="IW17" s="777"/>
      <c r="IX17" s="777"/>
      <c r="IY17" s="777"/>
      <c r="IZ17" s="777"/>
      <c r="JA17" s="777"/>
      <c r="JB17" s="777"/>
      <c r="JC17" s="777"/>
      <c r="JD17" s="777"/>
      <c r="JE17" s="777"/>
      <c r="JF17" s="777"/>
      <c r="JG17" s="777"/>
      <c r="JH17" s="777"/>
      <c r="JI17" s="777"/>
      <c r="JJ17" s="777"/>
      <c r="JK17" s="777"/>
      <c r="JL17" s="777"/>
      <c r="JM17" s="777"/>
      <c r="JN17" s="777"/>
      <c r="JO17" s="777"/>
      <c r="JP17" s="777"/>
      <c r="JQ17" s="777"/>
      <c r="JR17" s="777"/>
      <c r="JS17" s="777"/>
      <c r="JT17" s="777"/>
      <c r="JU17" s="777"/>
      <c r="JV17" s="777"/>
      <c r="JW17" s="777"/>
      <c r="JX17" s="777"/>
      <c r="JY17" s="777"/>
      <c r="JZ17" s="777"/>
      <c r="KA17" s="777"/>
      <c r="KB17" s="777"/>
      <c r="KC17" s="777"/>
      <c r="KD17" s="777"/>
      <c r="KE17" s="777"/>
      <c r="KF17" s="777"/>
      <c r="KG17" s="777"/>
      <c r="KH17" s="777"/>
      <c r="KI17" s="777"/>
      <c r="KJ17" s="777"/>
      <c r="KK17" s="777"/>
      <c r="KL17" s="777"/>
      <c r="KM17" s="777"/>
      <c r="KN17" s="777"/>
      <c r="KO17" s="777"/>
    </row>
    <row r="18" spans="2:301" s="249" customFormat="1" ht="15" hidden="1" customHeight="1" outlineLevel="1" x14ac:dyDescent="0.2">
      <c r="B18" s="250" t="s">
        <v>550</v>
      </c>
      <c r="C18" s="219">
        <v>0</v>
      </c>
      <c r="D18" s="219">
        <v>0</v>
      </c>
      <c r="E18" s="219">
        <v>0</v>
      </c>
      <c r="F18" s="219">
        <v>0</v>
      </c>
      <c r="G18" s="219">
        <v>0</v>
      </c>
      <c r="H18" s="219">
        <v>0</v>
      </c>
      <c r="I18" s="219">
        <v>0</v>
      </c>
      <c r="J18" s="219">
        <v>0</v>
      </c>
      <c r="K18" s="219">
        <v>0</v>
      </c>
      <c r="L18" s="219">
        <v>0</v>
      </c>
      <c r="M18" s="219">
        <v>0</v>
      </c>
      <c r="N18" s="219">
        <v>0</v>
      </c>
      <c r="O18" s="219">
        <v>0</v>
      </c>
      <c r="P18" s="219">
        <v>-1365</v>
      </c>
      <c r="Q18" s="219">
        <v>0</v>
      </c>
      <c r="R18" s="219">
        <v>0</v>
      </c>
      <c r="S18" s="219">
        <v>0</v>
      </c>
      <c r="T18" s="219">
        <v>0</v>
      </c>
      <c r="U18" s="219">
        <v>0</v>
      </c>
      <c r="V18" s="219">
        <v>0</v>
      </c>
      <c r="W18" s="219">
        <v>0</v>
      </c>
      <c r="X18" s="219">
        <v>0</v>
      </c>
      <c r="Y18" s="219">
        <v>0</v>
      </c>
      <c r="Z18" s="219">
        <v>0</v>
      </c>
      <c r="AA18" s="219">
        <v>0</v>
      </c>
      <c r="AB18" s="219">
        <v>0</v>
      </c>
      <c r="AC18" s="219">
        <v>0</v>
      </c>
      <c r="AD18" s="219">
        <v>0</v>
      </c>
      <c r="AE18" s="219">
        <v>0</v>
      </c>
      <c r="AF18" s="219">
        <v>0</v>
      </c>
      <c r="AG18" s="219">
        <v>0</v>
      </c>
      <c r="AH18" s="219">
        <v>0</v>
      </c>
      <c r="AI18" s="219">
        <v>0</v>
      </c>
      <c r="AJ18" s="219">
        <v>0</v>
      </c>
      <c r="AK18" s="219">
        <v>0</v>
      </c>
      <c r="AL18" s="219">
        <v>0</v>
      </c>
      <c r="AM18" s="219">
        <v>0</v>
      </c>
      <c r="AN18" s="219">
        <v>0</v>
      </c>
      <c r="AO18" s="219">
        <v>0</v>
      </c>
      <c r="AP18" s="219">
        <v>0</v>
      </c>
      <c r="AQ18" s="219">
        <v>0</v>
      </c>
      <c r="AR18" s="219"/>
      <c r="AS18" s="219"/>
      <c r="AT18" s="219">
        <v>0</v>
      </c>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777"/>
      <c r="CI18" s="777"/>
      <c r="CJ18" s="777"/>
      <c r="CK18" s="777"/>
      <c r="CL18" s="777"/>
      <c r="CM18" s="777"/>
      <c r="CN18" s="777"/>
      <c r="CO18" s="777"/>
      <c r="CP18" s="777"/>
      <c r="CQ18" s="777"/>
      <c r="CR18" s="777"/>
      <c r="CS18" s="777"/>
      <c r="CT18" s="777"/>
      <c r="CU18" s="777"/>
      <c r="CV18" s="777"/>
      <c r="CW18" s="777"/>
      <c r="CX18" s="777"/>
      <c r="CY18" s="777"/>
      <c r="CZ18" s="777"/>
      <c r="DA18" s="777"/>
      <c r="DB18" s="777"/>
      <c r="DC18" s="777"/>
      <c r="DD18" s="777"/>
      <c r="DE18" s="777"/>
      <c r="DF18" s="777"/>
      <c r="DG18" s="777"/>
      <c r="DH18" s="777"/>
      <c r="DI18" s="777"/>
      <c r="DJ18" s="777"/>
      <c r="DK18" s="777"/>
      <c r="DL18" s="777"/>
      <c r="DM18" s="777"/>
      <c r="DN18" s="777"/>
      <c r="DO18" s="777"/>
      <c r="DP18" s="777"/>
      <c r="DQ18" s="777"/>
      <c r="DR18" s="777"/>
      <c r="DS18" s="777"/>
      <c r="DT18" s="777"/>
      <c r="DU18" s="777"/>
      <c r="DV18" s="777"/>
      <c r="DW18" s="777"/>
      <c r="DX18" s="777"/>
      <c r="DY18" s="777"/>
      <c r="DZ18" s="777"/>
      <c r="EA18" s="777"/>
      <c r="EB18" s="777"/>
      <c r="EC18" s="777"/>
      <c r="ED18" s="777"/>
      <c r="EE18" s="777"/>
      <c r="EF18" s="777"/>
      <c r="EG18" s="777"/>
      <c r="EH18" s="777"/>
      <c r="EI18" s="777"/>
      <c r="EJ18" s="777"/>
      <c r="EK18" s="777"/>
      <c r="EL18" s="777"/>
      <c r="EM18" s="777"/>
      <c r="EN18" s="777"/>
      <c r="EO18" s="777"/>
      <c r="EP18" s="777"/>
      <c r="EQ18" s="777"/>
      <c r="ER18" s="777"/>
      <c r="ES18" s="777"/>
      <c r="ET18" s="777"/>
      <c r="EU18" s="777"/>
      <c r="EV18" s="777"/>
      <c r="EW18" s="777"/>
      <c r="EX18" s="777"/>
      <c r="EY18" s="777"/>
      <c r="EZ18" s="777"/>
      <c r="FA18" s="777"/>
      <c r="FB18" s="777"/>
      <c r="FC18" s="777"/>
      <c r="FD18" s="777"/>
      <c r="FE18" s="777"/>
      <c r="FF18" s="777"/>
      <c r="FG18" s="777"/>
      <c r="FH18" s="777"/>
      <c r="FI18" s="777"/>
      <c r="FJ18" s="777"/>
      <c r="FK18" s="777"/>
      <c r="FL18" s="777"/>
      <c r="FM18" s="777"/>
      <c r="FN18" s="777"/>
      <c r="FO18" s="777"/>
      <c r="FP18" s="777"/>
      <c r="FQ18" s="777"/>
      <c r="FR18" s="777"/>
      <c r="FS18" s="777"/>
      <c r="FT18" s="777"/>
      <c r="FU18" s="777"/>
      <c r="FV18" s="777"/>
      <c r="FW18" s="777"/>
      <c r="FX18" s="777"/>
      <c r="FY18" s="777"/>
      <c r="FZ18" s="777"/>
      <c r="GA18" s="777"/>
      <c r="GB18" s="777"/>
      <c r="GC18" s="777"/>
      <c r="GD18" s="777"/>
      <c r="GE18" s="777"/>
      <c r="GF18" s="777"/>
      <c r="GG18" s="777"/>
      <c r="GH18" s="777"/>
      <c r="GI18" s="777"/>
      <c r="GJ18" s="777"/>
      <c r="GK18" s="777"/>
      <c r="GL18" s="777"/>
      <c r="GM18" s="777"/>
      <c r="GN18" s="777"/>
      <c r="GO18" s="777"/>
      <c r="GP18" s="777"/>
      <c r="GQ18" s="777"/>
      <c r="GR18" s="777"/>
      <c r="GS18" s="777"/>
      <c r="GT18" s="777"/>
      <c r="GU18" s="777"/>
      <c r="GV18" s="777"/>
      <c r="GW18" s="777"/>
      <c r="GX18" s="777"/>
      <c r="GY18" s="777"/>
      <c r="GZ18" s="777"/>
      <c r="HA18" s="777"/>
      <c r="HB18" s="777"/>
      <c r="HC18" s="777"/>
      <c r="HD18" s="777"/>
      <c r="HE18" s="777"/>
      <c r="HF18" s="777"/>
      <c r="HG18" s="777"/>
      <c r="HH18" s="777"/>
      <c r="HI18" s="777"/>
      <c r="HJ18" s="777"/>
      <c r="HK18" s="777"/>
      <c r="HL18" s="777"/>
      <c r="HM18" s="777"/>
      <c r="HN18" s="777"/>
      <c r="HO18" s="777"/>
      <c r="HP18" s="777"/>
      <c r="HQ18" s="777"/>
      <c r="HR18" s="777"/>
      <c r="HS18" s="777"/>
      <c r="HT18" s="777"/>
      <c r="HU18" s="777"/>
      <c r="HV18" s="777"/>
      <c r="HW18" s="777"/>
      <c r="HX18" s="777"/>
      <c r="HY18" s="777"/>
      <c r="HZ18" s="777"/>
      <c r="IA18" s="777"/>
      <c r="IB18" s="777"/>
      <c r="IC18" s="777"/>
      <c r="ID18" s="777"/>
      <c r="IE18" s="777"/>
      <c r="IF18" s="777"/>
      <c r="IG18" s="777"/>
      <c r="IH18" s="777"/>
      <c r="II18" s="777"/>
      <c r="IJ18" s="777"/>
      <c r="IK18" s="777"/>
      <c r="IL18" s="777"/>
      <c r="IM18" s="777"/>
      <c r="IN18" s="777"/>
      <c r="IO18" s="777"/>
      <c r="IP18" s="777"/>
      <c r="IQ18" s="777"/>
      <c r="IR18" s="777"/>
      <c r="IS18" s="777"/>
      <c r="IT18" s="777"/>
      <c r="IU18" s="777"/>
      <c r="IV18" s="777"/>
      <c r="IW18" s="777"/>
      <c r="IX18" s="777"/>
      <c r="IY18" s="777"/>
      <c r="IZ18" s="777"/>
      <c r="JA18" s="777"/>
      <c r="JB18" s="777"/>
      <c r="JC18" s="777"/>
      <c r="JD18" s="777"/>
      <c r="JE18" s="777"/>
      <c r="JF18" s="777"/>
      <c r="JG18" s="777"/>
      <c r="JH18" s="777"/>
      <c r="JI18" s="777"/>
      <c r="JJ18" s="777"/>
      <c r="JK18" s="777"/>
      <c r="JL18" s="777"/>
      <c r="JM18" s="777"/>
      <c r="JN18" s="777"/>
      <c r="JO18" s="777"/>
      <c r="JP18" s="777"/>
      <c r="JQ18" s="777"/>
      <c r="JR18" s="777"/>
      <c r="JS18" s="777"/>
      <c r="JT18" s="777"/>
      <c r="JU18" s="777"/>
      <c r="JV18" s="777"/>
      <c r="JW18" s="777"/>
      <c r="JX18" s="777"/>
      <c r="JY18" s="777"/>
      <c r="JZ18" s="777"/>
      <c r="KA18" s="777"/>
      <c r="KB18" s="777"/>
      <c r="KC18" s="777"/>
      <c r="KD18" s="777"/>
      <c r="KE18" s="777"/>
      <c r="KF18" s="777"/>
      <c r="KG18" s="777"/>
      <c r="KH18" s="777"/>
      <c r="KI18" s="777"/>
      <c r="KJ18" s="777"/>
      <c r="KK18" s="777"/>
      <c r="KL18" s="777"/>
      <c r="KM18" s="777"/>
      <c r="KN18" s="777"/>
      <c r="KO18" s="777"/>
    </row>
    <row r="19" spans="2:301" collapsed="1" x14ac:dyDescent="0.2">
      <c r="B19" s="127" t="s">
        <v>551</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T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row>
    <row r="20" spans="2:301" x14ac:dyDescent="0.2">
      <c r="B20"/>
      <c r="C20" s="662"/>
      <c r="D20" s="662"/>
      <c r="E20" s="662"/>
      <c r="F20" s="662"/>
      <c r="G20" s="662"/>
      <c r="H20" s="662"/>
      <c r="I20" s="662"/>
      <c r="J20" s="662"/>
      <c r="K20" s="662"/>
      <c r="L20" s="662"/>
      <c r="M20" s="662"/>
      <c r="N20" s="662"/>
      <c r="O20" s="662"/>
      <c r="P20" s="662"/>
      <c r="Q20" s="662"/>
      <c r="R20" s="662"/>
      <c r="S20" s="209"/>
      <c r="T20" s="209"/>
      <c r="U20" s="209"/>
      <c r="V20" s="170"/>
      <c r="W20" s="170"/>
      <c r="X20" s="170"/>
      <c r="Y20" s="170"/>
      <c r="Z20" s="170"/>
      <c r="AA20" s="170"/>
      <c r="AB20" s="170"/>
      <c r="AC20" s="170"/>
      <c r="AD20" s="170"/>
      <c r="AE20" s="170"/>
      <c r="AF20" s="170"/>
      <c r="AG20" s="170"/>
      <c r="AH20" s="170"/>
      <c r="AI20" s="170"/>
      <c r="AJ20" s="170"/>
      <c r="AK20" s="170"/>
      <c r="AL20" s="170"/>
      <c r="AM20" s="170"/>
      <c r="AN20" s="170"/>
      <c r="AO20" s="170"/>
      <c r="AP20" s="170"/>
      <c r="AQ20" s="1211"/>
      <c r="AR20" s="170"/>
      <c r="AS20" s="170"/>
      <c r="AT20" s="170"/>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row>
    <row r="21" spans="2:301" x14ac:dyDescent="0.2">
      <c r="B21" s="115" t="s">
        <v>397</v>
      </c>
      <c r="C21" s="115" t="str">
        <f t="shared" ref="C21:AL21" si="3">C5</f>
        <v>1Q14</v>
      </c>
      <c r="D21" s="115" t="str">
        <f t="shared" si="3"/>
        <v>2Q14</v>
      </c>
      <c r="E21" s="115" t="str">
        <f t="shared" si="3"/>
        <v>3Q14</v>
      </c>
      <c r="F21" s="115" t="str">
        <f t="shared" si="3"/>
        <v>4Q14</v>
      </c>
      <c r="G21" s="115" t="str">
        <f t="shared" si="3"/>
        <v>1Q15</v>
      </c>
      <c r="H21" s="115" t="str">
        <f t="shared" si="3"/>
        <v>2Q15</v>
      </c>
      <c r="I21" s="115" t="str">
        <f t="shared" si="3"/>
        <v>3Q15</v>
      </c>
      <c r="J21" s="115" t="str">
        <f t="shared" si="3"/>
        <v>4Q15</v>
      </c>
      <c r="K21" s="115" t="str">
        <f t="shared" si="3"/>
        <v>1Q16</v>
      </c>
      <c r="L21" s="115" t="str">
        <f t="shared" si="3"/>
        <v>2Q16</v>
      </c>
      <c r="M21" s="115" t="str">
        <f t="shared" si="3"/>
        <v>3Q16</v>
      </c>
      <c r="N21" s="115" t="str">
        <f t="shared" si="3"/>
        <v>4Q16</v>
      </c>
      <c r="O21" s="115" t="str">
        <f t="shared" si="3"/>
        <v>1Q17</v>
      </c>
      <c r="P21" s="115" t="str">
        <f t="shared" si="3"/>
        <v>2Q17</v>
      </c>
      <c r="Q21" s="115" t="str">
        <f t="shared" si="3"/>
        <v>3Q17</v>
      </c>
      <c r="R21" s="115" t="str">
        <f t="shared" si="3"/>
        <v>4Q17</v>
      </c>
      <c r="S21" s="115" t="str">
        <f t="shared" si="3"/>
        <v>1Q18</v>
      </c>
      <c r="T21" s="115" t="str">
        <f t="shared" si="3"/>
        <v>2Q18</v>
      </c>
      <c r="U21" s="115" t="str">
        <f t="shared" si="3"/>
        <v>3Q18</v>
      </c>
      <c r="V21" s="115" t="str">
        <f t="shared" si="3"/>
        <v>4Q18</v>
      </c>
      <c r="W21" s="115" t="str">
        <f t="shared" si="3"/>
        <v>1Q19</v>
      </c>
      <c r="X21" s="115" t="str">
        <f t="shared" si="3"/>
        <v>2Q19</v>
      </c>
      <c r="Y21" s="115" t="str">
        <f t="shared" si="3"/>
        <v>3Q19</v>
      </c>
      <c r="Z21" s="115" t="str">
        <f t="shared" si="3"/>
        <v>4Q19</v>
      </c>
      <c r="AA21" s="115" t="str">
        <f t="shared" si="3"/>
        <v>1Q20</v>
      </c>
      <c r="AB21" s="115" t="str">
        <f t="shared" si="3"/>
        <v>2Q20</v>
      </c>
      <c r="AC21" s="115" t="str">
        <f t="shared" si="3"/>
        <v>3Q20</v>
      </c>
      <c r="AD21" s="115" t="str">
        <f t="shared" si="3"/>
        <v>4Q20</v>
      </c>
      <c r="AE21" s="115" t="str">
        <f t="shared" si="3"/>
        <v>1Q21</v>
      </c>
      <c r="AF21" s="115" t="str">
        <f t="shared" si="3"/>
        <v>2Q21</v>
      </c>
      <c r="AG21" s="115" t="str">
        <f t="shared" si="3"/>
        <v>3Q21</v>
      </c>
      <c r="AH21" s="115" t="str">
        <f t="shared" si="3"/>
        <v>4Q21</v>
      </c>
      <c r="AI21" s="115" t="str">
        <f t="shared" si="3"/>
        <v>1Q22</v>
      </c>
      <c r="AJ21" s="115" t="str">
        <f t="shared" si="3"/>
        <v>2Q22</v>
      </c>
      <c r="AK21" s="115" t="str">
        <f t="shared" si="3"/>
        <v>3Q22</v>
      </c>
      <c r="AL21" s="115" t="str">
        <f t="shared" si="3"/>
        <v>4Q22</v>
      </c>
      <c r="AM21" s="115" t="str">
        <f t="shared" ref="AM21:AT21" si="4">AM5</f>
        <v>1Q23</v>
      </c>
      <c r="AN21" s="115" t="str">
        <f t="shared" si="4"/>
        <v>2Q23</v>
      </c>
      <c r="AO21" s="115" t="str">
        <f t="shared" si="4"/>
        <v>3Q23</v>
      </c>
      <c r="AP21" s="115" t="str">
        <f t="shared" si="4"/>
        <v>4Q23</v>
      </c>
      <c r="AQ21" s="115" t="str">
        <f t="shared" si="4"/>
        <v>1Q24</v>
      </c>
      <c r="AR21" s="115" t="str">
        <f t="shared" ref="AR21" si="5">AR5</f>
        <v>2Q24</v>
      </c>
      <c r="AS21" s="115" t="str">
        <f t="shared" si="4"/>
        <v>3Q24</v>
      </c>
      <c r="AT21" s="115" t="str">
        <f t="shared" si="4"/>
        <v>4Q24</v>
      </c>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row>
    <row r="22" spans="2:301" x14ac:dyDescent="0.2">
      <c r="B22" s="130" t="s">
        <v>545</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row>
    <row r="23" spans="2:301" x14ac:dyDescent="0.2">
      <c r="B23" s="130" t="s">
        <v>546</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row>
    <row r="24" spans="2:301" x14ac:dyDescent="0.2">
      <c r="B24" s="130" t="s">
        <v>547</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row>
    <row r="25" spans="2:301" ht="15" customHeight="1" x14ac:dyDescent="0.2">
      <c r="B25" s="130" t="s">
        <v>549</v>
      </c>
      <c r="C25" s="118">
        <v>0</v>
      </c>
      <c r="D25" s="118">
        <v>0</v>
      </c>
      <c r="E25" s="118">
        <v>0</v>
      </c>
      <c r="F25" s="118">
        <v>0</v>
      </c>
      <c r="G25" s="118">
        <v>-263</v>
      </c>
      <c r="H25" s="118">
        <v>403</v>
      </c>
      <c r="I25" s="118">
        <v>-181</v>
      </c>
      <c r="J25" s="118">
        <v>-4616</v>
      </c>
      <c r="K25" s="118">
        <v>-596</v>
      </c>
      <c r="L25" s="118">
        <v>-987</v>
      </c>
      <c r="M25" s="118">
        <v>-283</v>
      </c>
      <c r="N25" s="118">
        <v>-352</v>
      </c>
      <c r="O25" s="118">
        <v>-1455</v>
      </c>
      <c r="P25" s="262">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2">
        <v>-6904</v>
      </c>
      <c r="AL25" s="118">
        <v>-227</v>
      </c>
      <c r="AM25" s="118">
        <v>-443</v>
      </c>
      <c r="AN25" s="118">
        <v>-559</v>
      </c>
      <c r="AO25" s="118">
        <v>-322</v>
      </c>
      <c r="AP25" s="118">
        <v>-459</v>
      </c>
      <c r="AQ25" s="118">
        <v>-660</v>
      </c>
      <c r="AR25" s="118">
        <v>-431</v>
      </c>
      <c r="AS25" s="118">
        <v>144</v>
      </c>
      <c r="AT25" s="118">
        <v>-236</v>
      </c>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row>
    <row r="26" spans="2:301" x14ac:dyDescent="0.2">
      <c r="B26" s="130" t="s">
        <v>747</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2">
        <v>56475</v>
      </c>
      <c r="Z26" s="322">
        <v>0</v>
      </c>
      <c r="AA26" s="322">
        <v>0</v>
      </c>
      <c r="AB26" s="322">
        <v>0</v>
      </c>
      <c r="AC26" s="322">
        <v>0</v>
      </c>
      <c r="AD26" s="322">
        <v>0</v>
      </c>
      <c r="AE26" s="322">
        <v>0</v>
      </c>
      <c r="AF26" s="322">
        <v>0</v>
      </c>
      <c r="AG26" s="322">
        <v>0</v>
      </c>
      <c r="AH26" s="322">
        <v>0</v>
      </c>
      <c r="AI26" s="322">
        <v>0</v>
      </c>
      <c r="AJ26" s="322">
        <v>0</v>
      </c>
      <c r="AK26" s="322">
        <v>0</v>
      </c>
      <c r="AL26" s="322">
        <v>0</v>
      </c>
      <c r="AM26" s="322">
        <v>0</v>
      </c>
      <c r="AN26" s="322">
        <v>0</v>
      </c>
      <c r="AO26" s="322">
        <v>0</v>
      </c>
      <c r="AP26" s="322">
        <v>0</v>
      </c>
      <c r="AQ26" s="322">
        <v>0</v>
      </c>
      <c r="AR26" s="322">
        <v>0</v>
      </c>
      <c r="AS26" s="322">
        <v>0</v>
      </c>
      <c r="AT26" s="322">
        <v>0</v>
      </c>
    </row>
    <row r="27" spans="2:301" ht="15" customHeight="1" x14ac:dyDescent="0.2">
      <c r="B27" s="130" t="s">
        <v>958</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row>
    <row r="28" spans="2:301" x14ac:dyDescent="0.2">
      <c r="B28" s="130" t="s">
        <v>1185</v>
      </c>
      <c r="C28" s="118" t="s">
        <v>47</v>
      </c>
      <c r="D28" s="118" t="s">
        <v>47</v>
      </c>
      <c r="E28" s="118" t="s">
        <v>47</v>
      </c>
      <c r="F28" s="118" t="s">
        <v>47</v>
      </c>
      <c r="G28" s="118" t="s">
        <v>47</v>
      </c>
      <c r="H28" s="118" t="s">
        <v>47</v>
      </c>
      <c r="I28" s="118" t="s">
        <v>47</v>
      </c>
      <c r="J28" s="118" t="s">
        <v>47</v>
      </c>
      <c r="K28" s="118" t="s">
        <v>47</v>
      </c>
      <c r="L28" s="118" t="s">
        <v>47</v>
      </c>
      <c r="M28" s="118" t="s">
        <v>47</v>
      </c>
      <c r="N28" s="118" t="s">
        <v>47</v>
      </c>
      <c r="O28" s="118" t="s">
        <v>47</v>
      </c>
      <c r="P28" s="118" t="s">
        <v>47</v>
      </c>
      <c r="Q28" s="118" t="s">
        <v>47</v>
      </c>
      <c r="R28" s="118" t="s">
        <v>47</v>
      </c>
      <c r="S28" s="118" t="s">
        <v>47</v>
      </c>
      <c r="T28" s="118" t="s">
        <v>47</v>
      </c>
      <c r="U28" s="118" t="s">
        <v>47</v>
      </c>
      <c r="V28" s="118" t="s">
        <v>47</v>
      </c>
      <c r="W28" s="118" t="s">
        <v>47</v>
      </c>
      <c r="X28" s="118" t="s">
        <v>47</v>
      </c>
      <c r="Y28" s="118" t="s">
        <v>47</v>
      </c>
      <c r="Z28" s="118" t="s">
        <v>47</v>
      </c>
      <c r="AA28" s="118" t="s">
        <v>47</v>
      </c>
      <c r="AB28" s="118" t="s">
        <v>47</v>
      </c>
      <c r="AC28" s="118" t="s">
        <v>47</v>
      </c>
      <c r="AD28" s="118" t="s">
        <v>47</v>
      </c>
      <c r="AE28" s="118" t="s">
        <v>47</v>
      </c>
      <c r="AF28" s="118" t="s">
        <v>47</v>
      </c>
      <c r="AG28" s="118" t="s">
        <v>47</v>
      </c>
      <c r="AH28" s="118">
        <v>0</v>
      </c>
      <c r="AI28" s="118">
        <v>0</v>
      </c>
      <c r="AJ28" s="118">
        <v>0</v>
      </c>
      <c r="AK28" s="118">
        <v>0</v>
      </c>
      <c r="AL28" s="118">
        <v>0</v>
      </c>
      <c r="AM28" s="118">
        <v>0</v>
      </c>
      <c r="AN28" s="118">
        <v>0</v>
      </c>
      <c r="AO28" s="118">
        <v>0</v>
      </c>
      <c r="AP28" s="118">
        <v>0</v>
      </c>
      <c r="AQ28" s="118">
        <v>0</v>
      </c>
      <c r="AR28" s="118">
        <v>0</v>
      </c>
      <c r="AS28" s="118">
        <v>0</v>
      </c>
      <c r="AT28" s="118">
        <v>0</v>
      </c>
    </row>
    <row r="29" spans="2:301" x14ac:dyDescent="0.2">
      <c r="B29" s="130" t="s">
        <v>224</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2">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row>
    <row r="30" spans="2:301" s="249" customFormat="1" hidden="1" outlineLevel="1" x14ac:dyDescent="0.2">
      <c r="B30" s="250" t="s">
        <v>517</v>
      </c>
      <c r="C30" s="219">
        <v>0</v>
      </c>
      <c r="D30" s="219">
        <v>0</v>
      </c>
      <c r="E30" s="219">
        <v>0</v>
      </c>
      <c r="F30" s="219">
        <v>0</v>
      </c>
      <c r="G30" s="219">
        <v>0</v>
      </c>
      <c r="H30" s="219">
        <v>0</v>
      </c>
      <c r="I30" s="219">
        <v>0</v>
      </c>
      <c r="J30" s="219">
        <v>0</v>
      </c>
      <c r="K30" s="219">
        <v>0</v>
      </c>
      <c r="L30" s="219">
        <v>0</v>
      </c>
      <c r="M30" s="219">
        <v>0</v>
      </c>
      <c r="N30" s="219">
        <v>0</v>
      </c>
      <c r="O30" s="219">
        <v>0</v>
      </c>
      <c r="P30" s="219">
        <v>-223</v>
      </c>
      <c r="Q30" s="219">
        <v>0</v>
      </c>
      <c r="R30" s="219">
        <v>0</v>
      </c>
      <c r="S30" s="219">
        <v>0</v>
      </c>
      <c r="T30" s="219">
        <v>0</v>
      </c>
      <c r="U30" s="219">
        <v>0</v>
      </c>
      <c r="V30" s="219">
        <v>0</v>
      </c>
      <c r="W30" s="219">
        <v>0</v>
      </c>
      <c r="X30" s="219">
        <v>0</v>
      </c>
      <c r="Y30" s="219">
        <v>0</v>
      </c>
      <c r="Z30" s="219">
        <v>0</v>
      </c>
      <c r="AA30" s="219">
        <v>0</v>
      </c>
      <c r="AB30" s="219">
        <v>0</v>
      </c>
      <c r="AC30" s="219">
        <v>0</v>
      </c>
      <c r="AD30" s="219">
        <v>0</v>
      </c>
      <c r="AE30" s="219">
        <v>0</v>
      </c>
      <c r="AF30" s="219">
        <v>0</v>
      </c>
      <c r="AG30" s="219">
        <v>0</v>
      </c>
      <c r="AH30" s="219">
        <v>0</v>
      </c>
      <c r="AI30" s="219">
        <v>0</v>
      </c>
      <c r="AJ30" s="219">
        <v>0</v>
      </c>
      <c r="AK30" s="219">
        <v>0</v>
      </c>
      <c r="AL30" s="219">
        <v>0</v>
      </c>
      <c r="AM30" s="219">
        <v>0</v>
      </c>
      <c r="AN30" s="219">
        <v>0</v>
      </c>
      <c r="AO30" s="219">
        <v>0</v>
      </c>
      <c r="AP30" s="219">
        <v>0</v>
      </c>
      <c r="AQ30" s="219">
        <v>0</v>
      </c>
      <c r="AR30" s="219"/>
      <c r="AS30" s="219"/>
      <c r="AT30" s="219">
        <v>0</v>
      </c>
    </row>
    <row r="31" spans="2:301" s="249" customFormat="1" hidden="1" outlineLevel="1" x14ac:dyDescent="0.2">
      <c r="B31" s="250" t="s">
        <v>548</v>
      </c>
      <c r="C31" s="219">
        <v>-647</v>
      </c>
      <c r="D31" s="219">
        <v>-828</v>
      </c>
      <c r="E31" s="219">
        <v>-12308</v>
      </c>
      <c r="F31" s="219">
        <v>-2904</v>
      </c>
      <c r="G31" s="219">
        <v>-487</v>
      </c>
      <c r="H31" s="219">
        <v>-113</v>
      </c>
      <c r="I31" s="219">
        <v>-470</v>
      </c>
      <c r="J31" s="219">
        <v>-999</v>
      </c>
      <c r="K31" s="219">
        <v>-105</v>
      </c>
      <c r="L31" s="219">
        <v>-933</v>
      </c>
      <c r="M31" s="219">
        <v>-187</v>
      </c>
      <c r="N31" s="219">
        <v>-145</v>
      </c>
      <c r="O31" s="219">
        <v>-5</v>
      </c>
      <c r="P31" s="219">
        <v>-35</v>
      </c>
      <c r="Q31" s="219">
        <v>55</v>
      </c>
      <c r="R31" s="219">
        <v>8</v>
      </c>
      <c r="S31" s="219">
        <v>-57</v>
      </c>
      <c r="T31" s="219">
        <v>109</v>
      </c>
      <c r="U31" s="219">
        <v>-5</v>
      </c>
      <c r="V31" s="219">
        <v>-15</v>
      </c>
      <c r="W31" s="219">
        <v>-79</v>
      </c>
      <c r="X31" s="219">
        <v>80</v>
      </c>
      <c r="Y31" s="219">
        <v>-86</v>
      </c>
      <c r="Z31" s="219">
        <v>85</v>
      </c>
      <c r="AA31" s="219">
        <v>0</v>
      </c>
      <c r="AB31" s="219">
        <v>0</v>
      </c>
      <c r="AC31" s="219">
        <v>0</v>
      </c>
      <c r="AD31" s="219">
        <v>0</v>
      </c>
      <c r="AE31" s="219">
        <v>0</v>
      </c>
      <c r="AF31" s="219">
        <v>0</v>
      </c>
      <c r="AG31" s="219">
        <v>0</v>
      </c>
      <c r="AH31" s="219">
        <v>0</v>
      </c>
      <c r="AI31" s="219">
        <v>0</v>
      </c>
      <c r="AJ31" s="219">
        <v>0</v>
      </c>
      <c r="AK31" s="219">
        <v>847</v>
      </c>
      <c r="AL31" s="219">
        <v>-847</v>
      </c>
      <c r="AM31" s="219">
        <v>0</v>
      </c>
      <c r="AN31" s="219">
        <v>0</v>
      </c>
      <c r="AO31" s="219">
        <v>0</v>
      </c>
      <c r="AP31" s="219">
        <v>0</v>
      </c>
      <c r="AQ31" s="219">
        <v>0</v>
      </c>
      <c r="AR31" s="219"/>
      <c r="AS31" s="219"/>
      <c r="AT31" s="219">
        <v>0</v>
      </c>
    </row>
    <row r="32" spans="2:301" hidden="1" outlineLevel="1" x14ac:dyDescent="0.2">
      <c r="B32" s="250" t="s">
        <v>548</v>
      </c>
      <c r="C32" s="219">
        <v>0</v>
      </c>
      <c r="D32" s="219">
        <v>0</v>
      </c>
      <c r="E32" s="219">
        <v>0</v>
      </c>
      <c r="F32" s="219">
        <v>0</v>
      </c>
      <c r="G32" s="219">
        <v>0</v>
      </c>
      <c r="H32" s="219">
        <v>0</v>
      </c>
      <c r="I32" s="219">
        <v>0</v>
      </c>
      <c r="J32" s="219">
        <v>0</v>
      </c>
      <c r="K32" s="219">
        <v>0</v>
      </c>
      <c r="L32" s="219">
        <v>0</v>
      </c>
      <c r="M32" s="219">
        <v>0</v>
      </c>
      <c r="N32" s="219">
        <v>0</v>
      </c>
      <c r="O32" s="219">
        <v>0</v>
      </c>
      <c r="P32" s="219">
        <v>0</v>
      </c>
      <c r="Q32" s="219">
        <v>0</v>
      </c>
      <c r="R32" s="219">
        <v>0</v>
      </c>
      <c r="S32" s="219">
        <v>-2527</v>
      </c>
      <c r="T32" s="219">
        <v>0</v>
      </c>
      <c r="U32" s="219">
        <v>0</v>
      </c>
      <c r="V32" s="219">
        <v>0</v>
      </c>
      <c r="W32" s="219">
        <v>0</v>
      </c>
      <c r="X32" s="219">
        <v>0</v>
      </c>
      <c r="Y32" s="219">
        <v>0</v>
      </c>
      <c r="Z32" s="219">
        <v>0</v>
      </c>
      <c r="AA32" s="219">
        <v>0</v>
      </c>
      <c r="AB32" s="219">
        <v>0</v>
      </c>
      <c r="AC32" s="219">
        <v>0</v>
      </c>
      <c r="AD32" s="219">
        <v>0</v>
      </c>
      <c r="AE32" s="219">
        <v>0</v>
      </c>
      <c r="AF32" s="219">
        <v>0</v>
      </c>
      <c r="AG32" s="219">
        <v>0</v>
      </c>
      <c r="AH32" s="219">
        <v>0</v>
      </c>
      <c r="AI32" s="219">
        <v>0</v>
      </c>
      <c r="AJ32" s="219">
        <v>0</v>
      </c>
      <c r="AK32" s="219">
        <v>0</v>
      </c>
      <c r="AL32" s="219">
        <v>0</v>
      </c>
      <c r="AM32" s="219">
        <v>0</v>
      </c>
      <c r="AN32" s="219">
        <v>0</v>
      </c>
      <c r="AO32" s="219">
        <v>0</v>
      </c>
      <c r="AP32" s="219">
        <v>0</v>
      </c>
      <c r="AQ32" s="219">
        <v>0</v>
      </c>
      <c r="AR32" s="219"/>
      <c r="AS32" s="219"/>
      <c r="AT32" s="219">
        <v>0</v>
      </c>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row>
    <row r="33" spans="2:301" hidden="1" outlineLevel="1" x14ac:dyDescent="0.2">
      <c r="B33" s="250" t="s">
        <v>517</v>
      </c>
      <c r="C33" s="219">
        <v>0</v>
      </c>
      <c r="D33" s="219">
        <v>0</v>
      </c>
      <c r="E33" s="219">
        <v>0</v>
      </c>
      <c r="F33" s="219">
        <v>0</v>
      </c>
      <c r="G33" s="219">
        <v>0</v>
      </c>
      <c r="H33" s="219">
        <v>0</v>
      </c>
      <c r="I33" s="219">
        <v>0</v>
      </c>
      <c r="J33" s="219">
        <v>0</v>
      </c>
      <c r="K33" s="219">
        <v>0</v>
      </c>
      <c r="L33" s="219">
        <v>0</v>
      </c>
      <c r="M33" s="219">
        <v>0</v>
      </c>
      <c r="N33" s="219">
        <v>0</v>
      </c>
      <c r="O33" s="219">
        <v>0</v>
      </c>
      <c r="P33" s="219">
        <v>0</v>
      </c>
      <c r="Q33" s="219">
        <v>0</v>
      </c>
      <c r="R33" s="219">
        <v>0</v>
      </c>
      <c r="S33" s="219">
        <v>1842</v>
      </c>
      <c r="T33" s="219">
        <v>0</v>
      </c>
      <c r="U33" s="219">
        <v>0</v>
      </c>
      <c r="V33" s="219">
        <v>0</v>
      </c>
      <c r="W33" s="219">
        <v>0</v>
      </c>
      <c r="X33" s="219">
        <v>0</v>
      </c>
      <c r="Y33" s="219">
        <v>0</v>
      </c>
      <c r="Z33" s="219">
        <v>0</v>
      </c>
      <c r="AA33" s="219">
        <v>0</v>
      </c>
      <c r="AB33" s="219">
        <v>0</v>
      </c>
      <c r="AC33" s="219">
        <v>0</v>
      </c>
      <c r="AD33" s="219">
        <v>0</v>
      </c>
      <c r="AE33" s="219">
        <v>0</v>
      </c>
      <c r="AF33" s="219">
        <v>0</v>
      </c>
      <c r="AG33" s="219">
        <v>0</v>
      </c>
      <c r="AH33" s="219">
        <v>0</v>
      </c>
      <c r="AI33" s="219">
        <v>0</v>
      </c>
      <c r="AJ33" s="219">
        <v>0</v>
      </c>
      <c r="AK33" s="219">
        <v>0</v>
      </c>
      <c r="AL33" s="219">
        <v>0</v>
      </c>
      <c r="AM33" s="219">
        <v>0</v>
      </c>
      <c r="AN33" s="219">
        <v>0</v>
      </c>
      <c r="AO33" s="219">
        <v>0</v>
      </c>
      <c r="AP33" s="219">
        <v>0</v>
      </c>
      <c r="AQ33" s="219">
        <v>0</v>
      </c>
      <c r="AR33" s="219"/>
      <c r="AS33" s="219"/>
      <c r="AT33" s="219">
        <v>0</v>
      </c>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row>
    <row r="34" spans="2:301" s="778" customFormat="1" ht="12.75" hidden="1" outlineLevel="1" x14ac:dyDescent="0.2">
      <c r="B34" s="250" t="s">
        <v>550</v>
      </c>
      <c r="C34" s="219">
        <v>0</v>
      </c>
      <c r="D34" s="219">
        <v>0</v>
      </c>
      <c r="E34" s="219">
        <v>0</v>
      </c>
      <c r="F34" s="219">
        <v>0</v>
      </c>
      <c r="G34" s="219">
        <v>0</v>
      </c>
      <c r="H34" s="219">
        <v>0</v>
      </c>
      <c r="I34" s="219">
        <v>0</v>
      </c>
      <c r="J34" s="219">
        <v>0</v>
      </c>
      <c r="K34" s="219">
        <v>0</v>
      </c>
      <c r="L34" s="219">
        <v>0</v>
      </c>
      <c r="M34" s="219">
        <v>0</v>
      </c>
      <c r="N34" s="219">
        <v>0</v>
      </c>
      <c r="O34" s="219">
        <v>0</v>
      </c>
      <c r="P34" s="219">
        <v>-1365</v>
      </c>
      <c r="Q34" s="219">
        <v>0</v>
      </c>
      <c r="R34" s="219">
        <v>0</v>
      </c>
      <c r="S34" s="219">
        <v>0</v>
      </c>
      <c r="T34" s="219">
        <v>0</v>
      </c>
      <c r="U34" s="219">
        <v>0</v>
      </c>
      <c r="V34" s="219">
        <v>0</v>
      </c>
      <c r="W34" s="219">
        <v>0</v>
      </c>
      <c r="X34" s="219">
        <v>0</v>
      </c>
      <c r="Y34" s="219">
        <v>0</v>
      </c>
      <c r="Z34" s="219">
        <v>0</v>
      </c>
      <c r="AA34" s="219">
        <v>0</v>
      </c>
      <c r="AB34" s="219">
        <v>0</v>
      </c>
      <c r="AC34" s="219">
        <v>0</v>
      </c>
      <c r="AD34" s="219">
        <v>0</v>
      </c>
      <c r="AE34" s="219">
        <v>0</v>
      </c>
      <c r="AF34" s="219">
        <v>0</v>
      </c>
      <c r="AG34" s="219">
        <v>0</v>
      </c>
      <c r="AH34" s="219">
        <v>0</v>
      </c>
      <c r="AI34" s="219">
        <v>0</v>
      </c>
      <c r="AJ34" s="219">
        <v>0</v>
      </c>
      <c r="AK34" s="219">
        <v>0</v>
      </c>
      <c r="AL34" s="219">
        <v>0</v>
      </c>
      <c r="AM34" s="219">
        <v>0</v>
      </c>
      <c r="AN34" s="219">
        <v>0</v>
      </c>
      <c r="AO34" s="219">
        <v>0</v>
      </c>
      <c r="AP34" s="219">
        <v>0</v>
      </c>
      <c r="AQ34" s="219">
        <v>0</v>
      </c>
      <c r="AR34" s="219"/>
      <c r="AS34" s="219"/>
      <c r="AT34" s="219">
        <v>0</v>
      </c>
    </row>
    <row r="35" spans="2:301" collapsed="1" x14ac:dyDescent="0.2">
      <c r="B35" s="127" t="s">
        <v>551</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T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row>
    <row r="36" spans="2:301" ht="15"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row>
    <row r="37" spans="2:301" ht="15" customHeight="1" x14ac:dyDescent="0.2">
      <c r="B37" s="115" t="s">
        <v>401</v>
      </c>
      <c r="C37" s="115" t="str">
        <f t="shared" ref="C37:AL37" si="9">C5</f>
        <v>1Q14</v>
      </c>
      <c r="D37" s="115" t="str">
        <f t="shared" si="9"/>
        <v>2Q14</v>
      </c>
      <c r="E37" s="115" t="str">
        <f t="shared" si="9"/>
        <v>3Q14</v>
      </c>
      <c r="F37" s="115" t="str">
        <f t="shared" si="9"/>
        <v>4Q14</v>
      </c>
      <c r="G37" s="115" t="str">
        <f t="shared" si="9"/>
        <v>1Q15</v>
      </c>
      <c r="H37" s="115" t="str">
        <f t="shared" si="9"/>
        <v>2Q15</v>
      </c>
      <c r="I37" s="115" t="str">
        <f t="shared" si="9"/>
        <v>3Q15</v>
      </c>
      <c r="J37" s="115" t="str">
        <f t="shared" si="9"/>
        <v>4Q15</v>
      </c>
      <c r="K37" s="115" t="str">
        <f t="shared" si="9"/>
        <v>1Q16</v>
      </c>
      <c r="L37" s="115" t="str">
        <f t="shared" si="9"/>
        <v>2Q16</v>
      </c>
      <c r="M37" s="115" t="str">
        <f t="shared" si="9"/>
        <v>3Q16</v>
      </c>
      <c r="N37" s="115" t="str">
        <f t="shared" si="9"/>
        <v>4Q16</v>
      </c>
      <c r="O37" s="115" t="str">
        <f t="shared" si="9"/>
        <v>1Q17</v>
      </c>
      <c r="P37" s="115" t="str">
        <f t="shared" si="9"/>
        <v>2Q17</v>
      </c>
      <c r="Q37" s="115" t="str">
        <f t="shared" si="9"/>
        <v>3Q17</v>
      </c>
      <c r="R37" s="115" t="str">
        <f t="shared" si="9"/>
        <v>4Q17</v>
      </c>
      <c r="S37" s="115" t="str">
        <f t="shared" si="9"/>
        <v>1Q18</v>
      </c>
      <c r="T37" s="115" t="str">
        <f t="shared" si="9"/>
        <v>2Q18</v>
      </c>
      <c r="U37" s="115" t="str">
        <f t="shared" si="9"/>
        <v>3Q18</v>
      </c>
      <c r="V37" s="115" t="str">
        <f t="shared" si="9"/>
        <v>4Q18</v>
      </c>
      <c r="W37" s="115" t="str">
        <f t="shared" si="9"/>
        <v>1Q19</v>
      </c>
      <c r="X37" s="115" t="str">
        <f t="shared" si="9"/>
        <v>2Q19</v>
      </c>
      <c r="Y37" s="115" t="str">
        <f t="shared" si="9"/>
        <v>3Q19</v>
      </c>
      <c r="Z37" s="115" t="str">
        <f t="shared" si="9"/>
        <v>4Q19</v>
      </c>
      <c r="AA37" s="115" t="str">
        <f t="shared" si="9"/>
        <v>1Q20</v>
      </c>
      <c r="AB37" s="115" t="str">
        <f t="shared" si="9"/>
        <v>2Q20</v>
      </c>
      <c r="AC37" s="115" t="str">
        <f t="shared" si="9"/>
        <v>3Q20</v>
      </c>
      <c r="AD37" s="115" t="str">
        <f t="shared" si="9"/>
        <v>4Q20</v>
      </c>
      <c r="AE37" s="115" t="str">
        <f t="shared" si="9"/>
        <v>1Q21</v>
      </c>
      <c r="AF37" s="115" t="str">
        <f t="shared" si="9"/>
        <v>2Q21</v>
      </c>
      <c r="AG37" s="115" t="str">
        <f t="shared" si="9"/>
        <v>3Q21</v>
      </c>
      <c r="AH37" s="115" t="str">
        <f t="shared" si="9"/>
        <v>4Q21</v>
      </c>
      <c r="AI37" s="115" t="str">
        <f t="shared" si="9"/>
        <v>1Q22</v>
      </c>
      <c r="AJ37" s="115" t="str">
        <f t="shared" si="9"/>
        <v>2Q22</v>
      </c>
      <c r="AK37" s="115" t="str">
        <f t="shared" si="9"/>
        <v>3Q22</v>
      </c>
      <c r="AL37" s="115" t="str">
        <f t="shared" si="9"/>
        <v>4Q22</v>
      </c>
      <c r="AM37" s="115" t="str">
        <f t="shared" ref="AM37:AT37" si="10">AM5</f>
        <v>1Q23</v>
      </c>
      <c r="AN37" s="115" t="str">
        <f t="shared" si="10"/>
        <v>2Q23</v>
      </c>
      <c r="AO37" s="115" t="str">
        <f t="shared" si="10"/>
        <v>3Q23</v>
      </c>
      <c r="AP37" s="115" t="str">
        <f t="shared" si="10"/>
        <v>4Q23</v>
      </c>
      <c r="AQ37" s="115" t="str">
        <f t="shared" si="10"/>
        <v>1Q24</v>
      </c>
      <c r="AR37" s="115" t="str">
        <f t="shared" ref="AR37" si="11">AR5</f>
        <v>2Q24</v>
      </c>
      <c r="AS37" s="115" t="str">
        <f t="shared" si="10"/>
        <v>3Q24</v>
      </c>
      <c r="AT37" s="115" t="str">
        <f t="shared" si="10"/>
        <v>4Q24</v>
      </c>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row>
    <row r="38" spans="2:301" ht="15" customHeight="1" x14ac:dyDescent="0.2">
      <c r="B38" s="130" t="s">
        <v>545</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S38:AT51" si="16">+AT6-AT22</f>
        <v>29</v>
      </c>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row>
    <row r="39" spans="2:301" ht="15" customHeight="1" x14ac:dyDescent="0.2">
      <c r="B39" s="130" t="s">
        <v>546</v>
      </c>
      <c r="C39" s="118">
        <f t="shared" ref="C39:AB39" si="17">+C7-C23</f>
        <v>358</v>
      </c>
      <c r="D39" s="118">
        <f t="shared" si="17"/>
        <v>380</v>
      </c>
      <c r="E39" s="118">
        <f t="shared" si="17"/>
        <v>136</v>
      </c>
      <c r="F39" s="118">
        <f t="shared" si="17"/>
        <v>141</v>
      </c>
      <c r="G39" s="118">
        <f t="shared" si="17"/>
        <v>391</v>
      </c>
      <c r="H39" s="118">
        <f t="shared" si="17"/>
        <v>-6</v>
      </c>
      <c r="I39" s="118">
        <f t="shared" si="17"/>
        <v>-49</v>
      </c>
      <c r="J39" s="118">
        <f t="shared" si="17"/>
        <v>-314</v>
      </c>
      <c r="K39" s="118">
        <f t="shared" si="17"/>
        <v>-73</v>
      </c>
      <c r="L39" s="118">
        <f t="shared" si="17"/>
        <v>-249</v>
      </c>
      <c r="M39" s="118">
        <f t="shared" si="17"/>
        <v>-237</v>
      </c>
      <c r="N39" s="118">
        <f t="shared" si="17"/>
        <v>-210</v>
      </c>
      <c r="O39" s="118">
        <f t="shared" si="17"/>
        <v>-3</v>
      </c>
      <c r="P39" s="118">
        <f t="shared" si="17"/>
        <v>3</v>
      </c>
      <c r="Q39" s="118">
        <f t="shared" si="17"/>
        <v>-18</v>
      </c>
      <c r="R39" s="118">
        <f t="shared" si="17"/>
        <v>-16</v>
      </c>
      <c r="S39" s="118">
        <f t="shared" si="17"/>
        <v>-27</v>
      </c>
      <c r="T39" s="118">
        <f t="shared" si="17"/>
        <v>-16</v>
      </c>
      <c r="U39" s="118">
        <f t="shared" si="17"/>
        <v>-19</v>
      </c>
      <c r="V39" s="118">
        <f t="shared" si="17"/>
        <v>-13</v>
      </c>
      <c r="W39" s="118">
        <f t="shared" si="17"/>
        <v>-15</v>
      </c>
      <c r="X39" s="118">
        <f t="shared" si="17"/>
        <v>-4</v>
      </c>
      <c r="Y39" s="118">
        <f t="shared" si="17"/>
        <v>-105</v>
      </c>
      <c r="Z39" s="118">
        <f t="shared" si="17"/>
        <v>98</v>
      </c>
      <c r="AA39" s="118">
        <f t="shared" si="17"/>
        <v>2</v>
      </c>
      <c r="AB39" s="118">
        <f t="shared" si="17"/>
        <v>-4</v>
      </c>
      <c r="AC39" s="118">
        <v>1</v>
      </c>
      <c r="AD39" s="118">
        <f t="shared" ref="AD39:AL39" si="18">+AD7-AD23</f>
        <v>-3</v>
      </c>
      <c r="AE39" s="118">
        <f t="shared" si="18"/>
        <v>-2</v>
      </c>
      <c r="AF39" s="118">
        <f t="shared" si="18"/>
        <v>-8</v>
      </c>
      <c r="AG39" s="118">
        <f t="shared" si="18"/>
        <v>-5</v>
      </c>
      <c r="AH39" s="118">
        <f t="shared" si="18"/>
        <v>-2</v>
      </c>
      <c r="AI39" s="118">
        <f t="shared" si="18"/>
        <v>-3</v>
      </c>
      <c r="AJ39" s="118">
        <f t="shared" si="18"/>
        <v>-17</v>
      </c>
      <c r="AK39" s="118">
        <f t="shared" si="18"/>
        <v>1</v>
      </c>
      <c r="AL39" s="118">
        <f t="shared" si="18"/>
        <v>-2</v>
      </c>
      <c r="AM39" s="118">
        <f t="shared" si="14"/>
        <v>-7</v>
      </c>
      <c r="AN39" s="118">
        <f t="shared" si="14"/>
        <v>-4</v>
      </c>
      <c r="AO39" s="118">
        <f t="shared" si="14"/>
        <v>-7</v>
      </c>
      <c r="AP39" s="118">
        <f t="shared" si="14"/>
        <v>-10</v>
      </c>
      <c r="AQ39" s="118">
        <f t="shared" si="14"/>
        <v>-10</v>
      </c>
      <c r="AR39" s="118">
        <f t="shared" ref="AR39:AS39" si="19">+AR7-AR23</f>
        <v>-11</v>
      </c>
      <c r="AS39" s="118">
        <f t="shared" si="19"/>
        <v>-11</v>
      </c>
      <c r="AT39" s="118">
        <f t="shared" si="16"/>
        <v>-3</v>
      </c>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row>
    <row r="40" spans="2:301" x14ac:dyDescent="0.2">
      <c r="B40" s="130" t="s">
        <v>547</v>
      </c>
      <c r="C40" s="118">
        <f t="shared" ref="C40:AB40" si="20">+C8-C24</f>
        <v>142</v>
      </c>
      <c r="D40" s="118">
        <f t="shared" si="20"/>
        <v>51</v>
      </c>
      <c r="E40" s="118">
        <f t="shared" si="20"/>
        <v>266</v>
      </c>
      <c r="F40" s="118">
        <f t="shared" si="20"/>
        <v>78</v>
      </c>
      <c r="G40" s="118">
        <f t="shared" si="20"/>
        <v>-156</v>
      </c>
      <c r="H40" s="118">
        <f t="shared" si="20"/>
        <v>15</v>
      </c>
      <c r="I40" s="118">
        <f t="shared" si="20"/>
        <v>312</v>
      </c>
      <c r="J40" s="118">
        <f t="shared" si="20"/>
        <v>13</v>
      </c>
      <c r="K40" s="118">
        <f t="shared" si="20"/>
        <v>112</v>
      </c>
      <c r="L40" s="118">
        <f t="shared" si="20"/>
        <v>-149</v>
      </c>
      <c r="M40" s="118">
        <f t="shared" si="20"/>
        <v>265</v>
      </c>
      <c r="N40" s="118">
        <f t="shared" si="20"/>
        <v>-1256</v>
      </c>
      <c r="O40" s="118">
        <f t="shared" si="20"/>
        <v>0</v>
      </c>
      <c r="P40" s="118">
        <f t="shared" si="20"/>
        <v>76</v>
      </c>
      <c r="Q40" s="118">
        <f t="shared" si="20"/>
        <v>-37</v>
      </c>
      <c r="R40" s="118">
        <f t="shared" si="20"/>
        <v>2</v>
      </c>
      <c r="S40" s="118">
        <f t="shared" si="20"/>
        <v>-111</v>
      </c>
      <c r="T40" s="118">
        <f t="shared" si="20"/>
        <v>42</v>
      </c>
      <c r="U40" s="118">
        <f t="shared" si="20"/>
        <v>18</v>
      </c>
      <c r="V40" s="118">
        <f t="shared" si="20"/>
        <v>-809</v>
      </c>
      <c r="W40" s="118">
        <f t="shared" si="20"/>
        <v>-83</v>
      </c>
      <c r="X40" s="118">
        <f t="shared" si="20"/>
        <v>4</v>
      </c>
      <c r="Y40" s="118">
        <f t="shared" si="20"/>
        <v>19</v>
      </c>
      <c r="Z40" s="118">
        <f t="shared" si="20"/>
        <v>-1867</v>
      </c>
      <c r="AA40" s="118">
        <f t="shared" si="20"/>
        <v>15</v>
      </c>
      <c r="AB40" s="118">
        <f t="shared" si="20"/>
        <v>27</v>
      </c>
      <c r="AC40" s="118">
        <v>1</v>
      </c>
      <c r="AD40" s="118">
        <f t="shared" ref="AD40:AL40" si="21">+AD8-AD24</f>
        <v>324</v>
      </c>
      <c r="AE40" s="118">
        <f t="shared" si="21"/>
        <v>163</v>
      </c>
      <c r="AF40" s="118">
        <f t="shared" si="21"/>
        <v>-633</v>
      </c>
      <c r="AG40" s="118">
        <f t="shared" si="21"/>
        <v>-1</v>
      </c>
      <c r="AH40" s="118">
        <f t="shared" si="21"/>
        <v>-1</v>
      </c>
      <c r="AI40" s="118">
        <f t="shared" si="21"/>
        <v>-71</v>
      </c>
      <c r="AJ40" s="118">
        <f t="shared" si="21"/>
        <v>37</v>
      </c>
      <c r="AK40" s="118">
        <f t="shared" si="21"/>
        <v>-65</v>
      </c>
      <c r="AL40" s="118">
        <f t="shared" si="21"/>
        <v>-34</v>
      </c>
      <c r="AM40" s="118">
        <f t="shared" si="14"/>
        <v>0</v>
      </c>
      <c r="AN40" s="118">
        <f t="shared" si="14"/>
        <v>0</v>
      </c>
      <c r="AO40" s="118">
        <f t="shared" si="14"/>
        <v>189</v>
      </c>
      <c r="AP40" s="118">
        <f t="shared" si="14"/>
        <v>-247</v>
      </c>
      <c r="AQ40" s="118">
        <f t="shared" si="14"/>
        <v>433</v>
      </c>
      <c r="AR40" s="118">
        <f t="shared" ref="AR40:AS40" si="22">+AR8-AR24</f>
        <v>140</v>
      </c>
      <c r="AS40" s="118">
        <f t="shared" si="22"/>
        <v>-12</v>
      </c>
      <c r="AT40" s="118">
        <f t="shared" si="16"/>
        <v>-49</v>
      </c>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row>
    <row r="41" spans="2:301" ht="15" customHeight="1" x14ac:dyDescent="0.2">
      <c r="B41" s="130" t="s">
        <v>549</v>
      </c>
      <c r="C41" s="118">
        <f t="shared" ref="C41:AB41" si="23">+C9-C25</f>
        <v>0</v>
      </c>
      <c r="D41" s="118">
        <f t="shared" si="23"/>
        <v>0</v>
      </c>
      <c r="E41" s="118">
        <f t="shared" si="23"/>
        <v>0</v>
      </c>
      <c r="F41" s="118">
        <f t="shared" si="23"/>
        <v>0</v>
      </c>
      <c r="G41" s="118">
        <f t="shared" si="23"/>
        <v>-627</v>
      </c>
      <c r="H41" s="118">
        <f t="shared" si="23"/>
        <v>-3436</v>
      </c>
      <c r="I41" s="118">
        <f t="shared" si="23"/>
        <v>-4490</v>
      </c>
      <c r="J41" s="118">
        <f t="shared" si="23"/>
        <v>-16835</v>
      </c>
      <c r="K41" s="118">
        <f t="shared" si="23"/>
        <v>-1070</v>
      </c>
      <c r="L41" s="118">
        <f t="shared" si="23"/>
        <v>-1173</v>
      </c>
      <c r="M41" s="118">
        <f t="shared" si="23"/>
        <v>-1432</v>
      </c>
      <c r="N41" s="118">
        <f t="shared" si="23"/>
        <v>-2003</v>
      </c>
      <c r="O41" s="118">
        <f t="shared" si="23"/>
        <v>-1047</v>
      </c>
      <c r="P41" s="118">
        <f t="shared" si="23"/>
        <v>-5240</v>
      </c>
      <c r="Q41" s="118">
        <f t="shared" si="23"/>
        <v>1258</v>
      </c>
      <c r="R41" s="118">
        <f t="shared" si="23"/>
        <v>-2203</v>
      </c>
      <c r="S41" s="118">
        <f t="shared" si="23"/>
        <v>-4705</v>
      </c>
      <c r="T41" s="118">
        <f t="shared" si="23"/>
        <v>-871</v>
      </c>
      <c r="U41" s="118">
        <f t="shared" si="23"/>
        <v>-1404</v>
      </c>
      <c r="V41" s="118">
        <f t="shared" si="23"/>
        <v>-957</v>
      </c>
      <c r="W41" s="118">
        <f t="shared" si="23"/>
        <v>-309</v>
      </c>
      <c r="X41" s="118">
        <f t="shared" si="23"/>
        <v>-1174</v>
      </c>
      <c r="Y41" s="118">
        <f t="shared" si="23"/>
        <v>-660</v>
      </c>
      <c r="Z41" s="118">
        <f t="shared" si="23"/>
        <v>-383</v>
      </c>
      <c r="AA41" s="118">
        <f t="shared" si="23"/>
        <v>-157</v>
      </c>
      <c r="AB41" s="118">
        <f t="shared" si="23"/>
        <v>-31</v>
      </c>
      <c r="AC41" s="118">
        <v>-298</v>
      </c>
      <c r="AD41" s="118">
        <f t="shared" ref="AD41:AL41" si="24">+AD9-AD25</f>
        <v>339</v>
      </c>
      <c r="AE41" s="118">
        <f t="shared" si="24"/>
        <v>-54</v>
      </c>
      <c r="AF41" s="118">
        <f t="shared" si="24"/>
        <v>-115</v>
      </c>
      <c r="AG41" s="118">
        <f t="shared" si="24"/>
        <v>-5</v>
      </c>
      <c r="AH41" s="118">
        <f t="shared" si="24"/>
        <v>-371</v>
      </c>
      <c r="AI41" s="118">
        <f t="shared" si="24"/>
        <v>-25</v>
      </c>
      <c r="AJ41" s="118">
        <f t="shared" si="24"/>
        <v>-166</v>
      </c>
      <c r="AK41" s="118">
        <f t="shared" si="24"/>
        <v>-26</v>
      </c>
      <c r="AL41" s="118">
        <f t="shared" si="24"/>
        <v>-189</v>
      </c>
      <c r="AM41" s="118">
        <f t="shared" si="14"/>
        <v>-35</v>
      </c>
      <c r="AN41" s="118">
        <f t="shared" si="14"/>
        <v>362</v>
      </c>
      <c r="AO41" s="118">
        <f t="shared" si="14"/>
        <v>-47</v>
      </c>
      <c r="AP41" s="118">
        <f t="shared" si="14"/>
        <v>-609</v>
      </c>
      <c r="AQ41" s="118">
        <f t="shared" si="14"/>
        <v>-234</v>
      </c>
      <c r="AR41" s="118">
        <f t="shared" ref="AR41:AS41" si="25">+AR9-AR25</f>
        <v>-49</v>
      </c>
      <c r="AS41" s="118">
        <f t="shared" si="25"/>
        <v>-121</v>
      </c>
      <c r="AT41" s="118">
        <f t="shared" si="16"/>
        <v>-240</v>
      </c>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row>
    <row r="42" spans="2:301" x14ac:dyDescent="0.2">
      <c r="B42" s="130" t="s">
        <v>747</v>
      </c>
      <c r="C42" s="118">
        <f t="shared" ref="C42:AB42" si="26">+C10-C26</f>
        <v>0</v>
      </c>
      <c r="D42" s="118">
        <f t="shared" si="26"/>
        <v>0</v>
      </c>
      <c r="E42" s="118">
        <f t="shared" si="26"/>
        <v>0</v>
      </c>
      <c r="F42" s="118">
        <f t="shared" si="26"/>
        <v>0</v>
      </c>
      <c r="G42" s="118">
        <f t="shared" si="26"/>
        <v>0</v>
      </c>
      <c r="H42" s="118">
        <f t="shared" si="26"/>
        <v>0</v>
      </c>
      <c r="I42" s="118">
        <f t="shared" si="26"/>
        <v>0</v>
      </c>
      <c r="J42" s="118">
        <f t="shared" si="26"/>
        <v>0</v>
      </c>
      <c r="K42" s="118">
        <f t="shared" si="26"/>
        <v>0</v>
      </c>
      <c r="L42" s="118">
        <f t="shared" si="26"/>
        <v>0</v>
      </c>
      <c r="M42" s="118">
        <f t="shared" si="26"/>
        <v>0</v>
      </c>
      <c r="N42" s="118">
        <f t="shared" si="26"/>
        <v>0</v>
      </c>
      <c r="O42" s="118">
        <f t="shared" si="26"/>
        <v>0</v>
      </c>
      <c r="P42" s="118">
        <f t="shared" si="26"/>
        <v>0</v>
      </c>
      <c r="Q42" s="118">
        <f t="shared" si="26"/>
        <v>0</v>
      </c>
      <c r="R42" s="118">
        <f t="shared" si="26"/>
        <v>0</v>
      </c>
      <c r="S42" s="118">
        <f t="shared" si="26"/>
        <v>0</v>
      </c>
      <c r="T42" s="118">
        <f t="shared" si="26"/>
        <v>0</v>
      </c>
      <c r="U42" s="118">
        <f t="shared" si="26"/>
        <v>0</v>
      </c>
      <c r="V42" s="118">
        <f t="shared" si="26"/>
        <v>0</v>
      </c>
      <c r="W42" s="118">
        <f t="shared" si="26"/>
        <v>0</v>
      </c>
      <c r="X42" s="118">
        <f t="shared" si="26"/>
        <v>0</v>
      </c>
      <c r="Y42" s="118">
        <f t="shared" si="26"/>
        <v>0</v>
      </c>
      <c r="Z42" s="118">
        <f t="shared" si="26"/>
        <v>0</v>
      </c>
      <c r="AA42" s="118">
        <f t="shared" si="26"/>
        <v>0</v>
      </c>
      <c r="AB42" s="118">
        <f t="shared" si="26"/>
        <v>0</v>
      </c>
      <c r="AC42" s="118">
        <v>0</v>
      </c>
      <c r="AD42" s="118">
        <f t="shared" ref="AD42:AL42" si="27">+AD10-AD26</f>
        <v>0</v>
      </c>
      <c r="AE42" s="118">
        <f t="shared" si="27"/>
        <v>0</v>
      </c>
      <c r="AF42" s="262">
        <f t="shared" si="27"/>
        <v>5732</v>
      </c>
      <c r="AG42" s="118">
        <f t="shared" si="27"/>
        <v>0</v>
      </c>
      <c r="AH42" s="118">
        <f t="shared" si="27"/>
        <v>0</v>
      </c>
      <c r="AI42" s="118">
        <f t="shared" si="27"/>
        <v>0</v>
      </c>
      <c r="AJ42" s="118">
        <f t="shared" si="27"/>
        <v>0</v>
      </c>
      <c r="AK42" s="118">
        <f t="shared" si="27"/>
        <v>0</v>
      </c>
      <c r="AL42" s="262">
        <f t="shared" si="27"/>
        <v>9187</v>
      </c>
      <c r="AM42" s="118">
        <f t="shared" si="14"/>
        <v>0</v>
      </c>
      <c r="AN42" s="118">
        <f t="shared" si="14"/>
        <v>0</v>
      </c>
      <c r="AO42" s="118">
        <f t="shared" si="14"/>
        <v>0</v>
      </c>
      <c r="AP42" s="118">
        <f t="shared" si="14"/>
        <v>0</v>
      </c>
      <c r="AQ42" s="118">
        <f t="shared" si="14"/>
        <v>0</v>
      </c>
      <c r="AR42" s="118">
        <f t="shared" ref="AR42:AS42" si="28">+AR10-AR26</f>
        <v>0</v>
      </c>
      <c r="AS42" s="118">
        <f t="shared" si="28"/>
        <v>0</v>
      </c>
      <c r="AT42" s="118">
        <f t="shared" si="16"/>
        <v>0</v>
      </c>
    </row>
    <row r="43" spans="2:301" ht="15" customHeight="1" x14ac:dyDescent="0.2">
      <c r="B43" s="130" t="s">
        <v>958</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29">+AD11-AD27</f>
        <v>35</v>
      </c>
      <c r="AE43" s="118">
        <f t="shared" si="29"/>
        <v>2</v>
      </c>
      <c r="AF43" s="118">
        <f t="shared" si="29"/>
        <v>1</v>
      </c>
      <c r="AG43" s="118">
        <f t="shared" si="29"/>
        <v>0</v>
      </c>
      <c r="AH43" s="118">
        <f t="shared" si="29"/>
        <v>0</v>
      </c>
      <c r="AI43" s="118">
        <f t="shared" si="29"/>
        <v>0</v>
      </c>
      <c r="AJ43" s="118">
        <f t="shared" si="29"/>
        <v>0</v>
      </c>
      <c r="AK43" s="118">
        <f t="shared" si="29"/>
        <v>0</v>
      </c>
      <c r="AL43" s="118">
        <f t="shared" si="29"/>
        <v>0</v>
      </c>
      <c r="AM43" s="118">
        <f t="shared" si="14"/>
        <v>0</v>
      </c>
      <c r="AN43" s="118">
        <f t="shared" si="14"/>
        <v>0</v>
      </c>
      <c r="AO43" s="118">
        <f t="shared" si="14"/>
        <v>0</v>
      </c>
      <c r="AP43" s="118">
        <f t="shared" si="14"/>
        <v>0</v>
      </c>
      <c r="AQ43" s="118">
        <f t="shared" si="14"/>
        <v>0</v>
      </c>
      <c r="AR43" s="118">
        <f t="shared" ref="AR43:AS43" si="30">+AR11-AR27</f>
        <v>0</v>
      </c>
      <c r="AS43" s="118">
        <f t="shared" si="30"/>
        <v>0</v>
      </c>
      <c r="AT43" s="118">
        <f t="shared" si="16"/>
        <v>-41</v>
      </c>
    </row>
    <row r="44" spans="2:301" x14ac:dyDescent="0.2">
      <c r="B44" s="130" t="s">
        <v>1185</v>
      </c>
      <c r="C44" s="118" t="s">
        <v>47</v>
      </c>
      <c r="D44" s="118" t="s">
        <v>47</v>
      </c>
      <c r="E44" s="118" t="s">
        <v>47</v>
      </c>
      <c r="F44" s="118" t="s">
        <v>47</v>
      </c>
      <c r="G44" s="118" t="s">
        <v>47</v>
      </c>
      <c r="H44" s="118" t="s">
        <v>47</v>
      </c>
      <c r="I44" s="118" t="s">
        <v>47</v>
      </c>
      <c r="J44" s="118" t="s">
        <v>47</v>
      </c>
      <c r="K44" s="118" t="s">
        <v>47</v>
      </c>
      <c r="L44" s="118" t="s">
        <v>47</v>
      </c>
      <c r="M44" s="118" t="s">
        <v>47</v>
      </c>
      <c r="N44" s="118" t="s">
        <v>47</v>
      </c>
      <c r="O44" s="118" t="s">
        <v>47</v>
      </c>
      <c r="P44" s="118" t="s">
        <v>47</v>
      </c>
      <c r="Q44" s="118" t="s">
        <v>47</v>
      </c>
      <c r="R44" s="118" t="s">
        <v>47</v>
      </c>
      <c r="S44" s="118" t="s">
        <v>47</v>
      </c>
      <c r="T44" s="118" t="s">
        <v>47</v>
      </c>
      <c r="U44" s="118" t="s">
        <v>47</v>
      </c>
      <c r="V44" s="118" t="s">
        <v>47</v>
      </c>
      <c r="W44" s="118" t="s">
        <v>47</v>
      </c>
      <c r="X44" s="118" t="s">
        <v>47</v>
      </c>
      <c r="Y44" s="118" t="s">
        <v>47</v>
      </c>
      <c r="Z44" s="118" t="s">
        <v>47</v>
      </c>
      <c r="AA44" s="118" t="s">
        <v>47</v>
      </c>
      <c r="AB44" s="118" t="s">
        <v>47</v>
      </c>
      <c r="AC44" s="118" t="s">
        <v>47</v>
      </c>
      <c r="AD44" s="118" t="s">
        <v>47</v>
      </c>
      <c r="AE44" s="118" t="s">
        <v>47</v>
      </c>
      <c r="AF44" s="118" t="s">
        <v>47</v>
      </c>
      <c r="AG44" s="118" t="s">
        <v>47</v>
      </c>
      <c r="AH44" s="262">
        <f t="shared" ref="AH44:AH51" si="31">+AH12-AH28</f>
        <v>2592</v>
      </c>
      <c r="AI44" s="118" t="s">
        <v>47</v>
      </c>
      <c r="AJ44" s="118" t="s">
        <v>47</v>
      </c>
      <c r="AK44" s="118">
        <f t="shared" ref="AK44:AL51" si="32">+AK12-AK28</f>
        <v>847</v>
      </c>
      <c r="AL44" s="118">
        <f t="shared" si="32"/>
        <v>0</v>
      </c>
      <c r="AM44" s="118">
        <f t="shared" si="14"/>
        <v>0</v>
      </c>
      <c r="AN44" s="118">
        <f t="shared" si="14"/>
        <v>0</v>
      </c>
      <c r="AO44" s="118">
        <f t="shared" si="14"/>
        <v>0</v>
      </c>
      <c r="AP44" s="118">
        <f t="shared" si="14"/>
        <v>0</v>
      </c>
      <c r="AQ44" s="118">
        <f t="shared" si="14"/>
        <v>0</v>
      </c>
      <c r="AR44" s="118">
        <f t="shared" ref="AR44:AS44" si="33">+AR12-AR28</f>
        <v>0</v>
      </c>
      <c r="AS44" s="118">
        <f t="shared" si="33"/>
        <v>0</v>
      </c>
      <c r="AT44" s="118">
        <f t="shared" si="16"/>
        <v>0</v>
      </c>
    </row>
    <row r="45" spans="2:301" ht="15" customHeight="1" x14ac:dyDescent="0.2">
      <c r="B45" s="130" t="s">
        <v>224</v>
      </c>
      <c r="C45" s="118">
        <f t="shared" ref="C45:AB45" si="34">+C13-C29</f>
        <v>0</v>
      </c>
      <c r="D45" s="118">
        <f t="shared" si="34"/>
        <v>15</v>
      </c>
      <c r="E45" s="118">
        <f t="shared" si="34"/>
        <v>-84</v>
      </c>
      <c r="F45" s="118">
        <f t="shared" si="34"/>
        <v>644</v>
      </c>
      <c r="G45" s="118">
        <f t="shared" si="34"/>
        <v>15</v>
      </c>
      <c r="H45" s="118">
        <f t="shared" si="34"/>
        <v>46</v>
      </c>
      <c r="I45" s="118">
        <f t="shared" si="34"/>
        <v>176</v>
      </c>
      <c r="J45" s="118">
        <f t="shared" si="34"/>
        <v>-62</v>
      </c>
      <c r="K45" s="118">
        <f t="shared" si="34"/>
        <v>-174</v>
      </c>
      <c r="L45" s="118">
        <f t="shared" si="34"/>
        <v>278</v>
      </c>
      <c r="M45" s="118">
        <f t="shared" si="34"/>
        <v>-226</v>
      </c>
      <c r="N45" s="118">
        <f t="shared" si="34"/>
        <v>399</v>
      </c>
      <c r="O45" s="118">
        <f t="shared" si="34"/>
        <v>0</v>
      </c>
      <c r="P45" s="118">
        <f t="shared" si="34"/>
        <v>0</v>
      </c>
      <c r="Q45" s="118">
        <f t="shared" si="34"/>
        <v>-14</v>
      </c>
      <c r="R45" s="118">
        <f t="shared" si="34"/>
        <v>-1622</v>
      </c>
      <c r="S45" s="118">
        <f t="shared" si="34"/>
        <v>4065</v>
      </c>
      <c r="T45" s="118">
        <f t="shared" si="34"/>
        <v>-27</v>
      </c>
      <c r="U45" s="118">
        <f t="shared" si="34"/>
        <v>68</v>
      </c>
      <c r="V45" s="118">
        <f t="shared" si="34"/>
        <v>383</v>
      </c>
      <c r="W45" s="118">
        <f t="shared" si="34"/>
        <v>114</v>
      </c>
      <c r="X45" s="118">
        <f t="shared" si="34"/>
        <v>-12</v>
      </c>
      <c r="Y45" s="118">
        <f t="shared" si="34"/>
        <v>232</v>
      </c>
      <c r="Z45" s="118">
        <f t="shared" si="34"/>
        <v>-718</v>
      </c>
      <c r="AA45" s="118">
        <f t="shared" si="34"/>
        <v>11</v>
      </c>
      <c r="AB45" s="118">
        <f t="shared" si="34"/>
        <v>-70</v>
      </c>
      <c r="AC45" s="118">
        <v>61</v>
      </c>
      <c r="AD45" s="118">
        <f t="shared" ref="AD45:AG51" si="35">+AD13-AD29</f>
        <v>-2184</v>
      </c>
      <c r="AE45" s="118">
        <f t="shared" si="35"/>
        <v>20</v>
      </c>
      <c r="AF45" s="118">
        <f t="shared" si="35"/>
        <v>-1285</v>
      </c>
      <c r="AG45" s="118">
        <f t="shared" si="35"/>
        <v>348</v>
      </c>
      <c r="AH45" s="118">
        <f t="shared" si="31"/>
        <v>94</v>
      </c>
      <c r="AI45" s="118">
        <f t="shared" ref="AI45:AJ51" si="36">+AI13-AI29</f>
        <v>-16</v>
      </c>
      <c r="AJ45" s="118">
        <f t="shared" si="36"/>
        <v>-24</v>
      </c>
      <c r="AK45" s="118">
        <f t="shared" si="32"/>
        <v>-61</v>
      </c>
      <c r="AL45" s="262">
        <f t="shared" si="32"/>
        <v>-3384</v>
      </c>
      <c r="AM45" s="118">
        <f t="shared" si="14"/>
        <v>673</v>
      </c>
      <c r="AN45" s="118">
        <f t="shared" si="14"/>
        <v>2340</v>
      </c>
      <c r="AO45" s="118">
        <f t="shared" si="14"/>
        <v>-17</v>
      </c>
      <c r="AP45" s="118">
        <f t="shared" si="14"/>
        <v>-765</v>
      </c>
      <c r="AQ45" s="118">
        <f t="shared" si="14"/>
        <v>-103</v>
      </c>
      <c r="AR45" s="118">
        <f t="shared" ref="AR45:AS45" si="37">+AR13-AR29</f>
        <v>-46</v>
      </c>
      <c r="AS45" s="118">
        <f t="shared" si="37"/>
        <v>-86</v>
      </c>
      <c r="AT45" s="118">
        <f t="shared" si="16"/>
        <v>126</v>
      </c>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row>
    <row r="46" spans="2:301" s="249" customFormat="1" hidden="1" outlineLevel="1" x14ac:dyDescent="0.2">
      <c r="B46" s="250" t="s">
        <v>517</v>
      </c>
      <c r="C46" s="219">
        <f t="shared" ref="C46:X46" si="38">+C14-C30</f>
        <v>0</v>
      </c>
      <c r="D46" s="219">
        <f t="shared" si="38"/>
        <v>0</v>
      </c>
      <c r="E46" s="219">
        <f t="shared" si="38"/>
        <v>0</v>
      </c>
      <c r="F46" s="219">
        <f t="shared" si="38"/>
        <v>0</v>
      </c>
      <c r="G46" s="219">
        <f t="shared" si="38"/>
        <v>0</v>
      </c>
      <c r="H46" s="219">
        <f t="shared" si="38"/>
        <v>0</v>
      </c>
      <c r="I46" s="219">
        <f t="shared" si="38"/>
        <v>0</v>
      </c>
      <c r="J46" s="219">
        <f t="shared" si="38"/>
        <v>0</v>
      </c>
      <c r="K46" s="219">
        <f t="shared" si="38"/>
        <v>0</v>
      </c>
      <c r="L46" s="219">
        <f t="shared" si="38"/>
        <v>0</v>
      </c>
      <c r="M46" s="219">
        <f t="shared" si="38"/>
        <v>0</v>
      </c>
      <c r="N46" s="219">
        <f t="shared" si="38"/>
        <v>0</v>
      </c>
      <c r="O46" s="219">
        <f t="shared" si="38"/>
        <v>0</v>
      </c>
      <c r="P46" s="219">
        <f t="shared" si="38"/>
        <v>0</v>
      </c>
      <c r="Q46" s="219">
        <f t="shared" si="38"/>
        <v>0</v>
      </c>
      <c r="R46" s="219">
        <f t="shared" si="38"/>
        <v>0</v>
      </c>
      <c r="S46" s="219">
        <f t="shared" si="38"/>
        <v>0</v>
      </c>
      <c r="T46" s="219">
        <f t="shared" si="38"/>
        <v>0</v>
      </c>
      <c r="U46" s="219">
        <f t="shared" si="38"/>
        <v>0</v>
      </c>
      <c r="V46" s="219">
        <f t="shared" si="38"/>
        <v>0</v>
      </c>
      <c r="W46" s="219">
        <f t="shared" si="38"/>
        <v>0</v>
      </c>
      <c r="X46" s="219">
        <f t="shared" si="38"/>
        <v>0</v>
      </c>
      <c r="Y46" s="219">
        <v>0</v>
      </c>
      <c r="Z46" s="219">
        <f>+Z14-Z30</f>
        <v>0</v>
      </c>
      <c r="AA46" s="219">
        <f>+AA14-AA30</f>
        <v>0</v>
      </c>
      <c r="AB46" s="219">
        <f>+AB14-AB30</f>
        <v>0</v>
      </c>
      <c r="AC46" s="219">
        <f>+AC14-AC30</f>
        <v>0</v>
      </c>
      <c r="AD46" s="219">
        <f t="shared" si="35"/>
        <v>0</v>
      </c>
      <c r="AE46" s="219">
        <f t="shared" si="35"/>
        <v>0</v>
      </c>
      <c r="AF46" s="219">
        <f t="shared" si="35"/>
        <v>0</v>
      </c>
      <c r="AG46" s="219">
        <f t="shared" si="35"/>
        <v>0</v>
      </c>
      <c r="AH46" s="219">
        <f t="shared" si="31"/>
        <v>0</v>
      </c>
      <c r="AI46" s="219">
        <f t="shared" si="36"/>
        <v>0</v>
      </c>
      <c r="AJ46" s="219">
        <f t="shared" si="36"/>
        <v>0</v>
      </c>
      <c r="AK46" s="219">
        <f t="shared" si="32"/>
        <v>0</v>
      </c>
      <c r="AL46" s="219">
        <f t="shared" si="32"/>
        <v>0</v>
      </c>
      <c r="AM46" s="219">
        <f t="shared" si="14"/>
        <v>0</v>
      </c>
      <c r="AN46" s="219">
        <f t="shared" si="14"/>
        <v>0</v>
      </c>
      <c r="AO46" s="219">
        <f t="shared" si="14"/>
        <v>0</v>
      </c>
      <c r="AP46" s="219">
        <f t="shared" si="14"/>
        <v>0</v>
      </c>
      <c r="AQ46" s="219">
        <f t="shared" si="14"/>
        <v>0</v>
      </c>
      <c r="AR46" s="219">
        <f t="shared" ref="AR46" si="39">+AR14-AR30</f>
        <v>0</v>
      </c>
      <c r="AS46" s="219"/>
      <c r="AT46" s="219">
        <f t="shared" si="16"/>
        <v>0</v>
      </c>
    </row>
    <row r="47" spans="2:301" s="249" customFormat="1" hidden="1" outlineLevel="1" x14ac:dyDescent="0.2">
      <c r="B47" s="250" t="s">
        <v>548</v>
      </c>
      <c r="C47" s="219">
        <f t="shared" ref="C47:X47" si="40">+C15-C31</f>
        <v>275</v>
      </c>
      <c r="D47" s="219">
        <f t="shared" si="40"/>
        <v>-803</v>
      </c>
      <c r="E47" s="219">
        <f t="shared" si="40"/>
        <v>-311</v>
      </c>
      <c r="F47" s="219">
        <f t="shared" si="40"/>
        <v>-2435</v>
      </c>
      <c r="G47" s="219">
        <f t="shared" si="40"/>
        <v>-321</v>
      </c>
      <c r="H47" s="219">
        <f t="shared" si="40"/>
        <v>-781</v>
      </c>
      <c r="I47" s="219">
        <f t="shared" si="40"/>
        <v>-1262</v>
      </c>
      <c r="J47" s="219">
        <f t="shared" si="40"/>
        <v>-88</v>
      </c>
      <c r="K47" s="219">
        <f t="shared" si="40"/>
        <v>-629</v>
      </c>
      <c r="L47" s="219">
        <f t="shared" si="40"/>
        <v>-23</v>
      </c>
      <c r="M47" s="219">
        <f t="shared" si="40"/>
        <v>25</v>
      </c>
      <c r="N47" s="219">
        <f t="shared" si="40"/>
        <v>-734</v>
      </c>
      <c r="O47" s="219">
        <f t="shared" si="40"/>
        <v>-163</v>
      </c>
      <c r="P47" s="219">
        <f t="shared" si="40"/>
        <v>22</v>
      </c>
      <c r="Q47" s="219">
        <f t="shared" si="40"/>
        <v>-1906</v>
      </c>
      <c r="R47" s="219">
        <f t="shared" si="40"/>
        <v>1931</v>
      </c>
      <c r="S47" s="219">
        <f t="shared" si="40"/>
        <v>-6</v>
      </c>
      <c r="T47" s="219">
        <f t="shared" si="40"/>
        <v>301</v>
      </c>
      <c r="U47" s="219">
        <f t="shared" si="40"/>
        <v>313</v>
      </c>
      <c r="V47" s="219">
        <f t="shared" si="40"/>
        <v>-1736</v>
      </c>
      <c r="W47" s="219">
        <f t="shared" si="40"/>
        <v>3</v>
      </c>
      <c r="X47" s="219">
        <f t="shared" si="40"/>
        <v>1412</v>
      </c>
      <c r="Y47" s="219">
        <f t="shared" ref="Y47:AB49" si="41">+Y15-Y31</f>
        <v>-46</v>
      </c>
      <c r="Z47" s="219">
        <f t="shared" si="41"/>
        <v>-1369</v>
      </c>
      <c r="AA47" s="219">
        <f t="shared" si="41"/>
        <v>0</v>
      </c>
      <c r="AB47" s="219">
        <f t="shared" si="41"/>
        <v>0</v>
      </c>
      <c r="AC47" s="219">
        <v>0</v>
      </c>
      <c r="AD47" s="219">
        <f t="shared" si="35"/>
        <v>0</v>
      </c>
      <c r="AE47" s="219">
        <f t="shared" si="35"/>
        <v>0</v>
      </c>
      <c r="AF47" s="219">
        <f t="shared" si="35"/>
        <v>0</v>
      </c>
      <c r="AG47" s="219">
        <f t="shared" si="35"/>
        <v>0</v>
      </c>
      <c r="AH47" s="219">
        <f t="shared" si="31"/>
        <v>0</v>
      </c>
      <c r="AI47" s="219">
        <f t="shared" si="36"/>
        <v>0</v>
      </c>
      <c r="AJ47" s="219">
        <f t="shared" si="36"/>
        <v>0</v>
      </c>
      <c r="AK47" s="219">
        <f t="shared" si="32"/>
        <v>-847</v>
      </c>
      <c r="AL47" s="219">
        <f t="shared" si="32"/>
        <v>847</v>
      </c>
      <c r="AM47" s="219">
        <f t="shared" si="14"/>
        <v>0</v>
      </c>
      <c r="AN47" s="219">
        <f t="shared" si="14"/>
        <v>0</v>
      </c>
      <c r="AO47" s="219">
        <f t="shared" si="14"/>
        <v>0</v>
      </c>
      <c r="AP47" s="219">
        <f t="shared" si="14"/>
        <v>0</v>
      </c>
      <c r="AQ47" s="219">
        <f t="shared" si="14"/>
        <v>0</v>
      </c>
      <c r="AR47" s="219">
        <f t="shared" ref="AR47" si="42">+AR15-AR31</f>
        <v>0</v>
      </c>
      <c r="AS47" s="219"/>
      <c r="AT47" s="219">
        <f t="shared" si="16"/>
        <v>0</v>
      </c>
    </row>
    <row r="48" spans="2:301" ht="15" hidden="1" customHeight="1" outlineLevel="1" x14ac:dyDescent="0.2">
      <c r="B48" s="250" t="s">
        <v>548</v>
      </c>
      <c r="C48" s="219">
        <f t="shared" ref="C48:X48" si="43">+C16-C32</f>
        <v>0</v>
      </c>
      <c r="D48" s="219">
        <f t="shared" si="43"/>
        <v>0</v>
      </c>
      <c r="E48" s="219">
        <f t="shared" si="43"/>
        <v>0</v>
      </c>
      <c r="F48" s="219">
        <f t="shared" si="43"/>
        <v>0</v>
      </c>
      <c r="G48" s="219">
        <f t="shared" si="43"/>
        <v>0</v>
      </c>
      <c r="H48" s="219">
        <f t="shared" si="43"/>
        <v>0</v>
      </c>
      <c r="I48" s="219">
        <f t="shared" si="43"/>
        <v>0</v>
      </c>
      <c r="J48" s="219">
        <f t="shared" si="43"/>
        <v>0</v>
      </c>
      <c r="K48" s="219">
        <f t="shared" si="43"/>
        <v>0</v>
      </c>
      <c r="L48" s="219">
        <f t="shared" si="43"/>
        <v>0</v>
      </c>
      <c r="M48" s="219">
        <f t="shared" si="43"/>
        <v>0</v>
      </c>
      <c r="N48" s="219">
        <f t="shared" si="43"/>
        <v>0</v>
      </c>
      <c r="O48" s="219">
        <f t="shared" si="43"/>
        <v>0</v>
      </c>
      <c r="P48" s="219">
        <f t="shared" si="43"/>
        <v>0</v>
      </c>
      <c r="Q48" s="219">
        <f t="shared" si="43"/>
        <v>0</v>
      </c>
      <c r="R48" s="219">
        <f t="shared" si="43"/>
        <v>0</v>
      </c>
      <c r="S48" s="219">
        <f t="shared" si="43"/>
        <v>0</v>
      </c>
      <c r="T48" s="219">
        <f t="shared" si="43"/>
        <v>0</v>
      </c>
      <c r="U48" s="219">
        <f t="shared" si="43"/>
        <v>0</v>
      </c>
      <c r="V48" s="219">
        <f t="shared" si="43"/>
        <v>0</v>
      </c>
      <c r="W48" s="219">
        <f t="shared" si="43"/>
        <v>0</v>
      </c>
      <c r="X48" s="219">
        <f t="shared" si="43"/>
        <v>0</v>
      </c>
      <c r="Y48" s="219">
        <f t="shared" si="41"/>
        <v>0</v>
      </c>
      <c r="Z48" s="219">
        <f t="shared" si="41"/>
        <v>0</v>
      </c>
      <c r="AA48" s="219">
        <f t="shared" si="41"/>
        <v>0</v>
      </c>
      <c r="AB48" s="219">
        <f t="shared" si="41"/>
        <v>0</v>
      </c>
      <c r="AC48" s="219">
        <v>0</v>
      </c>
      <c r="AD48" s="219">
        <f t="shared" si="35"/>
        <v>0</v>
      </c>
      <c r="AE48" s="219">
        <f t="shared" si="35"/>
        <v>0</v>
      </c>
      <c r="AF48" s="219">
        <f t="shared" si="35"/>
        <v>0</v>
      </c>
      <c r="AG48" s="219">
        <f t="shared" si="35"/>
        <v>0</v>
      </c>
      <c r="AH48" s="219">
        <f t="shared" si="31"/>
        <v>0</v>
      </c>
      <c r="AI48" s="219">
        <f t="shared" si="36"/>
        <v>0</v>
      </c>
      <c r="AJ48" s="219">
        <f t="shared" si="36"/>
        <v>0</v>
      </c>
      <c r="AK48" s="219">
        <f t="shared" si="32"/>
        <v>0</v>
      </c>
      <c r="AL48" s="219">
        <f t="shared" si="32"/>
        <v>0</v>
      </c>
      <c r="AM48" s="219">
        <f t="shared" si="14"/>
        <v>0</v>
      </c>
      <c r="AN48" s="219">
        <f t="shared" si="14"/>
        <v>0</v>
      </c>
      <c r="AO48" s="219">
        <f t="shared" si="14"/>
        <v>0</v>
      </c>
      <c r="AP48" s="219">
        <f t="shared" si="14"/>
        <v>0</v>
      </c>
      <c r="AQ48" s="219">
        <f t="shared" si="14"/>
        <v>0</v>
      </c>
      <c r="AR48" s="219">
        <f t="shared" ref="AR48" si="44">+AR16-AR32</f>
        <v>0</v>
      </c>
      <c r="AS48" s="219"/>
      <c r="AT48" s="219">
        <f t="shared" si="16"/>
        <v>0</v>
      </c>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row>
    <row r="49" spans="2:301" ht="15" hidden="1" customHeight="1" outlineLevel="1" x14ac:dyDescent="0.2">
      <c r="B49" s="250" t="s">
        <v>517</v>
      </c>
      <c r="C49" s="219">
        <f t="shared" ref="C49:X49" si="45">+C17-C33</f>
        <v>0</v>
      </c>
      <c r="D49" s="219">
        <f t="shared" si="45"/>
        <v>0</v>
      </c>
      <c r="E49" s="219">
        <f t="shared" si="45"/>
        <v>0</v>
      </c>
      <c r="F49" s="219">
        <f t="shared" si="45"/>
        <v>0</v>
      </c>
      <c r="G49" s="219">
        <f t="shared" si="45"/>
        <v>0</v>
      </c>
      <c r="H49" s="219">
        <f t="shared" si="45"/>
        <v>0</v>
      </c>
      <c r="I49" s="219">
        <f t="shared" si="45"/>
        <v>0</v>
      </c>
      <c r="J49" s="219">
        <f t="shared" si="45"/>
        <v>0</v>
      </c>
      <c r="K49" s="219">
        <f t="shared" si="45"/>
        <v>0</v>
      </c>
      <c r="L49" s="219">
        <f t="shared" si="45"/>
        <v>0</v>
      </c>
      <c r="M49" s="219">
        <f t="shared" si="45"/>
        <v>0</v>
      </c>
      <c r="N49" s="219">
        <f t="shared" si="45"/>
        <v>0</v>
      </c>
      <c r="O49" s="219">
        <f t="shared" si="45"/>
        <v>0</v>
      </c>
      <c r="P49" s="219">
        <f t="shared" si="45"/>
        <v>0</v>
      </c>
      <c r="Q49" s="219">
        <f t="shared" si="45"/>
        <v>0</v>
      </c>
      <c r="R49" s="219">
        <f t="shared" si="45"/>
        <v>0</v>
      </c>
      <c r="S49" s="219">
        <f t="shared" si="45"/>
        <v>0</v>
      </c>
      <c r="T49" s="219">
        <f t="shared" si="45"/>
        <v>0</v>
      </c>
      <c r="U49" s="219">
        <f t="shared" si="45"/>
        <v>0</v>
      </c>
      <c r="V49" s="219">
        <f t="shared" si="45"/>
        <v>0</v>
      </c>
      <c r="W49" s="219">
        <f t="shared" si="45"/>
        <v>0</v>
      </c>
      <c r="X49" s="219">
        <f t="shared" si="45"/>
        <v>0</v>
      </c>
      <c r="Y49" s="219">
        <f t="shared" si="41"/>
        <v>0</v>
      </c>
      <c r="Z49" s="219">
        <f t="shared" si="41"/>
        <v>0</v>
      </c>
      <c r="AA49" s="219">
        <f t="shared" si="41"/>
        <v>0</v>
      </c>
      <c r="AB49" s="219">
        <f t="shared" si="41"/>
        <v>0</v>
      </c>
      <c r="AC49" s="219">
        <v>0</v>
      </c>
      <c r="AD49" s="219">
        <f t="shared" si="35"/>
        <v>0</v>
      </c>
      <c r="AE49" s="219">
        <f t="shared" si="35"/>
        <v>0</v>
      </c>
      <c r="AF49" s="219">
        <f t="shared" si="35"/>
        <v>0</v>
      </c>
      <c r="AG49" s="219">
        <f t="shared" si="35"/>
        <v>0</v>
      </c>
      <c r="AH49" s="219">
        <f t="shared" si="31"/>
        <v>0</v>
      </c>
      <c r="AI49" s="219">
        <f t="shared" si="36"/>
        <v>0</v>
      </c>
      <c r="AJ49" s="219">
        <f t="shared" si="36"/>
        <v>0</v>
      </c>
      <c r="AK49" s="219">
        <f t="shared" si="32"/>
        <v>0</v>
      </c>
      <c r="AL49" s="219">
        <f t="shared" si="32"/>
        <v>0</v>
      </c>
      <c r="AM49" s="219">
        <f t="shared" si="14"/>
        <v>0</v>
      </c>
      <c r="AN49" s="219">
        <f t="shared" si="14"/>
        <v>0</v>
      </c>
      <c r="AO49" s="219">
        <f t="shared" si="14"/>
        <v>0</v>
      </c>
      <c r="AP49" s="219">
        <f t="shared" si="14"/>
        <v>0</v>
      </c>
      <c r="AQ49" s="219">
        <f t="shared" si="14"/>
        <v>0</v>
      </c>
      <c r="AR49" s="219">
        <f t="shared" ref="AR49" si="46">+AR17-AR33</f>
        <v>0</v>
      </c>
      <c r="AS49" s="219"/>
      <c r="AT49" s="219">
        <f t="shared" si="16"/>
        <v>0</v>
      </c>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row>
    <row r="50" spans="2:301" s="249" customFormat="1" hidden="1" outlineLevel="1" x14ac:dyDescent="0.2">
      <c r="B50" s="250" t="s">
        <v>550</v>
      </c>
      <c r="C50" s="219">
        <f t="shared" ref="C50:X50" si="47">+C18-C34</f>
        <v>0</v>
      </c>
      <c r="D50" s="219">
        <f t="shared" si="47"/>
        <v>0</v>
      </c>
      <c r="E50" s="219">
        <f t="shared" si="47"/>
        <v>0</v>
      </c>
      <c r="F50" s="219">
        <f t="shared" si="47"/>
        <v>0</v>
      </c>
      <c r="G50" s="219">
        <f t="shared" si="47"/>
        <v>0</v>
      </c>
      <c r="H50" s="219">
        <f t="shared" si="47"/>
        <v>0</v>
      </c>
      <c r="I50" s="219">
        <f t="shared" si="47"/>
        <v>0</v>
      </c>
      <c r="J50" s="219">
        <f t="shared" si="47"/>
        <v>0</v>
      </c>
      <c r="K50" s="219">
        <f t="shared" si="47"/>
        <v>0</v>
      </c>
      <c r="L50" s="219">
        <f t="shared" si="47"/>
        <v>0</v>
      </c>
      <c r="M50" s="219">
        <f t="shared" si="47"/>
        <v>0</v>
      </c>
      <c r="N50" s="219">
        <f t="shared" si="47"/>
        <v>0</v>
      </c>
      <c r="O50" s="219">
        <f t="shared" si="47"/>
        <v>0</v>
      </c>
      <c r="P50" s="219">
        <f t="shared" si="47"/>
        <v>0</v>
      </c>
      <c r="Q50" s="219">
        <f t="shared" si="47"/>
        <v>0</v>
      </c>
      <c r="R50" s="219">
        <f t="shared" si="47"/>
        <v>0</v>
      </c>
      <c r="S50" s="219">
        <f t="shared" si="47"/>
        <v>0</v>
      </c>
      <c r="T50" s="219">
        <f t="shared" si="47"/>
        <v>0</v>
      </c>
      <c r="U50" s="219">
        <f t="shared" si="47"/>
        <v>0</v>
      </c>
      <c r="V50" s="219">
        <f t="shared" si="47"/>
        <v>0</v>
      </c>
      <c r="W50" s="219">
        <f t="shared" si="47"/>
        <v>0</v>
      </c>
      <c r="X50" s="219">
        <f t="shared" si="47"/>
        <v>0</v>
      </c>
      <c r="Y50" s="219">
        <v>0</v>
      </c>
      <c r="Z50" s="219">
        <f t="shared" ref="Z50:AC51" si="48">+Z18-Z34</f>
        <v>0</v>
      </c>
      <c r="AA50" s="219">
        <f t="shared" si="48"/>
        <v>0</v>
      </c>
      <c r="AB50" s="219">
        <f t="shared" si="48"/>
        <v>0</v>
      </c>
      <c r="AC50" s="219">
        <f t="shared" si="48"/>
        <v>0</v>
      </c>
      <c r="AD50" s="219">
        <f t="shared" si="35"/>
        <v>0</v>
      </c>
      <c r="AE50" s="219">
        <f t="shared" si="35"/>
        <v>0</v>
      </c>
      <c r="AF50" s="219">
        <f t="shared" si="35"/>
        <v>0</v>
      </c>
      <c r="AG50" s="219">
        <f t="shared" si="35"/>
        <v>0</v>
      </c>
      <c r="AH50" s="219">
        <f t="shared" si="31"/>
        <v>0</v>
      </c>
      <c r="AI50" s="219">
        <f t="shared" si="36"/>
        <v>0</v>
      </c>
      <c r="AJ50" s="219">
        <f t="shared" si="36"/>
        <v>0</v>
      </c>
      <c r="AK50" s="219">
        <f t="shared" si="32"/>
        <v>0</v>
      </c>
      <c r="AL50" s="219">
        <f t="shared" si="32"/>
        <v>0</v>
      </c>
      <c r="AM50" s="219">
        <f t="shared" si="14"/>
        <v>0</v>
      </c>
      <c r="AN50" s="219">
        <f t="shared" si="14"/>
        <v>0</v>
      </c>
      <c r="AO50" s="219">
        <f t="shared" si="14"/>
        <v>0</v>
      </c>
      <c r="AP50" s="219">
        <f t="shared" si="14"/>
        <v>0</v>
      </c>
      <c r="AQ50" s="219">
        <f t="shared" si="14"/>
        <v>0</v>
      </c>
      <c r="AR50" s="219">
        <f t="shared" ref="AR50" si="49">+AR18-AR34</f>
        <v>0</v>
      </c>
      <c r="AS50" s="219"/>
      <c r="AT50" s="219">
        <f t="shared" si="16"/>
        <v>0</v>
      </c>
    </row>
    <row r="51" spans="2:301" collapsed="1" x14ac:dyDescent="0.2">
      <c r="B51" s="127" t="s">
        <v>551</v>
      </c>
      <c r="C51" s="120">
        <f t="shared" ref="C51:X51" si="50">+C19-C35</f>
        <v>4673</v>
      </c>
      <c r="D51" s="120">
        <f t="shared" si="50"/>
        <v>2862</v>
      </c>
      <c r="E51" s="120">
        <f t="shared" si="50"/>
        <v>1939</v>
      </c>
      <c r="F51" s="120">
        <f t="shared" si="50"/>
        <v>1909</v>
      </c>
      <c r="G51" s="120">
        <f t="shared" si="50"/>
        <v>2935</v>
      </c>
      <c r="H51" s="120">
        <f t="shared" si="50"/>
        <v>-464</v>
      </c>
      <c r="I51" s="120">
        <f t="shared" si="50"/>
        <v>-2090</v>
      </c>
      <c r="J51" s="120">
        <f t="shared" si="50"/>
        <v>-14866</v>
      </c>
      <c r="K51" s="120">
        <f t="shared" si="50"/>
        <v>578</v>
      </c>
      <c r="L51" s="120">
        <f t="shared" si="50"/>
        <v>-596</v>
      </c>
      <c r="M51" s="120">
        <f t="shared" si="50"/>
        <v>-1101</v>
      </c>
      <c r="N51" s="120">
        <f t="shared" si="50"/>
        <v>-3387</v>
      </c>
      <c r="O51" s="120">
        <f t="shared" si="50"/>
        <v>-674</v>
      </c>
      <c r="P51" s="120">
        <f t="shared" si="50"/>
        <v>-4544</v>
      </c>
      <c r="Q51" s="120">
        <f t="shared" si="50"/>
        <v>-117</v>
      </c>
      <c r="R51" s="120">
        <f t="shared" si="50"/>
        <v>-1210</v>
      </c>
      <c r="S51" s="120">
        <f t="shared" si="50"/>
        <v>-66</v>
      </c>
      <c r="T51" s="120">
        <f t="shared" si="50"/>
        <v>-56</v>
      </c>
      <c r="U51" s="120">
        <f t="shared" si="50"/>
        <v>-380</v>
      </c>
      <c r="V51" s="120">
        <f t="shared" si="50"/>
        <v>-2732</v>
      </c>
      <c r="W51" s="120">
        <f t="shared" si="50"/>
        <v>239</v>
      </c>
      <c r="X51" s="120">
        <f t="shared" si="50"/>
        <v>741</v>
      </c>
      <c r="Y51" s="120">
        <f>+Y19-Y35</f>
        <v>-77</v>
      </c>
      <c r="Z51" s="120">
        <f t="shared" si="48"/>
        <v>-3708</v>
      </c>
      <c r="AA51" s="120">
        <f t="shared" si="48"/>
        <v>173</v>
      </c>
      <c r="AB51" s="120">
        <f t="shared" si="48"/>
        <v>62</v>
      </c>
      <c r="AC51" s="120">
        <f t="shared" si="48"/>
        <v>-232</v>
      </c>
      <c r="AD51" s="120">
        <f t="shared" si="35"/>
        <v>-1488</v>
      </c>
      <c r="AE51" s="120">
        <f t="shared" si="35"/>
        <v>131</v>
      </c>
      <c r="AF51" s="120">
        <f t="shared" si="35"/>
        <v>3694</v>
      </c>
      <c r="AG51" s="120">
        <f t="shared" si="35"/>
        <v>336</v>
      </c>
      <c r="AH51" s="120">
        <f t="shared" si="31"/>
        <v>2312</v>
      </c>
      <c r="AI51" s="120">
        <f t="shared" si="36"/>
        <v>-114</v>
      </c>
      <c r="AJ51" s="120">
        <f t="shared" si="36"/>
        <v>-170</v>
      </c>
      <c r="AK51" s="120">
        <f t="shared" si="32"/>
        <v>-151</v>
      </c>
      <c r="AL51" s="120">
        <f t="shared" si="32"/>
        <v>6438</v>
      </c>
      <c r="AM51" s="120">
        <f t="shared" si="14"/>
        <v>655</v>
      </c>
      <c r="AN51" s="120">
        <f t="shared" si="14"/>
        <v>2731</v>
      </c>
      <c r="AO51" s="120">
        <f t="shared" si="14"/>
        <v>187</v>
      </c>
      <c r="AP51" s="120">
        <f t="shared" si="14"/>
        <v>-1603</v>
      </c>
      <c r="AQ51" s="120">
        <f t="shared" si="14"/>
        <v>137</v>
      </c>
      <c r="AR51" s="120">
        <f t="shared" ref="AR51" si="51">+AR19-AR35</f>
        <v>76</v>
      </c>
      <c r="AS51" s="120">
        <f t="shared" si="16"/>
        <v>-185</v>
      </c>
      <c r="AT51" s="120">
        <f t="shared" si="16"/>
        <v>-178</v>
      </c>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row>
    <row r="52" spans="2:301" x14ac:dyDescent="0.2">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row>
    <row r="53" spans="2:301" s="27" customFormat="1" ht="12" x14ac:dyDescent="0.2"/>
    <row r="54" spans="2:301" x14ac:dyDescent="0.2">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row>
    <row r="55" spans="2:301" ht="15" customHeight="1" x14ac:dyDescent="0.2">
      <c r="B55" s="169"/>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row>
    <row r="56" spans="2:301" x14ac:dyDescent="0.2">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row>
    <row r="57" spans="2:301" x14ac:dyDescent="0.2">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row>
    <row r="58" spans="2:301" x14ac:dyDescent="0.2">
      <c r="B58" s="169"/>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row>
    <row r="59" spans="2:301" ht="15" customHeight="1" x14ac:dyDescent="0.2">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row>
    <row r="60" spans="2:301" ht="15" customHeight="1" x14ac:dyDescent="0.2">
      <c r="B60" s="169"/>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row>
    <row r="61" spans="2:301" x14ac:dyDescent="0.2">
      <c r="B61" s="169"/>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row>
    <row r="62" spans="2:301" ht="15" customHeight="1" x14ac:dyDescent="0.2">
      <c r="B62" s="154"/>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row>
    <row r="63" spans="2:301" x14ac:dyDescent="0.2">
      <c r="B63" s="169"/>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row>
    <row r="64" spans="2:301" ht="15.75" customHeight="1" x14ac:dyDescent="0.2">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row>
    <row r="65" spans="2:301" x14ac:dyDescent="0.2">
      <c r="B65" s="169"/>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row>
    <row r="66" spans="2:301" x14ac:dyDescent="0.2">
      <c r="B66" s="169"/>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row>
    <row r="67" spans="2:301" x14ac:dyDescent="0.2">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row>
    <row r="68" spans="2:301" x14ac:dyDescent="0.2">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row>
    <row r="69" spans="2:301" x14ac:dyDescent="0.2">
      <c r="B69" s="154"/>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row>
    <row r="70" spans="2:301" x14ac:dyDescent="0.2">
      <c r="B70" s="154"/>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row>
    <row r="71" spans="2:301" x14ac:dyDescent="0.2">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row>
    <row r="72" spans="2:301" x14ac:dyDescent="0.2">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row>
    <row r="73" spans="2:301" s="28" customFormat="1" ht="12.75" x14ac:dyDescent="0.2"/>
    <row r="74" spans="2:301" s="28" customFormat="1" ht="12.75" x14ac:dyDescent="0.2"/>
    <row r="75" spans="2:301" s="28" customFormat="1" ht="12.75" x14ac:dyDescent="0.2"/>
    <row r="76" spans="2:301" s="28" customFormat="1" ht="12.75" x14ac:dyDescent="0.2"/>
    <row r="77" spans="2:301" s="28" customFormat="1" ht="12.75" x14ac:dyDescent="0.2"/>
    <row r="78" spans="2:301" s="28" customFormat="1" ht="12.75" x14ac:dyDescent="0.2"/>
    <row r="79" spans="2:301" s="28" customFormat="1" ht="12.75" x14ac:dyDescent="0.2"/>
    <row r="80" spans="2:301" s="28" customFormat="1" ht="12.75" x14ac:dyDescent="0.2"/>
    <row r="81" s="28" customFormat="1" ht="12.75" x14ac:dyDescent="0.2"/>
    <row r="82" s="28" customFormat="1" ht="12.75" x14ac:dyDescent="0.2"/>
    <row r="83" s="28" customFormat="1" ht="12.75" x14ac:dyDescent="0.2"/>
    <row r="84" s="28" customFormat="1" ht="12.75" x14ac:dyDescent="0.2"/>
    <row r="85" s="28" customFormat="1" ht="12.75" x14ac:dyDescent="0.2"/>
    <row r="86" s="28" customFormat="1" ht="12.75" x14ac:dyDescent="0.2"/>
    <row r="87" s="28" customFormat="1" ht="12.75" x14ac:dyDescent="0.2"/>
    <row r="88" s="28" customFormat="1" ht="12.75" x14ac:dyDescent="0.2"/>
    <row r="89" s="28" customFormat="1" ht="12.75" x14ac:dyDescent="0.2"/>
    <row r="90" s="28" customFormat="1" ht="12.75" x14ac:dyDescent="0.2"/>
    <row r="91" s="28" customFormat="1" ht="12.75" x14ac:dyDescent="0.2"/>
    <row r="92" s="28" customFormat="1" ht="12.75" x14ac:dyDescent="0.2"/>
    <row r="93" s="28" customFormat="1" ht="15" customHeight="1" x14ac:dyDescent="0.2"/>
    <row r="94" s="28" customFormat="1" ht="12.75" x14ac:dyDescent="0.2"/>
    <row r="95" s="28" customFormat="1" ht="12.75" x14ac:dyDescent="0.2"/>
    <row r="96" s="28" customFormat="1" ht="12.75" x14ac:dyDescent="0.2"/>
    <row r="97" s="28" customFormat="1" ht="14.25" customHeight="1" x14ac:dyDescent="0.2"/>
    <row r="98" s="28" customFormat="1" ht="12.75" x14ac:dyDescent="0.2"/>
    <row r="99" s="28" customFormat="1" ht="12.75" x14ac:dyDescent="0.2"/>
    <row r="100" s="28" customFormat="1" ht="12.75" x14ac:dyDescent="0.2"/>
    <row r="101" s="28" customFormat="1" ht="12.75" x14ac:dyDescent="0.2"/>
    <row r="102" s="28" customFormat="1" ht="12.75" x14ac:dyDescent="0.2"/>
    <row r="103" s="28" customFormat="1" ht="12.75" x14ac:dyDescent="0.2"/>
    <row r="104" s="28" customFormat="1" ht="12.75" x14ac:dyDescent="0.2"/>
    <row r="105" s="28" customFormat="1" ht="12.75" x14ac:dyDescent="0.2"/>
    <row r="106" s="28" customFormat="1" ht="12.75" x14ac:dyDescent="0.2"/>
    <row r="107" s="28" customFormat="1" ht="12.75" x14ac:dyDescent="0.2"/>
    <row r="108" s="28" customFormat="1" ht="12.75" x14ac:dyDescent="0.2"/>
    <row r="109" s="28" customFormat="1" ht="12.75" x14ac:dyDescent="0.2"/>
    <row r="110" s="28" customFormat="1" ht="12.75" x14ac:dyDescent="0.2"/>
    <row r="111" s="28" customFormat="1" ht="12.75" x14ac:dyDescent="0.2"/>
    <row r="112" s="28" customFormat="1" ht="12.75" x14ac:dyDescent="0.2"/>
    <row r="113" s="28" customFormat="1" ht="12.75" x14ac:dyDescent="0.2"/>
    <row r="114" s="28" customFormat="1" ht="12.75" x14ac:dyDescent="0.2"/>
    <row r="115" s="28" customFormat="1" ht="12.75" x14ac:dyDescent="0.2"/>
    <row r="116" s="28" customFormat="1" ht="12.75" x14ac:dyDescent="0.2"/>
    <row r="117" s="28" customFormat="1" ht="12.75" x14ac:dyDescent="0.2"/>
    <row r="118" s="28" customFormat="1" ht="12.75" x14ac:dyDescent="0.2"/>
    <row r="119" s="28" customFormat="1" ht="12.75" x14ac:dyDescent="0.2"/>
    <row r="120" s="28" customFormat="1" ht="15" customHeight="1" x14ac:dyDescent="0.2"/>
    <row r="121" s="28" customFormat="1" ht="12.75" x14ac:dyDescent="0.2"/>
    <row r="122" s="28" customFormat="1" ht="12.75" x14ac:dyDescent="0.2"/>
    <row r="123" s="28" customFormat="1" ht="12.75" x14ac:dyDescent="0.2"/>
    <row r="124" s="28" customFormat="1" ht="20.25" customHeight="1" x14ac:dyDescent="0.2"/>
    <row r="125" s="28" customFormat="1" ht="12.75" x14ac:dyDescent="0.2"/>
    <row r="126" s="28" customFormat="1" ht="12.75" x14ac:dyDescent="0.2"/>
    <row r="127" s="28" customFormat="1" ht="12.75" x14ac:dyDescent="0.2"/>
    <row r="128" s="28" customFormat="1" ht="12.75" x14ac:dyDescent="0.2"/>
    <row r="129" s="28" customFormat="1" ht="12.75" x14ac:dyDescent="0.2"/>
    <row r="130" s="28" customFormat="1" ht="12.75" x14ac:dyDescent="0.2"/>
    <row r="131" s="28" customFormat="1" ht="12.75" x14ac:dyDescent="0.2"/>
    <row r="132" s="28" customFormat="1" ht="12.75" x14ac:dyDescent="0.2"/>
    <row r="133" s="28" customFormat="1" ht="12.75" x14ac:dyDescent="0.2"/>
    <row r="134" s="28" customFormat="1" ht="12.75" x14ac:dyDescent="0.2"/>
    <row r="135" s="28" customFormat="1" ht="12.75" x14ac:dyDescent="0.2"/>
    <row r="136" s="28" customFormat="1" ht="12.75" x14ac:dyDescent="0.2"/>
    <row r="137" s="28" customFormat="1" ht="12.75" x14ac:dyDescent="0.2"/>
    <row r="138" s="28" customFormat="1" ht="12.75" x14ac:dyDescent="0.2"/>
    <row r="139" s="28" customFormat="1" ht="12.75" x14ac:dyDescent="0.2"/>
    <row r="140" s="28" customFormat="1" ht="12.75" x14ac:dyDescent="0.2"/>
    <row r="141" s="28" customFormat="1" ht="12.75" x14ac:dyDescent="0.2"/>
    <row r="142" s="28" customFormat="1" ht="12.75" x14ac:dyDescent="0.2"/>
    <row r="143" s="28" customFormat="1" ht="12.75" x14ac:dyDescent="0.2"/>
    <row r="144" s="28" customFormat="1" ht="12.75" x14ac:dyDescent="0.2"/>
    <row r="145" s="28" customFormat="1" ht="12.75" x14ac:dyDescent="0.2"/>
    <row r="146" s="28" customFormat="1" ht="12.75" x14ac:dyDescent="0.2"/>
    <row r="147" s="28" customFormat="1" ht="12.75" x14ac:dyDescent="0.2"/>
    <row r="148" s="28" customFormat="1" ht="12.75" x14ac:dyDescent="0.2"/>
    <row r="149" s="28" customFormat="1" ht="12.75" x14ac:dyDescent="0.2"/>
    <row r="150" s="28" customFormat="1" ht="15" customHeight="1" x14ac:dyDescent="0.2"/>
    <row r="151" s="28" customFormat="1" ht="12.75" x14ac:dyDescent="0.2"/>
    <row r="152" s="28" customFormat="1" ht="12.75" x14ac:dyDescent="0.2"/>
    <row r="153" s="28" customFormat="1" ht="12.75" x14ac:dyDescent="0.2"/>
    <row r="154" s="28" customFormat="1" ht="12.75" x14ac:dyDescent="0.2"/>
    <row r="155" s="28" customFormat="1" ht="12.75" x14ac:dyDescent="0.2"/>
    <row r="156" s="28" customFormat="1" ht="12.75" x14ac:dyDescent="0.2"/>
    <row r="157" s="28" customFormat="1" ht="12.75" x14ac:dyDescent="0.2"/>
    <row r="158" s="28" customFormat="1" ht="12.75" x14ac:dyDescent="0.2"/>
    <row r="159" s="28" customFormat="1" ht="12.75" x14ac:dyDescent="0.2"/>
    <row r="160" s="28" customFormat="1" ht="12.75" x14ac:dyDescent="0.2"/>
    <row r="161" s="28" customFormat="1" ht="12.75" x14ac:dyDescent="0.2"/>
    <row r="162" s="28" customFormat="1" ht="12.75" x14ac:dyDescent="0.2"/>
    <row r="163" s="28" customFormat="1" ht="12.75" x14ac:dyDescent="0.2"/>
    <row r="164" s="28" customFormat="1" ht="12.75" x14ac:dyDescent="0.2"/>
    <row r="165" s="28" customFormat="1" ht="12.75" x14ac:dyDescent="0.2"/>
    <row r="166" s="28" customFormat="1" ht="12.75" x14ac:dyDescent="0.2"/>
    <row r="167" s="28" customFormat="1" ht="12.75" x14ac:dyDescent="0.2"/>
    <row r="168" s="28" customFormat="1" ht="12.75" x14ac:dyDescent="0.2"/>
    <row r="169" s="28" customFormat="1" ht="12.75" x14ac:dyDescent="0.2"/>
    <row r="170" s="28" customFormat="1" ht="12.75" x14ac:dyDescent="0.2"/>
    <row r="171" s="28" customFormat="1" ht="12.75" x14ac:dyDescent="0.2"/>
    <row r="172" s="28" customFormat="1" ht="26.25" customHeight="1" x14ac:dyDescent="0.2"/>
    <row r="173" s="28" customFormat="1" ht="14.25" customHeight="1" x14ac:dyDescent="0.2"/>
    <row r="174" s="28" customFormat="1" ht="12.75" x14ac:dyDescent="0.2"/>
    <row r="175" s="28" customFormat="1" ht="12.75" x14ac:dyDescent="0.2"/>
    <row r="176" s="28" customFormat="1" ht="12.75" x14ac:dyDescent="0.2"/>
    <row r="177" s="28" customFormat="1" ht="12.75" x14ac:dyDescent="0.2"/>
    <row r="178" s="28" customFormat="1" ht="12.75" x14ac:dyDescent="0.2"/>
    <row r="179" s="28" customFormat="1" ht="12.75" x14ac:dyDescent="0.2"/>
    <row r="180" s="28" customFormat="1" ht="14.25" customHeight="1" x14ac:dyDescent="0.2"/>
    <row r="181" s="28" customFormat="1" ht="12.75" x14ac:dyDescent="0.2"/>
    <row r="182" s="28" customFormat="1" ht="12.75" x14ac:dyDescent="0.2"/>
    <row r="183" s="28" customFormat="1" ht="12.75" x14ac:dyDescent="0.2"/>
    <row r="184" s="28" customFormat="1" ht="12.75" x14ac:dyDescent="0.2"/>
    <row r="185" s="28" customFormat="1" ht="12.75" x14ac:dyDescent="0.2"/>
    <row r="186" s="28" customFormat="1" ht="12.75" x14ac:dyDescent="0.2"/>
    <row r="187" s="28" customFormat="1" ht="12.75" x14ac:dyDescent="0.2"/>
    <row r="188" s="28" customFormat="1" ht="12.75" x14ac:dyDescent="0.2"/>
    <row r="189" s="28" customFormat="1" ht="12.75" x14ac:dyDescent="0.2"/>
    <row r="190" s="28" customFormat="1" ht="12.75" x14ac:dyDescent="0.2"/>
    <row r="191" s="28" customFormat="1" ht="12.75" x14ac:dyDescent="0.2"/>
    <row r="192" s="28" customFormat="1" ht="12.75" x14ac:dyDescent="0.2"/>
    <row r="193" s="28" customFormat="1" ht="12.75" x14ac:dyDescent="0.2"/>
    <row r="194" s="28" customFormat="1" ht="12.75" x14ac:dyDescent="0.2"/>
    <row r="195" s="28" customFormat="1" ht="12.75" x14ac:dyDescent="0.2"/>
    <row r="196" s="28" customFormat="1" ht="12.75" x14ac:dyDescent="0.2"/>
    <row r="197" s="28" customFormat="1" ht="12.75" x14ac:dyDescent="0.2"/>
    <row r="198" s="28" customFormat="1" ht="12.75" x14ac:dyDescent="0.2"/>
    <row r="199" s="28" customFormat="1" ht="12.75" x14ac:dyDescent="0.2"/>
    <row r="200" s="28" customFormat="1" ht="12.75" x14ac:dyDescent="0.2"/>
    <row r="201" s="28" customFormat="1" ht="12.75" x14ac:dyDescent="0.2"/>
    <row r="202" s="28" customFormat="1" ht="12.75" x14ac:dyDescent="0.2"/>
    <row r="203" s="28" customFormat="1" ht="12.75" x14ac:dyDescent="0.2"/>
    <row r="204" s="28" customFormat="1" ht="12.75" x14ac:dyDescent="0.2"/>
    <row r="205" s="28" customFormat="1" ht="12.75" x14ac:dyDescent="0.2"/>
    <row r="206" s="28" customFormat="1" ht="12.75" x14ac:dyDescent="0.2"/>
    <row r="207" s="28" customFormat="1" ht="12.75" x14ac:dyDescent="0.2"/>
    <row r="208" s="28" customFormat="1" ht="12.75" x14ac:dyDescent="0.2"/>
    <row r="209" s="28" customFormat="1" ht="12.75" x14ac:dyDescent="0.2"/>
    <row r="210" s="28" customFormat="1" ht="12.75" x14ac:dyDescent="0.2"/>
    <row r="211" s="28" customFormat="1" ht="12.75" x14ac:dyDescent="0.2"/>
    <row r="212" s="28" customFormat="1" ht="12.75" x14ac:dyDescent="0.2"/>
    <row r="213" s="28" customFormat="1" ht="12.75" x14ac:dyDescent="0.2"/>
    <row r="214" s="28" customFormat="1" ht="12.75" x14ac:dyDescent="0.2"/>
    <row r="215" s="28" customFormat="1" ht="12.75" x14ac:dyDescent="0.2"/>
    <row r="216" s="28" customFormat="1" ht="12.75" x14ac:dyDescent="0.2"/>
    <row r="217" s="28" customFormat="1" ht="12.75" x14ac:dyDescent="0.2"/>
    <row r="218" s="28" customFormat="1" ht="12.75" x14ac:dyDescent="0.2"/>
    <row r="219" s="28" customFormat="1" ht="12.75" x14ac:dyDescent="0.2"/>
    <row r="220" s="28" customFormat="1" ht="12.75" x14ac:dyDescent="0.2"/>
    <row r="221" s="28" customFormat="1" ht="12.75" x14ac:dyDescent="0.2"/>
    <row r="222" s="28" customFormat="1" ht="12.75" x14ac:dyDescent="0.2"/>
    <row r="223" s="28" customFormat="1" ht="12.75" x14ac:dyDescent="0.2"/>
    <row r="224" s="28" customFormat="1" ht="12.75" x14ac:dyDescent="0.2"/>
    <row r="225" s="28" customFormat="1" ht="12.75" x14ac:dyDescent="0.2"/>
    <row r="226" s="28" customFormat="1" ht="12.75" x14ac:dyDescent="0.2"/>
    <row r="227" s="28" customFormat="1" ht="12.75" x14ac:dyDescent="0.2"/>
    <row r="228" s="28" customFormat="1" ht="12.75" x14ac:dyDescent="0.2"/>
    <row r="229" s="28" customFormat="1" ht="12.75" x14ac:dyDescent="0.2"/>
    <row r="230" s="28" customFormat="1" ht="12.75" x14ac:dyDescent="0.2"/>
    <row r="231" s="28" customFormat="1" ht="12.75" x14ac:dyDescent="0.2"/>
    <row r="232" s="28" customFormat="1" ht="12.75" x14ac:dyDescent="0.2"/>
    <row r="233" s="28" customFormat="1" ht="12.75" x14ac:dyDescent="0.2"/>
    <row r="234" s="28" customFormat="1" ht="12.75" x14ac:dyDescent="0.2"/>
    <row r="235" s="28" customFormat="1" ht="12.75" x14ac:dyDescent="0.2"/>
    <row r="236" s="28" customFormat="1" ht="12.75" x14ac:dyDescent="0.2"/>
    <row r="237" s="28" customFormat="1" ht="12.75" x14ac:dyDescent="0.2"/>
    <row r="238" s="28" customFormat="1" ht="12.75" x14ac:dyDescent="0.2"/>
    <row r="239" s="28" customFormat="1" ht="12.75" x14ac:dyDescent="0.2"/>
    <row r="240" s="28" customFormat="1" ht="12.75" x14ac:dyDescent="0.2"/>
    <row r="241" s="28" customFormat="1" ht="12.75" x14ac:dyDescent="0.2"/>
    <row r="242" s="28" customFormat="1" ht="12.75" x14ac:dyDescent="0.2"/>
    <row r="243" s="28" customFormat="1" ht="12.75" x14ac:dyDescent="0.2"/>
    <row r="244" s="28" customFormat="1" ht="12.75" x14ac:dyDescent="0.2"/>
    <row r="245" s="28" customFormat="1" ht="12.75" x14ac:dyDescent="0.2"/>
    <row r="246" s="28" customFormat="1" ht="12.75" x14ac:dyDescent="0.2"/>
    <row r="247" s="28" customFormat="1" ht="12.75" x14ac:dyDescent="0.2"/>
    <row r="248" s="28" customFormat="1" ht="12.75" x14ac:dyDescent="0.2"/>
    <row r="249" s="28" customFormat="1" ht="12.75" x14ac:dyDescent="0.2"/>
    <row r="250" s="28" customFormat="1" ht="12.75" x14ac:dyDescent="0.2"/>
    <row r="251" s="28" customFormat="1" ht="12.75" x14ac:dyDescent="0.2"/>
    <row r="252" s="28" customFormat="1" ht="12.75" x14ac:dyDescent="0.2"/>
    <row r="253" s="28" customFormat="1" ht="12.75" x14ac:dyDescent="0.2"/>
    <row r="254" s="28" customFormat="1" ht="12.75" x14ac:dyDescent="0.2"/>
    <row r="255" s="28" customFormat="1" ht="12.75" x14ac:dyDescent="0.2"/>
    <row r="256" s="28" customFormat="1" ht="12.75" x14ac:dyDescent="0.2"/>
    <row r="257" s="28" customFormat="1" ht="12.75" x14ac:dyDescent="0.2"/>
    <row r="258" s="28" customFormat="1" ht="12.75" x14ac:dyDescent="0.2"/>
    <row r="259" s="28" customFormat="1" ht="12.75" x14ac:dyDescent="0.2"/>
    <row r="260" s="28" customFormat="1" ht="12.75" x14ac:dyDescent="0.2"/>
    <row r="261" s="28" customFormat="1" ht="12.75" x14ac:dyDescent="0.2"/>
    <row r="262" s="28" customFormat="1" ht="12.75" x14ac:dyDescent="0.2"/>
    <row r="263" s="28" customFormat="1" ht="12.75" x14ac:dyDescent="0.2"/>
    <row r="264" s="28" customFormat="1" ht="12.75" x14ac:dyDescent="0.2"/>
    <row r="265" s="28" customFormat="1" ht="12.75" x14ac:dyDescent="0.2"/>
    <row r="266" s="28" customFormat="1" ht="12.75" x14ac:dyDescent="0.2"/>
    <row r="267" s="28" customFormat="1" ht="12.75" x14ac:dyDescent="0.2"/>
    <row r="268" s="28" customFormat="1" ht="12.75" x14ac:dyDescent="0.2"/>
    <row r="269" s="28" customFormat="1" ht="12.75" x14ac:dyDescent="0.2"/>
    <row r="270" s="28" customFormat="1" ht="12.75" x14ac:dyDescent="0.2"/>
    <row r="271" s="28" customFormat="1" ht="12.75" x14ac:dyDescent="0.2"/>
    <row r="272" s="28" customFormat="1" ht="12.75" x14ac:dyDescent="0.2"/>
    <row r="273" s="28" customFormat="1" ht="12.75" x14ac:dyDescent="0.2"/>
    <row r="274" s="28" customFormat="1" ht="12.75" x14ac:dyDescent="0.2"/>
    <row r="275" s="28" customFormat="1" ht="12.75" x14ac:dyDescent="0.2"/>
    <row r="276" s="28" customFormat="1" ht="12.75" x14ac:dyDescent="0.2"/>
    <row r="277" s="28" customFormat="1" ht="12.75" x14ac:dyDescent="0.2"/>
    <row r="278" s="28" customFormat="1" ht="12.75" x14ac:dyDescent="0.2"/>
    <row r="279" s="28" customFormat="1" ht="12.75" x14ac:dyDescent="0.2"/>
    <row r="280" s="28" customFormat="1" ht="12.75" x14ac:dyDescent="0.2"/>
    <row r="281" s="28" customFormat="1" ht="12.75" x14ac:dyDescent="0.2"/>
    <row r="282" s="28" customFormat="1" ht="12.75" x14ac:dyDescent="0.2"/>
    <row r="283" s="28" customFormat="1" ht="12.75" x14ac:dyDescent="0.2"/>
    <row r="284" s="28" customFormat="1" ht="12.75" x14ac:dyDescent="0.2"/>
    <row r="285" s="28" customFormat="1" ht="12.75" x14ac:dyDescent="0.2"/>
    <row r="286" s="28" customFormat="1" ht="12.75" x14ac:dyDescent="0.2"/>
    <row r="287" s="28" customFormat="1" ht="12.75" x14ac:dyDescent="0.2"/>
    <row r="288" s="28" customFormat="1" ht="12.75" x14ac:dyDescent="0.2"/>
    <row r="289" s="28" customFormat="1" ht="12.75" x14ac:dyDescent="0.2"/>
    <row r="290" s="28" customFormat="1" ht="12.75" x14ac:dyDescent="0.2"/>
    <row r="291" s="28" customFormat="1" ht="12.75" x14ac:dyDescent="0.2"/>
    <row r="292" s="28" customFormat="1" ht="12.75" x14ac:dyDescent="0.2"/>
    <row r="293" s="28" customFormat="1" ht="12.75" x14ac:dyDescent="0.2"/>
    <row r="294" s="28" customFormat="1" ht="12.75" x14ac:dyDescent="0.2"/>
    <row r="295" s="28" customFormat="1" ht="12.75" x14ac:dyDescent="0.2"/>
    <row r="296" s="28" customFormat="1" ht="12.75" x14ac:dyDescent="0.2"/>
    <row r="297" s="28" customFormat="1" ht="12.75" x14ac:dyDescent="0.2"/>
    <row r="298" s="28" customFormat="1" ht="12.75" x14ac:dyDescent="0.2"/>
    <row r="299" s="28" customFormat="1" ht="12.75" x14ac:dyDescent="0.2"/>
    <row r="300" s="28" customFormat="1" ht="12.75" x14ac:dyDescent="0.2"/>
    <row r="301" s="28" customFormat="1" ht="12.75" x14ac:dyDescent="0.2"/>
    <row r="302" s="28" customFormat="1" ht="12.75" x14ac:dyDescent="0.2"/>
    <row r="303" s="28" customFormat="1" ht="12.75" x14ac:dyDescent="0.2"/>
    <row r="304" s="28" customFormat="1" ht="12.75" x14ac:dyDescent="0.2"/>
    <row r="305" s="28" customFormat="1" ht="12.75" x14ac:dyDescent="0.2"/>
    <row r="306" s="28" customFormat="1" ht="12.75" x14ac:dyDescent="0.2"/>
    <row r="307" s="28" customFormat="1" ht="12.75" x14ac:dyDescent="0.2"/>
    <row r="308" s="28" customFormat="1" ht="12.75" x14ac:dyDescent="0.2"/>
    <row r="309" s="28" customFormat="1" ht="12.75" x14ac:dyDescent="0.2"/>
    <row r="310" s="28" customFormat="1" ht="12.75" x14ac:dyDescent="0.2"/>
    <row r="311" s="28" customFormat="1" ht="12.75" x14ac:dyDescent="0.2"/>
    <row r="312" s="28" customFormat="1" ht="12.75" x14ac:dyDescent="0.2"/>
    <row r="313" s="28" customFormat="1" ht="12.75" x14ac:dyDescent="0.2"/>
    <row r="314" s="28" customFormat="1" ht="12.75" x14ac:dyDescent="0.2"/>
    <row r="315" s="28" customFormat="1" ht="12.75" x14ac:dyDescent="0.2"/>
    <row r="316" s="28" customFormat="1" ht="12.75" x14ac:dyDescent="0.2"/>
    <row r="317" s="28" customFormat="1" ht="12.75" x14ac:dyDescent="0.2"/>
    <row r="318" s="28" customFormat="1" ht="12.75" x14ac:dyDescent="0.2"/>
    <row r="319" s="28" customFormat="1" ht="12.75" x14ac:dyDescent="0.2"/>
    <row r="320" s="28" customFormat="1" ht="12.75" x14ac:dyDescent="0.2"/>
    <row r="321" s="28" customFormat="1" ht="12.75" x14ac:dyDescent="0.2"/>
    <row r="322" s="28" customFormat="1" ht="12.75" x14ac:dyDescent="0.2"/>
    <row r="323" s="28" customFormat="1" ht="12.75" x14ac:dyDescent="0.2"/>
    <row r="324" s="28" customFormat="1" ht="12.75" x14ac:dyDescent="0.2"/>
    <row r="325" s="28" customFormat="1" ht="12.75" x14ac:dyDescent="0.2"/>
    <row r="326" s="28" customFormat="1" ht="12.75" x14ac:dyDescent="0.2"/>
    <row r="327" s="28" customFormat="1" ht="12.75" x14ac:dyDescent="0.2"/>
    <row r="328" s="28" customFormat="1" ht="12.75" x14ac:dyDescent="0.2"/>
    <row r="329" s="28" customFormat="1" ht="12.75" x14ac:dyDescent="0.2"/>
    <row r="330" s="28" customFormat="1" ht="12.75" x14ac:dyDescent="0.2"/>
    <row r="331" s="28" customFormat="1" ht="12.75" x14ac:dyDescent="0.2"/>
    <row r="332" s="28" customFormat="1" ht="12.75" x14ac:dyDescent="0.2"/>
    <row r="333" s="28" customFormat="1" ht="12.75" x14ac:dyDescent="0.2"/>
    <row r="334" s="28" customFormat="1" ht="12.75" x14ac:dyDescent="0.2"/>
    <row r="335" s="28" customFormat="1" ht="12.75" x14ac:dyDescent="0.2"/>
    <row r="336" s="28" customFormat="1" ht="12.75" x14ac:dyDescent="0.2"/>
    <row r="337" s="28" customFormat="1" ht="12.75" x14ac:dyDescent="0.2"/>
    <row r="338" s="28" customFormat="1" ht="12.75" x14ac:dyDescent="0.2"/>
    <row r="339" s="28" customFormat="1" ht="12.75" x14ac:dyDescent="0.2"/>
    <row r="340" s="28" customFormat="1" ht="12.75" x14ac:dyDescent="0.2"/>
    <row r="341" s="28" customFormat="1" ht="12.75" x14ac:dyDescent="0.2"/>
    <row r="342" s="28" customFormat="1" ht="12.75" x14ac:dyDescent="0.2"/>
    <row r="343" s="28" customFormat="1" ht="12.75" x14ac:dyDescent="0.2"/>
    <row r="344" s="28" customFormat="1" ht="12.75" x14ac:dyDescent="0.2"/>
    <row r="345" s="28" customFormat="1" ht="12.75" x14ac:dyDescent="0.2"/>
    <row r="346" s="28" customFormat="1" ht="12.75" x14ac:dyDescent="0.2"/>
    <row r="347" s="28" customFormat="1" ht="12.75" x14ac:dyDescent="0.2"/>
    <row r="348" s="28" customFormat="1" ht="12.75" x14ac:dyDescent="0.2"/>
    <row r="349" s="28" customFormat="1" ht="12.75" x14ac:dyDescent="0.2"/>
    <row r="350" s="28" customFormat="1" ht="12.75" x14ac:dyDescent="0.2"/>
    <row r="351" s="28" customFormat="1" ht="12.75" x14ac:dyDescent="0.2"/>
    <row r="352" s="28" customFormat="1" ht="12.75" x14ac:dyDescent="0.2"/>
    <row r="353" s="28" customFormat="1" ht="12.75" x14ac:dyDescent="0.2"/>
    <row r="354" s="28" customFormat="1" ht="12.75" x14ac:dyDescent="0.2"/>
    <row r="355" s="28" customFormat="1" ht="12.75" x14ac:dyDescent="0.2"/>
    <row r="356" s="28" customFormat="1" ht="12.75" x14ac:dyDescent="0.2"/>
    <row r="357" s="28" customFormat="1" ht="12.75" x14ac:dyDescent="0.2"/>
    <row r="358" s="28" customFormat="1" ht="12.75" x14ac:dyDescent="0.2"/>
    <row r="359" s="28" customFormat="1" ht="12.75" x14ac:dyDescent="0.2"/>
    <row r="360" s="28" customFormat="1" ht="12.75" x14ac:dyDescent="0.2"/>
    <row r="361" s="28" customFormat="1" ht="12.75" x14ac:dyDescent="0.2"/>
    <row r="362" s="28" customFormat="1" ht="12.75" x14ac:dyDescent="0.2"/>
    <row r="363" s="28" customFormat="1" ht="12.75" x14ac:dyDescent="0.2"/>
    <row r="364" s="28" customFormat="1" ht="12.75" x14ac:dyDescent="0.2"/>
    <row r="365" s="28" customFormat="1" ht="12.75" x14ac:dyDescent="0.2"/>
    <row r="366" s="28" customFormat="1" ht="12.75" x14ac:dyDescent="0.2"/>
    <row r="367" s="28" customFormat="1" ht="12.75" x14ac:dyDescent="0.2"/>
    <row r="368" s="28" customFormat="1" ht="12.75" x14ac:dyDescent="0.2"/>
    <row r="369" s="28" customFormat="1" ht="12.75" x14ac:dyDescent="0.2"/>
    <row r="370" s="28" customFormat="1" ht="12.75" x14ac:dyDescent="0.2"/>
    <row r="371" s="28" customFormat="1" ht="12.75" x14ac:dyDescent="0.2"/>
    <row r="372" s="28" customFormat="1" ht="12.75" x14ac:dyDescent="0.2"/>
    <row r="373" s="28" customFormat="1" ht="12.75" x14ac:dyDescent="0.2"/>
    <row r="374" s="28" customFormat="1" ht="12.75" x14ac:dyDescent="0.2"/>
    <row r="375" s="28" customFormat="1" ht="12.75" x14ac:dyDescent="0.2"/>
    <row r="376" s="28" customFormat="1" ht="12.75" x14ac:dyDescent="0.2"/>
    <row r="377" s="28" customFormat="1" ht="12.75" x14ac:dyDescent="0.2"/>
    <row r="378" s="28" customFormat="1" ht="12.75" x14ac:dyDescent="0.2"/>
    <row r="379" s="28" customFormat="1" ht="12.75" x14ac:dyDescent="0.2"/>
    <row r="380" s="28" customFormat="1" ht="12.75" x14ac:dyDescent="0.2"/>
    <row r="381" s="28" customFormat="1" ht="12.75" x14ac:dyDescent="0.2"/>
    <row r="382" s="28" customFormat="1" ht="12.75" x14ac:dyDescent="0.2"/>
    <row r="383" s="28" customFormat="1" ht="12.75" x14ac:dyDescent="0.2"/>
    <row r="384" s="28" customFormat="1" ht="12.75" x14ac:dyDescent="0.2"/>
    <row r="385" s="28" customFormat="1" ht="12.75" x14ac:dyDescent="0.2"/>
    <row r="386" s="28" customFormat="1" ht="12.75" x14ac:dyDescent="0.2"/>
    <row r="387" s="28" customFormat="1" ht="12.75" x14ac:dyDescent="0.2"/>
    <row r="388" s="28" customFormat="1" ht="12.75" x14ac:dyDescent="0.2"/>
    <row r="389" s="28" customFormat="1" ht="12.75" x14ac:dyDescent="0.2"/>
    <row r="390" s="28" customFormat="1" ht="12.75" x14ac:dyDescent="0.2"/>
    <row r="391" s="28" customFormat="1" ht="12.75" x14ac:dyDescent="0.2"/>
    <row r="392" s="28" customFormat="1" ht="12.75" x14ac:dyDescent="0.2"/>
    <row r="393" s="28" customFormat="1" ht="12.75" x14ac:dyDescent="0.2"/>
    <row r="394" s="28" customFormat="1" ht="12.75" x14ac:dyDescent="0.2"/>
    <row r="395" s="28" customFormat="1" ht="12.75" x14ac:dyDescent="0.2"/>
    <row r="396" s="28" customFormat="1" ht="12.75" x14ac:dyDescent="0.2"/>
    <row r="397" s="28" customFormat="1" ht="12.75" x14ac:dyDescent="0.2"/>
    <row r="398" s="28" customFormat="1" ht="12.75" x14ac:dyDescent="0.2"/>
    <row r="399" s="28" customFormat="1" ht="12.75" x14ac:dyDescent="0.2"/>
    <row r="400" s="28" customFormat="1" ht="12.75" x14ac:dyDescent="0.2"/>
    <row r="401" s="28" customFormat="1" ht="12.75" x14ac:dyDescent="0.2"/>
    <row r="402" s="28" customFormat="1" ht="12.75" x14ac:dyDescent="0.2"/>
    <row r="403" s="28" customFormat="1" ht="12.75" x14ac:dyDescent="0.2"/>
    <row r="404" s="28" customFormat="1" ht="12.75" x14ac:dyDescent="0.2"/>
    <row r="405" s="28" customFormat="1" ht="12.75" x14ac:dyDescent="0.2"/>
    <row r="406" s="28" customFormat="1" ht="12.75" x14ac:dyDescent="0.2"/>
    <row r="407" s="28" customFormat="1" ht="12.75" x14ac:dyDescent="0.2"/>
    <row r="408" s="28" customFormat="1" ht="12.75" x14ac:dyDescent="0.2"/>
    <row r="409" s="28" customFormat="1" ht="12.75" x14ac:dyDescent="0.2"/>
    <row r="410" s="28" customFormat="1" ht="12.75" x14ac:dyDescent="0.2"/>
    <row r="411" s="28" customFormat="1" ht="12.75" x14ac:dyDescent="0.2"/>
    <row r="412" s="28" customFormat="1" ht="12.75" x14ac:dyDescent="0.2"/>
    <row r="413" s="28" customFormat="1" ht="12.75" x14ac:dyDescent="0.2"/>
    <row r="414" s="28" customFormat="1" ht="12.75" x14ac:dyDescent="0.2"/>
    <row r="415" s="28" customFormat="1" ht="12.75" x14ac:dyDescent="0.2"/>
    <row r="416" s="28" customFormat="1" ht="12.75" x14ac:dyDescent="0.2"/>
    <row r="417" s="28" customFormat="1" ht="12.75" x14ac:dyDescent="0.2"/>
    <row r="418" s="28" customFormat="1" ht="12.75" x14ac:dyDescent="0.2"/>
    <row r="419" s="28" customFormat="1" ht="12.75" x14ac:dyDescent="0.2"/>
    <row r="420" s="28" customFormat="1" ht="12.75" x14ac:dyDescent="0.2"/>
    <row r="421" s="28" customFormat="1" ht="12.75" x14ac:dyDescent="0.2"/>
    <row r="422" s="28" customFormat="1" ht="12.75" x14ac:dyDescent="0.2"/>
    <row r="423" s="28" customFormat="1" ht="12.75" x14ac:dyDescent="0.2"/>
    <row r="424" s="28" customFormat="1" ht="12.75" x14ac:dyDescent="0.2"/>
    <row r="425" s="28" customFormat="1" ht="12.75" x14ac:dyDescent="0.2"/>
    <row r="426" s="28" customFormat="1" ht="12.75" x14ac:dyDescent="0.2"/>
    <row r="427" s="28" customFormat="1" ht="12.75" x14ac:dyDescent="0.2"/>
    <row r="428" s="28" customFormat="1" ht="12.75" x14ac:dyDescent="0.2"/>
    <row r="429" s="28" customFormat="1" ht="12.75" x14ac:dyDescent="0.2"/>
    <row r="430" s="28" customFormat="1" ht="12.75" x14ac:dyDescent="0.2"/>
    <row r="431" s="28" customFormat="1" ht="12.75" x14ac:dyDescent="0.2"/>
    <row r="432" s="28" customFormat="1" ht="12.75" x14ac:dyDescent="0.2"/>
    <row r="433" s="28" customFormat="1" ht="12.75" x14ac:dyDescent="0.2"/>
    <row r="434" s="28" customFormat="1" ht="12.75" x14ac:dyDescent="0.2"/>
    <row r="435" s="28" customFormat="1" ht="12.75" x14ac:dyDescent="0.2"/>
    <row r="436" s="28" customFormat="1" ht="12.75" x14ac:dyDescent="0.2"/>
    <row r="437" s="28" customFormat="1" ht="12.75" x14ac:dyDescent="0.2"/>
    <row r="438" s="28" customFormat="1" ht="12.75" x14ac:dyDescent="0.2"/>
    <row r="439" s="28" customFormat="1" ht="12.75" x14ac:dyDescent="0.2"/>
    <row r="440" s="28" customFormat="1" ht="12.75" x14ac:dyDescent="0.2"/>
    <row r="441" s="28" customFormat="1" ht="12.75" x14ac:dyDescent="0.2"/>
    <row r="442" s="28" customFormat="1" ht="12.75" x14ac:dyDescent="0.2"/>
    <row r="443" s="28" customFormat="1" ht="12.75" x14ac:dyDescent="0.2"/>
    <row r="444" s="28" customFormat="1" ht="12.75" x14ac:dyDescent="0.2"/>
    <row r="445" s="28" customFormat="1" ht="12.75" x14ac:dyDescent="0.2"/>
    <row r="446" s="28" customFormat="1" ht="12.75" x14ac:dyDescent="0.2"/>
    <row r="447" s="28" customFormat="1" ht="12.75" x14ac:dyDescent="0.2"/>
    <row r="448" s="28" customFormat="1" ht="12.75" x14ac:dyDescent="0.2"/>
    <row r="449" s="28" customFormat="1" ht="12.75" x14ac:dyDescent="0.2"/>
    <row r="450" s="28" customFormat="1" ht="12.75" x14ac:dyDescent="0.2"/>
    <row r="451" s="28" customFormat="1" ht="12.75" x14ac:dyDescent="0.2"/>
    <row r="452" s="28" customFormat="1" ht="12.75" x14ac:dyDescent="0.2"/>
    <row r="453" s="28" customFormat="1" ht="12.75" x14ac:dyDescent="0.2"/>
    <row r="454" s="28" customFormat="1" ht="12.75" x14ac:dyDescent="0.2"/>
    <row r="455" s="28" customFormat="1" ht="12.75" x14ac:dyDescent="0.2"/>
    <row r="456" s="28" customFormat="1" ht="12.75" x14ac:dyDescent="0.2"/>
    <row r="457" s="28" customFormat="1" ht="12.75" x14ac:dyDescent="0.2"/>
    <row r="458" s="28" customFormat="1" ht="12.75" x14ac:dyDescent="0.2"/>
    <row r="459" s="28" customFormat="1" ht="12.75" x14ac:dyDescent="0.2"/>
    <row r="460" s="28" customFormat="1" ht="12.75" x14ac:dyDescent="0.2"/>
    <row r="461" s="28" customFormat="1" ht="12.75" x14ac:dyDescent="0.2"/>
    <row r="462" s="28" customFormat="1" ht="12.75" x14ac:dyDescent="0.2"/>
    <row r="463" s="28" customFormat="1" ht="12.75" x14ac:dyDescent="0.2"/>
    <row r="464" s="28" customFormat="1" ht="12.75" x14ac:dyDescent="0.2"/>
    <row r="465" s="28" customFormat="1" ht="12.75" x14ac:dyDescent="0.2"/>
    <row r="466" s="28" customFormat="1" ht="12.75" x14ac:dyDescent="0.2"/>
    <row r="467" s="28" customFormat="1" ht="12.75" x14ac:dyDescent="0.2"/>
    <row r="468" s="28" customFormat="1" ht="12.75" x14ac:dyDescent="0.2"/>
    <row r="469" s="28" customFormat="1" ht="12.75" x14ac:dyDescent="0.2"/>
    <row r="470" s="28" customFormat="1" ht="12.75" x14ac:dyDescent="0.2"/>
    <row r="471" s="28" customFormat="1" ht="12.75" x14ac:dyDescent="0.2"/>
    <row r="472" s="28" customFormat="1" ht="12.75" x14ac:dyDescent="0.2"/>
    <row r="473" s="28" customFormat="1" ht="12.75" x14ac:dyDescent="0.2"/>
    <row r="474" s="28" customFormat="1" ht="12.75" x14ac:dyDescent="0.2"/>
    <row r="475" s="28" customFormat="1" ht="12.75" x14ac:dyDescent="0.2"/>
    <row r="476" s="28" customFormat="1" ht="12.75" x14ac:dyDescent="0.2"/>
    <row r="477" s="28" customFormat="1" ht="12.75" x14ac:dyDescent="0.2"/>
    <row r="478" s="28" customFormat="1" ht="12.75" x14ac:dyDescent="0.2"/>
    <row r="479" s="28" customFormat="1" ht="12.75" x14ac:dyDescent="0.2"/>
    <row r="480" s="28" customFormat="1" ht="12.75" x14ac:dyDescent="0.2"/>
    <row r="481" s="28" customFormat="1" ht="12.75" x14ac:dyDescent="0.2"/>
    <row r="482" s="28" customFormat="1" ht="12.75" x14ac:dyDescent="0.2"/>
    <row r="483" s="28" customFormat="1" ht="12.75" x14ac:dyDescent="0.2"/>
    <row r="484" s="28" customFormat="1" ht="12.75" x14ac:dyDescent="0.2"/>
    <row r="485" s="28" customFormat="1" ht="12.75" x14ac:dyDescent="0.2"/>
    <row r="486" s="28" customFormat="1" ht="12.75" x14ac:dyDescent="0.2"/>
    <row r="487" s="28" customFormat="1" ht="12.75" x14ac:dyDescent="0.2"/>
    <row r="488" s="28" customFormat="1" ht="12.75" x14ac:dyDescent="0.2"/>
    <row r="489" s="28" customFormat="1" ht="12.75" x14ac:dyDescent="0.2"/>
    <row r="490" s="28" customFormat="1" ht="12.75" x14ac:dyDescent="0.2"/>
    <row r="491" s="28" customFormat="1" ht="12.75" x14ac:dyDescent="0.2"/>
    <row r="492" s="28" customFormat="1" ht="12.75" x14ac:dyDescent="0.2"/>
    <row r="493" s="28" customFormat="1" ht="12.75" x14ac:dyDescent="0.2"/>
    <row r="494" s="28" customFormat="1" ht="12.75" x14ac:dyDescent="0.2"/>
    <row r="495" s="28" customFormat="1" ht="12.75" x14ac:dyDescent="0.2"/>
    <row r="496" s="28" customFormat="1" ht="12.75" x14ac:dyDescent="0.2"/>
    <row r="497" s="28" customFormat="1" ht="12.75" x14ac:dyDescent="0.2"/>
    <row r="498" s="28" customFormat="1" ht="12.75" x14ac:dyDescent="0.2"/>
    <row r="499" s="28" customFormat="1" ht="12.75" x14ac:dyDescent="0.2"/>
    <row r="500" s="28" customFormat="1" ht="12.75" x14ac:dyDescent="0.2"/>
    <row r="501" s="28" customFormat="1" ht="12.75" x14ac:dyDescent="0.2"/>
    <row r="502" s="28" customFormat="1" ht="12.75" x14ac:dyDescent="0.2"/>
    <row r="503" s="28" customFormat="1" ht="12.75" x14ac:dyDescent="0.2"/>
    <row r="504" s="28" customFormat="1" ht="12.75" x14ac:dyDescent="0.2"/>
    <row r="505" s="28" customFormat="1" ht="12.75" x14ac:dyDescent="0.2"/>
    <row r="506" s="28" customFormat="1" ht="12.75" x14ac:dyDescent="0.2"/>
    <row r="507" s="28" customFormat="1" ht="12.75" x14ac:dyDescent="0.2"/>
    <row r="508" s="28" customFormat="1" ht="12.75" x14ac:dyDescent="0.2"/>
    <row r="509" s="28" customFormat="1" ht="12.75" x14ac:dyDescent="0.2"/>
    <row r="510" s="28" customFormat="1" ht="12.75" x14ac:dyDescent="0.2"/>
    <row r="511" s="28" customFormat="1" ht="12.75" x14ac:dyDescent="0.2"/>
    <row r="512" s="28" customFormat="1" ht="12.75" x14ac:dyDescent="0.2"/>
    <row r="513" s="28" customFormat="1" ht="12.75" x14ac:dyDescent="0.2"/>
    <row r="514" s="28" customFormat="1" ht="12.75" x14ac:dyDescent="0.2"/>
    <row r="515" s="28" customFormat="1" ht="12.75" x14ac:dyDescent="0.2"/>
    <row r="516" s="28" customFormat="1" ht="12.75" x14ac:dyDescent="0.2"/>
    <row r="517" s="28" customFormat="1" ht="12.75" x14ac:dyDescent="0.2"/>
    <row r="518" s="28" customFormat="1" ht="12.75" x14ac:dyDescent="0.2"/>
    <row r="519" s="28" customFormat="1" ht="12.75" x14ac:dyDescent="0.2"/>
    <row r="520" s="28" customFormat="1" ht="12.75" x14ac:dyDescent="0.2"/>
    <row r="521" s="28" customFormat="1" ht="12.75" x14ac:dyDescent="0.2"/>
    <row r="522" s="28" customFormat="1" ht="12.75" x14ac:dyDescent="0.2"/>
    <row r="523" s="28" customFormat="1" ht="12.75" x14ac:dyDescent="0.2"/>
    <row r="524" s="28" customFormat="1" ht="12.75" x14ac:dyDescent="0.2"/>
    <row r="525" s="28" customFormat="1" ht="12.75" x14ac:dyDescent="0.2"/>
    <row r="526" s="28" customFormat="1" ht="12.75" x14ac:dyDescent="0.2"/>
    <row r="527" s="28" customFormat="1" ht="12.75" x14ac:dyDescent="0.2"/>
    <row r="528" s="28" customFormat="1" ht="12.75" x14ac:dyDescent="0.2"/>
    <row r="529" s="28" customFormat="1" ht="12.75" x14ac:dyDescent="0.2"/>
    <row r="530" s="28" customFormat="1" ht="12.75" x14ac:dyDescent="0.2"/>
    <row r="531" s="28" customFormat="1" ht="12.75" x14ac:dyDescent="0.2"/>
    <row r="532" s="28" customFormat="1" ht="12.75" x14ac:dyDescent="0.2"/>
    <row r="533" s="28" customFormat="1" ht="12.75" x14ac:dyDescent="0.2"/>
    <row r="534" s="28" customFormat="1" ht="12.75" x14ac:dyDescent="0.2"/>
    <row r="535" s="28" customFormat="1" ht="12.75" x14ac:dyDescent="0.2"/>
    <row r="536" s="28" customFormat="1" ht="12.75" x14ac:dyDescent="0.2"/>
    <row r="537" s="28" customFormat="1" ht="12.75" x14ac:dyDescent="0.2"/>
    <row r="538" s="28" customFormat="1" ht="12.75" x14ac:dyDescent="0.2"/>
    <row r="539" s="28" customFormat="1" ht="12.75" x14ac:dyDescent="0.2"/>
    <row r="540" s="28" customFormat="1" ht="12.75" x14ac:dyDescent="0.2"/>
    <row r="541" s="28" customFormat="1" ht="12.75" x14ac:dyDescent="0.2"/>
    <row r="542" s="28" customFormat="1" ht="12.75" x14ac:dyDescent="0.2"/>
    <row r="543" s="28" customFormat="1" ht="12.75" x14ac:dyDescent="0.2"/>
    <row r="544" s="28" customFormat="1" ht="12.75" x14ac:dyDescent="0.2"/>
    <row r="545" s="28" customFormat="1" ht="12.75" x14ac:dyDescent="0.2"/>
    <row r="546" s="28" customFormat="1" ht="12.75" x14ac:dyDescent="0.2"/>
    <row r="547" s="28" customFormat="1" ht="12.75" x14ac:dyDescent="0.2"/>
    <row r="548" s="28" customFormat="1" ht="12.75" x14ac:dyDescent="0.2"/>
    <row r="549" s="28" customFormat="1" ht="12.75" x14ac:dyDescent="0.2"/>
    <row r="550" s="28" customFormat="1" ht="12.75" x14ac:dyDescent="0.2"/>
    <row r="551" s="28" customFormat="1" ht="12.75" x14ac:dyDescent="0.2"/>
    <row r="552" s="28" customFormat="1" ht="12.75" x14ac:dyDescent="0.2"/>
    <row r="553" s="28" customFormat="1" ht="12.75" x14ac:dyDescent="0.2"/>
    <row r="554" s="28" customFormat="1" ht="12.75" x14ac:dyDescent="0.2"/>
    <row r="555" s="28" customFormat="1" ht="12.75" x14ac:dyDescent="0.2"/>
    <row r="556" s="28" customFormat="1" ht="12.75" x14ac:dyDescent="0.2"/>
    <row r="557" s="28" customFormat="1" ht="12.75" x14ac:dyDescent="0.2"/>
    <row r="558" s="28" customFormat="1" ht="12.75" x14ac:dyDescent="0.2"/>
    <row r="559" s="28" customFormat="1" ht="12.75" x14ac:dyDescent="0.2"/>
    <row r="560" s="28" customFormat="1" ht="12.75" x14ac:dyDescent="0.2"/>
    <row r="561" s="28" customFormat="1" ht="12.75" x14ac:dyDescent="0.2"/>
    <row r="562" s="28" customFormat="1" ht="12.75" x14ac:dyDescent="0.2"/>
    <row r="563" s="28" customFormat="1" ht="12.75" x14ac:dyDescent="0.2"/>
    <row r="564" s="28" customFormat="1" ht="12.75" x14ac:dyDescent="0.2"/>
    <row r="565" s="28" customFormat="1" ht="12.75" x14ac:dyDescent="0.2"/>
    <row r="566" s="28" customFormat="1" ht="12.75" x14ac:dyDescent="0.2"/>
    <row r="567" s="28" customFormat="1" ht="12.75" x14ac:dyDescent="0.2"/>
    <row r="568" s="28" customFormat="1" ht="12.75" x14ac:dyDescent="0.2"/>
    <row r="569" s="28" customFormat="1" ht="12.75" x14ac:dyDescent="0.2"/>
    <row r="570" s="28" customFormat="1" ht="12.75" x14ac:dyDescent="0.2"/>
    <row r="571" s="28" customFormat="1" ht="12.75" x14ac:dyDescent="0.2"/>
    <row r="572" s="28" customFormat="1" ht="12.75" x14ac:dyDescent="0.2"/>
    <row r="573" s="28" customFormat="1" ht="12.75" x14ac:dyDescent="0.2"/>
    <row r="574" s="28" customFormat="1" ht="12.75" x14ac:dyDescent="0.2"/>
    <row r="575" s="28" customFormat="1" ht="12.75" x14ac:dyDescent="0.2"/>
    <row r="576" s="28" customFormat="1" ht="12.75" x14ac:dyDescent="0.2"/>
    <row r="577" s="28" customFormat="1" ht="12.75" x14ac:dyDescent="0.2"/>
    <row r="578" s="28" customFormat="1" ht="12.75" x14ac:dyDescent="0.2"/>
    <row r="579" s="28" customFormat="1" ht="12.75" x14ac:dyDescent="0.2"/>
    <row r="580" s="28" customFormat="1" ht="12.75" x14ac:dyDescent="0.2"/>
    <row r="581" s="28" customFormat="1" ht="12.75" x14ac:dyDescent="0.2"/>
    <row r="582" s="28" customFormat="1" ht="12.75" x14ac:dyDescent="0.2"/>
    <row r="583" s="28" customFormat="1" ht="12.75" x14ac:dyDescent="0.2"/>
    <row r="584" s="28" customFormat="1" ht="12.75" x14ac:dyDescent="0.2"/>
    <row r="585" s="28" customFormat="1" ht="12.75" x14ac:dyDescent="0.2"/>
    <row r="586" s="28" customFormat="1" ht="12.75" x14ac:dyDescent="0.2"/>
    <row r="587" s="28" customFormat="1" ht="12.75" x14ac:dyDescent="0.2"/>
    <row r="588" s="28" customFormat="1" ht="12.75" x14ac:dyDescent="0.2"/>
    <row r="589" s="28" customFormat="1" ht="12.75" x14ac:dyDescent="0.2"/>
    <row r="590" s="28" customFormat="1" ht="12.75" x14ac:dyDescent="0.2"/>
    <row r="591" s="28" customFormat="1" ht="12.75" x14ac:dyDescent="0.2"/>
    <row r="592" s="28" customFormat="1" ht="12.75" x14ac:dyDescent="0.2"/>
    <row r="593" s="28" customFormat="1" ht="12.75" x14ac:dyDescent="0.2"/>
    <row r="594" s="28" customFormat="1" ht="12.75" x14ac:dyDescent="0.2"/>
    <row r="595" s="28" customFormat="1" ht="12.75" x14ac:dyDescent="0.2"/>
    <row r="596" s="28" customFormat="1" ht="12.75" x14ac:dyDescent="0.2"/>
    <row r="597" s="28" customFormat="1" ht="12.75" x14ac:dyDescent="0.2"/>
    <row r="598" s="28" customFormat="1" ht="12.75" x14ac:dyDescent="0.2"/>
    <row r="599" s="28" customFormat="1" ht="12.75" x14ac:dyDescent="0.2"/>
    <row r="600" s="28" customFormat="1" ht="12.75" x14ac:dyDescent="0.2"/>
    <row r="601" s="28" customFormat="1" ht="12.75" x14ac:dyDescent="0.2"/>
    <row r="602" s="28" customFormat="1" ht="12.75" x14ac:dyDescent="0.2"/>
    <row r="603" s="28" customFormat="1" ht="12.75" x14ac:dyDescent="0.2"/>
    <row r="604" s="28" customFormat="1" ht="12.75" x14ac:dyDescent="0.2"/>
    <row r="605" s="28" customFormat="1" ht="12.75" x14ac:dyDescent="0.2"/>
    <row r="606" s="28" customFormat="1" ht="12.75" x14ac:dyDescent="0.2"/>
    <row r="607" s="28" customFormat="1" ht="12.75" x14ac:dyDescent="0.2"/>
    <row r="608" s="28" customFormat="1" ht="12.75" x14ac:dyDescent="0.2"/>
    <row r="609" s="28" customFormat="1" ht="12.75" x14ac:dyDescent="0.2"/>
    <row r="610" s="28" customFormat="1" ht="12.75" x14ac:dyDescent="0.2"/>
    <row r="611" s="28" customFormat="1" ht="12.75" x14ac:dyDescent="0.2"/>
    <row r="612" s="28" customFormat="1" ht="12.75" x14ac:dyDescent="0.2"/>
    <row r="613" s="28" customFormat="1" ht="12.75" x14ac:dyDescent="0.2"/>
    <row r="614" s="28" customFormat="1" ht="12.75" x14ac:dyDescent="0.2"/>
    <row r="615" s="28" customFormat="1" ht="12.75" x14ac:dyDescent="0.2"/>
    <row r="616" s="28" customFormat="1" ht="12.75" x14ac:dyDescent="0.2"/>
    <row r="617" s="28" customFormat="1" ht="12.75" x14ac:dyDescent="0.2"/>
    <row r="618" s="28" customFormat="1" ht="12.75" x14ac:dyDescent="0.2"/>
    <row r="619" s="28" customFormat="1" ht="12.75" x14ac:dyDescent="0.2"/>
    <row r="620" s="28" customFormat="1" ht="12.75" x14ac:dyDescent="0.2"/>
    <row r="621" s="28" customFormat="1" ht="12.75" x14ac:dyDescent="0.2"/>
    <row r="622" s="28" customFormat="1" ht="12.75" x14ac:dyDescent="0.2"/>
    <row r="623" s="28" customFormat="1" ht="12.75" x14ac:dyDescent="0.2"/>
    <row r="624" s="28" customFormat="1" ht="12.75" x14ac:dyDescent="0.2"/>
    <row r="625" s="28" customFormat="1" ht="12.75" x14ac:dyDescent="0.2"/>
    <row r="626" s="28" customFormat="1" ht="12.75" x14ac:dyDescent="0.2"/>
    <row r="627" s="28" customFormat="1" ht="12.75" x14ac:dyDescent="0.2"/>
    <row r="628" s="28" customFormat="1" ht="12.75" x14ac:dyDescent="0.2"/>
    <row r="629" s="28" customFormat="1" ht="12.75" x14ac:dyDescent="0.2"/>
    <row r="630" s="28" customFormat="1" ht="12.75" x14ac:dyDescent="0.2"/>
    <row r="631" s="28" customFormat="1" ht="12.75" x14ac:dyDescent="0.2"/>
    <row r="632" s="28" customFormat="1" ht="12.75" x14ac:dyDescent="0.2"/>
    <row r="633" s="28" customFormat="1" ht="12.75" x14ac:dyDescent="0.2"/>
    <row r="634" s="28" customFormat="1" ht="12.75" x14ac:dyDescent="0.2"/>
    <row r="635" s="28" customFormat="1" ht="12.75" x14ac:dyDescent="0.2"/>
    <row r="636" s="28" customFormat="1" ht="12.75" x14ac:dyDescent="0.2"/>
    <row r="637" s="28" customFormat="1" ht="12.75" x14ac:dyDescent="0.2"/>
    <row r="638" s="28" customFormat="1" ht="12.75" x14ac:dyDescent="0.2"/>
    <row r="639" s="28" customFormat="1" ht="12.75" x14ac:dyDescent="0.2"/>
    <row r="640" s="28" customFormat="1" ht="12.75" x14ac:dyDescent="0.2"/>
    <row r="641" s="28" customFormat="1" ht="12.75" x14ac:dyDescent="0.2"/>
    <row r="642" s="28" customFormat="1" ht="12.75" x14ac:dyDescent="0.2"/>
    <row r="643" s="28" customFormat="1" ht="12.75" x14ac:dyDescent="0.2"/>
    <row r="644" s="28" customFormat="1" ht="12.75" x14ac:dyDescent="0.2"/>
    <row r="645" s="28" customFormat="1" ht="12.75" x14ac:dyDescent="0.2"/>
    <row r="646" s="28" customFormat="1" ht="12.75" x14ac:dyDescent="0.2"/>
    <row r="647" s="28" customFormat="1" ht="12.75" x14ac:dyDescent="0.2"/>
    <row r="648" s="28" customFormat="1" ht="12.75" x14ac:dyDescent="0.2"/>
    <row r="649" s="28" customFormat="1" ht="12.75" x14ac:dyDescent="0.2"/>
    <row r="650" s="28" customFormat="1" ht="12.75" x14ac:dyDescent="0.2"/>
    <row r="651" s="28" customFormat="1" ht="12.75" x14ac:dyDescent="0.2"/>
    <row r="652" s="28" customFormat="1" ht="12.75" x14ac:dyDescent="0.2"/>
    <row r="653" s="28" customFormat="1" ht="12.75" x14ac:dyDescent="0.2"/>
    <row r="654" s="28" customFormat="1" ht="12.75" x14ac:dyDescent="0.2"/>
    <row r="655" s="28" customFormat="1" ht="12.75" x14ac:dyDescent="0.2"/>
    <row r="656" s="28" customFormat="1" ht="12.75" x14ac:dyDescent="0.2"/>
    <row r="657" s="28" customFormat="1" ht="12.75" x14ac:dyDescent="0.2"/>
    <row r="658" s="28" customFormat="1" ht="12.75" x14ac:dyDescent="0.2"/>
    <row r="659" s="28" customFormat="1" ht="12.75" x14ac:dyDescent="0.2"/>
    <row r="660" s="28" customFormat="1" ht="12.75" x14ac:dyDescent="0.2"/>
    <row r="661" s="28" customFormat="1" ht="12.75" x14ac:dyDescent="0.2"/>
    <row r="662" s="28" customFormat="1" ht="12.75" x14ac:dyDescent="0.2"/>
    <row r="663" s="28" customFormat="1" ht="12.75" x14ac:dyDescent="0.2"/>
    <row r="664" s="28" customFormat="1" ht="12.75" x14ac:dyDescent="0.2"/>
    <row r="665" s="28" customFormat="1" ht="12.75" x14ac:dyDescent="0.2"/>
    <row r="666" s="28" customFormat="1" ht="12.75" x14ac:dyDescent="0.2"/>
    <row r="667" s="28" customFormat="1" ht="12.75" x14ac:dyDescent="0.2"/>
    <row r="668" s="28" customFormat="1" ht="12.75" x14ac:dyDescent="0.2"/>
    <row r="669" s="28" customFormat="1" ht="12.75" x14ac:dyDescent="0.2"/>
    <row r="670" s="28" customFormat="1" ht="12.75" x14ac:dyDescent="0.2"/>
    <row r="671" s="28" customFormat="1" ht="12.75" x14ac:dyDescent="0.2"/>
    <row r="672" s="28" customFormat="1" ht="12.75" x14ac:dyDescent="0.2"/>
    <row r="673" s="28" customFormat="1" ht="12.75" x14ac:dyDescent="0.2"/>
    <row r="674" s="28" customFormat="1" ht="12.75" x14ac:dyDescent="0.2"/>
    <row r="675" s="28" customFormat="1" ht="12.75" x14ac:dyDescent="0.2"/>
    <row r="676" s="28" customFormat="1" ht="12.75" x14ac:dyDescent="0.2"/>
    <row r="677" s="28" customFormat="1" ht="12.75" x14ac:dyDescent="0.2"/>
    <row r="678" s="28" customFormat="1" ht="12.75" x14ac:dyDescent="0.2"/>
    <row r="679" s="28" customFormat="1" ht="12.75" x14ac:dyDescent="0.2"/>
    <row r="680" s="28" customFormat="1" ht="12.75" x14ac:dyDescent="0.2"/>
    <row r="681" s="28" customFormat="1" ht="12.75" x14ac:dyDescent="0.2"/>
    <row r="682" s="28" customFormat="1" ht="12.75" x14ac:dyDescent="0.2"/>
    <row r="683" s="28" customFormat="1" ht="12.75" x14ac:dyDescent="0.2"/>
    <row r="684" s="28" customFormat="1" ht="12.75" x14ac:dyDescent="0.2"/>
    <row r="685" s="28" customFormat="1" ht="12.75" x14ac:dyDescent="0.2"/>
    <row r="686" s="28" customFormat="1" ht="12.75" x14ac:dyDescent="0.2"/>
    <row r="687" s="28" customFormat="1" ht="12.75" x14ac:dyDescent="0.2"/>
    <row r="688" s="28" customFormat="1" ht="12.75" x14ac:dyDescent="0.2"/>
    <row r="689" s="28" customFormat="1" ht="12.75" x14ac:dyDescent="0.2"/>
    <row r="690" s="28" customFormat="1" ht="12.75" x14ac:dyDescent="0.2"/>
    <row r="691" s="28" customFormat="1" ht="12.75" x14ac:dyDescent="0.2"/>
    <row r="692" s="28" customFormat="1" ht="12.75" x14ac:dyDescent="0.2"/>
    <row r="693" s="28" customFormat="1" ht="12.75" x14ac:dyDescent="0.2"/>
    <row r="694" s="28" customFormat="1" ht="12.75" x14ac:dyDescent="0.2"/>
    <row r="695" s="28" customFormat="1" ht="12.75" x14ac:dyDescent="0.2"/>
    <row r="696" s="28" customFormat="1" ht="12.75" x14ac:dyDescent="0.2"/>
    <row r="697" s="28" customFormat="1" ht="12.75" x14ac:dyDescent="0.2"/>
    <row r="698" s="28" customFormat="1" ht="12.75" x14ac:dyDescent="0.2"/>
    <row r="699" s="28" customFormat="1" ht="12.75" x14ac:dyDescent="0.2"/>
    <row r="700" s="28" customFormat="1" ht="12.75" x14ac:dyDescent="0.2"/>
    <row r="701" s="28" customFormat="1" ht="12.75" x14ac:dyDescent="0.2"/>
    <row r="702" s="28" customFormat="1" ht="12.75" x14ac:dyDescent="0.2"/>
    <row r="703" s="28" customFormat="1" ht="12.75" x14ac:dyDescent="0.2"/>
    <row r="704" s="28" customFormat="1" ht="12.75" x14ac:dyDescent="0.2"/>
    <row r="705" s="28" customFormat="1" ht="12.75" x14ac:dyDescent="0.2"/>
    <row r="706" s="28" customFormat="1" ht="12.75" x14ac:dyDescent="0.2"/>
    <row r="707" s="28" customFormat="1" ht="12.75" x14ac:dyDescent="0.2"/>
    <row r="708" s="28" customFormat="1" ht="12.75" x14ac:dyDescent="0.2"/>
    <row r="709" s="28" customFormat="1" ht="12.75" x14ac:dyDescent="0.2"/>
    <row r="710" s="28" customFormat="1" ht="12.75" x14ac:dyDescent="0.2"/>
    <row r="711" s="28" customFormat="1" ht="12.75" x14ac:dyDescent="0.2"/>
    <row r="712" s="28" customFormat="1" ht="12.75" x14ac:dyDescent="0.2"/>
    <row r="713" s="28" customFormat="1" ht="12.75" x14ac:dyDescent="0.2"/>
    <row r="714" s="28" customFormat="1" ht="12.75" x14ac:dyDescent="0.2"/>
    <row r="715" s="28" customFormat="1" ht="12.75" x14ac:dyDescent="0.2"/>
    <row r="716" s="28" customFormat="1" ht="12.75" x14ac:dyDescent="0.2"/>
    <row r="717" s="28" customFormat="1" ht="12.75" x14ac:dyDescent="0.2"/>
    <row r="718" s="28" customFormat="1" ht="12.75" x14ac:dyDescent="0.2"/>
    <row r="719" s="28" customFormat="1" ht="12.75" x14ac:dyDescent="0.2"/>
    <row r="720" s="28" customFormat="1" ht="12.75" x14ac:dyDescent="0.2"/>
    <row r="721" s="28" customFormat="1" ht="12.75" x14ac:dyDescent="0.2"/>
    <row r="722" s="28" customFormat="1" ht="12.75" x14ac:dyDescent="0.2"/>
    <row r="723" s="28" customFormat="1" ht="12.75" x14ac:dyDescent="0.2"/>
    <row r="724" s="28" customFormat="1" ht="12.75" x14ac:dyDescent="0.2"/>
    <row r="725" s="28" customFormat="1" ht="12.75" x14ac:dyDescent="0.2"/>
    <row r="726" s="28" customFormat="1" ht="12.75" x14ac:dyDescent="0.2"/>
    <row r="727" s="28" customFormat="1" ht="12.75" x14ac:dyDescent="0.2"/>
    <row r="728" s="28" customFormat="1" ht="12.75" x14ac:dyDescent="0.2"/>
    <row r="729" s="28" customFormat="1" ht="12.75" x14ac:dyDescent="0.2"/>
    <row r="730" s="28" customFormat="1" ht="12.75" x14ac:dyDescent="0.2"/>
    <row r="731" s="28" customFormat="1" ht="12.75" x14ac:dyDescent="0.2"/>
    <row r="732" s="28" customFormat="1" ht="12.75" x14ac:dyDescent="0.2"/>
    <row r="733" s="28" customFormat="1" ht="12.75" x14ac:dyDescent="0.2"/>
    <row r="734" s="28" customFormat="1" ht="12.75" x14ac:dyDescent="0.2"/>
    <row r="735" s="28" customFormat="1" ht="12.75" x14ac:dyDescent="0.2"/>
    <row r="736" s="28" customFormat="1" ht="12.75" x14ac:dyDescent="0.2"/>
    <row r="737" s="28" customFormat="1" ht="12.75" x14ac:dyDescent="0.2"/>
    <row r="738" s="28" customFormat="1" ht="12.75" x14ac:dyDescent="0.2"/>
    <row r="739" s="28" customFormat="1" ht="12.75" x14ac:dyDescent="0.2"/>
    <row r="740" s="28" customFormat="1" ht="12.75" x14ac:dyDescent="0.2"/>
    <row r="741" s="28" customFormat="1" ht="12.75" x14ac:dyDescent="0.2"/>
    <row r="742" s="28" customFormat="1" ht="12.75" x14ac:dyDescent="0.2"/>
    <row r="743" s="28" customFormat="1" ht="12.75" x14ac:dyDescent="0.2"/>
    <row r="744" s="28" customFormat="1" ht="12.75" x14ac:dyDescent="0.2"/>
    <row r="745" s="28" customFormat="1" ht="12.75" x14ac:dyDescent="0.2"/>
    <row r="746" s="28" customFormat="1" ht="12.75" x14ac:dyDescent="0.2"/>
    <row r="747" s="28" customFormat="1" ht="12.75" x14ac:dyDescent="0.2"/>
    <row r="748" s="28" customFormat="1" ht="12.75" x14ac:dyDescent="0.2"/>
    <row r="749" s="28" customFormat="1" ht="12.75" x14ac:dyDescent="0.2"/>
    <row r="750" s="28" customFormat="1" ht="12.75" x14ac:dyDescent="0.2"/>
    <row r="751" s="28" customFormat="1" ht="12.75" x14ac:dyDescent="0.2"/>
    <row r="752" s="28" customFormat="1" ht="12.75" x14ac:dyDescent="0.2"/>
    <row r="753" s="28" customFormat="1" ht="12.75" x14ac:dyDescent="0.2"/>
    <row r="754" s="28" customFormat="1" ht="12.75" x14ac:dyDescent="0.2"/>
    <row r="755" s="28" customFormat="1" ht="12.75" x14ac:dyDescent="0.2"/>
    <row r="756" s="28" customFormat="1" ht="12.75" x14ac:dyDescent="0.2"/>
    <row r="757" s="28" customFormat="1" ht="12.75" x14ac:dyDescent="0.2"/>
    <row r="758" s="28" customFormat="1" ht="12.75" x14ac:dyDescent="0.2"/>
    <row r="759" s="28" customFormat="1" ht="12.75" x14ac:dyDescent="0.2"/>
    <row r="760" s="28" customFormat="1" ht="12.75" x14ac:dyDescent="0.2"/>
    <row r="761" s="28" customFormat="1" ht="12.75" x14ac:dyDescent="0.2"/>
    <row r="762" s="28" customFormat="1" ht="12.75" x14ac:dyDescent="0.2"/>
    <row r="763" s="28" customFormat="1" ht="12.75" x14ac:dyDescent="0.2"/>
    <row r="764" s="28" customFormat="1" ht="12.75" x14ac:dyDescent="0.2"/>
    <row r="765" s="28" customFormat="1" ht="12.75" x14ac:dyDescent="0.2"/>
    <row r="766" s="28" customFormat="1" ht="12.75" x14ac:dyDescent="0.2"/>
    <row r="767" s="28" customFormat="1" ht="12.75" x14ac:dyDescent="0.2"/>
    <row r="768" s="28" customFormat="1" ht="12.75" x14ac:dyDescent="0.2"/>
    <row r="769" s="28" customFormat="1" ht="12.75" x14ac:dyDescent="0.2"/>
    <row r="770" s="28" customFormat="1" ht="12.75" x14ac:dyDescent="0.2"/>
    <row r="771" s="28" customFormat="1" ht="12.75" x14ac:dyDescent="0.2"/>
    <row r="772" s="28" customFormat="1" ht="12.75" x14ac:dyDescent="0.2"/>
    <row r="773" s="28" customFormat="1" ht="12.75" x14ac:dyDescent="0.2"/>
    <row r="774" s="28" customFormat="1" ht="12.75" x14ac:dyDescent="0.2"/>
    <row r="775" s="28" customFormat="1" ht="12.75" x14ac:dyDescent="0.2"/>
    <row r="776" s="28" customFormat="1" ht="12.75" x14ac:dyDescent="0.2"/>
    <row r="777" s="28" customFormat="1" ht="12.75" x14ac:dyDescent="0.2"/>
    <row r="778" s="28" customFormat="1" ht="12.75" x14ac:dyDescent="0.2"/>
    <row r="779" s="28" customFormat="1" ht="12.75" x14ac:dyDescent="0.2"/>
    <row r="780" s="28" customFormat="1" ht="12.75" x14ac:dyDescent="0.2"/>
    <row r="781" s="28" customFormat="1" ht="12.75" x14ac:dyDescent="0.2"/>
    <row r="782" s="28" customFormat="1" ht="12.75" x14ac:dyDescent="0.2"/>
    <row r="783" s="28" customFormat="1" ht="12.75" x14ac:dyDescent="0.2"/>
    <row r="784" s="28" customFormat="1" ht="12.75" x14ac:dyDescent="0.2"/>
    <row r="785" s="28" customFormat="1" ht="12.75" x14ac:dyDescent="0.2"/>
    <row r="786" s="28" customFormat="1" ht="12.75" x14ac:dyDescent="0.2"/>
    <row r="787" s="28" customFormat="1" ht="12.75" x14ac:dyDescent="0.2"/>
    <row r="788" s="28" customFormat="1" ht="12.75" x14ac:dyDescent="0.2"/>
    <row r="789" s="28" customFormat="1" ht="12.75" x14ac:dyDescent="0.2"/>
    <row r="790" s="28" customFormat="1" ht="12.75" x14ac:dyDescent="0.2"/>
    <row r="791" s="28" customFormat="1" ht="12.75" x14ac:dyDescent="0.2"/>
    <row r="792" s="28" customFormat="1" ht="12.75" x14ac:dyDescent="0.2"/>
    <row r="793" s="28" customFormat="1" ht="12.75" x14ac:dyDescent="0.2"/>
    <row r="794" s="28" customFormat="1" ht="12.75" x14ac:dyDescent="0.2"/>
    <row r="795" s="28" customFormat="1" ht="12.75" x14ac:dyDescent="0.2"/>
    <row r="796" s="28" customFormat="1" ht="12.75" x14ac:dyDescent="0.2"/>
    <row r="797" s="28" customFormat="1" ht="12.75" x14ac:dyDescent="0.2"/>
    <row r="798" s="28" customFormat="1" ht="12.75" x14ac:dyDescent="0.2"/>
    <row r="799" s="28" customFormat="1" ht="12.75" x14ac:dyDescent="0.2"/>
    <row r="800" s="28" customFormat="1" ht="12.75" x14ac:dyDescent="0.2"/>
    <row r="801" s="28" customFormat="1" ht="12.75" x14ac:dyDescent="0.2"/>
    <row r="802" s="28" customFormat="1" ht="12.75" x14ac:dyDescent="0.2"/>
    <row r="803" s="28" customFormat="1" ht="12.75" x14ac:dyDescent="0.2"/>
    <row r="804" s="28" customFormat="1" ht="12.75" x14ac:dyDescent="0.2"/>
    <row r="805" s="28" customFormat="1" ht="12.75" x14ac:dyDescent="0.2"/>
    <row r="806" s="28" customFormat="1" ht="12.75" x14ac:dyDescent="0.2"/>
    <row r="807" s="28" customFormat="1" ht="12.75" x14ac:dyDescent="0.2"/>
    <row r="808" s="28" customFormat="1" ht="12.75" x14ac:dyDescent="0.2"/>
    <row r="809" s="28" customFormat="1" ht="12.75" x14ac:dyDescent="0.2"/>
    <row r="810" s="28" customFormat="1" ht="12.75" x14ac:dyDescent="0.2"/>
    <row r="811" s="28" customFormat="1" ht="12.75" x14ac:dyDescent="0.2"/>
    <row r="812" s="28" customFormat="1" ht="12.75" x14ac:dyDescent="0.2"/>
    <row r="813" s="28" customFormat="1" ht="12.75" x14ac:dyDescent="0.2"/>
    <row r="814" s="28" customFormat="1" ht="12.75" x14ac:dyDescent="0.2"/>
    <row r="815" s="28" customFormat="1" ht="12.75" x14ac:dyDescent="0.2"/>
    <row r="816" s="28" customFormat="1" ht="12.75" x14ac:dyDescent="0.2"/>
    <row r="817" s="28" customFormat="1" ht="12.75" x14ac:dyDescent="0.2"/>
    <row r="818" s="28" customFormat="1" ht="12.75" x14ac:dyDescent="0.2"/>
    <row r="819" s="28" customFormat="1" ht="12.75" x14ac:dyDescent="0.2"/>
    <row r="820" s="28" customFormat="1" ht="12.75" x14ac:dyDescent="0.2"/>
    <row r="821" s="28" customFormat="1" ht="12.75" x14ac:dyDescent="0.2"/>
    <row r="822" s="28" customFormat="1" ht="12.75" x14ac:dyDescent="0.2"/>
    <row r="823" s="28" customFormat="1" ht="12.75" x14ac:dyDescent="0.2"/>
    <row r="824" s="28" customFormat="1" ht="12.75" x14ac:dyDescent="0.2"/>
    <row r="825" s="28" customFormat="1" ht="12.75" x14ac:dyDescent="0.2"/>
    <row r="826" s="28" customFormat="1" ht="12.75" x14ac:dyDescent="0.2"/>
    <row r="827" s="28" customFormat="1" ht="12.75" x14ac:dyDescent="0.2"/>
    <row r="828" s="28" customFormat="1" ht="12.75" x14ac:dyDescent="0.2"/>
    <row r="829" s="28" customFormat="1" ht="12.75" x14ac:dyDescent="0.2"/>
    <row r="830" s="28" customFormat="1" ht="12.75" x14ac:dyDescent="0.2"/>
    <row r="831" s="28" customFormat="1" ht="12.75" x14ac:dyDescent="0.2"/>
    <row r="832" s="28" customFormat="1" ht="12.75" x14ac:dyDescent="0.2"/>
    <row r="833" s="28" customFormat="1" ht="12.75" x14ac:dyDescent="0.2"/>
    <row r="834" s="28" customFormat="1" ht="12.75" x14ac:dyDescent="0.2"/>
    <row r="835" s="28" customFormat="1" ht="12.75" x14ac:dyDescent="0.2"/>
    <row r="836" s="28" customFormat="1" ht="12.75" x14ac:dyDescent="0.2"/>
    <row r="837" s="28" customFormat="1" ht="12.75" x14ac:dyDescent="0.2"/>
    <row r="838" s="28" customFormat="1" ht="12.75" x14ac:dyDescent="0.2"/>
    <row r="839" s="28" customFormat="1" ht="12.75" x14ac:dyDescent="0.2"/>
    <row r="840" s="28" customFormat="1" ht="12.75" x14ac:dyDescent="0.2"/>
    <row r="841" s="28" customFormat="1" ht="12.75" x14ac:dyDescent="0.2"/>
    <row r="842" s="28" customFormat="1" ht="12.75" x14ac:dyDescent="0.2"/>
    <row r="843" s="28" customFormat="1" ht="12.75" x14ac:dyDescent="0.2"/>
    <row r="844" s="28" customFormat="1" ht="12.75" x14ac:dyDescent="0.2"/>
    <row r="845" s="28" customFormat="1" ht="12.75" x14ac:dyDescent="0.2"/>
    <row r="846" s="28" customFormat="1" ht="12.75" x14ac:dyDescent="0.2"/>
    <row r="847" s="28" customFormat="1" ht="12.75" x14ac:dyDescent="0.2"/>
    <row r="848" s="28" customFormat="1" ht="12.75" x14ac:dyDescent="0.2"/>
    <row r="849" s="28" customFormat="1" ht="12.75" x14ac:dyDescent="0.2"/>
    <row r="850" s="28" customFormat="1" ht="12.75" x14ac:dyDescent="0.2"/>
    <row r="851" s="28" customFormat="1" ht="12.75" x14ac:dyDescent="0.2"/>
    <row r="852" s="28" customFormat="1" ht="12.75" x14ac:dyDescent="0.2"/>
    <row r="853" s="28" customFormat="1" ht="12.75" x14ac:dyDescent="0.2"/>
    <row r="854" s="28" customFormat="1" ht="12.75" x14ac:dyDescent="0.2"/>
    <row r="855" s="28" customFormat="1" ht="12.75" x14ac:dyDescent="0.2"/>
    <row r="856" s="28" customFormat="1" ht="12.75" x14ac:dyDescent="0.2"/>
    <row r="857" s="28" customFormat="1" ht="12.75" x14ac:dyDescent="0.2"/>
    <row r="858" s="28" customFormat="1" ht="12.75" x14ac:dyDescent="0.2"/>
    <row r="859" s="28" customFormat="1" ht="12.75" x14ac:dyDescent="0.2"/>
    <row r="860" s="28" customFormat="1" ht="12.75" x14ac:dyDescent="0.2"/>
    <row r="861" s="28" customFormat="1" ht="12.75" x14ac:dyDescent="0.2"/>
    <row r="862" s="28" customFormat="1" ht="12.75" x14ac:dyDescent="0.2"/>
    <row r="863" s="28" customFormat="1" ht="12.75" x14ac:dyDescent="0.2"/>
    <row r="864" s="28" customFormat="1" ht="12.75" x14ac:dyDescent="0.2"/>
    <row r="865" s="28" customFormat="1" ht="12.75" x14ac:dyDescent="0.2"/>
    <row r="866" s="28" customFormat="1" ht="12.75" x14ac:dyDescent="0.2"/>
    <row r="867" s="28" customFormat="1" ht="12.75" x14ac:dyDescent="0.2"/>
    <row r="868" s="28" customFormat="1" ht="12.75" x14ac:dyDescent="0.2"/>
    <row r="869" s="28" customFormat="1" ht="12.75" x14ac:dyDescent="0.2"/>
    <row r="870" s="28" customFormat="1" ht="12.75" x14ac:dyDescent="0.2"/>
    <row r="871" s="28" customFormat="1" ht="12.75" x14ac:dyDescent="0.2"/>
    <row r="872" s="28" customFormat="1" ht="12.75" x14ac:dyDescent="0.2"/>
    <row r="873" s="28" customFormat="1" ht="12.75" x14ac:dyDescent="0.2"/>
    <row r="874" s="28" customFormat="1" ht="12.75" x14ac:dyDescent="0.2"/>
    <row r="875" s="28" customFormat="1" ht="12.75" x14ac:dyDescent="0.2"/>
    <row r="876" s="28" customFormat="1" ht="12.75" x14ac:dyDescent="0.2"/>
    <row r="877" s="28" customFormat="1" ht="12.75" x14ac:dyDescent="0.2"/>
    <row r="878" s="28" customFormat="1" ht="12.75" x14ac:dyDescent="0.2"/>
    <row r="879" s="28" customFormat="1" ht="12.75" x14ac:dyDescent="0.2"/>
    <row r="880" s="28" customFormat="1" ht="12.75" x14ac:dyDescent="0.2"/>
    <row r="881" s="28" customFormat="1" ht="12.75" x14ac:dyDescent="0.2"/>
    <row r="882" s="28" customFormat="1" ht="12.75" x14ac:dyDescent="0.2"/>
    <row r="883" s="28" customFormat="1" ht="12.75" x14ac:dyDescent="0.2"/>
    <row r="884" s="28" customFormat="1" ht="12.75" x14ac:dyDescent="0.2"/>
    <row r="885" s="28" customFormat="1" ht="12.75" x14ac:dyDescent="0.2"/>
    <row r="886" s="28" customFormat="1" ht="12.75" x14ac:dyDescent="0.2"/>
    <row r="887" s="28" customFormat="1" ht="12.75" x14ac:dyDescent="0.2"/>
    <row r="888" s="28" customFormat="1" ht="12.75" x14ac:dyDescent="0.2"/>
    <row r="889" s="28" customFormat="1" ht="12.75" x14ac:dyDescent="0.2"/>
    <row r="890" s="28" customFormat="1" ht="12.75" x14ac:dyDescent="0.2"/>
    <row r="891" s="28" customFormat="1" ht="12.75" x14ac:dyDescent="0.2"/>
    <row r="892" s="28" customFormat="1" ht="12.75" x14ac:dyDescent="0.2"/>
    <row r="893" s="28" customFormat="1" ht="12.75" x14ac:dyDescent="0.2"/>
    <row r="894" s="28" customFormat="1" ht="12.75" x14ac:dyDescent="0.2"/>
    <row r="895" s="28" customFormat="1" ht="12.75" x14ac:dyDescent="0.2"/>
    <row r="896" s="28" customFormat="1" ht="12.75" x14ac:dyDescent="0.2"/>
    <row r="897" s="28" customFormat="1" ht="12.75" x14ac:dyDescent="0.2"/>
    <row r="898" s="28" customFormat="1" ht="12.75" x14ac:dyDescent="0.2"/>
    <row r="899" s="28" customFormat="1" ht="12.75" x14ac:dyDescent="0.2"/>
    <row r="900" s="28" customFormat="1" ht="12.75" x14ac:dyDescent="0.2"/>
    <row r="901" s="28" customFormat="1" ht="12.75" x14ac:dyDescent="0.2"/>
    <row r="902" s="28" customFormat="1" ht="12.75" x14ac:dyDescent="0.2"/>
    <row r="903" s="28" customFormat="1" ht="12.75" x14ac:dyDescent="0.2"/>
    <row r="904" s="28" customFormat="1" ht="12.75" x14ac:dyDescent="0.2"/>
    <row r="905" s="28" customFormat="1" ht="12.75" x14ac:dyDescent="0.2"/>
    <row r="906" s="28" customFormat="1" ht="12.75" x14ac:dyDescent="0.2"/>
    <row r="907" s="28" customFormat="1" ht="12.75" x14ac:dyDescent="0.2"/>
    <row r="908" s="28" customFormat="1" ht="12.75" x14ac:dyDescent="0.2"/>
    <row r="909" s="28" customFormat="1" ht="12.75" x14ac:dyDescent="0.2"/>
    <row r="910" s="28" customFormat="1" ht="12.75" x14ac:dyDescent="0.2"/>
    <row r="911" s="28" customFormat="1" ht="12.75" x14ac:dyDescent="0.2"/>
    <row r="912" s="28" customFormat="1" ht="12.75" x14ac:dyDescent="0.2"/>
    <row r="913" s="28" customFormat="1" ht="12.75" x14ac:dyDescent="0.2"/>
    <row r="914" s="28" customFormat="1" ht="12.75" x14ac:dyDescent="0.2"/>
    <row r="915" s="28" customFormat="1" ht="12.75" x14ac:dyDescent="0.2"/>
    <row r="916" s="28" customFormat="1" ht="12.75" x14ac:dyDescent="0.2"/>
    <row r="917" s="28" customFormat="1" ht="12.75" x14ac:dyDescent="0.2"/>
    <row r="918" s="28" customFormat="1" ht="12.75" x14ac:dyDescent="0.2"/>
    <row r="919" s="28" customFormat="1" ht="12.75" x14ac:dyDescent="0.2"/>
    <row r="920" s="28" customFormat="1" ht="12.75" x14ac:dyDescent="0.2"/>
    <row r="921" s="28" customFormat="1" ht="12.75" x14ac:dyDescent="0.2"/>
    <row r="922" s="28" customFormat="1" ht="12.75" x14ac:dyDescent="0.2"/>
    <row r="923" s="28" customFormat="1" ht="12.75" x14ac:dyDescent="0.2"/>
    <row r="924" s="28" customFormat="1" ht="12.75" x14ac:dyDescent="0.2"/>
    <row r="925" s="28" customFormat="1" ht="12.75" x14ac:dyDescent="0.2"/>
    <row r="926" s="28" customFormat="1" ht="12.75" x14ac:dyDescent="0.2"/>
    <row r="927" s="28" customFormat="1" ht="12.75" x14ac:dyDescent="0.2"/>
    <row r="928" s="28" customFormat="1" ht="12.75" x14ac:dyDescent="0.2"/>
    <row r="929" s="28" customFormat="1" ht="12.75" x14ac:dyDescent="0.2"/>
    <row r="930" s="28" customFormat="1" ht="12.75" x14ac:dyDescent="0.2"/>
    <row r="931" s="28" customFormat="1" ht="12.75" x14ac:dyDescent="0.2"/>
    <row r="932" s="28" customFormat="1" ht="12.75" x14ac:dyDescent="0.2"/>
    <row r="933" s="28" customFormat="1" ht="12.75" x14ac:dyDescent="0.2"/>
    <row r="934" s="28" customFormat="1" ht="12.75" x14ac:dyDescent="0.2"/>
    <row r="935" s="28" customFormat="1" ht="12.75" x14ac:dyDescent="0.2"/>
    <row r="936" s="28" customFormat="1" ht="12.75" x14ac:dyDescent="0.2"/>
    <row r="937" s="28" customFormat="1" ht="12.75" x14ac:dyDescent="0.2"/>
    <row r="938" s="28" customFormat="1" ht="12.75" x14ac:dyDescent="0.2"/>
    <row r="939" s="28" customFormat="1" ht="12.75" x14ac:dyDescent="0.2"/>
    <row r="940" s="28" customFormat="1" ht="12.75" x14ac:dyDescent="0.2"/>
    <row r="941" s="28" customFormat="1" ht="12.75" x14ac:dyDescent="0.2"/>
    <row r="942" s="28" customFormat="1" ht="12.75" x14ac:dyDescent="0.2"/>
    <row r="943" s="28" customFormat="1" ht="12.75" x14ac:dyDescent="0.2"/>
    <row r="944" s="28" customFormat="1" ht="12.75" x14ac:dyDescent="0.2"/>
    <row r="945" s="28" customFormat="1" ht="12.75" x14ac:dyDescent="0.2"/>
    <row r="946" s="28" customFormat="1" ht="12.75" x14ac:dyDescent="0.2"/>
    <row r="947" s="28" customFormat="1" ht="12.75" x14ac:dyDescent="0.2"/>
    <row r="948" s="28" customFormat="1" ht="12.75" x14ac:dyDescent="0.2"/>
    <row r="949" s="28" customFormat="1" ht="12.75" x14ac:dyDescent="0.2"/>
    <row r="950" s="28" customFormat="1" ht="12.75" x14ac:dyDescent="0.2"/>
    <row r="951" s="28" customFormat="1" ht="12.75" x14ac:dyDescent="0.2"/>
    <row r="952" s="28" customFormat="1" ht="12.75" x14ac:dyDescent="0.2"/>
    <row r="953" s="28" customFormat="1" ht="12.75" x14ac:dyDescent="0.2"/>
    <row r="954" s="28" customFormat="1" ht="12.75" x14ac:dyDescent="0.2"/>
    <row r="955" s="28" customFormat="1" ht="12.75" x14ac:dyDescent="0.2"/>
    <row r="956" s="28" customFormat="1" ht="12.75" x14ac:dyDescent="0.2"/>
    <row r="957" s="28" customFormat="1" ht="12.75" x14ac:dyDescent="0.2"/>
    <row r="958" s="28" customFormat="1" ht="12.75" x14ac:dyDescent="0.2"/>
    <row r="959" s="28" customFormat="1" ht="12.75" x14ac:dyDescent="0.2"/>
    <row r="960" s="28" customFormat="1" ht="12.75" x14ac:dyDescent="0.2"/>
    <row r="961" s="28" customFormat="1" ht="12.75" x14ac:dyDescent="0.2"/>
    <row r="962" s="28" customFormat="1" ht="12.75" x14ac:dyDescent="0.2"/>
    <row r="963" s="28" customFormat="1" ht="12.75" x14ac:dyDescent="0.2"/>
    <row r="964" s="28" customFormat="1" ht="12.75" x14ac:dyDescent="0.2"/>
    <row r="965" s="28" customFormat="1" ht="12.75" x14ac:dyDescent="0.2"/>
    <row r="966" s="28" customFormat="1" ht="12.75" x14ac:dyDescent="0.2"/>
    <row r="967" s="28" customFormat="1" ht="12.75" x14ac:dyDescent="0.2"/>
    <row r="968" s="28" customFormat="1" ht="12.75" x14ac:dyDescent="0.2"/>
    <row r="969" s="28" customFormat="1" ht="12.75" x14ac:dyDescent="0.2"/>
    <row r="970" s="28" customFormat="1" ht="12.75" x14ac:dyDescent="0.2"/>
    <row r="971" s="28" customFormat="1" ht="12.75" x14ac:dyDescent="0.2"/>
    <row r="972" s="28" customFormat="1" ht="12.75" x14ac:dyDescent="0.2"/>
    <row r="973" s="28" customFormat="1" ht="12.75" x14ac:dyDescent="0.2"/>
    <row r="974" s="28" customFormat="1" ht="12.75" x14ac:dyDescent="0.2"/>
    <row r="975" s="28" customFormat="1" ht="12.75" x14ac:dyDescent="0.2"/>
    <row r="976" s="28" customFormat="1" ht="12.75" x14ac:dyDescent="0.2"/>
    <row r="977" s="28" customFormat="1" ht="12.75" x14ac:dyDescent="0.2"/>
    <row r="978" s="28" customFormat="1" ht="12.75" x14ac:dyDescent="0.2"/>
    <row r="979" s="28" customFormat="1" ht="12.75" x14ac:dyDescent="0.2"/>
    <row r="980" s="28" customFormat="1" ht="12.75" x14ac:dyDescent="0.2"/>
    <row r="981" s="28" customFormat="1" ht="12.75" x14ac:dyDescent="0.2"/>
    <row r="982" s="28" customFormat="1" ht="12.75" x14ac:dyDescent="0.2"/>
    <row r="983" s="28" customFormat="1" ht="12.75" x14ac:dyDescent="0.2"/>
    <row r="984" s="28" customFormat="1" ht="12.75" x14ac:dyDescent="0.2"/>
    <row r="985" s="28" customFormat="1" ht="12.75" x14ac:dyDescent="0.2"/>
    <row r="986" s="28" customFormat="1" ht="12.75" x14ac:dyDescent="0.2"/>
    <row r="987" s="28" customFormat="1" ht="12.75" x14ac:dyDescent="0.2"/>
    <row r="988" s="28" customFormat="1" ht="12.75" x14ac:dyDescent="0.2"/>
    <row r="989" s="28" customFormat="1" ht="12.75" x14ac:dyDescent="0.2"/>
    <row r="990" s="28" customFormat="1" ht="12.75" x14ac:dyDescent="0.2"/>
    <row r="991" s="28" customFormat="1" ht="12.75" x14ac:dyDescent="0.2"/>
    <row r="992" s="28" customFormat="1" ht="12.75" x14ac:dyDescent="0.2"/>
    <row r="993" s="28" customFormat="1" ht="12.75" x14ac:dyDescent="0.2"/>
    <row r="994" s="28" customFormat="1" ht="12.75" x14ac:dyDescent="0.2"/>
    <row r="995" s="28" customFormat="1" ht="12.75" x14ac:dyDescent="0.2"/>
    <row r="996" s="28" customFormat="1" ht="12.75" x14ac:dyDescent="0.2"/>
    <row r="997" s="28" customFormat="1" ht="12.75" x14ac:dyDescent="0.2"/>
    <row r="998" s="28" customFormat="1" ht="12.75" x14ac:dyDescent="0.2"/>
    <row r="999" s="28" customFormat="1" ht="12.75" x14ac:dyDescent="0.2"/>
    <row r="1000" s="28" customFormat="1" ht="12.75" x14ac:dyDescent="0.2"/>
    <row r="1001" s="28" customFormat="1" ht="12.75" x14ac:dyDescent="0.2"/>
    <row r="1002" s="28" customFormat="1" ht="12.75" x14ac:dyDescent="0.2"/>
    <row r="1003" s="28" customFormat="1" ht="12.75" x14ac:dyDescent="0.2"/>
    <row r="1004" s="28" customFormat="1" ht="12.75" x14ac:dyDescent="0.2"/>
    <row r="1005" s="28" customFormat="1" ht="12.75" x14ac:dyDescent="0.2"/>
    <row r="1006" s="28" customFormat="1" ht="12.75" x14ac:dyDescent="0.2"/>
    <row r="1007" s="28" customFormat="1" ht="12.75" x14ac:dyDescent="0.2"/>
    <row r="1008" s="28" customFormat="1" ht="12.75" x14ac:dyDescent="0.2"/>
    <row r="1009" s="28" customFormat="1" ht="12.75" x14ac:dyDescent="0.2"/>
    <row r="1010" s="28" customFormat="1" ht="12.75" x14ac:dyDescent="0.2"/>
    <row r="1011" s="28" customFormat="1" ht="12.75" x14ac:dyDescent="0.2"/>
    <row r="1012" s="28" customFormat="1" ht="12.75" x14ac:dyDescent="0.2"/>
    <row r="1013" s="28" customFormat="1" ht="12.75" x14ac:dyDescent="0.2"/>
    <row r="1014" s="28" customFormat="1" ht="12.75" x14ac:dyDescent="0.2"/>
    <row r="1015" s="28" customFormat="1" ht="12.75" x14ac:dyDescent="0.2"/>
    <row r="1016" s="28" customFormat="1" ht="12.75" x14ac:dyDescent="0.2"/>
    <row r="1017" s="28" customFormat="1" ht="12.75" x14ac:dyDescent="0.2"/>
    <row r="1018" s="28" customFormat="1" ht="12.75" x14ac:dyDescent="0.2"/>
    <row r="1019" s="28" customFormat="1" ht="12.75" x14ac:dyDescent="0.2"/>
    <row r="1020" s="28" customFormat="1" ht="12.75" x14ac:dyDescent="0.2"/>
    <row r="1021" s="28" customFormat="1" ht="12.75" x14ac:dyDescent="0.2"/>
    <row r="1022" s="28" customFormat="1" ht="12.75" x14ac:dyDescent="0.2"/>
    <row r="1023" s="28" customFormat="1" ht="12.75" x14ac:dyDescent="0.2"/>
    <row r="1024" s="28" customFormat="1" ht="12.75" x14ac:dyDescent="0.2"/>
    <row r="1025" s="28" customFormat="1" ht="12.75" x14ac:dyDescent="0.2"/>
    <row r="1026" s="28" customFormat="1" ht="12.75" x14ac:dyDescent="0.2"/>
    <row r="1027" s="28" customFormat="1" ht="12.75" x14ac:dyDescent="0.2"/>
    <row r="1028" s="28" customFormat="1" ht="12.75" x14ac:dyDescent="0.2"/>
    <row r="1029" s="28" customFormat="1" ht="12.75" x14ac:dyDescent="0.2"/>
    <row r="1030" s="28" customFormat="1" ht="12.75" x14ac:dyDescent="0.2"/>
    <row r="1031" s="28" customFormat="1" ht="12.75" x14ac:dyDescent="0.2"/>
    <row r="1032" s="28" customFormat="1" ht="12.75" x14ac:dyDescent="0.2"/>
    <row r="1033" s="28" customFormat="1" ht="12.75" x14ac:dyDescent="0.2"/>
    <row r="1034" s="28" customFormat="1" ht="12.75" x14ac:dyDescent="0.2"/>
    <row r="1035" s="28" customFormat="1" ht="12.75" x14ac:dyDescent="0.2"/>
    <row r="1036" s="28" customFormat="1" ht="12.75" x14ac:dyDescent="0.2"/>
    <row r="1037" s="28" customFormat="1" ht="12.75" x14ac:dyDescent="0.2"/>
    <row r="1038" s="28" customFormat="1" ht="12.75" x14ac:dyDescent="0.2"/>
    <row r="1039" s="28" customFormat="1" ht="12.75" x14ac:dyDescent="0.2"/>
    <row r="1040" s="28" customFormat="1" ht="12.75" x14ac:dyDescent="0.2"/>
    <row r="1041" s="28" customFormat="1" ht="12.75" x14ac:dyDescent="0.2"/>
    <row r="1042" s="28" customFormat="1" ht="12.75" x14ac:dyDescent="0.2"/>
    <row r="1043" s="28" customFormat="1" ht="12.75" x14ac:dyDescent="0.2"/>
    <row r="1044" s="28" customFormat="1" ht="12.75" x14ac:dyDescent="0.2"/>
    <row r="1045" s="28" customFormat="1" ht="12.75" x14ac:dyDescent="0.2"/>
    <row r="1046" s="28" customFormat="1" ht="12.75" x14ac:dyDescent="0.2"/>
    <row r="1047" s="28" customFormat="1" ht="12.75" x14ac:dyDescent="0.2"/>
    <row r="1048" s="28" customFormat="1" ht="12.75" x14ac:dyDescent="0.2"/>
    <row r="1049" s="28" customFormat="1" ht="12.75" x14ac:dyDescent="0.2"/>
    <row r="1050" s="28" customFormat="1" ht="12.75" x14ac:dyDescent="0.2"/>
    <row r="1051" s="28" customFormat="1" ht="12.75" x14ac:dyDescent="0.2"/>
    <row r="1052" s="28" customFormat="1" ht="12.75" x14ac:dyDescent="0.2"/>
    <row r="1053" s="28" customFormat="1" ht="12.75" x14ac:dyDescent="0.2"/>
    <row r="1054" s="28" customFormat="1" ht="12.75" x14ac:dyDescent="0.2"/>
    <row r="1055" s="28" customFormat="1" ht="12.75" x14ac:dyDescent="0.2"/>
    <row r="1056" s="28" customFormat="1" ht="12.75" x14ac:dyDescent="0.2"/>
    <row r="1057" s="28" customFormat="1" ht="12.75" x14ac:dyDescent="0.2"/>
    <row r="1058" s="28" customFormat="1" ht="12.75" x14ac:dyDescent="0.2"/>
    <row r="1059" s="28" customFormat="1" ht="12.75" x14ac:dyDescent="0.2"/>
    <row r="1060" s="28" customFormat="1" ht="12.75" x14ac:dyDescent="0.2"/>
    <row r="1061" s="28" customFormat="1" ht="12.75" x14ac:dyDescent="0.2"/>
    <row r="1062" s="28" customFormat="1" ht="12.75" x14ac:dyDescent="0.2"/>
    <row r="1063" s="28" customFormat="1" ht="12.75" x14ac:dyDescent="0.2"/>
    <row r="1064" s="28" customFormat="1" ht="12.75" x14ac:dyDescent="0.2"/>
    <row r="1065" s="28" customFormat="1" ht="12.75" x14ac:dyDescent="0.2"/>
    <row r="1066" s="28" customFormat="1" ht="12.75" x14ac:dyDescent="0.2"/>
    <row r="1067" s="28" customFormat="1" ht="12.75" x14ac:dyDescent="0.2"/>
    <row r="1068" s="28" customFormat="1" ht="12.75" x14ac:dyDescent="0.2"/>
    <row r="1069" s="28" customFormat="1" ht="12.75" x14ac:dyDescent="0.2"/>
    <row r="1070" s="28" customFormat="1" ht="12.75" x14ac:dyDescent="0.2"/>
    <row r="1071" s="28" customFormat="1" ht="12.75" x14ac:dyDescent="0.2"/>
    <row r="1072" s="28" customFormat="1" ht="12.75" x14ac:dyDescent="0.2"/>
    <row r="1073" s="28" customFormat="1" ht="12.75" x14ac:dyDescent="0.2"/>
    <row r="1074" s="28" customFormat="1" ht="12.75" x14ac:dyDescent="0.2"/>
    <row r="1075" s="28" customFormat="1" ht="12.75" x14ac:dyDescent="0.2"/>
    <row r="1076" s="28" customFormat="1" ht="12.75" x14ac:dyDescent="0.2"/>
    <row r="1077" s="28" customFormat="1" ht="12.75" x14ac:dyDescent="0.2"/>
    <row r="1078" s="28" customFormat="1" ht="12.75" x14ac:dyDescent="0.2"/>
    <row r="1079" s="28" customFormat="1" ht="12.75" x14ac:dyDescent="0.2"/>
    <row r="1080" s="28" customFormat="1" ht="12.75" x14ac:dyDescent="0.2"/>
    <row r="1081" s="28" customFormat="1" ht="12.75" x14ac:dyDescent="0.2"/>
    <row r="1082" s="28" customFormat="1" ht="12.75" x14ac:dyDescent="0.2"/>
    <row r="1083" s="28" customFormat="1" ht="12.75" x14ac:dyDescent="0.2"/>
    <row r="1084" s="28" customFormat="1" ht="12.75" x14ac:dyDescent="0.2"/>
    <row r="1085" s="28" customFormat="1" ht="12.75" x14ac:dyDescent="0.2"/>
    <row r="1086" s="28" customFormat="1" ht="12.75" x14ac:dyDescent="0.2"/>
    <row r="1087" s="28" customFormat="1" ht="12.75" x14ac:dyDescent="0.2"/>
    <row r="1088" s="28" customFormat="1" ht="12.75" x14ac:dyDescent="0.2"/>
    <row r="1089" s="28" customFormat="1" ht="12.75" x14ac:dyDescent="0.2"/>
    <row r="1090" s="28" customFormat="1" ht="12.75" x14ac:dyDescent="0.2"/>
    <row r="1091" s="28" customFormat="1" ht="12.75" x14ac:dyDescent="0.2"/>
    <row r="1092" s="28" customFormat="1" ht="12.75" x14ac:dyDescent="0.2"/>
    <row r="1093" s="28" customFormat="1" ht="12.75" x14ac:dyDescent="0.2"/>
    <row r="1094" s="28" customFormat="1" ht="12.75" x14ac:dyDescent="0.2"/>
    <row r="1095" s="28" customFormat="1" ht="12.75" x14ac:dyDescent="0.2"/>
    <row r="1096" s="28" customFormat="1" ht="12.75" x14ac:dyDescent="0.2"/>
    <row r="1097" s="28" customFormat="1" ht="12.75" x14ac:dyDescent="0.2"/>
    <row r="1098" s="28" customFormat="1" ht="12.75" x14ac:dyDescent="0.2"/>
    <row r="1099" s="28" customFormat="1" ht="12.75" x14ac:dyDescent="0.2"/>
    <row r="1100" s="28" customFormat="1" ht="12.75" x14ac:dyDescent="0.2"/>
    <row r="1101" s="28" customFormat="1" ht="12.75" x14ac:dyDescent="0.2"/>
    <row r="1102" s="28" customFormat="1" ht="12.75" x14ac:dyDescent="0.2"/>
    <row r="1103" s="28" customFormat="1" ht="12.75" x14ac:dyDescent="0.2"/>
    <row r="1104" s="28" customFormat="1" ht="12.75" x14ac:dyDescent="0.2"/>
    <row r="1105" s="28" customFormat="1" ht="12.75" x14ac:dyDescent="0.2"/>
    <row r="1106" s="28" customFormat="1" ht="12.75" x14ac:dyDescent="0.2"/>
    <row r="1107" s="28" customFormat="1" ht="12.75" x14ac:dyDescent="0.2"/>
    <row r="1108" s="28" customFormat="1" ht="12.75" x14ac:dyDescent="0.2"/>
    <row r="1109" s="28" customFormat="1" ht="12.75" x14ac:dyDescent="0.2"/>
    <row r="1110" s="28" customFormat="1" ht="12.75" x14ac:dyDescent="0.2"/>
    <row r="1111" s="28" customFormat="1" ht="12.75" x14ac:dyDescent="0.2"/>
    <row r="1112" s="28" customFormat="1" ht="12.75" x14ac:dyDescent="0.2"/>
    <row r="1113" s="28" customFormat="1" ht="12.75" x14ac:dyDescent="0.2"/>
    <row r="1114" s="28" customFormat="1" ht="12.75" x14ac:dyDescent="0.2"/>
    <row r="1115" s="28" customFormat="1" ht="12.75" x14ac:dyDescent="0.2"/>
    <row r="1116" s="28" customFormat="1" ht="12.75" x14ac:dyDescent="0.2"/>
    <row r="1117" s="28" customFormat="1" ht="12.75" x14ac:dyDescent="0.2"/>
    <row r="1118" s="28" customFormat="1" ht="12.75" x14ac:dyDescent="0.2"/>
    <row r="1119" s="28" customFormat="1" ht="12.75" x14ac:dyDescent="0.2"/>
    <row r="1120" s="28" customFormat="1" ht="12.75" x14ac:dyDescent="0.2"/>
    <row r="1121" s="28" customFormat="1" ht="12.75" x14ac:dyDescent="0.2"/>
    <row r="1122" s="28" customFormat="1" ht="12.75" x14ac:dyDescent="0.2"/>
    <row r="1123" s="28" customFormat="1" ht="12.75" x14ac:dyDescent="0.2"/>
    <row r="1124" s="28" customFormat="1" ht="12.75" x14ac:dyDescent="0.2"/>
    <row r="1125" s="28" customFormat="1" ht="12.75" x14ac:dyDescent="0.2"/>
    <row r="1126" s="28" customFormat="1" ht="12.75" x14ac:dyDescent="0.2"/>
    <row r="1127" s="28" customFormat="1" ht="12.75" x14ac:dyDescent="0.2"/>
    <row r="1128" s="28" customFormat="1" ht="12.75" x14ac:dyDescent="0.2"/>
    <row r="1129" s="28" customFormat="1" ht="12.75" x14ac:dyDescent="0.2"/>
    <row r="1130" s="28" customFormat="1" ht="12.75" x14ac:dyDescent="0.2"/>
    <row r="1131" s="28" customFormat="1" ht="12.75" x14ac:dyDescent="0.2"/>
    <row r="1132" s="28" customFormat="1" ht="12.75" x14ac:dyDescent="0.2"/>
    <row r="1133" s="28" customFormat="1" ht="12.75" x14ac:dyDescent="0.2"/>
    <row r="1134" s="28" customFormat="1" ht="12.75" x14ac:dyDescent="0.2"/>
    <row r="1135" s="28" customFormat="1" ht="12.75" x14ac:dyDescent="0.2"/>
    <row r="1136" s="28" customFormat="1" ht="12.75" x14ac:dyDescent="0.2"/>
    <row r="1137" s="28" customFormat="1" ht="12.75" x14ac:dyDescent="0.2"/>
    <row r="1138" s="28" customFormat="1" ht="12.75" x14ac:dyDescent="0.2"/>
    <row r="1139" s="28" customFormat="1" ht="12.75" x14ac:dyDescent="0.2"/>
    <row r="1140" s="28" customFormat="1" ht="12.75" x14ac:dyDescent="0.2"/>
    <row r="1141" s="28" customFormat="1" ht="12.75" x14ac:dyDescent="0.2"/>
    <row r="1142" s="28" customFormat="1" ht="12.75" x14ac:dyDescent="0.2"/>
    <row r="1143" s="28" customFormat="1" ht="12.75" x14ac:dyDescent="0.2"/>
    <row r="1144" s="28" customFormat="1" ht="12.75" x14ac:dyDescent="0.2"/>
    <row r="1145" s="28" customFormat="1" ht="12.75" x14ac:dyDescent="0.2"/>
    <row r="1146" s="28" customFormat="1" ht="12.75" x14ac:dyDescent="0.2"/>
    <row r="1147" s="28" customFormat="1" ht="12.75" x14ac:dyDescent="0.2"/>
    <row r="1148" s="28" customFormat="1" ht="12.75" x14ac:dyDescent="0.2"/>
    <row r="1149" s="28" customFormat="1" ht="12.75" x14ac:dyDescent="0.2"/>
    <row r="1150" s="28" customFormat="1" ht="12.75" x14ac:dyDescent="0.2"/>
    <row r="1151" s="28" customFormat="1" ht="12.75" x14ac:dyDescent="0.2"/>
    <row r="1152" s="28" customFormat="1" ht="12.75" x14ac:dyDescent="0.2"/>
    <row r="1153" s="28" customFormat="1" ht="12.75" x14ac:dyDescent="0.2"/>
    <row r="1154" s="28" customFormat="1" ht="12.75" x14ac:dyDescent="0.2"/>
    <row r="1155" s="28" customFormat="1" ht="12.75" x14ac:dyDescent="0.2"/>
    <row r="1156" s="28" customFormat="1" ht="12.75" x14ac:dyDescent="0.2"/>
    <row r="1157" s="28" customFormat="1" ht="12.75" x14ac:dyDescent="0.2"/>
    <row r="1158" s="28" customFormat="1" ht="12.75" x14ac:dyDescent="0.2"/>
    <row r="1159" s="28" customFormat="1" ht="12.75" x14ac:dyDescent="0.2"/>
    <row r="1160" s="28" customFormat="1" ht="12.75" x14ac:dyDescent="0.2"/>
    <row r="1161" s="28" customFormat="1" ht="12.75" x14ac:dyDescent="0.2"/>
    <row r="1162" s="28" customFormat="1" ht="12.75" x14ac:dyDescent="0.2"/>
    <row r="1163" s="28" customFormat="1" ht="12.75" x14ac:dyDescent="0.2"/>
    <row r="1164" s="28" customFormat="1" ht="12.75" x14ac:dyDescent="0.2"/>
    <row r="1165" s="28" customFormat="1" ht="12.75" x14ac:dyDescent="0.2"/>
    <row r="1166" s="28" customFormat="1" ht="12.75" x14ac:dyDescent="0.2"/>
    <row r="1167" s="28" customFormat="1" ht="12.75" x14ac:dyDescent="0.2"/>
    <row r="1168" s="28" customFormat="1" ht="12.75" x14ac:dyDescent="0.2"/>
    <row r="1169" s="28" customFormat="1" ht="12.75" x14ac:dyDescent="0.2"/>
    <row r="1170" s="28" customFormat="1" ht="12.75" x14ac:dyDescent="0.2"/>
    <row r="1171" s="28" customFormat="1" ht="12.75" x14ac:dyDescent="0.2"/>
    <row r="1172" s="28" customFormat="1" ht="12.75" x14ac:dyDescent="0.2"/>
    <row r="1173" s="28" customFormat="1" ht="12.75" x14ac:dyDescent="0.2"/>
    <row r="1174" s="28" customFormat="1" ht="12.75" x14ac:dyDescent="0.2"/>
    <row r="1175" s="28" customFormat="1" ht="12.75" x14ac:dyDescent="0.2"/>
    <row r="1176" s="28" customFormat="1" ht="12.75" x14ac:dyDescent="0.2"/>
    <row r="1177" s="28" customFormat="1" ht="12.75" x14ac:dyDescent="0.2"/>
    <row r="1178" s="28" customFormat="1" ht="12.75" x14ac:dyDescent="0.2"/>
    <row r="1179" s="28" customFormat="1" ht="12.75" x14ac:dyDescent="0.2"/>
    <row r="1180" s="28" customFormat="1" ht="12.75" x14ac:dyDescent="0.2"/>
    <row r="1181" s="28" customFormat="1" ht="12.75" x14ac:dyDescent="0.2"/>
    <row r="1182" s="28" customFormat="1" ht="12.75" x14ac:dyDescent="0.2"/>
    <row r="1183" s="28" customFormat="1" ht="12.75" x14ac:dyDescent="0.2"/>
    <row r="1184" s="28" customFormat="1" ht="12.75" x14ac:dyDescent="0.2"/>
    <row r="1185" s="28" customFormat="1" ht="12.75" x14ac:dyDescent="0.2"/>
    <row r="1186" s="28" customFormat="1" ht="12.75" x14ac:dyDescent="0.2"/>
    <row r="1187" s="28" customFormat="1" ht="12.75" x14ac:dyDescent="0.2"/>
    <row r="1188" s="28" customFormat="1" ht="12.75" x14ac:dyDescent="0.2"/>
    <row r="1189" s="28" customFormat="1" ht="12.75" x14ac:dyDescent="0.2"/>
    <row r="1190" s="28" customFormat="1" ht="12.75" x14ac:dyDescent="0.2"/>
    <row r="1191" s="28" customFormat="1" ht="12.75" x14ac:dyDescent="0.2"/>
    <row r="1192" s="28" customFormat="1" ht="12.75" x14ac:dyDescent="0.2"/>
    <row r="1193" s="28" customFormat="1" ht="12.75" x14ac:dyDescent="0.2"/>
    <row r="1194" s="28" customFormat="1" ht="12.75" x14ac:dyDescent="0.2"/>
    <row r="1195" s="28" customFormat="1" ht="12.75" x14ac:dyDescent="0.2"/>
    <row r="1196" s="28" customFormat="1" ht="12.75" x14ac:dyDescent="0.2"/>
    <row r="1197" s="28" customFormat="1" ht="12.75" x14ac:dyDescent="0.2"/>
    <row r="1198" s="28" customFormat="1" ht="12.75" x14ac:dyDescent="0.2"/>
    <row r="1199" s="28" customFormat="1" ht="12.75" x14ac:dyDescent="0.2"/>
    <row r="1200" s="28" customFormat="1" ht="12.75" x14ac:dyDescent="0.2"/>
    <row r="1201" s="28" customFormat="1" ht="12.75" x14ac:dyDescent="0.2"/>
    <row r="1202" s="28" customFormat="1" ht="12.75" x14ac:dyDescent="0.2"/>
    <row r="1203" s="28" customFormat="1" ht="12.75" x14ac:dyDescent="0.2"/>
    <row r="1204" s="28" customFormat="1" ht="12.75" x14ac:dyDescent="0.2"/>
    <row r="1205" s="28" customFormat="1" ht="12.75" x14ac:dyDescent="0.2"/>
    <row r="1206" s="28" customFormat="1" ht="12.75" x14ac:dyDescent="0.2"/>
    <row r="1207" s="28" customFormat="1" ht="12.75" x14ac:dyDescent="0.2"/>
    <row r="1208" s="28" customFormat="1" ht="12.75" x14ac:dyDescent="0.2"/>
    <row r="1209" s="28" customFormat="1" ht="12.75" x14ac:dyDescent="0.2"/>
    <row r="1210" s="28" customFormat="1" ht="12.75" x14ac:dyDescent="0.2"/>
    <row r="1211" s="28" customFormat="1" ht="12.75" x14ac:dyDescent="0.2"/>
    <row r="1212" s="28" customFormat="1" ht="12.75" x14ac:dyDescent="0.2"/>
    <row r="1213" s="28" customFormat="1" ht="12.75" x14ac:dyDescent="0.2"/>
    <row r="1214" s="28" customFormat="1" ht="12.75" x14ac:dyDescent="0.2"/>
    <row r="1215" s="28" customFormat="1" ht="12.75" x14ac:dyDescent="0.2"/>
    <row r="1216" s="28" customFormat="1" ht="12.75" x14ac:dyDescent="0.2"/>
    <row r="1217" s="28" customFormat="1" ht="12.75" x14ac:dyDescent="0.2"/>
    <row r="1218" s="28" customFormat="1" ht="12.75" x14ac:dyDescent="0.2"/>
    <row r="1219" s="28" customFormat="1" ht="12.75" x14ac:dyDescent="0.2"/>
    <row r="1220" s="28" customFormat="1" ht="12.75" x14ac:dyDescent="0.2"/>
    <row r="1221" s="28" customFormat="1" ht="12.75" x14ac:dyDescent="0.2"/>
    <row r="1222" s="28" customFormat="1" ht="12.75" x14ac:dyDescent="0.2"/>
    <row r="1223" s="28" customFormat="1" ht="12.75" x14ac:dyDescent="0.2"/>
    <row r="1224" s="28" customFormat="1" ht="12.75" x14ac:dyDescent="0.2"/>
    <row r="1225" s="28" customFormat="1" ht="12.75" x14ac:dyDescent="0.2"/>
    <row r="1226" s="28" customFormat="1" ht="12.75" x14ac:dyDescent="0.2"/>
    <row r="1227" s="28" customFormat="1" ht="12.75" x14ac:dyDescent="0.2"/>
    <row r="1228" s="28" customFormat="1" ht="12.75" x14ac:dyDescent="0.2"/>
    <row r="1229" s="28" customFormat="1" ht="12.75" x14ac:dyDescent="0.2"/>
    <row r="1230" s="28" customFormat="1" ht="12.75" x14ac:dyDescent="0.2"/>
    <row r="1231" s="28" customFormat="1" ht="12.75" x14ac:dyDescent="0.2"/>
    <row r="1232" s="28" customFormat="1" ht="12.75" x14ac:dyDescent="0.2"/>
    <row r="1233" s="28" customFormat="1" ht="12.75" x14ac:dyDescent="0.2"/>
    <row r="1234" s="28" customFormat="1" ht="12.75" x14ac:dyDescent="0.2"/>
    <row r="1235" s="28" customFormat="1" ht="12.75" x14ac:dyDescent="0.2"/>
    <row r="1236" s="28" customFormat="1" ht="12.75" x14ac:dyDescent="0.2"/>
    <row r="1237" s="28" customFormat="1" ht="12.75" x14ac:dyDescent="0.2"/>
    <row r="1238" s="28" customFormat="1" ht="12.75" x14ac:dyDescent="0.2"/>
    <row r="1239" s="28" customFormat="1" ht="12.75" x14ac:dyDescent="0.2"/>
    <row r="1240" s="28" customFormat="1" ht="12.75" x14ac:dyDescent="0.2"/>
    <row r="1241" s="28" customFormat="1" ht="12.75" x14ac:dyDescent="0.2"/>
    <row r="1242" s="28" customFormat="1" ht="12.75" x14ac:dyDescent="0.2"/>
    <row r="1243" s="28" customFormat="1" ht="12.75" x14ac:dyDescent="0.2"/>
    <row r="1244" s="28" customFormat="1" ht="12.75" x14ac:dyDescent="0.2"/>
    <row r="1245" s="28" customFormat="1" ht="12.75" x14ac:dyDescent="0.2"/>
    <row r="1246" s="28" customFormat="1" ht="12.75" x14ac:dyDescent="0.2"/>
    <row r="1247" s="28" customFormat="1" ht="12.75" x14ac:dyDescent="0.2"/>
    <row r="1248" s="28" customFormat="1" ht="12.75" x14ac:dyDescent="0.2"/>
    <row r="1249" s="28" customFormat="1" ht="12.75" x14ac:dyDescent="0.2"/>
    <row r="1250" s="28" customFormat="1" ht="12.75" x14ac:dyDescent="0.2"/>
    <row r="1251" s="28" customFormat="1" ht="12.75" x14ac:dyDescent="0.2"/>
    <row r="1252" s="28" customFormat="1" ht="12.75" x14ac:dyDescent="0.2"/>
    <row r="1253" s="28" customFormat="1" ht="12.75" x14ac:dyDescent="0.2"/>
    <row r="1254" s="28" customFormat="1" ht="12.75" x14ac:dyDescent="0.2"/>
    <row r="1255" s="28" customFormat="1" ht="12.75" x14ac:dyDescent="0.2"/>
    <row r="1256" s="28" customFormat="1" ht="12.75" x14ac:dyDescent="0.2"/>
    <row r="1257" s="28" customFormat="1" ht="12.75" x14ac:dyDescent="0.2"/>
    <row r="1258" s="28" customFormat="1" ht="12.75" x14ac:dyDescent="0.2"/>
    <row r="1259" s="28" customFormat="1" ht="12.75" x14ac:dyDescent="0.2"/>
    <row r="1260" s="28" customFormat="1" ht="12.75" x14ac:dyDescent="0.2"/>
    <row r="1261" s="28" customFormat="1" ht="12.75" x14ac:dyDescent="0.2"/>
    <row r="1262" s="28" customFormat="1" ht="12.75" x14ac:dyDescent="0.2"/>
    <row r="1263" s="28" customFormat="1" ht="12.75" x14ac:dyDescent="0.2"/>
    <row r="1264" s="28" customFormat="1" ht="12.75" x14ac:dyDescent="0.2"/>
    <row r="1265" s="28" customFormat="1" ht="12.75" x14ac:dyDescent="0.2"/>
    <row r="1266" s="28" customFormat="1" ht="12.75" x14ac:dyDescent="0.2"/>
    <row r="1267" s="28" customFormat="1" ht="12.75" x14ac:dyDescent="0.2"/>
    <row r="1268" s="28" customFormat="1" ht="12.75" x14ac:dyDescent="0.2"/>
    <row r="1269" s="28" customFormat="1" ht="12.75" x14ac:dyDescent="0.2"/>
    <row r="1270" s="28" customFormat="1" ht="12.75" x14ac:dyDescent="0.2"/>
    <row r="1271" s="28" customFormat="1" ht="12.75" x14ac:dyDescent="0.2"/>
    <row r="1272" s="28" customFormat="1" ht="12.75" x14ac:dyDescent="0.2"/>
    <row r="1273" s="28" customFormat="1" ht="12.75" x14ac:dyDescent="0.2"/>
    <row r="1274" s="28" customFormat="1" ht="12.75" x14ac:dyDescent="0.2"/>
    <row r="1275" s="28" customFormat="1" ht="12.75" x14ac:dyDescent="0.2"/>
    <row r="1276" s="28" customFormat="1" ht="12.75" x14ac:dyDescent="0.2"/>
    <row r="1277" s="28" customFormat="1" ht="12.75" x14ac:dyDescent="0.2"/>
    <row r="1278" s="28" customFormat="1" ht="12.75" x14ac:dyDescent="0.2"/>
    <row r="1279" s="28" customFormat="1" ht="12.75" x14ac:dyDescent="0.2"/>
    <row r="1280" s="28" customFormat="1" ht="12.75" x14ac:dyDescent="0.2"/>
    <row r="1281" s="28" customFormat="1" ht="12.75" x14ac:dyDescent="0.2"/>
    <row r="1282" s="28" customFormat="1" ht="12.75" x14ac:dyDescent="0.2"/>
    <row r="1283" s="28" customFormat="1" ht="12.75" x14ac:dyDescent="0.2"/>
    <row r="1284" s="28" customFormat="1" ht="12.75" x14ac:dyDescent="0.2"/>
    <row r="1285" s="28" customFormat="1" ht="12.75" x14ac:dyDescent="0.2"/>
    <row r="1286" s="28" customFormat="1" ht="12.75" x14ac:dyDescent="0.2"/>
    <row r="1287" s="28" customFormat="1" ht="12.75" x14ac:dyDescent="0.2"/>
    <row r="1288" s="28" customFormat="1" ht="12.75" x14ac:dyDescent="0.2"/>
    <row r="1289" s="28" customFormat="1" ht="12.75" x14ac:dyDescent="0.2"/>
    <row r="1290" s="28" customFormat="1" ht="12.75" x14ac:dyDescent="0.2"/>
    <row r="1291" s="28" customFormat="1" ht="12.75" x14ac:dyDescent="0.2"/>
    <row r="1292" s="28" customFormat="1" ht="12.75" x14ac:dyDescent="0.2"/>
    <row r="1293" s="28" customFormat="1" ht="12.75" x14ac:dyDescent="0.2"/>
    <row r="1294" s="28" customFormat="1" ht="12.75" x14ac:dyDescent="0.2"/>
    <row r="1295" s="28" customFormat="1" ht="12.75" x14ac:dyDescent="0.2"/>
    <row r="1296" s="28" customFormat="1" ht="12.75" x14ac:dyDescent="0.2"/>
    <row r="1297" s="28" customFormat="1" ht="12.75" x14ac:dyDescent="0.2"/>
    <row r="1298" s="28" customFormat="1" ht="12.75" x14ac:dyDescent="0.2"/>
    <row r="1299" s="28" customFormat="1" ht="12.75" x14ac:dyDescent="0.2"/>
    <row r="1300" s="28" customFormat="1" ht="12.75" x14ac:dyDescent="0.2"/>
    <row r="1301" s="28" customFormat="1" ht="12.75" x14ac:dyDescent="0.2"/>
    <row r="1302" s="28" customFormat="1" ht="12.75" x14ac:dyDescent="0.2"/>
    <row r="1303" s="28" customFormat="1" ht="12.75" x14ac:dyDescent="0.2"/>
    <row r="1304" s="28" customFormat="1" ht="12.75" x14ac:dyDescent="0.2"/>
    <row r="1305" s="28" customFormat="1" ht="12.75" x14ac:dyDescent="0.2"/>
    <row r="1306" s="28" customFormat="1" ht="12.75" x14ac:dyDescent="0.2"/>
    <row r="1307" s="28" customFormat="1" ht="12.75" x14ac:dyDescent="0.2"/>
    <row r="1308" s="28" customFormat="1" ht="12.75" x14ac:dyDescent="0.2"/>
    <row r="1309" s="28" customFormat="1" ht="12.75" x14ac:dyDescent="0.2"/>
    <row r="1310" s="28" customFormat="1" ht="12.75" x14ac:dyDescent="0.2"/>
    <row r="1311" s="28" customFormat="1" ht="12.75" x14ac:dyDescent="0.2"/>
    <row r="1312" s="28" customFormat="1" ht="12.75" x14ac:dyDescent="0.2"/>
    <row r="1313" s="28" customFormat="1" ht="12.75" x14ac:dyDescent="0.2"/>
    <row r="1314" s="28" customFormat="1" ht="12.75" x14ac:dyDescent="0.2"/>
    <row r="1315" s="28" customFormat="1" ht="12.75" x14ac:dyDescent="0.2"/>
    <row r="1316" s="28" customFormat="1" ht="12.75" x14ac:dyDescent="0.2"/>
    <row r="1317" s="28" customFormat="1" ht="12.75" x14ac:dyDescent="0.2"/>
    <row r="1318" s="28" customFormat="1" ht="12.75" x14ac:dyDescent="0.2"/>
    <row r="1319" s="28" customFormat="1" ht="12.75" x14ac:dyDescent="0.2"/>
    <row r="1320" s="28" customFormat="1" ht="12.75" x14ac:dyDescent="0.2"/>
    <row r="1321" s="28" customFormat="1" ht="12.75" x14ac:dyDescent="0.2"/>
    <row r="1322" s="28" customFormat="1" ht="12.75" x14ac:dyDescent="0.2"/>
    <row r="1323" s="28" customFormat="1" ht="12.75" x14ac:dyDescent="0.2"/>
    <row r="1324" s="28" customFormat="1" ht="12.75" x14ac:dyDescent="0.2"/>
    <row r="1325" s="28" customFormat="1" ht="12.75" x14ac:dyDescent="0.2"/>
    <row r="1326" s="28" customFormat="1" ht="12.75" x14ac:dyDescent="0.2"/>
    <row r="1327" s="28" customFormat="1" ht="12.75" x14ac:dyDescent="0.2"/>
    <row r="1328" s="28" customFormat="1" ht="12.75" x14ac:dyDescent="0.2"/>
    <row r="1329" s="28" customFormat="1" ht="12.75" x14ac:dyDescent="0.2"/>
    <row r="1330" s="28" customFormat="1" ht="12.75" x14ac:dyDescent="0.2"/>
    <row r="1331" s="28" customFormat="1" ht="12.75" x14ac:dyDescent="0.2"/>
    <row r="1332" s="28" customFormat="1" ht="12.75" x14ac:dyDescent="0.2"/>
    <row r="1333" s="28" customFormat="1" ht="12.75" x14ac:dyDescent="0.2"/>
    <row r="1334" s="28" customFormat="1" ht="12.75" x14ac:dyDescent="0.2"/>
    <row r="1335" s="28" customFormat="1" ht="12.75" x14ac:dyDescent="0.2"/>
    <row r="1336" s="28" customFormat="1" ht="12.75" x14ac:dyDescent="0.2"/>
    <row r="1337" s="28" customFormat="1" ht="12.75" x14ac:dyDescent="0.2"/>
    <row r="1338" s="28" customFormat="1" ht="12.75" x14ac:dyDescent="0.2"/>
    <row r="1339" s="28" customFormat="1" ht="12.75" x14ac:dyDescent="0.2"/>
    <row r="1340" s="28" customFormat="1" ht="12.75" x14ac:dyDescent="0.2"/>
    <row r="1341" s="28" customFormat="1" ht="12.75" x14ac:dyDescent="0.2"/>
    <row r="1342" s="28" customFormat="1" ht="12.75" x14ac:dyDescent="0.2"/>
    <row r="1343" s="28" customFormat="1" ht="12.75" x14ac:dyDescent="0.2"/>
    <row r="1344" s="28" customFormat="1" ht="12.75" x14ac:dyDescent="0.2"/>
    <row r="1345" s="28" customFormat="1" ht="12.75" x14ac:dyDescent="0.2"/>
    <row r="1346" s="28" customFormat="1" ht="12.75" x14ac:dyDescent="0.2"/>
    <row r="1347" s="28" customFormat="1" ht="12.75" x14ac:dyDescent="0.2"/>
    <row r="1348" s="28" customFormat="1" ht="12.75" x14ac:dyDescent="0.2"/>
    <row r="1349" s="28" customFormat="1" ht="12.75" x14ac:dyDescent="0.2"/>
    <row r="1350" s="28" customFormat="1" ht="12.75" x14ac:dyDescent="0.2"/>
    <row r="1351" s="28" customFormat="1" ht="12.75" x14ac:dyDescent="0.2"/>
    <row r="1352" s="28" customFormat="1" ht="12.75" x14ac:dyDescent="0.2"/>
    <row r="1353" s="28" customFormat="1" ht="12.75" x14ac:dyDescent="0.2"/>
    <row r="1354" s="28" customFormat="1" ht="12.75" x14ac:dyDescent="0.2"/>
    <row r="1355" s="28" customFormat="1" ht="12.75" x14ac:dyDescent="0.2"/>
    <row r="1356" s="28" customFormat="1" ht="12.75" x14ac:dyDescent="0.2"/>
    <row r="1357" s="28" customFormat="1" ht="12.75" x14ac:dyDescent="0.2"/>
    <row r="1358" s="28" customFormat="1" ht="12.75" x14ac:dyDescent="0.2"/>
    <row r="1359" s="28" customFormat="1" ht="12.75" x14ac:dyDescent="0.2"/>
    <row r="1360" s="28" customFormat="1" ht="12.75" x14ac:dyDescent="0.2"/>
    <row r="1361" s="28" customFormat="1" ht="12.75" x14ac:dyDescent="0.2"/>
    <row r="1362" s="28" customFormat="1" ht="12.75" x14ac:dyDescent="0.2"/>
    <row r="1363" s="28" customFormat="1" ht="12.75" x14ac:dyDescent="0.2"/>
    <row r="1364" s="28" customFormat="1" ht="12.75" x14ac:dyDescent="0.2"/>
    <row r="1365" s="28" customFormat="1" ht="12.75" x14ac:dyDescent="0.2"/>
    <row r="1366" s="28" customFormat="1" ht="12.75" x14ac:dyDescent="0.2"/>
    <row r="1367" s="28" customFormat="1" ht="12.75" x14ac:dyDescent="0.2"/>
    <row r="1368" s="28" customFormat="1" ht="12.75" x14ac:dyDescent="0.2"/>
    <row r="1369" s="28" customFormat="1" ht="12.75" x14ac:dyDescent="0.2"/>
    <row r="1370" s="28" customFormat="1" ht="12.75" x14ac:dyDescent="0.2"/>
    <row r="1371" s="28" customFormat="1" ht="12.75" x14ac:dyDescent="0.2"/>
    <row r="1372" s="28" customFormat="1" ht="12.75" x14ac:dyDescent="0.2"/>
    <row r="1373" s="28" customFormat="1" ht="12.75" x14ac:dyDescent="0.2"/>
    <row r="1374" s="28" customFormat="1" ht="12.75" x14ac:dyDescent="0.2"/>
    <row r="1375" s="28" customFormat="1" ht="12.75" x14ac:dyDescent="0.2"/>
    <row r="1376" s="28" customFormat="1" ht="12.75" x14ac:dyDescent="0.2"/>
    <row r="1377" s="28" customFormat="1" ht="12.75" x14ac:dyDescent="0.2"/>
    <row r="1378" s="28" customFormat="1" ht="12.75" x14ac:dyDescent="0.2"/>
    <row r="1379" s="28" customFormat="1" ht="12.75" x14ac:dyDescent="0.2"/>
    <row r="1380" s="28" customFormat="1" ht="12.75" x14ac:dyDescent="0.2"/>
    <row r="1381" s="28" customFormat="1" ht="12.75" x14ac:dyDescent="0.2"/>
    <row r="1382" s="28" customFormat="1" ht="12.75" x14ac:dyDescent="0.2"/>
    <row r="1383" s="28" customFormat="1" ht="12.75" x14ac:dyDescent="0.2"/>
    <row r="1384" s="28" customFormat="1" ht="12.75" x14ac:dyDescent="0.2"/>
    <row r="1385" s="28" customFormat="1" ht="12.75" x14ac:dyDescent="0.2"/>
    <row r="1386" s="28" customFormat="1" ht="12.75" x14ac:dyDescent="0.2"/>
    <row r="1387" s="28" customFormat="1" ht="12.75" x14ac:dyDescent="0.2"/>
    <row r="1388" s="28" customFormat="1" ht="12.75" x14ac:dyDescent="0.2"/>
    <row r="1389" s="28" customFormat="1" ht="12.75" x14ac:dyDescent="0.2"/>
    <row r="1390" s="28" customFormat="1" ht="12.75" x14ac:dyDescent="0.2"/>
    <row r="1391" s="28" customFormat="1" ht="12.75" x14ac:dyDescent="0.2"/>
    <row r="1392" s="28" customFormat="1" ht="12.75" x14ac:dyDescent="0.2"/>
    <row r="1393" s="28" customFormat="1" ht="12.75" x14ac:dyDescent="0.2"/>
    <row r="1394" s="28" customFormat="1" ht="12.75" x14ac:dyDescent="0.2"/>
    <row r="1395" s="28" customFormat="1" ht="12.75" x14ac:dyDescent="0.2"/>
    <row r="1396" s="28" customFormat="1" ht="12.75" x14ac:dyDescent="0.2"/>
    <row r="1397" s="28" customFormat="1" ht="12.75" x14ac:dyDescent="0.2"/>
    <row r="1398" s="28" customFormat="1" ht="12.75" x14ac:dyDescent="0.2"/>
    <row r="1399" s="28" customFormat="1" ht="12.75" x14ac:dyDescent="0.2"/>
    <row r="1400" s="28" customFormat="1" ht="12.75" x14ac:dyDescent="0.2"/>
    <row r="1401" s="28" customFormat="1" ht="12.75" x14ac:dyDescent="0.2"/>
    <row r="1402" s="28" customFormat="1" ht="12.75" x14ac:dyDescent="0.2"/>
    <row r="1403" s="28" customFormat="1" ht="12.75" x14ac:dyDescent="0.2"/>
    <row r="1404" s="28" customFormat="1" ht="12.75" x14ac:dyDescent="0.2"/>
    <row r="1405" s="28" customFormat="1" ht="12.75" x14ac:dyDescent="0.2"/>
    <row r="1406" s="28" customFormat="1" ht="12.75" x14ac:dyDescent="0.2"/>
    <row r="1407" s="28" customFormat="1" ht="12.75" x14ac:dyDescent="0.2"/>
    <row r="1408" s="28" customFormat="1" ht="12.75" x14ac:dyDescent="0.2"/>
    <row r="1409" s="28" customFormat="1" ht="12.75" x14ac:dyDescent="0.2"/>
    <row r="1410" s="28" customFormat="1" ht="12.75" x14ac:dyDescent="0.2"/>
    <row r="1411" s="28" customFormat="1" ht="12.75" x14ac:dyDescent="0.2"/>
    <row r="1412" s="28" customFormat="1" ht="12.75" x14ac:dyDescent="0.2"/>
    <row r="1413" s="28" customFormat="1" ht="12.75" x14ac:dyDescent="0.2"/>
    <row r="1414" s="28" customFormat="1" ht="12.75" x14ac:dyDescent="0.2"/>
    <row r="1415" s="28" customFormat="1" ht="12.75" x14ac:dyDescent="0.2"/>
    <row r="1416" s="28" customFormat="1" ht="12.75" x14ac:dyDescent="0.2"/>
    <row r="1417" s="28" customFormat="1" ht="12.75" x14ac:dyDescent="0.2"/>
    <row r="1418" s="28" customFormat="1" ht="12.75" x14ac:dyDescent="0.2"/>
    <row r="1419" s="28" customFormat="1" ht="12.75" x14ac:dyDescent="0.2"/>
    <row r="1420" s="28" customFormat="1" ht="12.75" x14ac:dyDescent="0.2"/>
    <row r="1421" s="28" customFormat="1" ht="12.75" x14ac:dyDescent="0.2"/>
    <row r="1422" s="28" customFormat="1" ht="12.75" x14ac:dyDescent="0.2"/>
    <row r="1423" s="28" customFormat="1" ht="12.75" x14ac:dyDescent="0.2"/>
    <row r="1424" s="28" customFormat="1" ht="12.75" x14ac:dyDescent="0.2"/>
    <row r="1425" s="28" customFormat="1" ht="12.75" x14ac:dyDescent="0.2"/>
    <row r="1426" s="28" customFormat="1" ht="12.75" x14ac:dyDescent="0.2"/>
    <row r="1427" s="28" customFormat="1" ht="12.75" x14ac:dyDescent="0.2"/>
    <row r="1428" s="28" customFormat="1" ht="12.75" x14ac:dyDescent="0.2"/>
    <row r="1429" s="28" customFormat="1" ht="12.75" x14ac:dyDescent="0.2"/>
    <row r="1430" s="28" customFormat="1" ht="12.75" x14ac:dyDescent="0.2"/>
    <row r="1431" s="28" customFormat="1" ht="12.75" x14ac:dyDescent="0.2"/>
    <row r="1432" s="28" customFormat="1" ht="12.75" x14ac:dyDescent="0.2"/>
    <row r="1433" s="28" customFormat="1" ht="12.75" x14ac:dyDescent="0.2"/>
    <row r="1434" s="28" customFormat="1" ht="12.75" x14ac:dyDescent="0.2"/>
    <row r="1435" s="28" customFormat="1" ht="12.75" x14ac:dyDescent="0.2"/>
    <row r="1436" s="28" customFormat="1" ht="12.75" x14ac:dyDescent="0.2"/>
    <row r="1437" s="28" customFormat="1" ht="12.75" x14ac:dyDescent="0.2"/>
    <row r="1438" s="28" customFormat="1" ht="12.75" x14ac:dyDescent="0.2"/>
    <row r="1439" s="28" customFormat="1" ht="12.75" x14ac:dyDescent="0.2"/>
    <row r="1440" s="28" customFormat="1" ht="12.75" x14ac:dyDescent="0.2"/>
    <row r="1441" s="28" customFormat="1" ht="12.75" x14ac:dyDescent="0.2"/>
    <row r="1442" s="28" customFormat="1" ht="12.75" x14ac:dyDescent="0.2"/>
    <row r="1443" s="28" customFormat="1" ht="12.75" x14ac:dyDescent="0.2"/>
    <row r="1444" s="28" customFormat="1" ht="12.75" x14ac:dyDescent="0.2"/>
    <row r="1445" s="28" customFormat="1" ht="12.75" x14ac:dyDescent="0.2"/>
    <row r="1446" s="28" customFormat="1" ht="12.75" x14ac:dyDescent="0.2"/>
    <row r="1447" s="28" customFormat="1" ht="12.75" x14ac:dyDescent="0.2"/>
    <row r="1448" s="28" customFormat="1" ht="12.75" x14ac:dyDescent="0.2"/>
    <row r="1449" s="28" customFormat="1" ht="12.75" x14ac:dyDescent="0.2"/>
    <row r="1450" s="28" customFormat="1" ht="12.75" x14ac:dyDescent="0.2"/>
    <row r="1451" s="28" customFormat="1" ht="12.75" x14ac:dyDescent="0.2"/>
    <row r="1452" s="28" customFormat="1" ht="12.75" x14ac:dyDescent="0.2"/>
    <row r="1453" s="28" customFormat="1" ht="12.75" x14ac:dyDescent="0.2"/>
    <row r="1454" s="28" customFormat="1" ht="12.75" x14ac:dyDescent="0.2"/>
    <row r="1455" s="28" customFormat="1" ht="12.75" x14ac:dyDescent="0.2"/>
    <row r="1456" s="28" customFormat="1" ht="12.75" x14ac:dyDescent="0.2"/>
    <row r="1457" s="28" customFormat="1" ht="12.75" x14ac:dyDescent="0.2"/>
    <row r="1458" s="28" customFormat="1" ht="12.75" x14ac:dyDescent="0.2"/>
    <row r="1459" s="28" customFormat="1" ht="12.75" x14ac:dyDescent="0.2"/>
    <row r="1460" s="28" customFormat="1" ht="12.75" x14ac:dyDescent="0.2"/>
    <row r="1461" s="28" customFormat="1" ht="12.75" x14ac:dyDescent="0.2"/>
    <row r="1462" s="28" customFormat="1" ht="12.75" x14ac:dyDescent="0.2"/>
    <row r="1463" s="28" customFormat="1" ht="12.75" x14ac:dyDescent="0.2"/>
    <row r="1464" s="28" customFormat="1" ht="12.75" x14ac:dyDescent="0.2"/>
    <row r="1465" s="28" customFormat="1" ht="12.75" x14ac:dyDescent="0.2"/>
    <row r="1466" s="28" customFormat="1" ht="12.75" x14ac:dyDescent="0.2"/>
    <row r="1467" s="28" customFormat="1" ht="12.75" x14ac:dyDescent="0.2"/>
    <row r="1468" s="28" customFormat="1" ht="12.75" x14ac:dyDescent="0.2"/>
    <row r="1469" s="28" customFormat="1" ht="12.75" x14ac:dyDescent="0.2"/>
    <row r="1470" s="28" customFormat="1" ht="12.75" x14ac:dyDescent="0.2"/>
    <row r="1471" s="28" customFormat="1" ht="12.75" x14ac:dyDescent="0.2"/>
    <row r="1472" s="28" customFormat="1" ht="12.75" x14ac:dyDescent="0.2"/>
    <row r="1473" s="28" customFormat="1" ht="12.75" x14ac:dyDescent="0.2"/>
    <row r="1474" s="28" customFormat="1" ht="12.75" x14ac:dyDescent="0.2"/>
    <row r="1475" s="28" customFormat="1" ht="12.75" x14ac:dyDescent="0.2"/>
    <row r="1476" s="28" customFormat="1" ht="12.75" x14ac:dyDescent="0.2"/>
    <row r="1477" s="28" customFormat="1" ht="12.75" x14ac:dyDescent="0.2"/>
    <row r="1478" s="28" customFormat="1" ht="12.75" x14ac:dyDescent="0.2"/>
    <row r="1479" s="28" customFormat="1" ht="12.75" x14ac:dyDescent="0.2"/>
    <row r="1480" s="28" customFormat="1" ht="12.75" x14ac:dyDescent="0.2"/>
    <row r="1481" s="28" customFormat="1" ht="12.75" x14ac:dyDescent="0.2"/>
    <row r="1482" s="28" customFormat="1" ht="12.75" x14ac:dyDescent="0.2"/>
    <row r="1483" s="28" customFormat="1" ht="12.75" x14ac:dyDescent="0.2"/>
    <row r="1484" s="28" customFormat="1" ht="12.75" x14ac:dyDescent="0.2"/>
    <row r="1485" s="28" customFormat="1" ht="12.75" x14ac:dyDescent="0.2"/>
    <row r="1486" s="28" customFormat="1" ht="12.75" x14ac:dyDescent="0.2"/>
    <row r="1487" s="28" customFormat="1" ht="12.75" x14ac:dyDescent="0.2"/>
    <row r="1488" s="28" customFormat="1" ht="12.75" x14ac:dyDescent="0.2"/>
    <row r="1489" s="28" customFormat="1" ht="12.75" x14ac:dyDescent="0.2"/>
    <row r="1490" s="28" customFormat="1" ht="12.75" x14ac:dyDescent="0.2"/>
    <row r="1491" s="28" customFormat="1" ht="12.75" x14ac:dyDescent="0.2"/>
    <row r="1492" s="28" customFormat="1" ht="12.75" x14ac:dyDescent="0.2"/>
    <row r="1493" s="28" customFormat="1" ht="12.75" x14ac:dyDescent="0.2"/>
    <row r="1494" s="28" customFormat="1" ht="12.75" x14ac:dyDescent="0.2"/>
    <row r="1495" s="28" customFormat="1" ht="12.75" x14ac:dyDescent="0.2"/>
    <row r="1496" s="28" customFormat="1" ht="12.75" x14ac:dyDescent="0.2"/>
    <row r="1497" s="28" customFormat="1" ht="12.75" x14ac:dyDescent="0.2"/>
    <row r="1498" s="28" customFormat="1" ht="12.75" x14ac:dyDescent="0.2"/>
    <row r="1499" s="28" customFormat="1" ht="12.75" x14ac:dyDescent="0.2"/>
    <row r="1500" s="28" customFormat="1" ht="12.75" x14ac:dyDescent="0.2"/>
    <row r="1501" s="28" customFormat="1" ht="12.75" x14ac:dyDescent="0.2"/>
    <row r="1502" s="28" customFormat="1" ht="12.75" x14ac:dyDescent="0.2"/>
    <row r="1503" s="28" customFormat="1" ht="12.75" x14ac:dyDescent="0.2"/>
    <row r="1504" s="28" customFormat="1" ht="12.75" x14ac:dyDescent="0.2"/>
    <row r="1505" s="28" customFormat="1" ht="12.75" x14ac:dyDescent="0.2"/>
    <row r="1506" s="28" customFormat="1" ht="12.75" x14ac:dyDescent="0.2"/>
    <row r="1507" s="28" customFormat="1" ht="12.75" x14ac:dyDescent="0.2"/>
    <row r="1508" s="28" customFormat="1" ht="12.75" x14ac:dyDescent="0.2"/>
    <row r="1509" s="28" customFormat="1" ht="12.75" x14ac:dyDescent="0.2"/>
    <row r="1510" s="28" customFormat="1" ht="12.75" x14ac:dyDescent="0.2"/>
    <row r="1511" s="28" customFormat="1" ht="12.75" x14ac:dyDescent="0.2"/>
    <row r="1512" s="28" customFormat="1" ht="12.75" x14ac:dyDescent="0.2"/>
    <row r="1513" s="28" customFormat="1" ht="12.75" x14ac:dyDescent="0.2"/>
    <row r="1514" s="28" customFormat="1" ht="12.75" x14ac:dyDescent="0.2"/>
    <row r="1515" s="28" customFormat="1" ht="12.75" x14ac:dyDescent="0.2"/>
    <row r="1516" s="28" customFormat="1" ht="12.75" x14ac:dyDescent="0.2"/>
    <row r="1517" s="28" customFormat="1" ht="12.75" x14ac:dyDescent="0.2"/>
    <row r="1518" s="28" customFormat="1" ht="12.75" x14ac:dyDescent="0.2"/>
    <row r="1519" s="28" customFormat="1" ht="12.75" x14ac:dyDescent="0.2"/>
    <row r="1520" s="28" customFormat="1" ht="12.75" x14ac:dyDescent="0.2"/>
    <row r="1521" s="28" customFormat="1" ht="12.75" x14ac:dyDescent="0.2"/>
    <row r="1522" s="28" customFormat="1" ht="12.75" x14ac:dyDescent="0.2"/>
    <row r="1523" s="28" customFormat="1" ht="12.75" x14ac:dyDescent="0.2"/>
    <row r="1524" s="28" customFormat="1" ht="12.75" x14ac:dyDescent="0.2"/>
    <row r="1525" s="28" customFormat="1" ht="12.75" x14ac:dyDescent="0.2"/>
    <row r="1526" s="28" customFormat="1" ht="12.75" x14ac:dyDescent="0.2"/>
    <row r="1527" s="28" customFormat="1" ht="12.75" x14ac:dyDescent="0.2"/>
    <row r="1528" s="28" customFormat="1" ht="12.75" x14ac:dyDescent="0.2"/>
    <row r="1529" s="28" customFormat="1" ht="12.75" x14ac:dyDescent="0.2"/>
    <row r="1530" s="28" customFormat="1" ht="12.75" x14ac:dyDescent="0.2"/>
    <row r="1531" s="28" customFormat="1" ht="12.75" x14ac:dyDescent="0.2"/>
    <row r="1532" s="28" customFormat="1" ht="12.75" x14ac:dyDescent="0.2"/>
    <row r="1533" s="28" customFormat="1" ht="12.75" x14ac:dyDescent="0.2"/>
    <row r="1534" s="28" customFormat="1" ht="12.75" x14ac:dyDescent="0.2"/>
    <row r="1535" s="28" customFormat="1" ht="12.75" x14ac:dyDescent="0.2"/>
    <row r="1536" s="28" customFormat="1" ht="12.75" x14ac:dyDescent="0.2"/>
    <row r="1537" s="28" customFormat="1" ht="12.75" x14ac:dyDescent="0.2"/>
    <row r="1538" s="28" customFormat="1" ht="12.75" x14ac:dyDescent="0.2"/>
    <row r="1539" s="28" customFormat="1" ht="12.75" x14ac:dyDescent="0.2"/>
    <row r="1540" s="28" customFormat="1" ht="12.75" x14ac:dyDescent="0.2"/>
    <row r="1541" s="28" customFormat="1" ht="12.75" x14ac:dyDescent="0.2"/>
    <row r="1542" s="28" customFormat="1" ht="12.75" x14ac:dyDescent="0.2"/>
    <row r="1543" s="28" customFormat="1" ht="12.75" x14ac:dyDescent="0.2"/>
    <row r="1544" s="28" customFormat="1" ht="12.75" x14ac:dyDescent="0.2"/>
    <row r="1545" s="28" customFormat="1" ht="12.75" x14ac:dyDescent="0.2"/>
    <row r="1546" s="28" customFormat="1" ht="12.75" x14ac:dyDescent="0.2"/>
    <row r="1547" s="28" customFormat="1" ht="12.75" x14ac:dyDescent="0.2"/>
    <row r="1548" s="28" customFormat="1" ht="12.75" x14ac:dyDescent="0.2"/>
    <row r="1549" s="28" customFormat="1" ht="12.75" x14ac:dyDescent="0.2"/>
    <row r="1550" s="28" customFormat="1" ht="12.75" x14ac:dyDescent="0.2"/>
    <row r="1551" s="28" customFormat="1" ht="12.75" x14ac:dyDescent="0.2"/>
    <row r="1552" s="28" customFormat="1" ht="12.75" x14ac:dyDescent="0.2"/>
    <row r="1553" s="28" customFormat="1" ht="12.75" x14ac:dyDescent="0.2"/>
    <row r="1554" s="28" customFormat="1" ht="12.75" x14ac:dyDescent="0.2"/>
    <row r="1555" s="28" customFormat="1" ht="12.75" x14ac:dyDescent="0.2"/>
    <row r="1556" s="28" customFormat="1" ht="12.75" x14ac:dyDescent="0.2"/>
    <row r="1557" s="28" customFormat="1" ht="12.75" x14ac:dyDescent="0.2"/>
    <row r="1558" s="28" customFormat="1" ht="12.75" x14ac:dyDescent="0.2"/>
    <row r="1559" s="28" customFormat="1" ht="12.75" x14ac:dyDescent="0.2"/>
    <row r="1560" s="28" customFormat="1" ht="12.75" x14ac:dyDescent="0.2"/>
    <row r="1561" s="28" customFormat="1" ht="12.75" x14ac:dyDescent="0.2"/>
    <row r="1562" s="28" customFormat="1" ht="12.75" x14ac:dyDescent="0.2"/>
    <row r="1563" s="28" customFormat="1" ht="12.75" x14ac:dyDescent="0.2"/>
    <row r="1564" s="28" customFormat="1" ht="12.75" x14ac:dyDescent="0.2"/>
    <row r="1565" s="28" customFormat="1" ht="12.75" x14ac:dyDescent="0.2"/>
    <row r="1566" s="28" customFormat="1" ht="12.75" x14ac:dyDescent="0.2"/>
    <row r="1567" s="28" customFormat="1" ht="12.75" x14ac:dyDescent="0.2"/>
    <row r="1568" s="28" customFormat="1" ht="12.75" x14ac:dyDescent="0.2"/>
    <row r="1569" s="28" customFormat="1" ht="12.75" x14ac:dyDescent="0.2"/>
    <row r="1570" s="28" customFormat="1" ht="12.75" x14ac:dyDescent="0.2"/>
    <row r="1571" s="28" customFormat="1" ht="12.75" x14ac:dyDescent="0.2"/>
    <row r="1572" s="28" customFormat="1" ht="12.75" x14ac:dyDescent="0.2"/>
    <row r="1573" s="28" customFormat="1" ht="12.75" x14ac:dyDescent="0.2"/>
    <row r="1574" s="28" customFormat="1" ht="12.75" x14ac:dyDescent="0.2"/>
    <row r="1575" s="28" customFormat="1" ht="12.75" x14ac:dyDescent="0.2"/>
    <row r="1576" s="28" customFormat="1" ht="12.75" x14ac:dyDescent="0.2"/>
    <row r="1577" s="28" customFormat="1" ht="12.75" x14ac:dyDescent="0.2"/>
    <row r="1578" s="28" customFormat="1" ht="12.75" x14ac:dyDescent="0.2"/>
    <row r="1579" s="28" customFormat="1" ht="12.75" x14ac:dyDescent="0.2"/>
    <row r="1580" s="28" customFormat="1" ht="12.75" x14ac:dyDescent="0.2"/>
    <row r="1581" s="28" customFormat="1" ht="12.75" x14ac:dyDescent="0.2"/>
    <row r="1582" s="28" customFormat="1" ht="12.75" x14ac:dyDescent="0.2"/>
    <row r="1583" s="28" customFormat="1" ht="12.75" x14ac:dyDescent="0.2"/>
    <row r="1584" s="28" customFormat="1" ht="12.75" x14ac:dyDescent="0.2"/>
    <row r="1585" s="28" customFormat="1" ht="12.75" x14ac:dyDescent="0.2"/>
    <row r="1586" s="28" customFormat="1" ht="12.75" x14ac:dyDescent="0.2"/>
    <row r="1587" s="28" customFormat="1" ht="12.75" x14ac:dyDescent="0.2"/>
    <row r="1588" s="28" customFormat="1" ht="12.75" x14ac:dyDescent="0.2"/>
    <row r="1589" s="28" customFormat="1" ht="12.75" x14ac:dyDescent="0.2"/>
    <row r="1590" s="28" customFormat="1" ht="12.75" x14ac:dyDescent="0.2"/>
    <row r="1591" s="28" customFormat="1" ht="12.75" x14ac:dyDescent="0.2"/>
    <row r="1592" s="28" customFormat="1" ht="12.75" x14ac:dyDescent="0.2"/>
    <row r="1593" s="28" customFormat="1" ht="12.75" x14ac:dyDescent="0.2"/>
    <row r="1594" s="28" customFormat="1" ht="12.75" x14ac:dyDescent="0.2"/>
    <row r="1595" s="28" customFormat="1" ht="12.75" x14ac:dyDescent="0.2"/>
    <row r="1596" s="28" customFormat="1" ht="12.75" x14ac:dyDescent="0.2"/>
    <row r="1597" s="28" customFormat="1" ht="12.75" x14ac:dyDescent="0.2"/>
    <row r="1598" s="28" customFormat="1" ht="12.75" x14ac:dyDescent="0.2"/>
    <row r="1599" s="28" customFormat="1" ht="12.75" x14ac:dyDescent="0.2"/>
    <row r="1600" s="28" customFormat="1" ht="12.75" x14ac:dyDescent="0.2"/>
    <row r="1601" s="28" customFormat="1" ht="12.75" x14ac:dyDescent="0.2"/>
    <row r="1602" s="28" customFormat="1" ht="12.75" x14ac:dyDescent="0.2"/>
    <row r="1603" s="28" customFormat="1" ht="12.75" x14ac:dyDescent="0.2"/>
    <row r="1604" s="28" customFormat="1" ht="12.75" x14ac:dyDescent="0.2"/>
    <row r="1605" s="28" customFormat="1" ht="12.75" x14ac:dyDescent="0.2"/>
    <row r="1606" s="28" customFormat="1" ht="12.75" x14ac:dyDescent="0.2"/>
    <row r="1607" s="28" customFormat="1" ht="12.75" x14ac:dyDescent="0.2"/>
    <row r="1608" s="28" customFormat="1" ht="12.75" x14ac:dyDescent="0.2"/>
    <row r="1609" s="28" customFormat="1" ht="12.75" x14ac:dyDescent="0.2"/>
    <row r="1610" s="28" customFormat="1" ht="12.75" x14ac:dyDescent="0.2"/>
    <row r="1611" s="28" customFormat="1" ht="12.75" x14ac:dyDescent="0.2"/>
    <row r="1612" s="28" customFormat="1" ht="12.75" x14ac:dyDescent="0.2"/>
    <row r="1613" s="28" customFormat="1" ht="12.75" x14ac:dyDescent="0.2"/>
    <row r="1614" s="28" customFormat="1" ht="12.75" x14ac:dyDescent="0.2"/>
    <row r="1615" s="28" customFormat="1" ht="12.75" x14ac:dyDescent="0.2"/>
    <row r="1616" s="28" customFormat="1" ht="12.75" x14ac:dyDescent="0.2"/>
    <row r="1617" s="28" customFormat="1" ht="12.75" x14ac:dyDescent="0.2"/>
    <row r="1618" s="28" customFormat="1" ht="12.75" x14ac:dyDescent="0.2"/>
    <row r="1619" s="28" customFormat="1" ht="12.75" x14ac:dyDescent="0.2"/>
    <row r="1620" s="28" customFormat="1" ht="12.75" x14ac:dyDescent="0.2"/>
    <row r="1621" s="28" customFormat="1" ht="12.75" x14ac:dyDescent="0.2"/>
    <row r="1622" s="28" customFormat="1" ht="12.75" x14ac:dyDescent="0.2"/>
    <row r="1623" s="28" customFormat="1" ht="12.75" x14ac:dyDescent="0.2"/>
    <row r="1624" s="28" customFormat="1" ht="12.75" x14ac:dyDescent="0.2"/>
    <row r="1625" s="28" customFormat="1" ht="12.75" x14ac:dyDescent="0.2"/>
    <row r="1626" s="28" customFormat="1" ht="12.75" x14ac:dyDescent="0.2"/>
    <row r="1627" s="28" customFormat="1" ht="12.75" x14ac:dyDescent="0.2"/>
    <row r="1628" s="28" customFormat="1" ht="12.75" x14ac:dyDescent="0.2"/>
    <row r="1629" s="28" customFormat="1" ht="12.75" x14ac:dyDescent="0.2"/>
    <row r="1630" s="28" customFormat="1" ht="12.75" x14ac:dyDescent="0.2"/>
    <row r="1631" s="28" customFormat="1" ht="12.75" x14ac:dyDescent="0.2"/>
    <row r="1632" s="28" customFormat="1" ht="12.75" x14ac:dyDescent="0.2"/>
    <row r="1633" s="28" customFormat="1" ht="12.75" x14ac:dyDescent="0.2"/>
    <row r="1634" s="28" customFormat="1" ht="12.75" x14ac:dyDescent="0.2"/>
    <row r="1635" s="28" customFormat="1" ht="12.75" x14ac:dyDescent="0.2"/>
    <row r="1636" s="28" customFormat="1" ht="12.75" x14ac:dyDescent="0.2"/>
    <row r="1637" s="28" customFormat="1" ht="12.75" x14ac:dyDescent="0.2"/>
    <row r="1638" s="28" customFormat="1" ht="12.75" x14ac:dyDescent="0.2"/>
    <row r="1639" s="28" customFormat="1" ht="12.75" x14ac:dyDescent="0.2"/>
    <row r="1640" s="28" customFormat="1" ht="12.75" x14ac:dyDescent="0.2"/>
    <row r="1641" s="28" customFormat="1" ht="12.75" x14ac:dyDescent="0.2"/>
    <row r="1642" s="28" customFormat="1" ht="12.75" x14ac:dyDescent="0.2"/>
    <row r="1643" s="28" customFormat="1" ht="12.75" x14ac:dyDescent="0.2"/>
    <row r="1644" s="28" customFormat="1" ht="12.75" x14ac:dyDescent="0.2"/>
    <row r="1645" s="28" customFormat="1" ht="12.75" x14ac:dyDescent="0.2"/>
    <row r="1646" s="28" customFormat="1" ht="12.75" x14ac:dyDescent="0.2"/>
    <row r="1647" s="28" customFormat="1" ht="12.75" x14ac:dyDescent="0.2"/>
    <row r="1648" s="28" customFormat="1" ht="12.75" x14ac:dyDescent="0.2"/>
    <row r="1649" s="28" customFormat="1" ht="12.75" x14ac:dyDescent="0.2"/>
    <row r="1650" s="28" customFormat="1" ht="12.75" x14ac:dyDescent="0.2"/>
    <row r="1651" s="28" customFormat="1" ht="12.75" x14ac:dyDescent="0.2"/>
    <row r="1652" s="28" customFormat="1" ht="12.75" x14ac:dyDescent="0.2"/>
    <row r="1653" s="28" customFormat="1" ht="12.75" x14ac:dyDescent="0.2"/>
    <row r="1654" s="28" customFormat="1" ht="12.75" x14ac:dyDescent="0.2"/>
    <row r="1655" s="28" customFormat="1" ht="12.75" x14ac:dyDescent="0.2"/>
    <row r="1656" s="28" customFormat="1" ht="12.75" x14ac:dyDescent="0.2"/>
    <row r="1657" s="28" customFormat="1" ht="12.75" x14ac:dyDescent="0.2"/>
    <row r="1658" s="28" customFormat="1" ht="12.75" x14ac:dyDescent="0.2"/>
    <row r="1659" s="28" customFormat="1" ht="12.75" x14ac:dyDescent="0.2"/>
    <row r="1660" s="28" customFormat="1" ht="12.75" x14ac:dyDescent="0.2"/>
    <row r="1661" s="28" customFormat="1" ht="12.75" x14ac:dyDescent="0.2"/>
    <row r="1662" s="28" customFormat="1" ht="12.75" x14ac:dyDescent="0.2"/>
    <row r="1663" s="28" customFormat="1" ht="12.75" x14ac:dyDescent="0.2"/>
    <row r="1664" s="28" customFormat="1" ht="12.75" x14ac:dyDescent="0.2"/>
    <row r="1665" s="28" customFormat="1" ht="12.75" x14ac:dyDescent="0.2"/>
    <row r="1666" s="28" customFormat="1" ht="12.75" x14ac:dyDescent="0.2"/>
    <row r="1667" s="28" customFormat="1" ht="12.75" x14ac:dyDescent="0.2"/>
    <row r="1668" s="28" customFormat="1" ht="12.75" x14ac:dyDescent="0.2"/>
    <row r="1669" s="28" customFormat="1" ht="12.75" x14ac:dyDescent="0.2"/>
    <row r="1670" s="28" customFormat="1" ht="12.75" x14ac:dyDescent="0.2"/>
    <row r="1671" s="28" customFormat="1" ht="12.75" x14ac:dyDescent="0.2"/>
    <row r="1672" s="28" customFormat="1" ht="12.75" x14ac:dyDescent="0.2"/>
    <row r="1673" s="28" customFormat="1" ht="12.75" x14ac:dyDescent="0.2"/>
    <row r="1674" s="28" customFormat="1" ht="12.75" x14ac:dyDescent="0.2"/>
    <row r="1675" s="28" customFormat="1" ht="12.75" x14ac:dyDescent="0.2"/>
    <row r="1676" s="28" customFormat="1" ht="12.75" x14ac:dyDescent="0.2"/>
    <row r="1677" s="28" customFormat="1" ht="12.75" x14ac:dyDescent="0.2"/>
    <row r="1678" s="28" customFormat="1" ht="12.75" x14ac:dyDescent="0.2"/>
    <row r="1679" s="28" customFormat="1" ht="12.75" x14ac:dyDescent="0.2"/>
    <row r="1680" s="28" customFormat="1" ht="12.75" x14ac:dyDescent="0.2"/>
    <row r="1681" s="28" customFormat="1" ht="12.75" x14ac:dyDescent="0.2"/>
    <row r="1682" s="28" customFormat="1" ht="12.75" x14ac:dyDescent="0.2"/>
    <row r="1683" s="28" customFormat="1" ht="12.75" x14ac:dyDescent="0.2"/>
    <row r="1684" s="28" customFormat="1" ht="12.75" x14ac:dyDescent="0.2"/>
    <row r="1685" s="28" customFormat="1" ht="12.75" x14ac:dyDescent="0.2"/>
    <row r="1686" s="28" customFormat="1" ht="12.75" x14ac:dyDescent="0.2"/>
    <row r="1687" s="28" customFormat="1" ht="12.75" x14ac:dyDescent="0.2"/>
    <row r="1688" s="28" customFormat="1" ht="12.75" x14ac:dyDescent="0.2"/>
    <row r="1689" s="28" customFormat="1" ht="12.75" x14ac:dyDescent="0.2"/>
    <row r="1690" s="28" customFormat="1" ht="12.75" x14ac:dyDescent="0.2"/>
    <row r="1691" s="28" customFormat="1" ht="12.75" x14ac:dyDescent="0.2"/>
    <row r="1692" s="28" customFormat="1" ht="12.75" x14ac:dyDescent="0.2"/>
    <row r="1693" s="28" customFormat="1" ht="12.75" x14ac:dyDescent="0.2"/>
    <row r="1694" s="28" customFormat="1" ht="12.75" x14ac:dyDescent="0.2"/>
    <row r="1695" s="28" customFormat="1" ht="12.75" x14ac:dyDescent="0.2"/>
    <row r="1696" s="28" customFormat="1" ht="12.75" x14ac:dyDescent="0.2"/>
    <row r="1697" s="28" customFormat="1" ht="12.75" x14ac:dyDescent="0.2"/>
    <row r="1698" s="28" customFormat="1" ht="12.75" x14ac:dyDescent="0.2"/>
    <row r="1699" s="28" customFormat="1" ht="12.75" x14ac:dyDescent="0.2"/>
    <row r="1700" s="28" customFormat="1" ht="12.75" x14ac:dyDescent="0.2"/>
    <row r="1701" s="28" customFormat="1" ht="12.75" x14ac:dyDescent="0.2"/>
    <row r="1702" s="28" customFormat="1" ht="12.75" x14ac:dyDescent="0.2"/>
    <row r="1703" s="28" customFormat="1" ht="12.75" x14ac:dyDescent="0.2"/>
    <row r="1704" s="28" customFormat="1" ht="12.75" x14ac:dyDescent="0.2"/>
    <row r="1705" s="28" customFormat="1" ht="12.75" x14ac:dyDescent="0.2"/>
    <row r="1706" s="28" customFormat="1" ht="12.75" x14ac:dyDescent="0.2"/>
    <row r="1707" s="28" customFormat="1" ht="12.75" x14ac:dyDescent="0.2"/>
    <row r="1708" s="28" customFormat="1" ht="12.75" x14ac:dyDescent="0.2"/>
    <row r="1709" s="28" customFormat="1" ht="12.75" x14ac:dyDescent="0.2"/>
    <row r="1710" s="28" customFormat="1" ht="12.75" x14ac:dyDescent="0.2"/>
    <row r="1711" s="28" customFormat="1" ht="12.75" x14ac:dyDescent="0.2"/>
    <row r="1712" s="28" customFormat="1" ht="12.75" x14ac:dyDescent="0.2"/>
    <row r="1713" s="28" customFormat="1" ht="12.75" x14ac:dyDescent="0.2"/>
    <row r="1714" s="28" customFormat="1" ht="12.75" x14ac:dyDescent="0.2"/>
    <row r="1715" s="28" customFormat="1" ht="12.75" x14ac:dyDescent="0.2"/>
    <row r="1716" s="28" customFormat="1" ht="12.75" x14ac:dyDescent="0.2"/>
    <row r="1717" s="28" customFormat="1" ht="12.75" x14ac:dyDescent="0.2"/>
    <row r="1718" s="28" customFormat="1" ht="12.75" x14ac:dyDescent="0.2"/>
    <row r="1719" s="28" customFormat="1" ht="12.75" x14ac:dyDescent="0.2"/>
    <row r="1720" s="28" customFormat="1" ht="12.75" x14ac:dyDescent="0.2"/>
    <row r="1721" s="28" customFormat="1" ht="12.75" x14ac:dyDescent="0.2"/>
    <row r="1722" s="28" customFormat="1" ht="12.75" x14ac:dyDescent="0.2"/>
    <row r="1723" s="28" customFormat="1" ht="12.75" x14ac:dyDescent="0.2"/>
    <row r="1724" s="28" customFormat="1" ht="12.75" x14ac:dyDescent="0.2"/>
    <row r="1725" s="28" customFormat="1" ht="12.75" x14ac:dyDescent="0.2"/>
    <row r="1726" s="28" customFormat="1" ht="12.75" x14ac:dyDescent="0.2"/>
    <row r="1727" s="28" customFormat="1" ht="12.75" x14ac:dyDescent="0.2"/>
    <row r="1728" s="28" customFormat="1" ht="12.75" x14ac:dyDescent="0.2"/>
    <row r="1729" s="28" customFormat="1" ht="12.75" x14ac:dyDescent="0.2"/>
    <row r="1730" s="28" customFormat="1" ht="12.75" x14ac:dyDescent="0.2"/>
    <row r="1731" s="28" customFormat="1" ht="12.75" x14ac:dyDescent="0.2"/>
    <row r="1732" s="28" customFormat="1" ht="12.75" x14ac:dyDescent="0.2"/>
    <row r="1733" s="28" customFormat="1" ht="12.75" x14ac:dyDescent="0.2"/>
    <row r="1734" s="28" customFormat="1" ht="12.75" x14ac:dyDescent="0.2"/>
    <row r="1735" s="28" customFormat="1" ht="12.75" x14ac:dyDescent="0.2"/>
    <row r="1736" s="28" customFormat="1" ht="12.75" x14ac:dyDescent="0.2"/>
    <row r="1737" s="28" customFormat="1" ht="12.75" x14ac:dyDescent="0.2"/>
    <row r="1738" s="28" customFormat="1" ht="12.75" x14ac:dyDescent="0.2"/>
    <row r="1739" s="28" customFormat="1" ht="12.75" x14ac:dyDescent="0.2"/>
    <row r="1740" s="28" customFormat="1" ht="12.75" x14ac:dyDescent="0.2"/>
    <row r="1741" s="28" customFormat="1" ht="12.75" x14ac:dyDescent="0.2"/>
    <row r="1742" s="28" customFormat="1" ht="12.75" x14ac:dyDescent="0.2"/>
    <row r="1743" s="28" customFormat="1" ht="12.75" x14ac:dyDescent="0.2"/>
    <row r="1744" s="28" customFormat="1" ht="12.75" x14ac:dyDescent="0.2"/>
    <row r="1745" spans="2:46" s="28" customFormat="1" ht="12.75" x14ac:dyDescent="0.2"/>
    <row r="1746" spans="2:46" s="28" customFormat="1" ht="12.75" x14ac:dyDescent="0.2"/>
    <row r="1747" spans="2:46" s="28" customFormat="1" ht="12.75" x14ac:dyDescent="0.2"/>
    <row r="1748" spans="2:46" s="28" customFormat="1" ht="12.75" x14ac:dyDescent="0.2"/>
    <row r="1749" spans="2:46" s="28" customFormat="1" ht="12.75" x14ac:dyDescent="0.2"/>
    <row r="1750" spans="2:46" s="28" customFormat="1" ht="12.75" x14ac:dyDescent="0.2"/>
    <row r="1751" spans="2:46" s="28" customFormat="1" ht="12.75" x14ac:dyDescent="0.2"/>
    <row r="1752" spans="2:46" s="28" customFormat="1" ht="12.75" x14ac:dyDescent="0.2"/>
    <row r="1753" spans="2:46" s="28" customFormat="1" x14ac:dyDescent="0.2">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row>
    <row r="1754" spans="2:46" s="28" customFormat="1" x14ac:dyDescent="0.2">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14:AT21 AT28"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49">
    <pageSetUpPr autoPageBreaks="0"/>
  </sheetPr>
  <dimension ref="B1:AU24"/>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T5" sqref="AT5"/>
    </sheetView>
  </sheetViews>
  <sheetFormatPr defaultRowHeight="12.75" x14ac:dyDescent="0.2"/>
  <cols>
    <col min="1" max="1" width="1.42578125" customWidth="1"/>
    <col min="2" max="2" width="29.7109375" customWidth="1"/>
    <col min="3" max="46" width="10.7109375" customWidth="1"/>
    <col min="47" max="47" width="13.28515625" bestFit="1" customWidth="1"/>
  </cols>
  <sheetData>
    <row r="1" spans="2:47" s="551" customFormat="1" ht="7.5" customHeight="1" x14ac:dyDescent="0.2"/>
    <row r="2" spans="2:47" s="551" customFormat="1" ht="12.75" customHeight="1" x14ac:dyDescent="0.25">
      <c r="D2" s="561"/>
    </row>
    <row r="3" spans="2:47" ht="12.75" customHeight="1" x14ac:dyDescent="0.2">
      <c r="V3" s="551"/>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329"/>
    </row>
    <row r="4" spans="2:47" ht="12.75" customHeight="1" x14ac:dyDescent="0.2"/>
    <row r="5" spans="2:47" x14ac:dyDescent="0.2">
      <c r="B5" s="115" t="s">
        <v>391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2:47" x14ac:dyDescent="0.2">
      <c r="B6" s="130" t="s">
        <v>552</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219"/>
    </row>
    <row r="7" spans="2:47" x14ac:dyDescent="0.2">
      <c r="B7" s="130" t="s">
        <v>553</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2">
        <v>-25245</v>
      </c>
      <c r="AO7" s="118">
        <v>-27210</v>
      </c>
      <c r="AP7" s="262">
        <v>-29815</v>
      </c>
      <c r="AQ7" s="118">
        <v>-22544</v>
      </c>
      <c r="AR7" s="118">
        <v>-26744</v>
      </c>
      <c r="AS7" s="118">
        <v>-33795</v>
      </c>
      <c r="AT7" s="118">
        <v>-33436</v>
      </c>
    </row>
    <row r="8" spans="2:47" x14ac:dyDescent="0.2">
      <c r="B8" s="127" t="s">
        <v>554</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T8" si="5">SUM(AN6:AN7)</f>
        <v>431899</v>
      </c>
      <c r="AO8" s="120">
        <f t="shared" si="5"/>
        <v>503889</v>
      </c>
      <c r="AP8" s="120">
        <f t="shared" si="5"/>
        <v>536155</v>
      </c>
      <c r="AQ8" s="120">
        <f t="shared" si="5"/>
        <v>460692</v>
      </c>
      <c r="AR8" s="120">
        <f t="shared" si="5"/>
        <v>558144</v>
      </c>
      <c r="AS8" s="120">
        <f t="shared" si="5"/>
        <v>712963</v>
      </c>
      <c r="AT8" s="120">
        <f t="shared" si="5"/>
        <v>736905</v>
      </c>
    </row>
    <row r="9" spans="2:47" x14ac:dyDescent="0.2">
      <c r="B9" s="130" t="s">
        <v>555</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2">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row>
    <row r="10" spans="2:47" x14ac:dyDescent="0.2">
      <c r="B10" s="127" t="s">
        <v>556</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T10" si="11">SUM(AR8:AR9)</f>
        <v>472842</v>
      </c>
      <c r="AS10" s="120">
        <f t="shared" si="11"/>
        <v>603754</v>
      </c>
      <c r="AT10" s="120">
        <f t="shared" si="11"/>
        <v>624360</v>
      </c>
    </row>
    <row r="11" spans="2:47" x14ac:dyDescent="0.2">
      <c r="B11" s="105"/>
      <c r="C11" s="178"/>
      <c r="D11" s="178"/>
      <c r="E11" s="178"/>
      <c r="F11" s="178"/>
      <c r="G11" s="178"/>
      <c r="H11" s="178"/>
      <c r="I11" s="178"/>
      <c r="J11" s="178"/>
      <c r="K11" s="178"/>
      <c r="L11" s="178"/>
      <c r="M11" s="178"/>
      <c r="N11" s="178"/>
      <c r="O11" s="170">
        <f>+IncS!AB10-O10</f>
        <v>0.57686999998986721</v>
      </c>
      <c r="P11" s="170">
        <f>+IncS!AC10-P10</f>
        <v>-0.59764000005088747</v>
      </c>
      <c r="Q11" s="170">
        <f>+IncS!AD10-Q10</f>
        <v>-0.14616999996360391</v>
      </c>
      <c r="R11" s="170">
        <f>+IncS!AE10-R10</f>
        <v>0.60617999994428828</v>
      </c>
      <c r="S11" s="170">
        <f>+IncS!AF10-S10</f>
        <v>0.36444000000483356</v>
      </c>
      <c r="T11" s="170">
        <f>+IncS!AG10-T10</f>
        <v>-0.67650000005960464</v>
      </c>
      <c r="U11" s="170">
        <f>+IncS!AH10-U10</f>
        <v>0.66719999996712431</v>
      </c>
      <c r="V11" s="170">
        <f>+IncS!AI10-V10</f>
        <v>-0.53106999996816739</v>
      </c>
      <c r="W11" s="170">
        <f>+IncS!AJ10-W10</f>
        <v>-0.20844000001670793</v>
      </c>
      <c r="X11" s="170">
        <f>+IncS!AK10-X10</f>
        <v>1.169000007212162E-2</v>
      </c>
      <c r="Y11" s="170">
        <f>+IncS!AL10-Y10</f>
        <v>0.14690000005066395</v>
      </c>
      <c r="Z11" s="170">
        <f>+IncS!AM10-Z10</f>
        <v>0.5195600000442937</v>
      </c>
      <c r="AA11" s="170">
        <f>+IncS!AN10-AA10</f>
        <v>0.42341999994823709</v>
      </c>
      <c r="AB11" s="170">
        <f>+IncS!AO10-AB10</f>
        <v>-0.45756000000983477</v>
      </c>
      <c r="AC11" s="170">
        <f>+IncS!AP10-AC10</f>
        <v>0.48297999997157604</v>
      </c>
      <c r="AD11" s="170">
        <f>+IncS!AQ10-AD10</f>
        <v>-0.47023000003537163</v>
      </c>
      <c r="AE11" s="170">
        <f>+IncS!AR10-AE10</f>
        <v>0.14429999998537824</v>
      </c>
      <c r="AF11" s="170">
        <f>+IncS!AS10-AF10</f>
        <v>0.25822999997762963</v>
      </c>
      <c r="AG11" s="170">
        <v>-0.48523999997996725</v>
      </c>
      <c r="AH11" s="170">
        <f>+IncS!AU10-AH10</f>
        <v>9.1619999904651195E-2</v>
      </c>
      <c r="AI11" s="170">
        <f>+IncS!AV10-AI10</f>
        <v>0.10910999996121973</v>
      </c>
      <c r="AJ11" s="170">
        <f>+IncS!AW10-AJ10</f>
        <v>0.17456000001402572</v>
      </c>
      <c r="AK11" s="170">
        <f>+IncS!AX10-AK10</f>
        <v>-0.30891999992309138</v>
      </c>
      <c r="AL11" s="170">
        <f>+IncS!AY10-AL10</f>
        <v>0.47148000000743195</v>
      </c>
      <c r="AM11" s="170">
        <f>+IncS!AZ10-AM10</f>
        <v>-5.0830000196583569E-2</v>
      </c>
      <c r="AN11" s="170">
        <f>+IncS!BA10-AN10</f>
        <v>-0.2699599998886697</v>
      </c>
      <c r="AO11" s="170">
        <f>+IncS!BB10-AO10</f>
        <v>0.59149000007892027</v>
      </c>
      <c r="AP11" s="170">
        <f>+IncS!BC10-AP10</f>
        <v>-0.72626999986823648</v>
      </c>
      <c r="AQ11" s="170">
        <f>+IncS!BD10-AQ10</f>
        <v>-0.20720000012079254</v>
      </c>
      <c r="AR11" s="170">
        <f>+IncS!BE10-AR10</f>
        <v>0.18974000005982816</v>
      </c>
      <c r="AS11" s="170">
        <f>+IncS!BF10-AS10</f>
        <v>0.2609100000699982</v>
      </c>
      <c r="AT11" s="170">
        <f>+IncS!BG10-AT10</f>
        <v>0.17367999989073724</v>
      </c>
    </row>
    <row r="12" spans="2:47" x14ac:dyDescent="0.2">
      <c r="B12" s="115" t="s">
        <v>397</v>
      </c>
      <c r="C12" s="115" t="str">
        <f>C5</f>
        <v>1Q14</v>
      </c>
      <c r="D12" s="115" t="str">
        <f t="shared" ref="D12:Q12" si="12">D5</f>
        <v>2Q14</v>
      </c>
      <c r="E12" s="115" t="str">
        <f t="shared" si="12"/>
        <v>3Q14</v>
      </c>
      <c r="F12" s="115" t="str">
        <f t="shared" si="12"/>
        <v>4Q14</v>
      </c>
      <c r="G12" s="115" t="str">
        <f t="shared" si="12"/>
        <v>1Q15</v>
      </c>
      <c r="H12" s="115" t="str">
        <f t="shared" si="12"/>
        <v>2Q15</v>
      </c>
      <c r="I12" s="115" t="str">
        <f t="shared" si="12"/>
        <v>3Q15</v>
      </c>
      <c r="J12" s="115" t="str">
        <f t="shared" si="12"/>
        <v>4Q15</v>
      </c>
      <c r="K12" s="115" t="str">
        <f t="shared" si="12"/>
        <v>1Q16</v>
      </c>
      <c r="L12" s="115" t="str">
        <f t="shared" si="12"/>
        <v>2Q16</v>
      </c>
      <c r="M12" s="115" t="str">
        <f t="shared" si="12"/>
        <v>3Q16</v>
      </c>
      <c r="N12" s="115" t="str">
        <f t="shared" si="12"/>
        <v>4Q16</v>
      </c>
      <c r="O12" s="115" t="str">
        <f t="shared" si="12"/>
        <v>1Q17</v>
      </c>
      <c r="P12" s="115" t="str">
        <f t="shared" si="12"/>
        <v>2Q17</v>
      </c>
      <c r="Q12" s="115" t="str">
        <f t="shared" si="12"/>
        <v>3Q17</v>
      </c>
      <c r="R12" s="115" t="str">
        <f t="shared" ref="R12:Z12" si="13">R5</f>
        <v>4Q17</v>
      </c>
      <c r="S12" s="115" t="str">
        <f t="shared" si="13"/>
        <v>1Q18</v>
      </c>
      <c r="T12" s="115" t="str">
        <f t="shared" si="13"/>
        <v>2Q18</v>
      </c>
      <c r="U12" s="115" t="str">
        <f t="shared" si="13"/>
        <v>3Q18</v>
      </c>
      <c r="V12" s="115" t="str">
        <f t="shared" si="13"/>
        <v>4Q18</v>
      </c>
      <c r="W12" s="115" t="str">
        <f t="shared" si="13"/>
        <v>1Q19</v>
      </c>
      <c r="X12" s="115" t="str">
        <f t="shared" si="13"/>
        <v>2Q19</v>
      </c>
      <c r="Y12" s="115" t="str">
        <f t="shared" si="13"/>
        <v>3Q19</v>
      </c>
      <c r="Z12" s="115" t="str">
        <f t="shared" si="13"/>
        <v>4Q19</v>
      </c>
      <c r="AA12" s="115" t="str">
        <f t="shared" ref="AA12:AJ12" si="14">AA5</f>
        <v>1Q20</v>
      </c>
      <c r="AB12" s="115" t="str">
        <f t="shared" si="14"/>
        <v>2Q20</v>
      </c>
      <c r="AC12" s="115" t="str">
        <f t="shared" si="14"/>
        <v>3Q20</v>
      </c>
      <c r="AD12" s="115" t="str">
        <f t="shared" si="14"/>
        <v>4Q20</v>
      </c>
      <c r="AE12" s="115" t="str">
        <f t="shared" si="14"/>
        <v>1Q21</v>
      </c>
      <c r="AF12" s="115" t="str">
        <f t="shared" si="14"/>
        <v>2Q21</v>
      </c>
      <c r="AG12" s="115" t="str">
        <f t="shared" si="14"/>
        <v>3Q21</v>
      </c>
      <c r="AH12" s="115" t="str">
        <f t="shared" si="14"/>
        <v>4Q21</v>
      </c>
      <c r="AI12" s="115" t="str">
        <f t="shared" si="14"/>
        <v>1Q22</v>
      </c>
      <c r="AJ12" s="115" t="str">
        <f t="shared" si="14"/>
        <v>2Q22</v>
      </c>
      <c r="AK12" s="115" t="str">
        <f t="shared" ref="AK12:AQ12" si="15">AK5</f>
        <v>3Q22</v>
      </c>
      <c r="AL12" s="115" t="str">
        <f t="shared" si="15"/>
        <v>4Q22</v>
      </c>
      <c r="AM12" s="115" t="str">
        <f t="shared" si="15"/>
        <v>1Q23</v>
      </c>
      <c r="AN12" s="115" t="str">
        <f t="shared" si="15"/>
        <v>2Q23</v>
      </c>
      <c r="AO12" s="115" t="str">
        <f t="shared" si="15"/>
        <v>3Q23</v>
      </c>
      <c r="AP12" s="115" t="str">
        <f t="shared" si="15"/>
        <v>4Q23</v>
      </c>
      <c r="AQ12" s="115" t="str">
        <f t="shared" si="15"/>
        <v>1Q24</v>
      </c>
      <c r="AR12" s="115" t="str">
        <f t="shared" ref="AR12:AT12" si="16">AR5</f>
        <v>2Q24</v>
      </c>
      <c r="AS12" s="115" t="str">
        <f t="shared" si="16"/>
        <v>3Q24</v>
      </c>
      <c r="AT12" s="115" t="str">
        <f t="shared" si="16"/>
        <v>4Q24</v>
      </c>
    </row>
    <row r="13" spans="2:47" x14ac:dyDescent="0.2">
      <c r="B13" s="130" t="s">
        <v>552</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row>
    <row r="14" spans="2:47" x14ac:dyDescent="0.2">
      <c r="B14" s="130" t="s">
        <v>553</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2">
        <v>-22821</v>
      </c>
      <c r="AO14" s="118">
        <v>-24522</v>
      </c>
      <c r="AP14" s="118">
        <v>-27221</v>
      </c>
      <c r="AQ14" s="118">
        <v>-19896</v>
      </c>
      <c r="AR14" s="118">
        <v>-24608</v>
      </c>
      <c r="AS14" s="118">
        <v>-32014</v>
      </c>
      <c r="AT14" s="118">
        <v>-31836</v>
      </c>
    </row>
    <row r="15" spans="2:47" x14ac:dyDescent="0.2">
      <c r="B15" s="127" t="s">
        <v>554</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SUM(AP13:AP14)</f>
        <v>452984</v>
      </c>
      <c r="AQ15" s="120">
        <f>SUM(AQ13:AQ14)</f>
        <v>374189</v>
      </c>
      <c r="AR15" s="120">
        <f>SUM(AR13:AR14)</f>
        <v>481466</v>
      </c>
      <c r="AS15" s="120">
        <f>SUM(AS13:AS14)</f>
        <v>650359</v>
      </c>
      <c r="AT15" s="120">
        <f>SUM(AT13:AT14)</f>
        <v>676909</v>
      </c>
    </row>
    <row r="16" spans="2:47" x14ac:dyDescent="0.2">
      <c r="B16" s="130" t="s">
        <v>555</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row>
    <row r="17" spans="2:46" x14ac:dyDescent="0.2">
      <c r="B17" s="127" t="s">
        <v>556</v>
      </c>
      <c r="C17" s="120">
        <f t="shared" ref="C17:I17" si="22">SUM(C15:C16)</f>
        <v>281411</v>
      </c>
      <c r="D17" s="120">
        <f>SUM(D15:D16)</f>
        <v>309865</v>
      </c>
      <c r="E17" s="120">
        <f t="shared" si="22"/>
        <v>312267</v>
      </c>
      <c r="F17" s="120">
        <f t="shared" si="22"/>
        <v>351708</v>
      </c>
      <c r="G17" s="120">
        <f t="shared" si="22"/>
        <v>243916</v>
      </c>
      <c r="H17" s="120">
        <f t="shared" si="22"/>
        <v>233582</v>
      </c>
      <c r="I17" s="120">
        <f t="shared" si="22"/>
        <v>231044</v>
      </c>
      <c r="J17" s="120">
        <f>SUM(J15:J16)</f>
        <v>244461</v>
      </c>
      <c r="K17" s="120">
        <f>SUM(K15:K16)</f>
        <v>168936</v>
      </c>
      <c r="L17" s="120">
        <f t="shared" ref="L17:Q17" si="23">SUM(L15:L16)</f>
        <v>195316</v>
      </c>
      <c r="M17" s="120">
        <f t="shared" si="23"/>
        <v>205955</v>
      </c>
      <c r="N17" s="120">
        <f t="shared" si="23"/>
        <v>221294</v>
      </c>
      <c r="O17" s="120">
        <f t="shared" si="23"/>
        <v>181217</v>
      </c>
      <c r="P17" s="120">
        <f t="shared" si="23"/>
        <v>224098</v>
      </c>
      <c r="Q17" s="120">
        <f t="shared" si="23"/>
        <v>253395</v>
      </c>
      <c r="R17" s="120">
        <f t="shared" ref="R17:Z17" si="24">SUM(R15:R16)</f>
        <v>284472</v>
      </c>
      <c r="S17" s="120">
        <f t="shared" si="24"/>
        <v>231020</v>
      </c>
      <c r="T17" s="120">
        <f t="shared" si="24"/>
        <v>263946</v>
      </c>
      <c r="U17" s="120">
        <f t="shared" si="24"/>
        <v>305656</v>
      </c>
      <c r="V17" s="120">
        <f t="shared" si="24"/>
        <v>335543</v>
      </c>
      <c r="W17" s="120">
        <f t="shared" si="24"/>
        <v>265983</v>
      </c>
      <c r="X17" s="120">
        <f t="shared" si="24"/>
        <v>289878</v>
      </c>
      <c r="Y17" s="120">
        <f t="shared" si="24"/>
        <v>296293</v>
      </c>
      <c r="Z17" s="120">
        <f t="shared" si="24"/>
        <v>329748</v>
      </c>
      <c r="AA17" s="120">
        <f t="shared" ref="AA17:AG17" si="25">SUM(AA15:AA16)</f>
        <v>235893</v>
      </c>
      <c r="AB17" s="120">
        <f t="shared" si="25"/>
        <v>86215</v>
      </c>
      <c r="AC17" s="120">
        <f t="shared" si="25"/>
        <v>240818</v>
      </c>
      <c r="AD17" s="120">
        <f t="shared" si="25"/>
        <v>265511</v>
      </c>
      <c r="AE17" s="120">
        <f t="shared" si="25"/>
        <v>192736</v>
      </c>
      <c r="AF17" s="120">
        <f t="shared" si="25"/>
        <v>189380</v>
      </c>
      <c r="AG17" s="120">
        <f t="shared" si="25"/>
        <v>185342</v>
      </c>
      <c r="AH17" s="120">
        <f>SUM(AH15:AH16)</f>
        <v>257790</v>
      </c>
      <c r="AI17" s="120">
        <v>187655</v>
      </c>
      <c r="AJ17" s="120">
        <f t="shared" ref="AJ17:AO17" si="26">SUM(AJ15:AJ16)</f>
        <v>245947</v>
      </c>
      <c r="AK17" s="120">
        <f t="shared" si="26"/>
        <v>350370</v>
      </c>
      <c r="AL17" s="120">
        <f t="shared" si="26"/>
        <v>344388</v>
      </c>
      <c r="AM17" s="120">
        <f t="shared" si="26"/>
        <v>270546</v>
      </c>
      <c r="AN17" s="120">
        <f t="shared" si="26"/>
        <v>305140</v>
      </c>
      <c r="AO17" s="120">
        <f t="shared" si="26"/>
        <v>356483</v>
      </c>
      <c r="AP17" s="120">
        <f>SUM(AP15:AP16)</f>
        <v>382475</v>
      </c>
      <c r="AQ17" s="120">
        <f>SUM(AQ15:AQ16)</f>
        <v>315359</v>
      </c>
      <c r="AR17" s="120">
        <f>SUM(AR15:AR16)</f>
        <v>408580</v>
      </c>
      <c r="AS17" s="120">
        <f>SUM(AS15:AS16)</f>
        <v>551971</v>
      </c>
      <c r="AT17" s="120">
        <f>SUM(AT15:AT16)</f>
        <v>574920</v>
      </c>
    </row>
    <row r="18" spans="2:46" x14ac:dyDescent="0.2">
      <c r="C18" s="178"/>
      <c r="D18" s="178"/>
      <c r="E18" s="178"/>
      <c r="F18" s="178"/>
      <c r="G18" s="178"/>
      <c r="H18" s="178"/>
    </row>
    <row r="19" spans="2:46" x14ac:dyDescent="0.2">
      <c r="B19" s="115" t="s">
        <v>401</v>
      </c>
      <c r="C19" s="115" t="str">
        <f>C5</f>
        <v>1Q14</v>
      </c>
      <c r="D19" s="115" t="str">
        <f t="shared" ref="D19:Q19" si="27">D5</f>
        <v>2Q14</v>
      </c>
      <c r="E19" s="115" t="str">
        <f t="shared" si="27"/>
        <v>3Q14</v>
      </c>
      <c r="F19" s="115" t="str">
        <f t="shared" si="27"/>
        <v>4Q14</v>
      </c>
      <c r="G19" s="115" t="str">
        <f t="shared" si="27"/>
        <v>1Q15</v>
      </c>
      <c r="H19" s="115" t="str">
        <f t="shared" si="27"/>
        <v>2Q15</v>
      </c>
      <c r="I19" s="115" t="str">
        <f t="shared" si="27"/>
        <v>3Q15</v>
      </c>
      <c r="J19" s="115" t="str">
        <f t="shared" si="27"/>
        <v>4Q15</v>
      </c>
      <c r="K19" s="115" t="str">
        <f t="shared" si="27"/>
        <v>1Q16</v>
      </c>
      <c r="L19" s="115" t="str">
        <f t="shared" si="27"/>
        <v>2Q16</v>
      </c>
      <c r="M19" s="115" t="str">
        <f t="shared" si="27"/>
        <v>3Q16</v>
      </c>
      <c r="N19" s="115" t="str">
        <f t="shared" si="27"/>
        <v>4Q16</v>
      </c>
      <c r="O19" s="115" t="str">
        <f t="shared" si="27"/>
        <v>1Q17</v>
      </c>
      <c r="P19" s="115" t="str">
        <f t="shared" si="27"/>
        <v>2Q17</v>
      </c>
      <c r="Q19" s="115" t="str">
        <f t="shared" si="27"/>
        <v>3Q17</v>
      </c>
      <c r="R19" s="115" t="str">
        <f t="shared" ref="R19:Z19" si="28">R5</f>
        <v>4Q17</v>
      </c>
      <c r="S19" s="115" t="str">
        <f t="shared" si="28"/>
        <v>1Q18</v>
      </c>
      <c r="T19" s="115" t="str">
        <f t="shared" si="28"/>
        <v>2Q18</v>
      </c>
      <c r="U19" s="115" t="str">
        <f t="shared" si="28"/>
        <v>3Q18</v>
      </c>
      <c r="V19" s="115" t="str">
        <f t="shared" si="28"/>
        <v>4Q18</v>
      </c>
      <c r="W19" s="115" t="str">
        <f t="shared" si="28"/>
        <v>1Q19</v>
      </c>
      <c r="X19" s="115" t="str">
        <f t="shared" si="28"/>
        <v>2Q19</v>
      </c>
      <c r="Y19" s="115" t="str">
        <f t="shared" si="28"/>
        <v>3Q19</v>
      </c>
      <c r="Z19" s="115" t="str">
        <f t="shared" si="28"/>
        <v>4Q19</v>
      </c>
      <c r="AA19" s="115" t="str">
        <f>AA5</f>
        <v>1Q20</v>
      </c>
      <c r="AB19" s="115" t="str">
        <f>AB5</f>
        <v>2Q20</v>
      </c>
      <c r="AC19" s="115" t="str">
        <f>AC5</f>
        <v>3Q20</v>
      </c>
      <c r="AD19" s="115" t="s">
        <v>1004</v>
      </c>
      <c r="AE19" s="115" t="str">
        <f t="shared" ref="AE19:AJ19" si="29">AE5</f>
        <v>1Q21</v>
      </c>
      <c r="AF19" s="115" t="str">
        <f t="shared" si="29"/>
        <v>2Q21</v>
      </c>
      <c r="AG19" s="115" t="str">
        <f t="shared" si="29"/>
        <v>3Q21</v>
      </c>
      <c r="AH19" s="115" t="str">
        <f t="shared" si="29"/>
        <v>4Q21</v>
      </c>
      <c r="AI19" s="115" t="str">
        <f t="shared" si="29"/>
        <v>1Q22</v>
      </c>
      <c r="AJ19" s="115" t="str">
        <f t="shared" si="29"/>
        <v>2Q22</v>
      </c>
      <c r="AK19" s="115" t="str">
        <f t="shared" ref="AK19:AQ19" si="30">AK5</f>
        <v>3Q22</v>
      </c>
      <c r="AL19" s="115" t="str">
        <f t="shared" si="30"/>
        <v>4Q22</v>
      </c>
      <c r="AM19" s="115" t="str">
        <f t="shared" si="30"/>
        <v>1Q23</v>
      </c>
      <c r="AN19" s="115" t="str">
        <f t="shared" si="30"/>
        <v>2Q23</v>
      </c>
      <c r="AO19" s="115" t="str">
        <f t="shared" si="30"/>
        <v>3Q23</v>
      </c>
      <c r="AP19" s="115" t="str">
        <f t="shared" si="30"/>
        <v>4Q23</v>
      </c>
      <c r="AQ19" s="115" t="str">
        <f t="shared" si="30"/>
        <v>1Q24</v>
      </c>
      <c r="AR19" s="115" t="str">
        <f t="shared" ref="AR19" si="31">AR5</f>
        <v>2Q24</v>
      </c>
      <c r="AS19" s="115" t="str">
        <f>AS5</f>
        <v>3Q24</v>
      </c>
      <c r="AT19" s="115" t="str">
        <f>AT5</f>
        <v>4Q24</v>
      </c>
    </row>
    <row r="20" spans="2:46" x14ac:dyDescent="0.2">
      <c r="B20" s="130" t="s">
        <v>552</v>
      </c>
      <c r="C20" s="118">
        <f t="shared" ref="C20:I20" si="32">+C6-C13</f>
        <v>57899</v>
      </c>
      <c r="D20" s="118">
        <f t="shared" si="32"/>
        <v>56755</v>
      </c>
      <c r="E20" s="118">
        <f t="shared" si="32"/>
        <v>56563</v>
      </c>
      <c r="F20" s="118">
        <f t="shared" si="32"/>
        <v>54723</v>
      </c>
      <c r="G20" s="118">
        <f t="shared" si="32"/>
        <v>49659</v>
      </c>
      <c r="H20" s="118">
        <f t="shared" si="32"/>
        <v>50583</v>
      </c>
      <c r="I20" s="118">
        <f t="shared" si="32"/>
        <v>53724</v>
      </c>
      <c r="J20" s="118">
        <f t="shared" ref="J20:P21" si="33">+J6-J13</f>
        <v>52104</v>
      </c>
      <c r="K20" s="118">
        <f t="shared" si="33"/>
        <v>40688</v>
      </c>
      <c r="L20" s="118">
        <f t="shared" si="33"/>
        <v>39801</v>
      </c>
      <c r="M20" s="118">
        <f t="shared" si="33"/>
        <v>37963</v>
      </c>
      <c r="N20" s="118">
        <f t="shared" si="33"/>
        <v>39708</v>
      </c>
      <c r="O20" s="118">
        <f t="shared" si="33"/>
        <v>38537</v>
      </c>
      <c r="P20" s="118">
        <f t="shared" si="33"/>
        <v>37455</v>
      </c>
      <c r="Q20" s="118">
        <f t="shared" ref="Q20:S21" si="34">+Q6-Q13</f>
        <v>38584</v>
      </c>
      <c r="R20" s="118">
        <f t="shared" si="34"/>
        <v>41836</v>
      </c>
      <c r="S20" s="118">
        <f t="shared" si="34"/>
        <v>36800</v>
      </c>
      <c r="T20" s="118">
        <f t="shared" ref="T20:W21" si="35">+T6-T13</f>
        <v>34840</v>
      </c>
      <c r="U20" s="118">
        <f t="shared" si="35"/>
        <v>37930</v>
      </c>
      <c r="V20" s="118">
        <f t="shared" si="35"/>
        <v>36598</v>
      </c>
      <c r="W20" s="118">
        <f t="shared" si="35"/>
        <v>36441</v>
      </c>
      <c r="X20" s="118">
        <f>+X6-X13</f>
        <v>49311</v>
      </c>
      <c r="Y20" s="118">
        <v>52300</v>
      </c>
      <c r="Z20" s="118">
        <v>56813</v>
      </c>
      <c r="AA20" s="118">
        <f t="shared" ref="AA20:AC21" si="36">+AA6-AA13</f>
        <v>51660</v>
      </c>
      <c r="AB20" s="118">
        <f t="shared" si="36"/>
        <v>51820</v>
      </c>
      <c r="AC20" s="118">
        <f t="shared" si="36"/>
        <v>57441</v>
      </c>
      <c r="AD20" s="118">
        <v>55982</v>
      </c>
      <c r="AE20" s="118">
        <f t="shared" ref="AE20:AJ21" si="37">+AE6-AE13</f>
        <v>48929</v>
      </c>
      <c r="AF20" s="118">
        <f t="shared" si="37"/>
        <v>56543</v>
      </c>
      <c r="AG20" s="118">
        <f t="shared" si="37"/>
        <v>54643</v>
      </c>
      <c r="AH20" s="118">
        <f t="shared" si="37"/>
        <v>55849</v>
      </c>
      <c r="AI20" s="118">
        <v>63292</v>
      </c>
      <c r="AJ20" s="118">
        <f t="shared" si="37"/>
        <v>69285</v>
      </c>
      <c r="AK20" s="118">
        <f t="shared" ref="AK20:AQ21" si="38">+AK6-AK13</f>
        <v>76910</v>
      </c>
      <c r="AL20" s="118">
        <f t="shared" si="38"/>
        <v>77588</v>
      </c>
      <c r="AM20" s="118">
        <f t="shared" si="38"/>
        <v>79393</v>
      </c>
      <c r="AN20" s="118">
        <f t="shared" si="38"/>
        <v>74288</v>
      </c>
      <c r="AO20" s="118">
        <f t="shared" si="38"/>
        <v>85038</v>
      </c>
      <c r="AP20" s="118">
        <f t="shared" si="38"/>
        <v>85765</v>
      </c>
      <c r="AQ20" s="118">
        <f t="shared" si="38"/>
        <v>89151</v>
      </c>
      <c r="AR20" s="118">
        <f t="shared" ref="AR20" si="39">+AR6-AR13</f>
        <v>78814</v>
      </c>
      <c r="AS20" s="118">
        <f>+AS6-AS13</f>
        <v>64385</v>
      </c>
      <c r="AT20" s="118">
        <f>+AT6-AT13</f>
        <v>61596</v>
      </c>
    </row>
    <row r="21" spans="2:46" x14ac:dyDescent="0.2">
      <c r="B21" s="130" t="s">
        <v>553</v>
      </c>
      <c r="C21" s="118">
        <f t="shared" ref="C21:I21" si="40">+C7-C14</f>
        <v>-1477</v>
      </c>
      <c r="D21" s="118">
        <f t="shared" si="40"/>
        <v>-499</v>
      </c>
      <c r="E21" s="118">
        <f t="shared" si="40"/>
        <v>-554</v>
      </c>
      <c r="F21" s="118">
        <f t="shared" si="40"/>
        <v>-87</v>
      </c>
      <c r="G21" s="118">
        <f t="shared" si="40"/>
        <v>-49</v>
      </c>
      <c r="H21" s="118">
        <f t="shared" si="40"/>
        <v>-335</v>
      </c>
      <c r="I21" s="118">
        <f t="shared" si="40"/>
        <v>-218</v>
      </c>
      <c r="J21" s="118">
        <f t="shared" si="33"/>
        <v>-536</v>
      </c>
      <c r="K21" s="118">
        <f t="shared" si="33"/>
        <v>-267</v>
      </c>
      <c r="L21" s="118">
        <f t="shared" si="33"/>
        <v>-206</v>
      </c>
      <c r="M21" s="118">
        <f t="shared" si="33"/>
        <v>-187</v>
      </c>
      <c r="N21" s="118">
        <f t="shared" si="33"/>
        <v>-297</v>
      </c>
      <c r="O21" s="118">
        <f t="shared" si="33"/>
        <v>-252</v>
      </c>
      <c r="P21" s="118">
        <f t="shared" si="33"/>
        <v>-310</v>
      </c>
      <c r="Q21" s="118">
        <f t="shared" si="34"/>
        <v>-188</v>
      </c>
      <c r="R21" s="118">
        <f t="shared" si="34"/>
        <v>-309</v>
      </c>
      <c r="S21" s="118">
        <f t="shared" si="34"/>
        <v>-152</v>
      </c>
      <c r="T21" s="118">
        <f t="shared" si="35"/>
        <v>-301</v>
      </c>
      <c r="U21" s="118">
        <f t="shared" si="35"/>
        <v>-1167</v>
      </c>
      <c r="V21" s="118">
        <f t="shared" si="35"/>
        <v>-175</v>
      </c>
      <c r="W21" s="118">
        <f t="shared" si="35"/>
        <v>-389</v>
      </c>
      <c r="X21" s="118">
        <f>+X7-X14</f>
        <v>-1212</v>
      </c>
      <c r="Y21" s="118">
        <v>-1112</v>
      </c>
      <c r="Z21" s="118">
        <v>-1138</v>
      </c>
      <c r="AA21" s="118">
        <f t="shared" si="36"/>
        <v>-904</v>
      </c>
      <c r="AB21" s="118">
        <f t="shared" si="36"/>
        <v>-553</v>
      </c>
      <c r="AC21" s="118">
        <f t="shared" si="36"/>
        <v>-1509</v>
      </c>
      <c r="AD21" s="118">
        <v>-1159</v>
      </c>
      <c r="AE21" s="118">
        <f t="shared" si="37"/>
        <v>-1273</v>
      </c>
      <c r="AF21" s="118">
        <f t="shared" si="37"/>
        <v>-1604</v>
      </c>
      <c r="AG21" s="118">
        <f t="shared" si="37"/>
        <v>-1167</v>
      </c>
      <c r="AH21" s="118">
        <f t="shared" si="37"/>
        <v>-1612</v>
      </c>
      <c r="AI21" s="118">
        <v>-1071</v>
      </c>
      <c r="AJ21" s="118">
        <f t="shared" si="37"/>
        <v>-1373</v>
      </c>
      <c r="AK21" s="118">
        <f t="shared" si="38"/>
        <v>-1414</v>
      </c>
      <c r="AL21" s="118">
        <f t="shared" si="38"/>
        <v>-2034</v>
      </c>
      <c r="AM21" s="118">
        <f t="shared" si="38"/>
        <v>-2517</v>
      </c>
      <c r="AN21" s="118">
        <f t="shared" si="38"/>
        <v>-2424</v>
      </c>
      <c r="AO21" s="118">
        <f t="shared" si="38"/>
        <v>-2688</v>
      </c>
      <c r="AP21" s="118">
        <f t="shared" si="38"/>
        <v>-2594</v>
      </c>
      <c r="AQ21" s="118">
        <f t="shared" si="38"/>
        <v>-2648</v>
      </c>
      <c r="AR21" s="118">
        <f t="shared" ref="AR21" si="41">+AR7-AR14</f>
        <v>-2136</v>
      </c>
      <c r="AS21" s="118">
        <f>+AS7-AS14</f>
        <v>-1781</v>
      </c>
      <c r="AT21" s="118">
        <f>+AT7-AT14</f>
        <v>-1600</v>
      </c>
    </row>
    <row r="22" spans="2:46" x14ac:dyDescent="0.2">
      <c r="B22" s="127" t="s">
        <v>554</v>
      </c>
      <c r="C22" s="120">
        <f t="shared" ref="C22:I22" si="42">SUM(C20:C21)</f>
        <v>56422</v>
      </c>
      <c r="D22" s="120">
        <f t="shared" si="42"/>
        <v>56256</v>
      </c>
      <c r="E22" s="120">
        <f t="shared" si="42"/>
        <v>56009</v>
      </c>
      <c r="F22" s="120">
        <f t="shared" si="42"/>
        <v>54636</v>
      </c>
      <c r="G22" s="120">
        <f t="shared" si="42"/>
        <v>49610</v>
      </c>
      <c r="H22" s="120">
        <f t="shared" si="42"/>
        <v>50248</v>
      </c>
      <c r="I22" s="120">
        <f t="shared" si="42"/>
        <v>53506</v>
      </c>
      <c r="J22" s="120">
        <f>SUM(J20:J21)</f>
        <v>51568</v>
      </c>
      <c r="K22" s="120">
        <f>SUM(K20:K21)</f>
        <v>40421</v>
      </c>
      <c r="L22" s="120">
        <f t="shared" ref="L22:Q22" si="43">SUM(L20:L21)</f>
        <v>39595</v>
      </c>
      <c r="M22" s="120">
        <f t="shared" si="43"/>
        <v>37776</v>
      </c>
      <c r="N22" s="120">
        <f t="shared" si="43"/>
        <v>39411</v>
      </c>
      <c r="O22" s="120">
        <f t="shared" si="43"/>
        <v>38285</v>
      </c>
      <c r="P22" s="120">
        <f t="shared" si="43"/>
        <v>37145</v>
      </c>
      <c r="Q22" s="120">
        <f t="shared" si="43"/>
        <v>38396</v>
      </c>
      <c r="R22" s="120">
        <f t="shared" ref="R22:W22" si="44">SUM(R20:R21)</f>
        <v>41527</v>
      </c>
      <c r="S22" s="120">
        <f t="shared" si="44"/>
        <v>36648</v>
      </c>
      <c r="T22" s="120">
        <f t="shared" si="44"/>
        <v>34539</v>
      </c>
      <c r="U22" s="120">
        <f t="shared" si="44"/>
        <v>36763</v>
      </c>
      <c r="V22" s="120">
        <f t="shared" si="44"/>
        <v>36423</v>
      </c>
      <c r="W22" s="120">
        <f t="shared" si="44"/>
        <v>36052</v>
      </c>
      <c r="X22" s="120">
        <f t="shared" ref="X22:AD22" si="45">SUM(X20:X21)</f>
        <v>48099</v>
      </c>
      <c r="Y22" s="120">
        <f t="shared" si="45"/>
        <v>51188</v>
      </c>
      <c r="Z22" s="120">
        <f t="shared" si="45"/>
        <v>55675</v>
      </c>
      <c r="AA22" s="120">
        <f t="shared" si="45"/>
        <v>50756</v>
      </c>
      <c r="AB22" s="120">
        <f t="shared" si="45"/>
        <v>51267</v>
      </c>
      <c r="AC22" s="120">
        <f t="shared" si="45"/>
        <v>55932</v>
      </c>
      <c r="AD22" s="120">
        <f t="shared" si="45"/>
        <v>54823</v>
      </c>
      <c r="AE22" s="120">
        <f>SUM(AE20:AE21)</f>
        <v>47656</v>
      </c>
      <c r="AF22" s="120">
        <f>SUM(AF20:AF21)</f>
        <v>54939</v>
      </c>
      <c r="AG22" s="120">
        <f>SUM(AG20:AG21)</f>
        <v>53476</v>
      </c>
      <c r="AH22" s="120">
        <f>SUM(AH20:AH21)</f>
        <v>54237</v>
      </c>
      <c r="AI22" s="120">
        <v>62221</v>
      </c>
      <c r="AJ22" s="120">
        <f t="shared" ref="AJ22:AO22" si="46">SUM(AJ20:AJ21)</f>
        <v>67912</v>
      </c>
      <c r="AK22" s="120">
        <f t="shared" si="46"/>
        <v>75496</v>
      </c>
      <c r="AL22" s="120">
        <f t="shared" si="46"/>
        <v>75554</v>
      </c>
      <c r="AM22" s="120">
        <f t="shared" si="46"/>
        <v>76876</v>
      </c>
      <c r="AN22" s="120">
        <f t="shared" si="46"/>
        <v>71864</v>
      </c>
      <c r="AO22" s="120">
        <f t="shared" si="46"/>
        <v>82350</v>
      </c>
      <c r="AP22" s="120">
        <f>SUM(AP20:AP21)</f>
        <v>83171</v>
      </c>
      <c r="AQ22" s="120">
        <f>SUM(AQ20:AQ21)</f>
        <v>86503</v>
      </c>
      <c r="AR22" s="120">
        <f>SUM(AR20:AR21)</f>
        <v>76678</v>
      </c>
      <c r="AS22" s="120">
        <f>SUM(AS20:AS21)</f>
        <v>62604</v>
      </c>
      <c r="AT22" s="120">
        <f>SUM(AT20:AT21)</f>
        <v>59996</v>
      </c>
    </row>
    <row r="23" spans="2:46" x14ac:dyDescent="0.2">
      <c r="B23" s="130" t="s">
        <v>555</v>
      </c>
      <c r="C23" s="118">
        <f t="shared" ref="C23:I23" si="47">+C9-C16</f>
        <v>-10468</v>
      </c>
      <c r="D23" s="118">
        <f t="shared" si="47"/>
        <v>-9809</v>
      </c>
      <c r="E23" s="118">
        <f t="shared" si="47"/>
        <v>-9442</v>
      </c>
      <c r="F23" s="118">
        <f t="shared" si="47"/>
        <v>-9302</v>
      </c>
      <c r="G23" s="118">
        <f t="shared" si="47"/>
        <v>-8627</v>
      </c>
      <c r="H23" s="118">
        <f t="shared" si="47"/>
        <v>-8724</v>
      </c>
      <c r="I23" s="118">
        <f t="shared" si="47"/>
        <v>-9164</v>
      </c>
      <c r="J23" s="118">
        <f t="shared" ref="J23:W23" si="48">+J9-J16</f>
        <v>-8856</v>
      </c>
      <c r="K23" s="118">
        <f t="shared" si="48"/>
        <v>-6463</v>
      </c>
      <c r="L23" s="118">
        <f t="shared" si="48"/>
        <v>-6254</v>
      </c>
      <c r="M23" s="118">
        <f t="shared" si="48"/>
        <v>-5913</v>
      </c>
      <c r="N23" s="118">
        <f t="shared" si="48"/>
        <v>-6183</v>
      </c>
      <c r="O23" s="118">
        <f t="shared" si="48"/>
        <v>-5988</v>
      </c>
      <c r="P23" s="262">
        <f t="shared" si="48"/>
        <v>3864</v>
      </c>
      <c r="Q23" s="118">
        <f t="shared" si="48"/>
        <v>-5912</v>
      </c>
      <c r="R23" s="118">
        <f t="shared" si="48"/>
        <v>-6524</v>
      </c>
      <c r="S23" s="118">
        <f t="shared" si="48"/>
        <v>-5596</v>
      </c>
      <c r="T23" s="118">
        <f t="shared" si="48"/>
        <v>-5209</v>
      </c>
      <c r="U23" s="118">
        <f t="shared" si="48"/>
        <v>-11214</v>
      </c>
      <c r="V23" s="118">
        <f t="shared" si="48"/>
        <v>-4740</v>
      </c>
      <c r="W23" s="118">
        <f t="shared" si="48"/>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49">+AJ9-AJ16</f>
        <v>-9324</v>
      </c>
      <c r="AK23" s="118">
        <f t="shared" si="49"/>
        <v>-10357</v>
      </c>
      <c r="AL23" s="118">
        <f t="shared" si="49"/>
        <v>-10543</v>
      </c>
      <c r="AM23" s="118">
        <f t="shared" si="49"/>
        <v>-11384</v>
      </c>
      <c r="AN23" s="118">
        <f t="shared" si="49"/>
        <v>-10353</v>
      </c>
      <c r="AO23" s="118">
        <f t="shared" si="49"/>
        <v>-11856</v>
      </c>
      <c r="AP23" s="118">
        <f>+AP9-AP16</f>
        <v>-11844</v>
      </c>
      <c r="AQ23" s="118">
        <f>+AQ9-AQ16</f>
        <v>-12691</v>
      </c>
      <c r="AR23" s="118">
        <f>+AR9-AR16</f>
        <v>-12416</v>
      </c>
      <c r="AS23" s="118">
        <f>+AS9-AS16</f>
        <v>-10821</v>
      </c>
      <c r="AT23" s="118">
        <f>+AT9-AT16</f>
        <v>-10556</v>
      </c>
    </row>
    <row r="24" spans="2:46" x14ac:dyDescent="0.2">
      <c r="B24" s="127" t="s">
        <v>556</v>
      </c>
      <c r="C24" s="120">
        <f t="shared" ref="C24:I24" si="50">SUM(C22:C23)</f>
        <v>45954</v>
      </c>
      <c r="D24" s="120">
        <f t="shared" si="50"/>
        <v>46447</v>
      </c>
      <c r="E24" s="120">
        <f t="shared" si="50"/>
        <v>46567</v>
      </c>
      <c r="F24" s="120">
        <f t="shared" si="50"/>
        <v>45334</v>
      </c>
      <c r="G24" s="120">
        <f t="shared" si="50"/>
        <v>40983</v>
      </c>
      <c r="H24" s="120">
        <f t="shared" si="50"/>
        <v>41524</v>
      </c>
      <c r="I24" s="120">
        <f t="shared" si="50"/>
        <v>44342</v>
      </c>
      <c r="J24" s="120">
        <f>SUM(J22:J23)</f>
        <v>42712</v>
      </c>
      <c r="K24" s="120">
        <f>SUM(K22:K23)</f>
        <v>33958</v>
      </c>
      <c r="L24" s="120">
        <f t="shared" ref="L24:Q24" si="51">SUM(L22:L23)</f>
        <v>33341</v>
      </c>
      <c r="M24" s="120">
        <f t="shared" si="51"/>
        <v>31863</v>
      </c>
      <c r="N24" s="120">
        <f t="shared" si="51"/>
        <v>33228</v>
      </c>
      <c r="O24" s="120">
        <f t="shared" si="51"/>
        <v>32297</v>
      </c>
      <c r="P24" s="120">
        <f t="shared" si="51"/>
        <v>41009</v>
      </c>
      <c r="Q24" s="120">
        <f t="shared" si="51"/>
        <v>32484</v>
      </c>
      <c r="R24" s="120">
        <f t="shared" ref="R24:W24" si="52">SUM(R22:R23)</f>
        <v>35003</v>
      </c>
      <c r="S24" s="120">
        <f t="shared" si="52"/>
        <v>31052</v>
      </c>
      <c r="T24" s="120">
        <f t="shared" si="52"/>
        <v>29330</v>
      </c>
      <c r="U24" s="120">
        <f t="shared" si="52"/>
        <v>25549</v>
      </c>
      <c r="V24" s="120">
        <f t="shared" si="52"/>
        <v>31683</v>
      </c>
      <c r="W24" s="120">
        <f t="shared" si="52"/>
        <v>30698</v>
      </c>
      <c r="X24" s="120">
        <f t="shared" ref="X24:AD24" si="53">SUM(X22:X23)</f>
        <v>41710</v>
      </c>
      <c r="Y24" s="120">
        <f t="shared" si="53"/>
        <v>44430</v>
      </c>
      <c r="Z24" s="120">
        <f t="shared" si="53"/>
        <v>48580</v>
      </c>
      <c r="AA24" s="120">
        <f t="shared" si="53"/>
        <v>43853</v>
      </c>
      <c r="AB24" s="120">
        <f t="shared" si="53"/>
        <v>43926</v>
      </c>
      <c r="AC24" s="120">
        <f t="shared" si="53"/>
        <v>48363</v>
      </c>
      <c r="AD24" s="120">
        <f t="shared" si="53"/>
        <v>47456</v>
      </c>
      <c r="AE24" s="120">
        <f>SUM(AE22:AE23)</f>
        <v>41176</v>
      </c>
      <c r="AF24" s="120">
        <f>SUM(AF22:AF23)</f>
        <v>47686</v>
      </c>
      <c r="AG24" s="120">
        <f>SUM(AG22:AG23)</f>
        <v>46097</v>
      </c>
      <c r="AH24" s="120">
        <f>SUM(AH22:AH23)</f>
        <v>47136</v>
      </c>
      <c r="AI24" s="120">
        <v>53411</v>
      </c>
      <c r="AJ24" s="120">
        <f t="shared" ref="AJ24:AO24" si="54">SUM(AJ22:AJ23)</f>
        <v>58588</v>
      </c>
      <c r="AK24" s="120">
        <f t="shared" si="54"/>
        <v>65139</v>
      </c>
      <c r="AL24" s="120">
        <f t="shared" si="54"/>
        <v>65011</v>
      </c>
      <c r="AM24" s="120">
        <f t="shared" si="54"/>
        <v>65492</v>
      </c>
      <c r="AN24" s="120">
        <f t="shared" si="54"/>
        <v>61511</v>
      </c>
      <c r="AO24" s="120">
        <f t="shared" si="54"/>
        <v>70494</v>
      </c>
      <c r="AP24" s="120">
        <f>SUM(AP22:AP23)</f>
        <v>71327</v>
      </c>
      <c r="AQ24" s="120">
        <f>SUM(AQ22:AQ23)</f>
        <v>73812</v>
      </c>
      <c r="AR24" s="120">
        <f>SUM(AR22:AR23)</f>
        <v>64262</v>
      </c>
      <c r="AS24" s="120">
        <f>SUM(AS22:AS23)</f>
        <v>51783</v>
      </c>
      <c r="AT24" s="120">
        <f>SUM(AT22:AT23)</f>
        <v>49440</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8" formulaRange="1"/>
    <ignoredError sqref="AT10 AT12 AT15 AT17:AT23" formula="1" formulaRange="1"/>
    <ignoredError sqref="AT24 AK22:AS22"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14">
    <pageSetUpPr autoPageBreaks="0"/>
  </sheetPr>
  <dimension ref="A1:FT255"/>
  <sheetViews>
    <sheetView showGridLines="0" zoomScaleNormal="100" workbookViewId="0">
      <pane xSplit="2" ySplit="5" topLeftCell="AL6"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42578125" customWidth="1"/>
    <col min="2" max="2" width="68.7109375" style="25" bestFit="1" customWidth="1"/>
    <col min="3" max="28" width="10.7109375" style="25" customWidth="1"/>
    <col min="29" max="29" width="11.28515625" style="25" bestFit="1" customWidth="1"/>
    <col min="30" max="33" width="12.28515625" style="25" bestFit="1" customWidth="1"/>
    <col min="34" max="35" width="12.28515625" style="25" customWidth="1"/>
    <col min="36" max="43" width="12.28515625" style="25" bestFit="1" customWidth="1"/>
    <col min="44" max="46" width="12.28515625" style="25" customWidth="1"/>
    <col min="47" max="100" width="10.5703125" style="25" customWidth="1"/>
    <col min="101" max="101" width="5" style="25" customWidth="1"/>
    <col min="102" max="103" width="7" style="25" customWidth="1"/>
    <col min="104" max="104" width="6.42578125" style="25" customWidth="1"/>
    <col min="105" max="105" width="6.5703125" style="25" customWidth="1"/>
    <col min="106" max="106" width="8.28515625" style="25" customWidth="1"/>
    <col min="107" max="107" width="8.42578125" style="25" customWidth="1"/>
    <col min="108" max="108" width="7" style="25" customWidth="1"/>
    <col min="109" max="109" width="6.7109375" style="25" customWidth="1"/>
    <col min="110" max="110" width="7.42578125" style="25" customWidth="1"/>
    <col min="111" max="112" width="6.7109375" style="25" customWidth="1"/>
    <col min="113" max="113" width="7.28515625" style="25" customWidth="1"/>
    <col min="114" max="114" width="8" style="25" customWidth="1"/>
    <col min="115" max="115" width="8.28515625" style="25" customWidth="1"/>
    <col min="116" max="116" width="7.28515625" style="25" customWidth="1"/>
    <col min="117" max="117" width="7.7109375" style="25" customWidth="1"/>
    <col min="118" max="120" width="9.28515625" style="25" customWidth="1"/>
    <col min="121" max="121" width="32.42578125" customWidth="1"/>
    <col min="122" max="123" width="11.7109375" customWidth="1"/>
    <col min="124" max="124" width="8.7109375" customWidth="1"/>
    <col min="125" max="125" width="9" customWidth="1"/>
    <col min="126" max="127" width="8.7109375" customWidth="1"/>
    <col min="128" max="128" width="9.28515625" customWidth="1"/>
    <col min="129" max="129" width="32.42578125" customWidth="1"/>
    <col min="130" max="131" width="11.7109375" customWidth="1"/>
    <col min="132" max="132" width="9.28515625" customWidth="1"/>
    <col min="133" max="133" width="32.42578125" customWidth="1"/>
    <col min="134" max="135" width="11.7109375" customWidth="1"/>
    <col min="136" max="136" width="39.5703125" customWidth="1"/>
    <col min="137" max="137" width="1.7109375" customWidth="1"/>
    <col min="138" max="138" width="10" customWidth="1"/>
    <col min="139" max="139" width="10.5703125" customWidth="1"/>
    <col min="140" max="140" width="1" customWidth="1"/>
    <col min="141" max="142" width="9.7109375" customWidth="1"/>
    <col min="143" max="143" width="1" customWidth="1"/>
    <col min="144" max="145" width="10.5703125" customWidth="1"/>
    <col min="146" max="146" width="2.7109375" customWidth="1"/>
    <col min="147" max="147" width="8.7109375" customWidth="1"/>
    <col min="148" max="148" width="9.28515625" customWidth="1"/>
    <col min="149" max="149" width="1.7109375" customWidth="1"/>
    <col min="150" max="151" width="8.28515625" customWidth="1"/>
    <col min="152" max="152" width="1.28515625" customWidth="1"/>
    <col min="153" max="154" width="8.7109375" customWidth="1"/>
    <col min="155" max="155" width="2.7109375" customWidth="1"/>
    <col min="156" max="156" width="8.7109375" customWidth="1"/>
    <col min="157" max="157" width="9.28515625" customWidth="1"/>
    <col min="158" max="158" width="1.7109375" customWidth="1"/>
    <col min="159" max="160" width="8.28515625" customWidth="1"/>
    <col min="161" max="161" width="1.28515625" customWidth="1"/>
    <col min="162" max="163" width="8.7109375" customWidth="1"/>
    <col min="164" max="164" width="9.28515625" style="25" customWidth="1"/>
    <col min="165" max="165" width="11.42578125" style="25" customWidth="1"/>
    <col min="166" max="166" width="11" style="25" customWidth="1"/>
    <col min="167" max="167" width="12.28515625" style="25" customWidth="1"/>
    <col min="168" max="168" width="10.28515625" style="25" customWidth="1"/>
    <col min="169" max="169" width="9.28515625" style="25"/>
    <col min="170" max="170" width="13.28515625" style="25" customWidth="1"/>
    <col min="171" max="171" width="14.5703125" style="25" customWidth="1"/>
    <col min="172" max="172" width="11.42578125" style="25" customWidth="1"/>
    <col min="173" max="173" width="12.42578125" style="25" customWidth="1"/>
    <col min="174" max="174" width="11.7109375" style="25" customWidth="1"/>
    <col min="175" max="175" width="10.7109375" style="25" customWidth="1"/>
    <col min="176" max="16384" width="9.28515625" style="25"/>
  </cols>
  <sheetData>
    <row r="1" spans="1:163" s="556" customFormat="1" ht="7.5" customHeight="1" x14ac:dyDescent="0.2">
      <c r="A1" s="551"/>
      <c r="D1" s="55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row>
    <row r="2" spans="1:163" s="556" customFormat="1" ht="12.75" customHeight="1" x14ac:dyDescent="0.25">
      <c r="A2" s="551"/>
      <c r="D2" s="561"/>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row>
    <row r="3" spans="1:163" ht="12.75" customHeight="1" x14ac:dyDescent="0.2">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row>
    <row r="4" spans="1:163" ht="12.75" customHeight="1" x14ac:dyDescent="0.2">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row>
    <row r="5" spans="1:163" ht="14.25" customHeight="1" x14ac:dyDescent="0.2">
      <c r="B5" s="115" t="s">
        <v>391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1:163" ht="15.75" customHeight="1" x14ac:dyDescent="0.2">
      <c r="B6" s="130" t="s">
        <v>559</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row>
    <row r="7" spans="1:163" ht="15" customHeight="1" x14ac:dyDescent="0.2">
      <c r="B7" s="130" t="s">
        <v>560</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row>
    <row r="8" spans="1:163" x14ac:dyDescent="0.2">
      <c r="B8" s="130" t="s">
        <v>349</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2">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row>
    <row r="9" spans="1:163" ht="15.75" customHeight="1" x14ac:dyDescent="0.2">
      <c r="B9" s="130" t="s">
        <v>561</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row>
    <row r="10" spans="1:163" x14ac:dyDescent="0.2">
      <c r="B10" s="130" t="s">
        <v>562</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row>
    <row r="11" spans="1:163" x14ac:dyDescent="0.2">
      <c r="B11" s="130" t="s">
        <v>563</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2">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row>
    <row r="12" spans="1:163" x14ac:dyDescent="0.2">
      <c r="B12" s="130" t="s">
        <v>877</v>
      </c>
      <c r="C12" s="118" t="s">
        <v>47</v>
      </c>
      <c r="D12" s="118" t="s">
        <v>47</v>
      </c>
      <c r="E12" s="118" t="s">
        <v>47</v>
      </c>
      <c r="F12" s="118" t="s">
        <v>47</v>
      </c>
      <c r="G12" s="118" t="s">
        <v>47</v>
      </c>
      <c r="H12" s="118" t="s">
        <v>47</v>
      </c>
      <c r="I12" s="118" t="s">
        <v>47</v>
      </c>
      <c r="J12" s="118" t="s">
        <v>47</v>
      </c>
      <c r="K12" s="118" t="s">
        <v>47</v>
      </c>
      <c r="L12" s="118" t="s">
        <v>47</v>
      </c>
      <c r="M12" s="118" t="s">
        <v>47</v>
      </c>
      <c r="N12" s="118" t="s">
        <v>47</v>
      </c>
      <c r="O12" s="118" t="s">
        <v>47</v>
      </c>
      <c r="P12" s="118" t="s">
        <v>47</v>
      </c>
      <c r="Q12" s="118" t="s">
        <v>47</v>
      </c>
      <c r="R12" s="118" t="s">
        <v>47</v>
      </c>
      <c r="S12" s="118" t="s">
        <v>47</v>
      </c>
      <c r="T12" s="118" t="s">
        <v>47</v>
      </c>
      <c r="U12" s="118" t="s">
        <v>47</v>
      </c>
      <c r="V12" s="118" t="s">
        <v>47</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row>
    <row r="13" spans="1:163" x14ac:dyDescent="0.2">
      <c r="B13" s="130" t="s">
        <v>281</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row>
    <row r="14" spans="1:163" x14ac:dyDescent="0.2">
      <c r="B14" s="130" t="s">
        <v>564</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row>
    <row r="15" spans="1:163" x14ac:dyDescent="0.2">
      <c r="B15" s="130" t="s">
        <v>565</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row>
    <row r="16" spans="1:163" x14ac:dyDescent="0.2">
      <c r="B16" s="130" t="s">
        <v>566</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row>
    <row r="17" spans="1:163" x14ac:dyDescent="0.2">
      <c r="B17" s="130" t="s">
        <v>567</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row>
    <row r="18" spans="1:163" x14ac:dyDescent="0.2">
      <c r="B18" s="130" t="s">
        <v>568</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row>
    <row r="19" spans="1:163" x14ac:dyDescent="0.2">
      <c r="B19" s="130" t="s">
        <v>569</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row>
    <row r="20" spans="1:163" x14ac:dyDescent="0.2">
      <c r="B20" s="130" t="s">
        <v>570</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row>
    <row r="21" spans="1:163" x14ac:dyDescent="0.2">
      <c r="B21" s="130" t="s">
        <v>571</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row>
    <row r="22" spans="1:163" x14ac:dyDescent="0.2">
      <c r="B22" s="130" t="s">
        <v>759</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2">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row>
    <row r="23" spans="1:163" x14ac:dyDescent="0.2">
      <c r="B23" s="130" t="s">
        <v>572</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row>
    <row r="24" spans="1:163" x14ac:dyDescent="0.2">
      <c r="B24" s="130" t="s">
        <v>573</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row>
    <row r="25" spans="1:163" x14ac:dyDescent="0.2">
      <c r="B25" s="130" t="s">
        <v>574</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row>
    <row r="26" spans="1:163" x14ac:dyDescent="0.2">
      <c r="B26" s="130" t="s">
        <v>577</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row>
    <row r="27" spans="1:163" x14ac:dyDescent="0.2">
      <c r="B27" s="130" t="s">
        <v>576</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row>
    <row r="28" spans="1:163" x14ac:dyDescent="0.2">
      <c r="B28" s="130" t="s">
        <v>1297</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row>
    <row r="29" spans="1:163" x14ac:dyDescent="0.2">
      <c r="B29" s="130" t="s">
        <v>748</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row>
    <row r="30" spans="1:163" x14ac:dyDescent="0.2">
      <c r="B30" s="130" t="s">
        <v>575</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row>
    <row r="31" spans="1:163" s="249" customFormat="1" hidden="1" outlineLevel="1" x14ac:dyDescent="0.2">
      <c r="A31" s="233"/>
      <c r="B31" s="250" t="s">
        <v>578</v>
      </c>
      <c r="C31" s="219">
        <v>0</v>
      </c>
      <c r="D31" s="219">
        <v>0</v>
      </c>
      <c r="E31" s="219">
        <v>0</v>
      </c>
      <c r="F31" s="219">
        <v>2829.3992499999999</v>
      </c>
      <c r="G31" s="219">
        <v>0</v>
      </c>
      <c r="H31" s="219">
        <v>0</v>
      </c>
      <c r="I31" s="219">
        <v>0</v>
      </c>
      <c r="J31" s="219">
        <v>0</v>
      </c>
      <c r="K31" s="219">
        <v>0</v>
      </c>
      <c r="L31" s="219">
        <v>0</v>
      </c>
      <c r="M31" s="219">
        <v>0</v>
      </c>
      <c r="N31" s="219">
        <v>0</v>
      </c>
      <c r="O31" s="219">
        <v>0</v>
      </c>
      <c r="P31" s="219">
        <v>0</v>
      </c>
      <c r="Q31" s="219">
        <v>0</v>
      </c>
      <c r="R31" s="219">
        <v>0</v>
      </c>
      <c r="S31" s="219">
        <v>0</v>
      </c>
      <c r="T31" s="219" t="s">
        <v>47</v>
      </c>
      <c r="U31" s="219" t="s">
        <v>47</v>
      </c>
      <c r="V31" s="219" t="s">
        <v>47</v>
      </c>
      <c r="W31" s="219" t="s">
        <v>47</v>
      </c>
      <c r="X31" s="219"/>
      <c r="Y31" s="219" t="s">
        <v>47</v>
      </c>
      <c r="Z31" s="219" t="s">
        <v>47</v>
      </c>
      <c r="AA31" s="219" t="s">
        <v>47</v>
      </c>
      <c r="AB31" s="219" t="s">
        <v>47</v>
      </c>
      <c r="AC31" s="219" t="s">
        <v>47</v>
      </c>
      <c r="AD31" s="219" t="s">
        <v>47</v>
      </c>
      <c r="AE31" s="118">
        <v>0</v>
      </c>
      <c r="AF31" s="118">
        <v>0</v>
      </c>
      <c r="AG31" s="118">
        <v>0</v>
      </c>
      <c r="AH31" s="118">
        <v>0</v>
      </c>
      <c r="AI31" s="118" t="s">
        <v>47</v>
      </c>
      <c r="AJ31" s="118" t="s">
        <v>47</v>
      </c>
      <c r="AK31" s="118">
        <v>0</v>
      </c>
      <c r="AL31" s="118">
        <v>0</v>
      </c>
      <c r="AM31" s="118">
        <v>0</v>
      </c>
      <c r="AN31" s="118">
        <v>0</v>
      </c>
      <c r="AO31" s="118">
        <v>0</v>
      </c>
      <c r="AP31" s="118">
        <v>0</v>
      </c>
      <c r="AQ31" s="118">
        <v>0</v>
      </c>
      <c r="AR31" s="118"/>
      <c r="AS31" s="118"/>
      <c r="AT31" s="118">
        <v>0</v>
      </c>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row>
    <row r="32" spans="1:163" ht="25.5" collapsed="1" x14ac:dyDescent="0.2">
      <c r="B32" s="127" t="s">
        <v>38</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R32" si="2">SUM(AK6:AK7,AK8:AK31)</f>
        <v>340600</v>
      </c>
      <c r="AL32" s="120">
        <f t="shared" si="2"/>
        <v>350497</v>
      </c>
      <c r="AM32" s="120">
        <f t="shared" si="2"/>
        <v>297022</v>
      </c>
      <c r="AN32" s="120">
        <f t="shared" si="2"/>
        <v>321766</v>
      </c>
      <c r="AO32" s="120">
        <f t="shared" si="2"/>
        <v>361786</v>
      </c>
      <c r="AP32" s="120">
        <f t="shared" si="2"/>
        <v>391495</v>
      </c>
      <c r="AQ32" s="120">
        <f t="shared" si="2"/>
        <v>344136</v>
      </c>
      <c r="AR32" s="120">
        <f t="shared" si="2"/>
        <v>402015</v>
      </c>
      <c r="AS32" s="120">
        <f>SUM(AS6:AS7,AS8:AS31)</f>
        <v>492000</v>
      </c>
      <c r="AT32" s="120">
        <f>SUM(AT6:AT7,AT8:AT31)</f>
        <v>514506</v>
      </c>
    </row>
    <row r="33" spans="2:46" customFormat="1" ht="12.75" x14ac:dyDescent="0.2"/>
    <row r="34" spans="2:46" x14ac:dyDescent="0.2">
      <c r="B34" s="115" t="s">
        <v>397</v>
      </c>
      <c r="C34" s="115" t="str">
        <f t="shared" ref="C34:Z34" si="3">C5</f>
        <v>1Q14</v>
      </c>
      <c r="D34" s="115" t="str">
        <f t="shared" si="3"/>
        <v>2Q14</v>
      </c>
      <c r="E34" s="115" t="str">
        <f t="shared" si="3"/>
        <v>3Q14</v>
      </c>
      <c r="F34" s="115" t="str">
        <f t="shared" si="3"/>
        <v>4Q14</v>
      </c>
      <c r="G34" s="115" t="str">
        <f t="shared" si="3"/>
        <v>1Q15</v>
      </c>
      <c r="H34" s="115" t="str">
        <f t="shared" si="3"/>
        <v>2Q15</v>
      </c>
      <c r="I34" s="115" t="str">
        <f t="shared" si="3"/>
        <v>3Q15</v>
      </c>
      <c r="J34" s="115" t="str">
        <f t="shared" si="3"/>
        <v>4Q15</v>
      </c>
      <c r="K34" s="115" t="str">
        <f t="shared" si="3"/>
        <v>1Q16</v>
      </c>
      <c r="L34" s="115" t="str">
        <f t="shared" si="3"/>
        <v>2Q16</v>
      </c>
      <c r="M34" s="115" t="str">
        <f t="shared" si="3"/>
        <v>3Q16</v>
      </c>
      <c r="N34" s="115" t="str">
        <f t="shared" si="3"/>
        <v>4Q16</v>
      </c>
      <c r="O34" s="115" t="str">
        <f t="shared" si="3"/>
        <v>1Q17</v>
      </c>
      <c r="P34" s="115" t="str">
        <f t="shared" si="3"/>
        <v>2Q17</v>
      </c>
      <c r="Q34" s="115" t="str">
        <f t="shared" si="3"/>
        <v>3Q17</v>
      </c>
      <c r="R34" s="115" t="str">
        <f t="shared" si="3"/>
        <v>4Q17</v>
      </c>
      <c r="S34" s="115" t="str">
        <f t="shared" si="3"/>
        <v>1Q18</v>
      </c>
      <c r="T34" s="115" t="str">
        <f t="shared" si="3"/>
        <v>2Q18</v>
      </c>
      <c r="U34" s="115" t="str">
        <f t="shared" si="3"/>
        <v>3Q18</v>
      </c>
      <c r="V34" s="115" t="str">
        <f t="shared" si="3"/>
        <v>4Q18</v>
      </c>
      <c r="W34" s="115" t="str">
        <f t="shared" si="3"/>
        <v>1Q19</v>
      </c>
      <c r="X34" s="115" t="str">
        <f t="shared" si="3"/>
        <v>2Q19</v>
      </c>
      <c r="Y34" s="115" t="str">
        <f t="shared" si="3"/>
        <v>3Q19</v>
      </c>
      <c r="Z34" s="115" t="str">
        <f t="shared" si="3"/>
        <v>4Q19</v>
      </c>
      <c r="AA34" s="115" t="str">
        <f t="shared" ref="AA34:AJ34" si="4">AA5</f>
        <v>1Q20</v>
      </c>
      <c r="AB34" s="115" t="str">
        <f t="shared" si="4"/>
        <v>2Q20</v>
      </c>
      <c r="AC34" s="115" t="str">
        <f t="shared" si="4"/>
        <v>3Q20</v>
      </c>
      <c r="AD34" s="115" t="str">
        <f t="shared" si="4"/>
        <v>4Q20</v>
      </c>
      <c r="AE34" s="115" t="str">
        <f t="shared" si="4"/>
        <v>1Q21</v>
      </c>
      <c r="AF34" s="115" t="str">
        <f t="shared" si="4"/>
        <v>2Q21</v>
      </c>
      <c r="AG34" s="115" t="str">
        <f t="shared" si="4"/>
        <v>3Q21</v>
      </c>
      <c r="AH34" s="115" t="str">
        <f t="shared" si="4"/>
        <v>4Q21</v>
      </c>
      <c r="AI34" s="115" t="str">
        <f t="shared" si="4"/>
        <v>1Q22</v>
      </c>
      <c r="AJ34" s="115" t="str">
        <f t="shared" si="4"/>
        <v>2Q22</v>
      </c>
      <c r="AK34" s="115" t="str">
        <f t="shared" ref="AK34:AQ34" si="5">AK5</f>
        <v>3Q22</v>
      </c>
      <c r="AL34" s="115" t="str">
        <f t="shared" si="5"/>
        <v>4Q22</v>
      </c>
      <c r="AM34" s="115" t="str">
        <f t="shared" si="5"/>
        <v>1Q23</v>
      </c>
      <c r="AN34" s="115" t="str">
        <f t="shared" si="5"/>
        <v>2Q23</v>
      </c>
      <c r="AO34" s="115" t="str">
        <f t="shared" si="5"/>
        <v>3Q23</v>
      </c>
      <c r="AP34" s="115" t="str">
        <f t="shared" si="5"/>
        <v>4Q23</v>
      </c>
      <c r="AQ34" s="115" t="str">
        <f t="shared" si="5"/>
        <v>1Q24</v>
      </c>
      <c r="AR34" s="115" t="str">
        <f>AR5</f>
        <v>2Q24</v>
      </c>
      <c r="AS34" s="115" t="str">
        <f>AS5</f>
        <v>3Q24</v>
      </c>
      <c r="AT34" s="115" t="str">
        <f>AT5</f>
        <v>4Q24</v>
      </c>
    </row>
    <row r="35" spans="2:46" x14ac:dyDescent="0.2">
      <c r="B35" s="130" t="s">
        <v>559</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row>
    <row r="36" spans="2:46" x14ac:dyDescent="0.2">
      <c r="B36" s="130" t="s">
        <v>560</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row>
    <row r="37" spans="2:46" x14ac:dyDescent="0.2">
      <c r="B37" s="130" t="s">
        <v>561</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row>
    <row r="38" spans="2:46" x14ac:dyDescent="0.2">
      <c r="B38" s="130" t="s">
        <v>349</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row>
    <row r="39" spans="2:46" ht="15.75" customHeight="1" x14ac:dyDescent="0.2">
      <c r="B39" s="130" t="s">
        <v>563</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row>
    <row r="40" spans="2:46" x14ac:dyDescent="0.2">
      <c r="B40" s="130" t="s">
        <v>918</v>
      </c>
      <c r="C40" s="118" t="s">
        <v>47</v>
      </c>
      <c r="D40" s="118" t="s">
        <v>47</v>
      </c>
      <c r="E40" s="118" t="s">
        <v>47</v>
      </c>
      <c r="F40" s="118" t="s">
        <v>47</v>
      </c>
      <c r="G40" s="118" t="s">
        <v>47</v>
      </c>
      <c r="H40" s="118" t="s">
        <v>47</v>
      </c>
      <c r="I40" s="118" t="s">
        <v>47</v>
      </c>
      <c r="J40" s="118" t="s">
        <v>47</v>
      </c>
      <c r="K40" s="118" t="s">
        <v>47</v>
      </c>
      <c r="L40" s="118" t="s">
        <v>47</v>
      </c>
      <c r="M40" s="118" t="s">
        <v>47</v>
      </c>
      <c r="N40" s="118" t="s">
        <v>47</v>
      </c>
      <c r="O40" s="118" t="s">
        <v>47</v>
      </c>
      <c r="P40" s="118" t="s">
        <v>47</v>
      </c>
      <c r="Q40" s="118" t="s">
        <v>47</v>
      </c>
      <c r="R40" s="118" t="s">
        <v>47</v>
      </c>
      <c r="S40" s="118" t="s">
        <v>47</v>
      </c>
      <c r="T40" s="118" t="s">
        <v>47</v>
      </c>
      <c r="U40" s="118" t="s">
        <v>47</v>
      </c>
      <c r="V40" s="118" t="s">
        <v>47</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row>
    <row r="41" spans="2:46" x14ac:dyDescent="0.2">
      <c r="B41" s="130" t="s">
        <v>281</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row>
    <row r="42" spans="2:46" ht="15" customHeight="1" x14ac:dyDescent="0.2">
      <c r="B42" s="130" t="s">
        <v>562</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row>
    <row r="43" spans="2:46" x14ac:dyDescent="0.2">
      <c r="B43" s="130" t="s">
        <v>577</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row>
    <row r="44" spans="2:46" x14ac:dyDescent="0.2">
      <c r="B44" s="130" t="s">
        <v>569</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row>
    <row r="45" spans="2:46" x14ac:dyDescent="0.2">
      <c r="B45" s="130" t="s">
        <v>564</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row>
    <row r="46" spans="2:46" x14ac:dyDescent="0.2">
      <c r="B46" s="130" t="s">
        <v>567</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row>
    <row r="47" spans="2:46" x14ac:dyDescent="0.2">
      <c r="B47" s="130" t="s">
        <v>565</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row>
    <row r="48" spans="2:46" x14ac:dyDescent="0.2">
      <c r="B48" s="130" t="s">
        <v>566</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row>
    <row r="49" spans="1:163" x14ac:dyDescent="0.2">
      <c r="B49" s="130" t="s">
        <v>568</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row>
    <row r="50" spans="1:163" x14ac:dyDescent="0.2">
      <c r="B50" s="130" t="s">
        <v>574</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row>
    <row r="51" spans="1:163" x14ac:dyDescent="0.2">
      <c r="B51" s="130" t="s">
        <v>570</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row>
    <row r="52" spans="1:163" x14ac:dyDescent="0.2">
      <c r="B52" s="130" t="s">
        <v>573</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row>
    <row r="53" spans="1:163" x14ac:dyDescent="0.2">
      <c r="B53" s="130" t="s">
        <v>572</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row>
    <row r="54" spans="1:163" x14ac:dyDescent="0.2">
      <c r="B54" s="130" t="s">
        <v>571</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row>
    <row r="55" spans="1:163" x14ac:dyDescent="0.2">
      <c r="B55" s="130" t="s">
        <v>576</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row>
    <row r="56" spans="1:163" x14ac:dyDescent="0.2">
      <c r="B56" s="130" t="s">
        <v>1297</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row>
    <row r="57" spans="1:163" x14ac:dyDescent="0.2">
      <c r="B57" s="130" t="s">
        <v>759</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row>
    <row r="58" spans="1:163" s="249" customFormat="1" ht="14.25" hidden="1" customHeight="1" outlineLevel="1" x14ac:dyDescent="0.2">
      <c r="A58" s="233"/>
      <c r="B58" s="250" t="s">
        <v>575</v>
      </c>
      <c r="C58" s="219">
        <v>0</v>
      </c>
      <c r="D58" s="219">
        <v>0</v>
      </c>
      <c r="E58" s="219">
        <v>0</v>
      </c>
      <c r="F58" s="219">
        <v>0</v>
      </c>
      <c r="G58" s="219">
        <v>0</v>
      </c>
      <c r="H58" s="219">
        <v>0</v>
      </c>
      <c r="I58" s="219">
        <v>0</v>
      </c>
      <c r="J58" s="219">
        <v>0</v>
      </c>
      <c r="K58" s="219">
        <v>0</v>
      </c>
      <c r="L58" s="219">
        <v>0</v>
      </c>
      <c r="M58" s="219">
        <v>0</v>
      </c>
      <c r="N58" s="219">
        <v>0</v>
      </c>
      <c r="O58" s="219">
        <v>0</v>
      </c>
      <c r="P58" s="219">
        <v>0</v>
      </c>
      <c r="Q58" s="219">
        <v>0</v>
      </c>
      <c r="R58" s="219">
        <v>0</v>
      </c>
      <c r="S58" s="219">
        <v>0</v>
      </c>
      <c r="T58" s="219">
        <v>0</v>
      </c>
      <c r="U58" s="219">
        <v>0</v>
      </c>
      <c r="V58" s="219">
        <v>0</v>
      </c>
      <c r="W58" s="219">
        <v>0</v>
      </c>
      <c r="X58" s="219"/>
      <c r="Y58" s="219">
        <v>0</v>
      </c>
      <c r="Z58" s="219">
        <v>0</v>
      </c>
      <c r="AA58" s="219">
        <v>0</v>
      </c>
      <c r="AB58" s="219">
        <v>0</v>
      </c>
      <c r="AC58" s="219">
        <v>0</v>
      </c>
      <c r="AD58" s="219">
        <v>0</v>
      </c>
      <c r="AE58" s="219">
        <v>0</v>
      </c>
      <c r="AF58" s="219">
        <v>0</v>
      </c>
      <c r="AG58" s="219">
        <v>0</v>
      </c>
      <c r="AH58" s="219"/>
      <c r="AI58" s="219">
        <v>0</v>
      </c>
      <c r="AJ58" s="219">
        <v>0</v>
      </c>
      <c r="AK58" s="219">
        <v>0</v>
      </c>
      <c r="AL58" s="219">
        <v>0</v>
      </c>
      <c r="AM58" s="219">
        <v>0</v>
      </c>
      <c r="AN58" s="219">
        <v>0</v>
      </c>
      <c r="AO58" s="219">
        <v>0</v>
      </c>
      <c r="AP58" s="219">
        <v>0</v>
      </c>
      <c r="AQ58" s="219">
        <v>0</v>
      </c>
      <c r="AR58" s="219"/>
      <c r="AS58" s="219"/>
      <c r="AT58" s="219">
        <v>0</v>
      </c>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row>
    <row r="59" spans="1:163" s="249" customFormat="1" ht="26.25" hidden="1" customHeight="1" outlineLevel="1" x14ac:dyDescent="0.2">
      <c r="A59" s="233"/>
      <c r="B59" s="250" t="s">
        <v>748</v>
      </c>
      <c r="C59" s="219">
        <v>0</v>
      </c>
      <c r="D59" s="219">
        <v>0</v>
      </c>
      <c r="E59" s="219">
        <v>0</v>
      </c>
      <c r="F59" s="219">
        <v>0</v>
      </c>
      <c r="G59" s="219">
        <v>0</v>
      </c>
      <c r="H59" s="219">
        <v>0</v>
      </c>
      <c r="I59" s="219">
        <v>0</v>
      </c>
      <c r="J59" s="219">
        <v>0</v>
      </c>
      <c r="K59" s="219">
        <v>0</v>
      </c>
      <c r="L59" s="219">
        <v>0</v>
      </c>
      <c r="M59" s="219">
        <v>0</v>
      </c>
      <c r="N59" s="219">
        <v>0</v>
      </c>
      <c r="O59" s="219">
        <v>0</v>
      </c>
      <c r="P59" s="219">
        <v>0</v>
      </c>
      <c r="Q59" s="219">
        <v>5733</v>
      </c>
      <c r="R59" s="219">
        <v>5731</v>
      </c>
      <c r="S59" s="219">
        <v>0</v>
      </c>
      <c r="T59" s="219">
        <v>0</v>
      </c>
      <c r="U59" s="219">
        <v>0</v>
      </c>
      <c r="V59" s="219">
        <v>0</v>
      </c>
      <c r="W59" s="219">
        <v>0</v>
      </c>
      <c r="X59" s="219"/>
      <c r="Y59" s="219">
        <v>0</v>
      </c>
      <c r="Z59" s="219">
        <v>0</v>
      </c>
      <c r="AA59" s="219">
        <v>0</v>
      </c>
      <c r="AB59" s="219">
        <v>0</v>
      </c>
      <c r="AC59" s="219">
        <v>0</v>
      </c>
      <c r="AD59" s="219">
        <v>0</v>
      </c>
      <c r="AE59" s="219">
        <v>0</v>
      </c>
      <c r="AF59" s="219">
        <v>0</v>
      </c>
      <c r="AG59" s="219">
        <v>0</v>
      </c>
      <c r="AH59" s="219"/>
      <c r="AI59" s="219">
        <v>0</v>
      </c>
      <c r="AJ59" s="219">
        <v>0</v>
      </c>
      <c r="AK59" s="219">
        <v>0</v>
      </c>
      <c r="AL59" s="219">
        <v>0</v>
      </c>
      <c r="AM59" s="219">
        <v>0</v>
      </c>
      <c r="AN59" s="219">
        <v>0</v>
      </c>
      <c r="AO59" s="219">
        <v>0</v>
      </c>
      <c r="AP59" s="219">
        <v>0</v>
      </c>
      <c r="AQ59" s="219">
        <v>0</v>
      </c>
      <c r="AR59" s="219"/>
      <c r="AS59" s="219"/>
      <c r="AT59" s="219">
        <v>0</v>
      </c>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row>
    <row r="60" spans="1:163" s="249" customFormat="1" ht="14.25" hidden="1" customHeight="1" outlineLevel="1" x14ac:dyDescent="0.2">
      <c r="A60" s="233"/>
      <c r="B60" s="250" t="s">
        <v>578</v>
      </c>
      <c r="C60" s="219">
        <v>0</v>
      </c>
      <c r="D60" s="219">
        <v>0</v>
      </c>
      <c r="E60" s="219">
        <v>0</v>
      </c>
      <c r="F60" s="219">
        <v>-808.30926999999997</v>
      </c>
      <c r="G60" s="219">
        <v>0</v>
      </c>
      <c r="H60" s="219">
        <v>0</v>
      </c>
      <c r="I60" s="219">
        <v>0</v>
      </c>
      <c r="J60" s="219">
        <v>0</v>
      </c>
      <c r="K60" s="219">
        <v>0</v>
      </c>
      <c r="L60" s="219">
        <v>0</v>
      </c>
      <c r="M60" s="219">
        <v>0</v>
      </c>
      <c r="N60" s="219">
        <v>0</v>
      </c>
      <c r="O60" s="219">
        <v>0</v>
      </c>
      <c r="P60" s="219">
        <v>0</v>
      </c>
      <c r="Q60" s="219">
        <v>0</v>
      </c>
      <c r="R60" s="219">
        <v>0</v>
      </c>
      <c r="S60" s="219">
        <v>0</v>
      </c>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row>
    <row r="61" spans="1:163" ht="25.5" collapsed="1" x14ac:dyDescent="0.2">
      <c r="B61" s="127" t="s">
        <v>38</v>
      </c>
      <c r="C61" s="120">
        <f>SUM(C35:C36,C37:C57)</f>
        <v>255024.56138999999</v>
      </c>
      <c r="D61" s="120">
        <f>SUM(D35:D36,D37:D57)</f>
        <v>271653.07647999987</v>
      </c>
      <c r="E61" s="120">
        <f>SUM(E35:E36,E37:E57)</f>
        <v>271442.68369999994</v>
      </c>
      <c r="F61" s="120">
        <f>SUM(F35:F36,F37:F60)</f>
        <v>294049.43739999994</v>
      </c>
      <c r="G61" s="120">
        <f t="shared" ref="G61:Z61" si="6">SUM(G35:G36,G37:G57)</f>
        <v>223124.80430999992</v>
      </c>
      <c r="H61" s="120">
        <f t="shared" si="6"/>
        <v>216383.8612000001</v>
      </c>
      <c r="I61" s="120">
        <f t="shared" si="6"/>
        <v>209808.37304999994</v>
      </c>
      <c r="J61" s="120">
        <f t="shared" si="6"/>
        <v>213821.11607999983</v>
      </c>
      <c r="K61" s="120">
        <f t="shared" si="6"/>
        <v>160448.57318000001</v>
      </c>
      <c r="L61" s="120">
        <f t="shared" si="6"/>
        <v>182066.51512999999</v>
      </c>
      <c r="M61" s="120">
        <f t="shared" si="6"/>
        <v>183685.91169000001</v>
      </c>
      <c r="N61" s="120">
        <f t="shared" si="6"/>
        <v>192098</v>
      </c>
      <c r="O61" s="120">
        <f t="shared" si="6"/>
        <v>165901</v>
      </c>
      <c r="P61" s="120">
        <f t="shared" si="6"/>
        <v>196210</v>
      </c>
      <c r="Q61" s="120">
        <f t="shared" si="6"/>
        <v>218099</v>
      </c>
      <c r="R61" s="120">
        <f t="shared" si="6"/>
        <v>217577</v>
      </c>
      <c r="S61" s="120">
        <f t="shared" si="6"/>
        <v>205487</v>
      </c>
      <c r="T61" s="120">
        <f t="shared" si="6"/>
        <v>228423</v>
      </c>
      <c r="U61" s="120">
        <f t="shared" si="6"/>
        <v>255772</v>
      </c>
      <c r="V61" s="120">
        <f t="shared" si="6"/>
        <v>272054</v>
      </c>
      <c r="W61" s="120">
        <f t="shared" si="6"/>
        <v>226082</v>
      </c>
      <c r="X61" s="120">
        <f t="shared" si="6"/>
        <v>245542</v>
      </c>
      <c r="Y61" s="120">
        <f t="shared" si="6"/>
        <v>254357</v>
      </c>
      <c r="Z61" s="120">
        <f t="shared" si="6"/>
        <v>278006</v>
      </c>
      <c r="AA61" s="120">
        <f t="shared" ref="AA61:AJ61" si="7">SUM(AA35:AA36,AA37:AA57)</f>
        <v>214681</v>
      </c>
      <c r="AB61" s="120">
        <f t="shared" si="7"/>
        <v>105616</v>
      </c>
      <c r="AC61" s="120">
        <f t="shared" si="7"/>
        <v>205107</v>
      </c>
      <c r="AD61" s="120">
        <f t="shared" si="7"/>
        <v>229827</v>
      </c>
      <c r="AE61" s="120">
        <f t="shared" si="7"/>
        <v>174329</v>
      </c>
      <c r="AF61" s="120">
        <f t="shared" si="7"/>
        <v>172922</v>
      </c>
      <c r="AG61" s="120">
        <f t="shared" si="7"/>
        <v>171030</v>
      </c>
      <c r="AH61" s="120">
        <f t="shared" si="7"/>
        <v>229549</v>
      </c>
      <c r="AI61" s="120">
        <f t="shared" si="7"/>
        <v>180597</v>
      </c>
      <c r="AJ61" s="120">
        <f t="shared" si="7"/>
        <v>223505</v>
      </c>
      <c r="AK61" s="120">
        <f t="shared" ref="AK61:AR61" si="8">SUM(AK35:AK36,AK37:AK57)</f>
        <v>288858</v>
      </c>
      <c r="AL61" s="120">
        <f t="shared" si="8"/>
        <v>294983</v>
      </c>
      <c r="AM61" s="120">
        <f t="shared" si="8"/>
        <v>241455</v>
      </c>
      <c r="AN61" s="120">
        <f t="shared" si="8"/>
        <v>270865</v>
      </c>
      <c r="AO61" s="120">
        <f t="shared" si="8"/>
        <v>304473</v>
      </c>
      <c r="AP61" s="120">
        <f t="shared" si="8"/>
        <v>331645</v>
      </c>
      <c r="AQ61" s="120">
        <f t="shared" si="8"/>
        <v>279739</v>
      </c>
      <c r="AR61" s="120">
        <f t="shared" si="8"/>
        <v>347418</v>
      </c>
      <c r="AS61" s="120">
        <f>SUM(AS35:AS36,AS37:AS57)</f>
        <v>446744</v>
      </c>
      <c r="AT61" s="120">
        <f>SUM(AT35:AT36,AT37:AT57)</f>
        <v>469321</v>
      </c>
    </row>
    <row r="62" spans="1:163" x14ac:dyDescent="0.2">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163" x14ac:dyDescent="0.2">
      <c r="B63" s="115" t="s">
        <v>401</v>
      </c>
      <c r="C63" s="115" t="str">
        <f t="shared" ref="C63:W63" si="9">C5</f>
        <v>1Q14</v>
      </c>
      <c r="D63" s="115" t="str">
        <f t="shared" si="9"/>
        <v>2Q14</v>
      </c>
      <c r="E63" s="115" t="str">
        <f t="shared" si="9"/>
        <v>3Q14</v>
      </c>
      <c r="F63" s="115" t="str">
        <f t="shared" si="9"/>
        <v>4Q14</v>
      </c>
      <c r="G63" s="115" t="str">
        <f t="shared" si="9"/>
        <v>1Q15</v>
      </c>
      <c r="H63" s="115" t="str">
        <f t="shared" si="9"/>
        <v>2Q15</v>
      </c>
      <c r="I63" s="115" t="str">
        <f t="shared" si="9"/>
        <v>3Q15</v>
      </c>
      <c r="J63" s="115" t="str">
        <f t="shared" si="9"/>
        <v>4Q15</v>
      </c>
      <c r="K63" s="115" t="str">
        <f t="shared" si="9"/>
        <v>1Q16</v>
      </c>
      <c r="L63" s="115" t="str">
        <f t="shared" si="9"/>
        <v>2Q16</v>
      </c>
      <c r="M63" s="115" t="str">
        <f t="shared" si="9"/>
        <v>3Q16</v>
      </c>
      <c r="N63" s="115" t="str">
        <f t="shared" si="9"/>
        <v>4Q16</v>
      </c>
      <c r="O63" s="115" t="str">
        <f t="shared" si="9"/>
        <v>1Q17</v>
      </c>
      <c r="P63" s="115" t="str">
        <f t="shared" si="9"/>
        <v>2Q17</v>
      </c>
      <c r="Q63" s="115" t="str">
        <f t="shared" si="9"/>
        <v>3Q17</v>
      </c>
      <c r="R63" s="115" t="str">
        <f t="shared" si="9"/>
        <v>4Q17</v>
      </c>
      <c r="S63" s="115" t="str">
        <f t="shared" si="9"/>
        <v>1Q18</v>
      </c>
      <c r="T63" s="115" t="str">
        <f t="shared" si="9"/>
        <v>2Q18</v>
      </c>
      <c r="U63" s="115" t="str">
        <f t="shared" si="9"/>
        <v>3Q18</v>
      </c>
      <c r="V63" s="115" t="str">
        <f t="shared" si="9"/>
        <v>4Q18</v>
      </c>
      <c r="W63" s="115" t="str">
        <f t="shared" si="9"/>
        <v>1Q19</v>
      </c>
      <c r="X63" s="115" t="str">
        <f t="shared" ref="X63:AC63" si="10">X5</f>
        <v>2Q19</v>
      </c>
      <c r="Y63" s="115" t="str">
        <f t="shared" si="10"/>
        <v>3Q19</v>
      </c>
      <c r="Z63" s="115" t="str">
        <f t="shared" si="10"/>
        <v>4Q19</v>
      </c>
      <c r="AA63" s="115" t="str">
        <f t="shared" si="10"/>
        <v>1Q20</v>
      </c>
      <c r="AB63" s="115" t="str">
        <f t="shared" si="10"/>
        <v>2Q20</v>
      </c>
      <c r="AC63" s="115" t="str">
        <f t="shared" si="10"/>
        <v>3Q20</v>
      </c>
      <c r="AD63" s="115" t="str">
        <f t="shared" ref="AD63:AJ63" si="11">AD5</f>
        <v>4Q20</v>
      </c>
      <c r="AE63" s="115" t="str">
        <f t="shared" si="11"/>
        <v>1Q21</v>
      </c>
      <c r="AF63" s="115" t="str">
        <f t="shared" si="11"/>
        <v>2Q21</v>
      </c>
      <c r="AG63" s="115" t="str">
        <f t="shared" si="11"/>
        <v>3Q21</v>
      </c>
      <c r="AH63" s="115" t="str">
        <f t="shared" si="11"/>
        <v>4Q21</v>
      </c>
      <c r="AI63" s="115" t="str">
        <f>AI5</f>
        <v>1Q22</v>
      </c>
      <c r="AJ63" s="115" t="str">
        <f t="shared" si="11"/>
        <v>2Q22</v>
      </c>
      <c r="AK63" s="115" t="str">
        <f t="shared" ref="AK63:AQ63" si="12">AK5</f>
        <v>3Q22</v>
      </c>
      <c r="AL63" s="115" t="str">
        <f t="shared" si="12"/>
        <v>4Q22</v>
      </c>
      <c r="AM63" s="115" t="str">
        <f t="shared" si="12"/>
        <v>1Q23</v>
      </c>
      <c r="AN63" s="115" t="str">
        <f t="shared" si="12"/>
        <v>2Q23</v>
      </c>
      <c r="AO63" s="115" t="str">
        <f t="shared" si="12"/>
        <v>3Q23</v>
      </c>
      <c r="AP63" s="115" t="str">
        <f t="shared" si="12"/>
        <v>4Q23</v>
      </c>
      <c r="AQ63" s="115" t="str">
        <f t="shared" si="12"/>
        <v>1Q24</v>
      </c>
      <c r="AR63" s="115" t="str">
        <f t="shared" ref="AR63" si="13">AR5</f>
        <v>2Q24</v>
      </c>
      <c r="AS63" s="115" t="str">
        <f>AS5</f>
        <v>3Q24</v>
      </c>
      <c r="AT63" s="115" t="str">
        <f>AT5</f>
        <v>4Q24</v>
      </c>
    </row>
    <row r="64" spans="1:163" x14ac:dyDescent="0.2">
      <c r="B64" s="130" t="s">
        <v>559</v>
      </c>
      <c r="C64" s="118">
        <f t="shared" ref="C64:M64" si="14">+C6-C35</f>
        <v>16161.738630000007</v>
      </c>
      <c r="D64" s="118">
        <f t="shared" si="14"/>
        <v>14008.906010000006</v>
      </c>
      <c r="E64" s="118">
        <f t="shared" si="14"/>
        <v>13561.259239999839</v>
      </c>
      <c r="F64" s="118">
        <f t="shared" si="14"/>
        <v>11844.834342599992</v>
      </c>
      <c r="G64" s="118">
        <f t="shared" si="14"/>
        <v>12962.919023950031</v>
      </c>
      <c r="H64" s="118">
        <f t="shared" si="14"/>
        <v>13920.010076749924</v>
      </c>
      <c r="I64" s="118">
        <f t="shared" si="14"/>
        <v>13535.222437950084</v>
      </c>
      <c r="J64" s="118">
        <f t="shared" si="14"/>
        <v>11476.550680000073</v>
      </c>
      <c r="K64" s="118">
        <f t="shared" si="14"/>
        <v>6730.5498399999924</v>
      </c>
      <c r="L64" s="118">
        <f t="shared" si="14"/>
        <v>7979.3556100000278</v>
      </c>
      <c r="M64" s="118">
        <f t="shared" si="14"/>
        <v>7153.0945499999798</v>
      </c>
      <c r="N64" s="118">
        <v>7710</v>
      </c>
      <c r="O64" s="118">
        <v>6778</v>
      </c>
      <c r="P64" s="118">
        <v>7058</v>
      </c>
      <c r="Q64" s="118">
        <f t="shared" ref="Q64:AJ64" si="15">+Q6-Q35</f>
        <v>6582</v>
      </c>
      <c r="R64" s="118">
        <f t="shared" si="15"/>
        <v>7241</v>
      </c>
      <c r="S64" s="118">
        <f t="shared" si="15"/>
        <v>7457</v>
      </c>
      <c r="T64" s="118">
        <f t="shared" si="15"/>
        <v>6146</v>
      </c>
      <c r="U64" s="118">
        <f t="shared" si="15"/>
        <v>7960</v>
      </c>
      <c r="V64" s="118">
        <f t="shared" si="15"/>
        <v>8421</v>
      </c>
      <c r="W64" s="118">
        <f t="shared" si="15"/>
        <v>9371</v>
      </c>
      <c r="X64" s="118">
        <f t="shared" si="15"/>
        <v>17988</v>
      </c>
      <c r="Y64" s="118">
        <f t="shared" si="15"/>
        <v>18493</v>
      </c>
      <c r="Z64" s="118">
        <f t="shared" si="15"/>
        <v>19334</v>
      </c>
      <c r="AA64" s="118">
        <f t="shared" si="15"/>
        <v>18754</v>
      </c>
      <c r="AB64" s="118">
        <f t="shared" si="15"/>
        <v>15065</v>
      </c>
      <c r="AC64" s="118">
        <f t="shared" si="15"/>
        <v>20821</v>
      </c>
      <c r="AD64" s="118">
        <f t="shared" si="15"/>
        <v>23554</v>
      </c>
      <c r="AE64" s="118">
        <f t="shared" si="15"/>
        <v>22646</v>
      </c>
      <c r="AF64" s="118">
        <f t="shared" si="15"/>
        <v>27510</v>
      </c>
      <c r="AG64" s="118">
        <f t="shared" si="15"/>
        <v>26319</v>
      </c>
      <c r="AH64" s="118">
        <f t="shared" si="15"/>
        <v>26013</v>
      </c>
      <c r="AI64" s="118">
        <f t="shared" si="15"/>
        <v>28003</v>
      </c>
      <c r="AJ64" s="118">
        <f t="shared" si="15"/>
        <v>33280</v>
      </c>
      <c r="AK64" s="118">
        <f t="shared" ref="AK64:AQ65" si="16">+AK6-AK35</f>
        <v>37543</v>
      </c>
      <c r="AL64" s="118">
        <f t="shared" si="16"/>
        <v>40987</v>
      </c>
      <c r="AM64" s="118">
        <f t="shared" si="16"/>
        <v>41350</v>
      </c>
      <c r="AN64" s="118">
        <f t="shared" si="16"/>
        <v>39306</v>
      </c>
      <c r="AO64" s="118">
        <f t="shared" si="16"/>
        <v>45378</v>
      </c>
      <c r="AP64" s="118">
        <f t="shared" si="16"/>
        <v>45679</v>
      </c>
      <c r="AQ64" s="118">
        <f t="shared" si="16"/>
        <v>43649</v>
      </c>
      <c r="AR64" s="118">
        <f t="shared" ref="AR64" si="17">+AR6-AR35</f>
        <v>34088</v>
      </c>
      <c r="AS64" s="118">
        <f>+AS6-AS35</f>
        <v>24310</v>
      </c>
      <c r="AT64" s="118">
        <f>+AT6-AT35</f>
        <v>23761</v>
      </c>
    </row>
    <row r="65" spans="2:117" x14ac:dyDescent="0.2">
      <c r="B65" s="130" t="s">
        <v>560</v>
      </c>
      <c r="C65" s="118">
        <f t="shared" ref="C65:M65" si="18">+C7-C36</f>
        <v>5234.9092500000006</v>
      </c>
      <c r="D65" s="118">
        <f t="shared" si="18"/>
        <v>4278.7792399999998</v>
      </c>
      <c r="E65" s="118">
        <f t="shared" si="18"/>
        <v>4337.0035399999979</v>
      </c>
      <c r="F65" s="118">
        <f t="shared" si="18"/>
        <v>4755.2809300000081</v>
      </c>
      <c r="G65" s="118">
        <f t="shared" si="18"/>
        <v>4361.6043300000019</v>
      </c>
      <c r="H65" s="118">
        <f t="shared" si="18"/>
        <v>4213.9295999999995</v>
      </c>
      <c r="I65" s="118">
        <f t="shared" si="18"/>
        <v>4386.1621399999931</v>
      </c>
      <c r="J65" s="118">
        <f t="shared" si="18"/>
        <v>4213.220319999964</v>
      </c>
      <c r="K65" s="118">
        <f t="shared" si="18"/>
        <v>3870.2945699999964</v>
      </c>
      <c r="L65" s="118">
        <f t="shared" si="18"/>
        <v>3834.4575000000132</v>
      </c>
      <c r="M65" s="118">
        <f t="shared" si="18"/>
        <v>3974.2479299999904</v>
      </c>
      <c r="N65" s="118">
        <v>3257</v>
      </c>
      <c r="O65" s="118">
        <v>3741</v>
      </c>
      <c r="P65" s="118">
        <v>4033</v>
      </c>
      <c r="Q65" s="118">
        <f t="shared" ref="Q65:AJ65" si="19">+Q7-Q36</f>
        <v>4153</v>
      </c>
      <c r="R65" s="118">
        <f t="shared" si="19"/>
        <v>4538</v>
      </c>
      <c r="S65" s="118">
        <f t="shared" si="19"/>
        <v>3350</v>
      </c>
      <c r="T65" s="118">
        <f t="shared" si="19"/>
        <v>2825</v>
      </c>
      <c r="U65" s="118">
        <f t="shared" si="19"/>
        <v>2920</v>
      </c>
      <c r="V65" s="118">
        <f t="shared" si="19"/>
        <v>3002</v>
      </c>
      <c r="W65" s="118">
        <f t="shared" si="19"/>
        <v>2348</v>
      </c>
      <c r="X65" s="118">
        <f t="shared" si="19"/>
        <v>2835</v>
      </c>
      <c r="Y65" s="118">
        <f t="shared" si="19"/>
        <v>2847</v>
      </c>
      <c r="Z65" s="118">
        <f t="shared" si="19"/>
        <v>3062</v>
      </c>
      <c r="AA65" s="118">
        <f t="shared" si="19"/>
        <v>2896</v>
      </c>
      <c r="AB65" s="118">
        <f t="shared" si="19"/>
        <v>3258</v>
      </c>
      <c r="AC65" s="118">
        <f t="shared" si="19"/>
        <v>3277</v>
      </c>
      <c r="AD65" s="118">
        <f t="shared" si="19"/>
        <v>2677</v>
      </c>
      <c r="AE65" s="118">
        <f t="shared" si="19"/>
        <v>3097</v>
      </c>
      <c r="AF65" s="118">
        <f t="shared" si="19"/>
        <v>2841</v>
      </c>
      <c r="AG65" s="118">
        <f t="shared" si="19"/>
        <v>2702</v>
      </c>
      <c r="AH65" s="118">
        <f t="shared" si="19"/>
        <v>3408</v>
      </c>
      <c r="AI65" s="118">
        <f t="shared" si="19"/>
        <v>3141</v>
      </c>
      <c r="AJ65" s="118">
        <f t="shared" si="19"/>
        <v>3863</v>
      </c>
      <c r="AK65" s="118">
        <f t="shared" si="16"/>
        <v>4023</v>
      </c>
      <c r="AL65" s="118">
        <f t="shared" si="16"/>
        <v>3013</v>
      </c>
      <c r="AM65" s="118">
        <f t="shared" si="16"/>
        <v>2596</v>
      </c>
      <c r="AN65" s="118">
        <f t="shared" si="16"/>
        <v>2886</v>
      </c>
      <c r="AO65" s="118">
        <f t="shared" si="16"/>
        <v>2999</v>
      </c>
      <c r="AP65" s="118">
        <f t="shared" si="16"/>
        <v>2993</v>
      </c>
      <c r="AQ65" s="118">
        <f t="shared" si="16"/>
        <v>3653</v>
      </c>
      <c r="AR65" s="118">
        <f t="shared" ref="AR65" si="20">+AR7-AR36</f>
        <v>4108</v>
      </c>
      <c r="AS65" s="118">
        <f>+AS7-AS36</f>
        <v>4127</v>
      </c>
      <c r="AT65" s="118">
        <f>+AT7-AT36</f>
        <v>4411</v>
      </c>
    </row>
    <row r="66" spans="2:117" x14ac:dyDescent="0.2">
      <c r="B66" s="130" t="s">
        <v>561</v>
      </c>
      <c r="C66" s="118">
        <f t="shared" ref="C66:M66" si="21">+C9-C37</f>
        <v>2465.9611100000002</v>
      </c>
      <c r="D66" s="118">
        <f t="shared" si="21"/>
        <v>2786.9623199999951</v>
      </c>
      <c r="E66" s="118">
        <f t="shared" si="21"/>
        <v>2993.9922600000045</v>
      </c>
      <c r="F66" s="118">
        <f t="shared" si="21"/>
        <v>2832.7744300000068</v>
      </c>
      <c r="G66" s="118">
        <f t="shared" si="21"/>
        <v>2289.8979599999993</v>
      </c>
      <c r="H66" s="118">
        <f t="shared" si="21"/>
        <v>2400.9921099999992</v>
      </c>
      <c r="I66" s="118">
        <f t="shared" si="21"/>
        <v>2551.4174900000044</v>
      </c>
      <c r="J66" s="118">
        <f t="shared" si="21"/>
        <v>2063.491479999996</v>
      </c>
      <c r="K66" s="118">
        <f t="shared" si="21"/>
        <v>2198.4523300000001</v>
      </c>
      <c r="L66" s="118">
        <f t="shared" si="21"/>
        <v>2474.9047699999974</v>
      </c>
      <c r="M66" s="118">
        <f t="shared" si="21"/>
        <v>2355.6429000000026</v>
      </c>
      <c r="N66" s="118">
        <v>1144</v>
      </c>
      <c r="O66" s="118">
        <v>2266</v>
      </c>
      <c r="P66" s="118">
        <v>2680</v>
      </c>
      <c r="Q66" s="118">
        <f t="shared" ref="Q66:W66" si="22">+Q9-Q37</f>
        <v>2110</v>
      </c>
      <c r="R66" s="118">
        <f t="shared" si="22"/>
        <v>2314</v>
      </c>
      <c r="S66" s="118">
        <f t="shared" si="22"/>
        <v>2029</v>
      </c>
      <c r="T66" s="118">
        <f t="shared" si="22"/>
        <v>1851</v>
      </c>
      <c r="U66" s="118">
        <f t="shared" si="22"/>
        <v>1774</v>
      </c>
      <c r="V66" s="118">
        <f t="shared" si="22"/>
        <v>1796</v>
      </c>
      <c r="W66" s="118">
        <f t="shared" si="22"/>
        <v>1584</v>
      </c>
      <c r="X66" s="118">
        <f t="shared" ref="X66:AC66" si="23">+X9-X37</f>
        <v>1857</v>
      </c>
      <c r="Y66" s="118">
        <f t="shared" si="23"/>
        <v>1821</v>
      </c>
      <c r="Z66" s="118">
        <f t="shared" si="23"/>
        <v>1822</v>
      </c>
      <c r="AA66" s="118">
        <f t="shared" si="23"/>
        <v>1758</v>
      </c>
      <c r="AB66" s="118">
        <f t="shared" si="23"/>
        <v>2001</v>
      </c>
      <c r="AC66" s="118">
        <f t="shared" si="23"/>
        <v>1951</v>
      </c>
      <c r="AD66" s="118">
        <f t="shared" ref="AD66:AJ66" si="24">+AD9-AD37</f>
        <v>1765</v>
      </c>
      <c r="AE66" s="118">
        <f t="shared" si="24"/>
        <v>2276</v>
      </c>
      <c r="AF66" s="118">
        <f t="shared" si="24"/>
        <v>1611</v>
      </c>
      <c r="AG66" s="118">
        <f t="shared" si="24"/>
        <v>1620</v>
      </c>
      <c r="AH66" s="118">
        <f t="shared" si="24"/>
        <v>2044</v>
      </c>
      <c r="AI66" s="118">
        <f>+AI9-AI37</f>
        <v>1970</v>
      </c>
      <c r="AJ66" s="118">
        <f t="shared" si="24"/>
        <v>2316</v>
      </c>
      <c r="AK66" s="118">
        <f t="shared" ref="AK66:AQ66" si="25">+AK9-AK37</f>
        <v>2293</v>
      </c>
      <c r="AL66" s="118">
        <f t="shared" si="25"/>
        <v>1052</v>
      </c>
      <c r="AM66" s="118">
        <f t="shared" si="25"/>
        <v>1504</v>
      </c>
      <c r="AN66" s="118">
        <f t="shared" si="25"/>
        <v>1738</v>
      </c>
      <c r="AO66" s="118">
        <f t="shared" si="25"/>
        <v>1738</v>
      </c>
      <c r="AP66" s="118">
        <f t="shared" si="25"/>
        <v>1756</v>
      </c>
      <c r="AQ66" s="118">
        <f t="shared" si="25"/>
        <v>2511</v>
      </c>
      <c r="AR66" s="118">
        <f t="shared" ref="AR66" si="26">+AR9-AR37</f>
        <v>2498</v>
      </c>
      <c r="AS66" s="118">
        <f>+AS9-AS37</f>
        <v>2490</v>
      </c>
      <c r="AT66" s="118">
        <f>+AT9-AT37</f>
        <v>2491</v>
      </c>
    </row>
    <row r="67" spans="2:117" x14ac:dyDescent="0.2">
      <c r="B67" s="130" t="s">
        <v>349</v>
      </c>
      <c r="C67" s="118">
        <f t="shared" ref="C67:M67" si="27">+C8-C38</f>
        <v>4002.6676299999963</v>
      </c>
      <c r="D67" s="118">
        <f t="shared" si="27"/>
        <v>3333.0571400000008</v>
      </c>
      <c r="E67" s="118">
        <f t="shared" si="27"/>
        <v>3276.6465100000096</v>
      </c>
      <c r="F67" s="118">
        <f t="shared" si="27"/>
        <v>3689.5712899999926</v>
      </c>
      <c r="G67" s="118">
        <f t="shared" si="27"/>
        <v>2848.5621100000026</v>
      </c>
      <c r="H67" s="118">
        <f t="shared" si="27"/>
        <v>3045.9348399999999</v>
      </c>
      <c r="I67" s="118">
        <f t="shared" si="27"/>
        <v>3928.5766699999876</v>
      </c>
      <c r="J67" s="118">
        <f t="shared" si="27"/>
        <v>2896.4188000000031</v>
      </c>
      <c r="K67" s="118">
        <f t="shared" si="27"/>
        <v>2583.4518200000002</v>
      </c>
      <c r="L67" s="118">
        <f t="shared" si="27"/>
        <v>2459.3543299999965</v>
      </c>
      <c r="M67" s="118">
        <f t="shared" si="27"/>
        <v>2380.1938500000033</v>
      </c>
      <c r="N67" s="118">
        <v>2349</v>
      </c>
      <c r="O67" s="118">
        <v>1867</v>
      </c>
      <c r="P67" s="118">
        <v>1990</v>
      </c>
      <c r="Q67" s="118">
        <f t="shared" ref="Q67:W67" si="28">+Q8-Q38</f>
        <v>1781</v>
      </c>
      <c r="R67" s="118">
        <f t="shared" si="28"/>
        <v>3862</v>
      </c>
      <c r="S67" s="118">
        <f t="shared" si="28"/>
        <v>1602</v>
      </c>
      <c r="T67" s="118">
        <f t="shared" si="28"/>
        <v>1756</v>
      </c>
      <c r="U67" s="118">
        <f t="shared" si="28"/>
        <v>1146</v>
      </c>
      <c r="V67" s="118">
        <f t="shared" si="28"/>
        <v>1555</v>
      </c>
      <c r="W67" s="118">
        <f t="shared" si="28"/>
        <v>1287</v>
      </c>
      <c r="X67" s="118">
        <f t="shared" ref="X67:AC67" si="29">+X8-X38</f>
        <v>1860</v>
      </c>
      <c r="Y67" s="118">
        <f t="shared" si="29"/>
        <v>1729</v>
      </c>
      <c r="Z67" s="118">
        <f t="shared" si="29"/>
        <v>1892</v>
      </c>
      <c r="AA67" s="118">
        <f t="shared" si="29"/>
        <v>1767</v>
      </c>
      <c r="AB67" s="118">
        <f t="shared" si="29"/>
        <v>1690</v>
      </c>
      <c r="AC67" s="118">
        <f t="shared" si="29"/>
        <v>1490</v>
      </c>
      <c r="AD67" s="118">
        <f t="shared" ref="AD67:AJ67" si="30">+AD8-AD38</f>
        <v>1567</v>
      </c>
      <c r="AE67" s="118">
        <f t="shared" si="30"/>
        <v>964</v>
      </c>
      <c r="AF67" s="118">
        <f t="shared" si="30"/>
        <v>1781</v>
      </c>
      <c r="AG67" s="118">
        <f t="shared" si="30"/>
        <v>1301</v>
      </c>
      <c r="AH67" s="118">
        <f t="shared" si="30"/>
        <v>1262</v>
      </c>
      <c r="AI67" s="118">
        <f>+AI8-AI38</f>
        <v>1114</v>
      </c>
      <c r="AJ67" s="118">
        <f t="shared" si="30"/>
        <v>1352</v>
      </c>
      <c r="AK67" s="118">
        <f t="shared" ref="AK67:AQ67" si="31">+AK8-AK38</f>
        <v>1349</v>
      </c>
      <c r="AL67" s="118">
        <f t="shared" si="31"/>
        <v>2300</v>
      </c>
      <c r="AM67" s="118">
        <f t="shared" si="31"/>
        <v>2636</v>
      </c>
      <c r="AN67" s="118">
        <f t="shared" si="31"/>
        <v>997</v>
      </c>
      <c r="AO67" s="118">
        <f t="shared" si="31"/>
        <v>920</v>
      </c>
      <c r="AP67" s="118">
        <f t="shared" si="31"/>
        <v>1886</v>
      </c>
      <c r="AQ67" s="118">
        <f t="shared" si="31"/>
        <v>1786</v>
      </c>
      <c r="AR67" s="118">
        <f t="shared" ref="AR67" si="32">+AR8-AR38</f>
        <v>1913</v>
      </c>
      <c r="AS67" s="118">
        <f>+AS8-AS38</f>
        <v>1893</v>
      </c>
      <c r="AT67" s="118">
        <f>+AT8-AT38</f>
        <v>1230</v>
      </c>
    </row>
    <row r="68" spans="2:117" ht="15.75" customHeight="1" x14ac:dyDescent="0.2">
      <c r="B68" s="130" t="s">
        <v>563</v>
      </c>
      <c r="C68" s="118">
        <f t="shared" ref="C68:M68" si="33">+C11-C39</f>
        <v>10652.310869999998</v>
      </c>
      <c r="D68" s="118">
        <f t="shared" si="33"/>
        <v>9226.9231</v>
      </c>
      <c r="E68" s="118">
        <f t="shared" si="33"/>
        <v>8384.3059100000064</v>
      </c>
      <c r="F68" s="118">
        <f t="shared" si="33"/>
        <v>10303.176649999994</v>
      </c>
      <c r="G68" s="118">
        <f t="shared" si="33"/>
        <v>9837.5818299999992</v>
      </c>
      <c r="H68" s="118">
        <f t="shared" si="33"/>
        <v>10879.427660000001</v>
      </c>
      <c r="I68" s="118">
        <f t="shared" si="33"/>
        <v>8600.2902300000078</v>
      </c>
      <c r="J68" s="118">
        <f t="shared" si="33"/>
        <v>8557.8763399999989</v>
      </c>
      <c r="K68" s="118">
        <f t="shared" si="33"/>
        <v>8295.9263299999984</v>
      </c>
      <c r="L68" s="118">
        <f t="shared" si="33"/>
        <v>5993.2070300000069</v>
      </c>
      <c r="M68" s="118">
        <f t="shared" si="33"/>
        <v>5162.8666399999947</v>
      </c>
      <c r="N68" s="118">
        <v>5057</v>
      </c>
      <c r="O68" s="118">
        <v>5149</v>
      </c>
      <c r="P68" s="118">
        <v>4272</v>
      </c>
      <c r="Q68" s="118">
        <f t="shared" ref="Q68:W68" si="34">+Q11-Q39</f>
        <v>4979</v>
      </c>
      <c r="R68" s="118">
        <f t="shared" si="34"/>
        <v>5170</v>
      </c>
      <c r="S68" s="118">
        <f t="shared" si="34"/>
        <v>3999</v>
      </c>
      <c r="T68" s="118">
        <f t="shared" si="34"/>
        <v>4005</v>
      </c>
      <c r="U68" s="118">
        <f t="shared" si="34"/>
        <v>3496</v>
      </c>
      <c r="V68" s="118">
        <f t="shared" si="34"/>
        <v>3642</v>
      </c>
      <c r="W68" s="118">
        <f t="shared" si="34"/>
        <v>523</v>
      </c>
      <c r="X68" s="118">
        <f t="shared" ref="X68:AJ68" si="35">+X11-X39</f>
        <v>70</v>
      </c>
      <c r="Y68" s="118">
        <f t="shared" si="35"/>
        <v>704</v>
      </c>
      <c r="Z68" s="118">
        <f t="shared" si="35"/>
        <v>272</v>
      </c>
      <c r="AA68" s="118">
        <f t="shared" si="35"/>
        <v>232</v>
      </c>
      <c r="AB68" s="118">
        <f t="shared" si="35"/>
        <v>230</v>
      </c>
      <c r="AC68" s="118">
        <f t="shared" si="35"/>
        <v>196</v>
      </c>
      <c r="AD68" s="118">
        <f t="shared" si="35"/>
        <v>240</v>
      </c>
      <c r="AE68" s="118">
        <f t="shared" si="35"/>
        <v>-110</v>
      </c>
      <c r="AF68" s="118">
        <f t="shared" si="35"/>
        <v>112</v>
      </c>
      <c r="AG68" s="118">
        <f t="shared" si="35"/>
        <v>79</v>
      </c>
      <c r="AH68" s="118">
        <f t="shared" si="35"/>
        <v>168</v>
      </c>
      <c r="AI68" s="118">
        <f t="shared" si="35"/>
        <v>73</v>
      </c>
      <c r="AJ68" s="118">
        <f t="shared" si="35"/>
        <v>151</v>
      </c>
      <c r="AK68" s="118">
        <f t="shared" ref="AK68:AQ70" si="36">+AK11-AK39</f>
        <v>134</v>
      </c>
      <c r="AL68" s="118">
        <f t="shared" si="36"/>
        <v>151</v>
      </c>
      <c r="AM68" s="118">
        <f t="shared" si="36"/>
        <v>299</v>
      </c>
      <c r="AN68" s="118">
        <f t="shared" si="36"/>
        <v>144</v>
      </c>
      <c r="AO68" s="118">
        <f t="shared" si="36"/>
        <v>224</v>
      </c>
      <c r="AP68" s="118">
        <f t="shared" si="36"/>
        <v>376</v>
      </c>
      <c r="AQ68" s="118">
        <f t="shared" si="36"/>
        <v>530</v>
      </c>
      <c r="AR68" s="118">
        <f t="shared" ref="AR68" si="37">+AR11-AR39</f>
        <v>705</v>
      </c>
      <c r="AS68" s="118">
        <f t="shared" ref="AS68:AT70" si="38">+AS11-AS39</f>
        <v>589</v>
      </c>
      <c r="AT68" s="118">
        <f t="shared" si="38"/>
        <v>758</v>
      </c>
      <c r="CW68"/>
      <c r="CX68"/>
      <c r="CY68"/>
      <c r="CZ68"/>
      <c r="DA68"/>
      <c r="DB68"/>
      <c r="DC68"/>
      <c r="DD68"/>
      <c r="DE68"/>
      <c r="DF68"/>
      <c r="DG68"/>
      <c r="DH68"/>
      <c r="DI68"/>
      <c r="DJ68"/>
      <c r="DK68"/>
      <c r="DL68"/>
      <c r="DM68"/>
    </row>
    <row r="69" spans="2:117" x14ac:dyDescent="0.2">
      <c r="B69" s="130" t="s">
        <v>918</v>
      </c>
      <c r="C69" s="118" t="s">
        <v>47</v>
      </c>
      <c r="D69" s="118" t="s">
        <v>47</v>
      </c>
      <c r="E69" s="118" t="s">
        <v>47</v>
      </c>
      <c r="F69" s="118" t="s">
        <v>47</v>
      </c>
      <c r="G69" s="118" t="s">
        <v>47</v>
      </c>
      <c r="H69" s="118" t="s">
        <v>47</v>
      </c>
      <c r="I69" s="118" t="s">
        <v>47</v>
      </c>
      <c r="J69" s="118" t="s">
        <v>47</v>
      </c>
      <c r="K69" s="118" t="s">
        <v>47</v>
      </c>
      <c r="L69" s="118" t="s">
        <v>47</v>
      </c>
      <c r="M69" s="118" t="s">
        <v>47</v>
      </c>
      <c r="N69" s="118" t="s">
        <v>47</v>
      </c>
      <c r="O69" s="118" t="s">
        <v>47</v>
      </c>
      <c r="P69" s="118" t="s">
        <v>47</v>
      </c>
      <c r="Q69" s="118" t="s">
        <v>47</v>
      </c>
      <c r="R69" s="118" t="s">
        <v>47</v>
      </c>
      <c r="S69" s="118" t="s">
        <v>47</v>
      </c>
      <c r="T69" s="118" t="s">
        <v>47</v>
      </c>
      <c r="U69" s="118" t="s">
        <v>47</v>
      </c>
      <c r="V69" s="118" t="s">
        <v>47</v>
      </c>
      <c r="W69" s="118">
        <f>+W12-W40</f>
        <v>3420</v>
      </c>
      <c r="X69" s="118">
        <f t="shared" ref="X69:AJ69" si="39">+X12-X40</f>
        <v>2559</v>
      </c>
      <c r="Y69" s="118">
        <f t="shared" si="39"/>
        <v>3388</v>
      </c>
      <c r="Z69" s="118">
        <f t="shared" si="39"/>
        <v>3420</v>
      </c>
      <c r="AA69" s="118">
        <f t="shared" si="39"/>
        <v>3207</v>
      </c>
      <c r="AB69" s="118">
        <f t="shared" si="39"/>
        <v>2940</v>
      </c>
      <c r="AC69" s="118">
        <f t="shared" si="39"/>
        <v>2724</v>
      </c>
      <c r="AD69" s="118">
        <f t="shared" si="39"/>
        <v>2042</v>
      </c>
      <c r="AE69" s="118">
        <f t="shared" si="39"/>
        <v>1423</v>
      </c>
      <c r="AF69" s="118">
        <f t="shared" si="39"/>
        <v>880</v>
      </c>
      <c r="AG69" s="118">
        <f t="shared" si="39"/>
        <v>888</v>
      </c>
      <c r="AH69" s="118">
        <f t="shared" si="39"/>
        <v>851</v>
      </c>
      <c r="AI69" s="118">
        <f t="shared" si="39"/>
        <v>976</v>
      </c>
      <c r="AJ69" s="118">
        <f t="shared" si="39"/>
        <v>1093</v>
      </c>
      <c r="AK69" s="118">
        <f t="shared" si="36"/>
        <v>1229</v>
      </c>
      <c r="AL69" s="118">
        <f t="shared" si="36"/>
        <v>1240</v>
      </c>
      <c r="AM69" s="118">
        <f t="shared" si="36"/>
        <v>1051</v>
      </c>
      <c r="AN69" s="118">
        <f t="shared" si="36"/>
        <v>1269</v>
      </c>
      <c r="AO69" s="118">
        <f t="shared" si="36"/>
        <v>1334</v>
      </c>
      <c r="AP69" s="118">
        <f t="shared" si="36"/>
        <v>1301</v>
      </c>
      <c r="AQ69" s="118">
        <f t="shared" si="36"/>
        <v>1285</v>
      </c>
      <c r="AR69" s="118">
        <f t="shared" ref="AR69" si="40">+AR12-AR40</f>
        <v>1124</v>
      </c>
      <c r="AS69" s="118">
        <f t="shared" si="38"/>
        <v>1039</v>
      </c>
      <c r="AT69" s="118">
        <f t="shared" si="38"/>
        <v>999</v>
      </c>
    </row>
    <row r="70" spans="2:117" ht="15.75" customHeight="1" x14ac:dyDescent="0.2">
      <c r="B70" s="130" t="s">
        <v>281</v>
      </c>
      <c r="C70" s="118">
        <f t="shared" ref="C70:M70" si="41">+C13-C41</f>
        <v>2895.2145599999994</v>
      </c>
      <c r="D70" s="118">
        <f t="shared" si="41"/>
        <v>2919.3532300000002</v>
      </c>
      <c r="E70" s="118">
        <f t="shared" si="41"/>
        <v>2860.211869999996</v>
      </c>
      <c r="F70" s="118">
        <f t="shared" si="41"/>
        <v>5309.278460000005</v>
      </c>
      <c r="G70" s="118">
        <f t="shared" si="41"/>
        <v>3169.31016</v>
      </c>
      <c r="H70" s="118">
        <f t="shared" si="41"/>
        <v>3330.360009999999</v>
      </c>
      <c r="I70" s="118">
        <f t="shared" si="41"/>
        <v>2761.1405799999957</v>
      </c>
      <c r="J70" s="118">
        <f t="shared" si="41"/>
        <v>3254.5851100000045</v>
      </c>
      <c r="K70" s="118">
        <f t="shared" si="41"/>
        <v>1951.4801299999999</v>
      </c>
      <c r="L70" s="118">
        <f t="shared" si="41"/>
        <v>4289.9290400000009</v>
      </c>
      <c r="M70" s="118">
        <f t="shared" si="41"/>
        <v>2311.590830000001</v>
      </c>
      <c r="N70" s="118">
        <v>2517</v>
      </c>
      <c r="O70" s="118">
        <v>2244</v>
      </c>
      <c r="P70" s="118">
        <v>2369</v>
      </c>
      <c r="Q70" s="118">
        <f t="shared" ref="Q70:V70" si="42">+Q13-Q41</f>
        <v>2485</v>
      </c>
      <c r="R70" s="118">
        <f t="shared" si="42"/>
        <v>2568</v>
      </c>
      <c r="S70" s="118">
        <f t="shared" si="42"/>
        <v>1970</v>
      </c>
      <c r="T70" s="118">
        <f t="shared" si="42"/>
        <v>1651</v>
      </c>
      <c r="U70" s="118">
        <f t="shared" si="42"/>
        <v>1681</v>
      </c>
      <c r="V70" s="118">
        <f t="shared" si="42"/>
        <v>1640</v>
      </c>
      <c r="W70" s="118">
        <f>+W13-W41</f>
        <v>1674</v>
      </c>
      <c r="X70" s="118">
        <f t="shared" ref="X70:AJ70" si="43">+X13-X41</f>
        <v>1849</v>
      </c>
      <c r="Y70" s="118">
        <f t="shared" si="43"/>
        <v>1951</v>
      </c>
      <c r="Z70" s="118">
        <f t="shared" si="43"/>
        <v>1829</v>
      </c>
      <c r="AA70" s="118">
        <f t="shared" si="43"/>
        <v>1819</v>
      </c>
      <c r="AB70" s="118">
        <f t="shared" si="43"/>
        <v>1803</v>
      </c>
      <c r="AC70" s="118">
        <f t="shared" si="43"/>
        <v>1775</v>
      </c>
      <c r="AD70" s="118">
        <f t="shared" si="43"/>
        <v>1680</v>
      </c>
      <c r="AE70" s="118">
        <f t="shared" si="43"/>
        <v>1478</v>
      </c>
      <c r="AF70" s="118">
        <f t="shared" si="43"/>
        <v>1345</v>
      </c>
      <c r="AG70" s="118">
        <f t="shared" si="43"/>
        <v>1260</v>
      </c>
      <c r="AH70" s="118">
        <f t="shared" si="43"/>
        <v>1233</v>
      </c>
      <c r="AI70" s="118">
        <f t="shared" si="43"/>
        <v>1239</v>
      </c>
      <c r="AJ70" s="118">
        <f t="shared" si="43"/>
        <v>1252</v>
      </c>
      <c r="AK70" s="118">
        <f t="shared" si="36"/>
        <v>1272</v>
      </c>
      <c r="AL70" s="118">
        <f t="shared" si="36"/>
        <v>1281</v>
      </c>
      <c r="AM70" s="118">
        <f t="shared" si="36"/>
        <v>1664</v>
      </c>
      <c r="AN70" s="118">
        <f t="shared" si="36"/>
        <v>1591</v>
      </c>
      <c r="AO70" s="118">
        <f t="shared" si="36"/>
        <v>1654</v>
      </c>
      <c r="AP70" s="118">
        <f t="shared" si="36"/>
        <v>2747</v>
      </c>
      <c r="AQ70" s="118">
        <f t="shared" si="36"/>
        <v>2832</v>
      </c>
      <c r="AR70" s="118">
        <f t="shared" ref="AR70" si="44">+AR13-AR41</f>
        <v>2913</v>
      </c>
      <c r="AS70" s="118">
        <f t="shared" si="38"/>
        <v>2959</v>
      </c>
      <c r="AT70" s="118">
        <f t="shared" si="38"/>
        <v>2642</v>
      </c>
      <c r="CW70"/>
      <c r="CX70"/>
      <c r="CY70"/>
      <c r="CZ70"/>
      <c r="DA70"/>
      <c r="DB70"/>
      <c r="DC70"/>
      <c r="DD70"/>
      <c r="DE70"/>
      <c r="DF70"/>
      <c r="DG70"/>
      <c r="DH70"/>
      <c r="DI70"/>
      <c r="DJ70"/>
      <c r="DK70"/>
      <c r="DL70"/>
      <c r="DM70"/>
    </row>
    <row r="71" spans="2:117" x14ac:dyDescent="0.2">
      <c r="B71" s="130" t="s">
        <v>562</v>
      </c>
      <c r="C71" s="118">
        <f t="shared" ref="C71:M71" si="45">+C10-C42</f>
        <v>2402.636739999999</v>
      </c>
      <c r="D71" s="118">
        <f t="shared" si="45"/>
        <v>2180.2855300000001</v>
      </c>
      <c r="E71" s="118">
        <f t="shared" si="45"/>
        <v>1983.0123199999962</v>
      </c>
      <c r="F71" s="118">
        <f t="shared" si="45"/>
        <v>2158.8655800000015</v>
      </c>
      <c r="G71" s="118">
        <f t="shared" si="45"/>
        <v>1790.4713900000006</v>
      </c>
      <c r="H71" s="118">
        <f t="shared" si="45"/>
        <v>1875.455109999999</v>
      </c>
      <c r="I71" s="118">
        <f t="shared" si="45"/>
        <v>1866.5339499999991</v>
      </c>
      <c r="J71" s="118">
        <f t="shared" si="45"/>
        <v>1876.9378200000037</v>
      </c>
      <c r="K71" s="118">
        <f t="shared" si="45"/>
        <v>1743.5642099999977</v>
      </c>
      <c r="L71" s="118">
        <f t="shared" si="45"/>
        <v>1782.3390799999988</v>
      </c>
      <c r="M71" s="118">
        <f t="shared" si="45"/>
        <v>1836.0967100000034</v>
      </c>
      <c r="N71" s="118">
        <v>1717</v>
      </c>
      <c r="O71" s="118">
        <v>1764</v>
      </c>
      <c r="P71" s="118">
        <v>1926</v>
      </c>
      <c r="Q71" s="118">
        <f t="shared" ref="Q71:W71" si="46">+Q10-Q42</f>
        <v>1983</v>
      </c>
      <c r="R71" s="118">
        <f t="shared" si="46"/>
        <v>2199</v>
      </c>
      <c r="S71" s="118">
        <f t="shared" si="46"/>
        <v>1478</v>
      </c>
      <c r="T71" s="118">
        <f t="shared" si="46"/>
        <v>1283</v>
      </c>
      <c r="U71" s="118">
        <f t="shared" si="46"/>
        <v>1264</v>
      </c>
      <c r="V71" s="118">
        <f t="shared" si="46"/>
        <v>1339</v>
      </c>
      <c r="W71" s="118">
        <f t="shared" si="46"/>
        <v>1206</v>
      </c>
      <c r="X71" s="118">
        <f t="shared" ref="X71:AC71" si="47">+X10-X42</f>
        <v>1175</v>
      </c>
      <c r="Y71" s="118">
        <f t="shared" si="47"/>
        <v>1237</v>
      </c>
      <c r="Z71" s="118">
        <f t="shared" si="47"/>
        <v>1477</v>
      </c>
      <c r="AA71" s="118">
        <f t="shared" si="47"/>
        <v>1231</v>
      </c>
      <c r="AB71" s="118">
        <f t="shared" si="47"/>
        <v>1275</v>
      </c>
      <c r="AC71" s="118">
        <f t="shared" si="47"/>
        <v>1255</v>
      </c>
      <c r="AD71" s="118">
        <f t="shared" ref="AD71:AJ71" si="48">+AD10-AD42</f>
        <v>1209</v>
      </c>
      <c r="AE71" s="118">
        <f t="shared" si="48"/>
        <v>1470</v>
      </c>
      <c r="AF71" s="118">
        <f t="shared" si="48"/>
        <v>1158</v>
      </c>
      <c r="AG71" s="118">
        <f t="shared" si="48"/>
        <v>1072</v>
      </c>
      <c r="AH71" s="118">
        <f t="shared" si="48"/>
        <v>1359</v>
      </c>
      <c r="AI71" s="118">
        <f>+AI10-AI42</f>
        <v>1300</v>
      </c>
      <c r="AJ71" s="118">
        <f t="shared" si="48"/>
        <v>1389</v>
      </c>
      <c r="AK71" s="118">
        <f t="shared" ref="AK71:AQ71" si="49">+AK10-AK42</f>
        <v>1413</v>
      </c>
      <c r="AL71" s="118">
        <f t="shared" si="49"/>
        <v>986</v>
      </c>
      <c r="AM71" s="118">
        <f t="shared" si="49"/>
        <v>897</v>
      </c>
      <c r="AN71" s="118">
        <f t="shared" si="49"/>
        <v>927</v>
      </c>
      <c r="AO71" s="118">
        <f t="shared" si="49"/>
        <v>979</v>
      </c>
      <c r="AP71" s="118">
        <f t="shared" si="49"/>
        <v>1039</v>
      </c>
      <c r="AQ71" s="118">
        <f t="shared" si="49"/>
        <v>1654</v>
      </c>
      <c r="AR71" s="118">
        <f t="shared" ref="AR71" si="50">+AR10-AR42</f>
        <v>1765</v>
      </c>
      <c r="AS71" s="118">
        <f>+AS10-AS42</f>
        <v>1834</v>
      </c>
      <c r="AT71" s="118">
        <f>+AT10-AT42</f>
        <v>1977</v>
      </c>
      <c r="CW71"/>
      <c r="CX71"/>
      <c r="CY71"/>
      <c r="CZ71"/>
      <c r="DA71"/>
      <c r="DB71"/>
      <c r="DC71"/>
      <c r="DD71"/>
      <c r="DE71"/>
      <c r="DF71"/>
      <c r="DG71"/>
      <c r="DH71"/>
      <c r="DI71"/>
      <c r="DJ71"/>
      <c r="DK71"/>
      <c r="DL71"/>
      <c r="DM71"/>
    </row>
    <row r="72" spans="2:117" x14ac:dyDescent="0.2">
      <c r="B72" s="130" t="s">
        <v>577</v>
      </c>
      <c r="C72" s="118">
        <f t="shared" ref="C72:M72" si="51">+C26-C43</f>
        <v>4679.0293899999997</v>
      </c>
      <c r="D72" s="118">
        <f t="shared" si="51"/>
        <v>3721.9534999999996</v>
      </c>
      <c r="E72" s="118">
        <f t="shared" si="51"/>
        <v>5356.4234499999966</v>
      </c>
      <c r="F72" s="118">
        <f t="shared" si="51"/>
        <v>4212.4691700000021</v>
      </c>
      <c r="G72" s="118">
        <f t="shared" si="51"/>
        <v>4307.2752600000003</v>
      </c>
      <c r="H72" s="118">
        <f t="shared" si="51"/>
        <v>4010.2786900000001</v>
      </c>
      <c r="I72" s="118">
        <f t="shared" si="51"/>
        <v>4698.3441699999985</v>
      </c>
      <c r="J72" s="118">
        <f t="shared" si="51"/>
        <v>5270.7726299999995</v>
      </c>
      <c r="K72" s="118">
        <f t="shared" si="51"/>
        <v>4628.4757700000009</v>
      </c>
      <c r="L72" s="118">
        <f t="shared" si="51"/>
        <v>3810.148839999998</v>
      </c>
      <c r="M72" s="118">
        <f t="shared" si="51"/>
        <v>4482.3753900000011</v>
      </c>
      <c r="N72" s="118">
        <v>3711</v>
      </c>
      <c r="O72" s="118">
        <v>3859</v>
      </c>
      <c r="P72" s="118">
        <v>2979</v>
      </c>
      <c r="Q72" s="118">
        <f t="shared" ref="Q72:W72" si="52">+Q26-Q43</f>
        <v>3931</v>
      </c>
      <c r="R72" s="118">
        <f t="shared" si="52"/>
        <v>3547</v>
      </c>
      <c r="S72" s="118">
        <f t="shared" si="52"/>
        <v>3586</v>
      </c>
      <c r="T72" s="118">
        <f t="shared" si="52"/>
        <v>4262</v>
      </c>
      <c r="U72" s="118">
        <f t="shared" si="52"/>
        <v>4384</v>
      </c>
      <c r="V72" s="118">
        <f t="shared" si="52"/>
        <v>3670</v>
      </c>
      <c r="W72" s="118">
        <f t="shared" si="52"/>
        <v>3997</v>
      </c>
      <c r="X72" s="118">
        <f t="shared" ref="X72:AC72" si="53">+X26-X43</f>
        <v>5917</v>
      </c>
      <c r="Y72" s="118">
        <f t="shared" si="53"/>
        <v>3857</v>
      </c>
      <c r="Z72" s="118">
        <f t="shared" si="53"/>
        <v>4439</v>
      </c>
      <c r="AA72" s="118">
        <f t="shared" si="53"/>
        <v>847</v>
      </c>
      <c r="AB72" s="118">
        <f t="shared" si="53"/>
        <v>550</v>
      </c>
      <c r="AC72" s="118">
        <f t="shared" si="53"/>
        <v>893</v>
      </c>
      <c r="AD72" s="118">
        <f t="shared" ref="AD72:AJ72" si="54">+AD26-AD43</f>
        <v>985</v>
      </c>
      <c r="AE72" s="118">
        <f t="shared" si="54"/>
        <v>986</v>
      </c>
      <c r="AF72" s="118">
        <f t="shared" si="54"/>
        <v>1071</v>
      </c>
      <c r="AG72" s="118">
        <f t="shared" si="54"/>
        <v>958</v>
      </c>
      <c r="AH72" s="118">
        <f t="shared" si="54"/>
        <v>1033</v>
      </c>
      <c r="AI72" s="118">
        <f>+AI26-AI43</f>
        <v>813</v>
      </c>
      <c r="AJ72" s="118">
        <f t="shared" si="54"/>
        <v>1052</v>
      </c>
      <c r="AK72" s="118">
        <f t="shared" ref="AK72:AQ72" si="55">+AK26-AK43</f>
        <v>1896</v>
      </c>
      <c r="AL72" s="118">
        <f t="shared" si="55"/>
        <v>4476</v>
      </c>
      <c r="AM72" s="118">
        <f t="shared" si="55"/>
        <v>4088</v>
      </c>
      <c r="AN72" s="118">
        <f t="shared" si="55"/>
        <v>2602</v>
      </c>
      <c r="AO72" s="118">
        <f t="shared" si="55"/>
        <v>2351</v>
      </c>
      <c r="AP72" s="118">
        <f t="shared" si="55"/>
        <v>2959</v>
      </c>
      <c r="AQ72" s="118">
        <f t="shared" si="55"/>
        <v>1874</v>
      </c>
      <c r="AR72" s="118">
        <f t="shared" ref="AR72" si="56">+AR26-AR43</f>
        <v>810</v>
      </c>
      <c r="AS72" s="118">
        <f>+AS26-AS43</f>
        <v>-7</v>
      </c>
      <c r="AT72" s="118">
        <f>+AT26-AT43</f>
        <v>-101</v>
      </c>
      <c r="CW72"/>
      <c r="CX72"/>
      <c r="CY72"/>
      <c r="CZ72"/>
      <c r="DA72"/>
      <c r="DB72"/>
      <c r="DC72"/>
      <c r="DD72"/>
      <c r="DE72"/>
      <c r="DF72"/>
      <c r="DG72"/>
      <c r="DH72"/>
      <c r="DI72"/>
      <c r="DJ72"/>
      <c r="DK72"/>
      <c r="DL72"/>
      <c r="DM72"/>
    </row>
    <row r="73" spans="2:117" x14ac:dyDescent="0.2">
      <c r="B73" s="130" t="s">
        <v>569</v>
      </c>
      <c r="C73" s="118">
        <f t="shared" ref="C73:M73" si="57">+C19-C44</f>
        <v>2024.8542500000012</v>
      </c>
      <c r="D73" s="118">
        <f t="shared" si="57"/>
        <v>1890.7116399999986</v>
      </c>
      <c r="E73" s="118">
        <f t="shared" si="57"/>
        <v>1579.5168699999999</v>
      </c>
      <c r="F73" s="118">
        <f t="shared" si="57"/>
        <v>2172.337019999999</v>
      </c>
      <c r="G73" s="118">
        <f t="shared" si="57"/>
        <v>2180.0435500000008</v>
      </c>
      <c r="H73" s="118">
        <f t="shared" si="57"/>
        <v>2607.8992700000003</v>
      </c>
      <c r="I73" s="118">
        <f t="shared" si="57"/>
        <v>2327.9713500000003</v>
      </c>
      <c r="J73" s="118">
        <f t="shared" si="57"/>
        <v>3628.0151399999972</v>
      </c>
      <c r="K73" s="118">
        <f t="shared" si="57"/>
        <v>2036.4428200000002</v>
      </c>
      <c r="L73" s="118">
        <f t="shared" si="57"/>
        <v>1835.0926400000008</v>
      </c>
      <c r="M73" s="118">
        <f t="shared" si="57"/>
        <v>1722.464539999999</v>
      </c>
      <c r="N73" s="118">
        <v>1203</v>
      </c>
      <c r="O73" s="118">
        <v>1263</v>
      </c>
      <c r="P73" s="118">
        <v>1549</v>
      </c>
      <c r="Q73" s="118">
        <f t="shared" ref="Q73:W73" si="58">+Q19-Q44</f>
        <v>1471</v>
      </c>
      <c r="R73" s="118">
        <f t="shared" si="58"/>
        <v>2631</v>
      </c>
      <c r="S73" s="118">
        <f t="shared" si="58"/>
        <v>1235</v>
      </c>
      <c r="T73" s="118">
        <f t="shared" si="58"/>
        <v>759</v>
      </c>
      <c r="U73" s="118">
        <f t="shared" si="58"/>
        <v>900</v>
      </c>
      <c r="V73" s="118">
        <f t="shared" si="58"/>
        <v>645</v>
      </c>
      <c r="W73" s="118">
        <f t="shared" si="58"/>
        <v>733</v>
      </c>
      <c r="X73" s="118">
        <f t="shared" ref="X73:AC73" si="59">+X19-X44</f>
        <v>810</v>
      </c>
      <c r="Y73" s="118">
        <f t="shared" si="59"/>
        <v>716</v>
      </c>
      <c r="Z73" s="118">
        <f t="shared" si="59"/>
        <v>717</v>
      </c>
      <c r="AA73" s="118">
        <f t="shared" si="59"/>
        <v>659</v>
      </c>
      <c r="AB73" s="118">
        <f t="shared" si="59"/>
        <v>1385</v>
      </c>
      <c r="AC73" s="118">
        <f t="shared" si="59"/>
        <v>1176</v>
      </c>
      <c r="AD73" s="118">
        <f t="shared" ref="AD73:AJ73" si="60">+AD19-AD44</f>
        <v>916</v>
      </c>
      <c r="AE73" s="118">
        <f t="shared" si="60"/>
        <v>858</v>
      </c>
      <c r="AF73" s="118">
        <f t="shared" si="60"/>
        <v>787</v>
      </c>
      <c r="AG73" s="118">
        <f t="shared" si="60"/>
        <v>672</v>
      </c>
      <c r="AH73" s="118">
        <f t="shared" si="60"/>
        <v>754</v>
      </c>
      <c r="AI73" s="118">
        <f>+AI19-AI44</f>
        <v>780</v>
      </c>
      <c r="AJ73" s="118">
        <f t="shared" si="60"/>
        <v>760</v>
      </c>
      <c r="AK73" s="118">
        <f t="shared" ref="AK73:AQ73" si="61">+AK19-AK44</f>
        <v>752</v>
      </c>
      <c r="AL73" s="118">
        <f t="shared" si="61"/>
        <v>871</v>
      </c>
      <c r="AM73" s="118">
        <f t="shared" si="61"/>
        <v>894</v>
      </c>
      <c r="AN73" s="118">
        <f t="shared" si="61"/>
        <v>882</v>
      </c>
      <c r="AO73" s="118">
        <f t="shared" si="61"/>
        <v>928</v>
      </c>
      <c r="AP73" s="118">
        <f t="shared" si="61"/>
        <v>961</v>
      </c>
      <c r="AQ73" s="118">
        <f t="shared" si="61"/>
        <v>5174</v>
      </c>
      <c r="AR73" s="118">
        <f t="shared" ref="AR73" si="62">+AR19-AR44</f>
        <v>4748</v>
      </c>
      <c r="AS73" s="118">
        <f>+AS19-AS44</f>
        <v>4800</v>
      </c>
      <c r="AT73" s="118">
        <f>+AT19-AT44</f>
        <v>5038</v>
      </c>
      <c r="CW73"/>
      <c r="CX73"/>
      <c r="CY73"/>
      <c r="CZ73"/>
      <c r="DA73"/>
      <c r="DB73"/>
      <c r="DC73"/>
      <c r="DD73"/>
      <c r="DE73"/>
      <c r="DF73"/>
      <c r="DG73"/>
      <c r="DH73"/>
      <c r="DI73"/>
      <c r="DJ73"/>
      <c r="DK73"/>
      <c r="DL73"/>
      <c r="DM73"/>
    </row>
    <row r="74" spans="2:117" ht="15" customHeight="1" x14ac:dyDescent="0.2">
      <c r="B74" s="130" t="s">
        <v>564</v>
      </c>
      <c r="C74" s="118">
        <f t="shared" ref="C74:M74" si="63">+C14-C45</f>
        <v>1957.8330900000001</v>
      </c>
      <c r="D74" s="118">
        <f t="shared" si="63"/>
        <v>2333.7015200000001</v>
      </c>
      <c r="E74" s="118">
        <f t="shared" si="63"/>
        <v>1409.5968699999989</v>
      </c>
      <c r="F74" s="118">
        <f t="shared" si="63"/>
        <v>1521.8408199999976</v>
      </c>
      <c r="G74" s="118">
        <f t="shared" si="63"/>
        <v>1837.6649599999987</v>
      </c>
      <c r="H74" s="118">
        <f t="shared" si="63"/>
        <v>1612.8929200000021</v>
      </c>
      <c r="I74" s="118">
        <f t="shared" si="63"/>
        <v>2116.7283099999995</v>
      </c>
      <c r="J74" s="118">
        <f t="shared" si="63"/>
        <v>1772.6333399999953</v>
      </c>
      <c r="K74" s="118">
        <f t="shared" si="63"/>
        <v>827.18574999999964</v>
      </c>
      <c r="L74" s="118">
        <f t="shared" si="63"/>
        <v>1146.8313800000014</v>
      </c>
      <c r="M74" s="118">
        <f t="shared" si="63"/>
        <v>1846.9828699999989</v>
      </c>
      <c r="N74" s="118">
        <v>2532</v>
      </c>
      <c r="O74" s="118">
        <v>1604</v>
      </c>
      <c r="P74" s="118">
        <v>1971</v>
      </c>
      <c r="Q74" s="118">
        <f t="shared" ref="Q74:W74" si="64">+Q14-Q45</f>
        <v>1361</v>
      </c>
      <c r="R74" s="118">
        <f t="shared" si="64"/>
        <v>1835</v>
      </c>
      <c r="S74" s="118">
        <f t="shared" si="64"/>
        <v>1364</v>
      </c>
      <c r="T74" s="118">
        <f t="shared" si="64"/>
        <v>1020</v>
      </c>
      <c r="U74" s="118">
        <f t="shared" si="64"/>
        <v>1127</v>
      </c>
      <c r="V74" s="118">
        <f t="shared" si="64"/>
        <v>1360</v>
      </c>
      <c r="W74" s="118">
        <f t="shared" si="64"/>
        <v>1101</v>
      </c>
      <c r="X74" s="118">
        <f t="shared" ref="X74:AC74" si="65">+X14-X45</f>
        <v>1333</v>
      </c>
      <c r="Y74" s="118">
        <f t="shared" si="65"/>
        <v>1275</v>
      </c>
      <c r="Z74" s="118">
        <f t="shared" si="65"/>
        <v>1426</v>
      </c>
      <c r="AA74" s="118">
        <f t="shared" si="65"/>
        <v>1129</v>
      </c>
      <c r="AB74" s="118">
        <f t="shared" si="65"/>
        <v>1337</v>
      </c>
      <c r="AC74" s="118">
        <f t="shared" si="65"/>
        <v>1181</v>
      </c>
      <c r="AD74" s="118">
        <f t="shared" ref="AD74:AJ74" si="66">+AD14-AD45</f>
        <v>1153</v>
      </c>
      <c r="AE74" s="118">
        <f t="shared" si="66"/>
        <v>1571</v>
      </c>
      <c r="AF74" s="118">
        <f t="shared" si="66"/>
        <v>1370</v>
      </c>
      <c r="AG74" s="118">
        <f t="shared" si="66"/>
        <v>1433</v>
      </c>
      <c r="AH74" s="118">
        <f t="shared" si="66"/>
        <v>1323</v>
      </c>
      <c r="AI74" s="118">
        <f>+AI14-AI45</f>
        <v>1548</v>
      </c>
      <c r="AJ74" s="118">
        <f t="shared" si="66"/>
        <v>1577</v>
      </c>
      <c r="AK74" s="118">
        <f t="shared" ref="AK74:AQ74" si="67">+AK14-AK45</f>
        <v>1914</v>
      </c>
      <c r="AL74" s="118">
        <f t="shared" si="67"/>
        <v>2232</v>
      </c>
      <c r="AM74" s="118">
        <f t="shared" si="67"/>
        <v>1803</v>
      </c>
      <c r="AN74" s="118">
        <f t="shared" si="67"/>
        <v>1692</v>
      </c>
      <c r="AO74" s="118">
        <f t="shared" si="67"/>
        <v>2105</v>
      </c>
      <c r="AP74" s="118">
        <f t="shared" si="67"/>
        <v>2167</v>
      </c>
      <c r="AQ74" s="118">
        <f t="shared" si="67"/>
        <v>2810</v>
      </c>
      <c r="AR74" s="118">
        <f t="shared" ref="AR74" si="68">+AR14-AR45</f>
        <v>2148</v>
      </c>
      <c r="AS74" s="118">
        <f>+AS14-AS45</f>
        <v>2072</v>
      </c>
      <c r="AT74" s="118">
        <f>+AT14-AT45</f>
        <v>2354</v>
      </c>
      <c r="CW74"/>
      <c r="CX74"/>
      <c r="CY74"/>
      <c r="CZ74"/>
      <c r="DA74"/>
      <c r="DB74"/>
      <c r="DC74"/>
      <c r="DD74"/>
      <c r="DE74"/>
      <c r="DF74"/>
      <c r="DG74"/>
      <c r="DH74"/>
      <c r="DI74"/>
      <c r="DJ74"/>
      <c r="DK74"/>
      <c r="DL74"/>
      <c r="DM74"/>
    </row>
    <row r="75" spans="2:117" x14ac:dyDescent="0.2">
      <c r="B75" s="130" t="s">
        <v>567</v>
      </c>
      <c r="C75" s="118">
        <f t="shared" ref="C75:M75" si="69">+C17-C46</f>
        <v>306.91333000000054</v>
      </c>
      <c r="D75" s="118">
        <f t="shared" si="69"/>
        <v>488.22533999999837</v>
      </c>
      <c r="E75" s="118">
        <f t="shared" si="69"/>
        <v>427.94695000000115</v>
      </c>
      <c r="F75" s="118">
        <f t="shared" si="69"/>
        <v>212.43191000000184</v>
      </c>
      <c r="G75" s="118">
        <f t="shared" si="69"/>
        <v>382.07419000000027</v>
      </c>
      <c r="H75" s="118">
        <f t="shared" si="69"/>
        <v>342.50638999999978</v>
      </c>
      <c r="I75" s="118">
        <f t="shared" si="69"/>
        <v>380.88822999999775</v>
      </c>
      <c r="J75" s="118">
        <f t="shared" si="69"/>
        <v>120.02501000000439</v>
      </c>
      <c r="K75" s="118">
        <f t="shared" si="69"/>
        <v>306.60016999999993</v>
      </c>
      <c r="L75" s="118">
        <f t="shared" si="69"/>
        <v>200.24556000000075</v>
      </c>
      <c r="M75" s="118">
        <f t="shared" si="69"/>
        <v>225.15426999999909</v>
      </c>
      <c r="N75" s="118">
        <v>305</v>
      </c>
      <c r="O75" s="118">
        <v>252</v>
      </c>
      <c r="P75" s="118">
        <v>338</v>
      </c>
      <c r="Q75" s="118">
        <f t="shared" ref="Q75:W75" si="70">+Q17-Q46</f>
        <v>212</v>
      </c>
      <c r="R75" s="118">
        <f t="shared" si="70"/>
        <v>341</v>
      </c>
      <c r="S75" s="118">
        <f t="shared" si="70"/>
        <v>123</v>
      </c>
      <c r="T75" s="118">
        <f t="shared" si="70"/>
        <v>173</v>
      </c>
      <c r="U75" s="118">
        <f t="shared" si="70"/>
        <v>185</v>
      </c>
      <c r="V75" s="118">
        <f t="shared" si="70"/>
        <v>339</v>
      </c>
      <c r="W75" s="118">
        <f t="shared" si="70"/>
        <v>15</v>
      </c>
      <c r="X75" s="118">
        <f t="shared" ref="X75:AC75" si="71">+X17-X46</f>
        <v>208</v>
      </c>
      <c r="Y75" s="118">
        <f t="shared" si="71"/>
        <v>225</v>
      </c>
      <c r="Z75" s="118">
        <f t="shared" si="71"/>
        <v>303</v>
      </c>
      <c r="AA75" s="118">
        <f t="shared" si="71"/>
        <v>169</v>
      </c>
      <c r="AB75" s="118">
        <f t="shared" si="71"/>
        <v>156</v>
      </c>
      <c r="AC75" s="118">
        <f t="shared" si="71"/>
        <v>191</v>
      </c>
      <c r="AD75" s="118">
        <f t="shared" ref="AD75:AJ75" si="72">+AD17-AD46</f>
        <v>305</v>
      </c>
      <c r="AE75" s="118">
        <f t="shared" si="72"/>
        <v>474</v>
      </c>
      <c r="AF75" s="118">
        <f t="shared" si="72"/>
        <v>831</v>
      </c>
      <c r="AG75" s="118">
        <f t="shared" si="72"/>
        <v>1267</v>
      </c>
      <c r="AH75" s="118">
        <f t="shared" si="72"/>
        <v>1684</v>
      </c>
      <c r="AI75" s="118">
        <f>+AI17-AI46</f>
        <v>1025</v>
      </c>
      <c r="AJ75" s="118">
        <f t="shared" si="72"/>
        <v>498</v>
      </c>
      <c r="AK75" s="118">
        <f t="shared" ref="AK75:AQ75" si="73">+AK17-AK46</f>
        <v>1157</v>
      </c>
      <c r="AL75" s="118">
        <f t="shared" si="73"/>
        <v>943</v>
      </c>
      <c r="AM75" s="118">
        <f t="shared" si="73"/>
        <v>503</v>
      </c>
      <c r="AN75" s="118">
        <f t="shared" si="73"/>
        <v>409</v>
      </c>
      <c r="AO75" s="118">
        <f t="shared" si="73"/>
        <v>667</v>
      </c>
      <c r="AP75" s="118">
        <f t="shared" si="73"/>
        <v>702</v>
      </c>
      <c r="AQ75" s="118">
        <f t="shared" si="73"/>
        <v>673</v>
      </c>
      <c r="AR75" s="118">
        <f t="shared" ref="AR75" si="74">+AR17-AR46</f>
        <v>653</v>
      </c>
      <c r="AS75" s="118">
        <f>+AS17-AS46</f>
        <v>659</v>
      </c>
      <c r="AT75" s="118">
        <f>+AT17-AT46</f>
        <v>737</v>
      </c>
      <c r="CW75"/>
      <c r="CX75"/>
      <c r="CY75"/>
      <c r="CZ75"/>
      <c r="DA75"/>
      <c r="DB75"/>
      <c r="DC75"/>
      <c r="DD75"/>
      <c r="DE75"/>
      <c r="DF75"/>
      <c r="DG75"/>
      <c r="DH75"/>
      <c r="DI75"/>
      <c r="DJ75"/>
      <c r="DK75"/>
      <c r="DL75"/>
      <c r="DM75"/>
    </row>
    <row r="76" spans="2:117" x14ac:dyDescent="0.2">
      <c r="B76" s="130" t="s">
        <v>565</v>
      </c>
      <c r="C76" s="118">
        <f t="shared" ref="C76:M76" si="75">+C15-C47</f>
        <v>918.67683</v>
      </c>
      <c r="D76" s="118">
        <f t="shared" si="75"/>
        <v>888.61080999999967</v>
      </c>
      <c r="E76" s="118">
        <f t="shared" si="75"/>
        <v>706.47245999999939</v>
      </c>
      <c r="F76" s="118">
        <f t="shared" si="75"/>
        <v>1064.3770800000004</v>
      </c>
      <c r="G76" s="118">
        <f t="shared" si="75"/>
        <v>1033.7387900000003</v>
      </c>
      <c r="H76" s="118">
        <f t="shared" si="75"/>
        <v>1295.54179</v>
      </c>
      <c r="I76" s="118">
        <f t="shared" si="75"/>
        <v>1344.8479199999988</v>
      </c>
      <c r="J76" s="118">
        <f t="shared" si="75"/>
        <v>1417.6214800000016</v>
      </c>
      <c r="K76" s="118">
        <f t="shared" si="75"/>
        <v>1286.3931600000003</v>
      </c>
      <c r="L76" s="118">
        <f t="shared" si="75"/>
        <v>980.08051000000023</v>
      </c>
      <c r="M76" s="118">
        <f t="shared" si="75"/>
        <v>864.52632999999969</v>
      </c>
      <c r="N76" s="118">
        <v>690</v>
      </c>
      <c r="O76" s="118">
        <v>707</v>
      </c>
      <c r="P76" s="118">
        <v>802</v>
      </c>
      <c r="Q76" s="118">
        <f t="shared" ref="Q76:AJ76" si="76">+Q15-Q47</f>
        <v>740</v>
      </c>
      <c r="R76" s="118">
        <f t="shared" si="76"/>
        <v>808</v>
      </c>
      <c r="S76" s="118">
        <f t="shared" si="76"/>
        <v>551</v>
      </c>
      <c r="T76" s="118">
        <f t="shared" si="76"/>
        <v>438</v>
      </c>
      <c r="U76" s="118">
        <f t="shared" si="76"/>
        <v>477</v>
      </c>
      <c r="V76" s="118">
        <f t="shared" si="76"/>
        <v>469</v>
      </c>
      <c r="W76" s="118">
        <f t="shared" si="76"/>
        <v>485</v>
      </c>
      <c r="X76" s="118">
        <f t="shared" si="76"/>
        <v>404</v>
      </c>
      <c r="Y76" s="118">
        <f t="shared" si="76"/>
        <v>431</v>
      </c>
      <c r="Z76" s="118">
        <f t="shared" si="76"/>
        <v>431</v>
      </c>
      <c r="AA76" s="118">
        <f t="shared" si="76"/>
        <v>392</v>
      </c>
      <c r="AB76" s="118">
        <f t="shared" si="76"/>
        <v>351</v>
      </c>
      <c r="AC76" s="118">
        <f t="shared" si="76"/>
        <v>375</v>
      </c>
      <c r="AD76" s="118">
        <f t="shared" si="76"/>
        <v>381</v>
      </c>
      <c r="AE76" s="118">
        <f t="shared" si="76"/>
        <v>58</v>
      </c>
      <c r="AF76" s="118">
        <f t="shared" si="76"/>
        <v>113</v>
      </c>
      <c r="AG76" s="118">
        <f t="shared" si="76"/>
        <v>97</v>
      </c>
      <c r="AH76" s="118">
        <f t="shared" si="76"/>
        <v>103</v>
      </c>
      <c r="AI76" s="118">
        <f t="shared" si="76"/>
        <v>68</v>
      </c>
      <c r="AJ76" s="118">
        <f t="shared" si="76"/>
        <v>90</v>
      </c>
      <c r="AK76" s="118">
        <f t="shared" ref="AK76:AQ77" si="77">+AK15-AK47</f>
        <v>98</v>
      </c>
      <c r="AL76" s="118">
        <f t="shared" si="77"/>
        <v>95</v>
      </c>
      <c r="AM76" s="118">
        <f t="shared" si="77"/>
        <v>90</v>
      </c>
      <c r="AN76" s="118">
        <f t="shared" si="77"/>
        <v>135</v>
      </c>
      <c r="AO76" s="118">
        <f t="shared" si="77"/>
        <v>119</v>
      </c>
      <c r="AP76" s="118">
        <f t="shared" si="77"/>
        <v>105</v>
      </c>
      <c r="AQ76" s="118">
        <f t="shared" si="77"/>
        <v>165</v>
      </c>
      <c r="AR76" s="118">
        <f t="shared" ref="AR76" si="78">+AR15-AR47</f>
        <v>143</v>
      </c>
      <c r="AS76" s="118">
        <f>+AS15-AS47</f>
        <v>192</v>
      </c>
      <c r="AT76" s="118">
        <f>+AT15-AT47</f>
        <v>161</v>
      </c>
      <c r="CW76"/>
      <c r="CX76"/>
      <c r="CY76"/>
      <c r="CZ76"/>
      <c r="DA76"/>
      <c r="DB76"/>
      <c r="DC76"/>
      <c r="DD76"/>
      <c r="DE76"/>
      <c r="DF76"/>
      <c r="DG76"/>
      <c r="DH76"/>
      <c r="DI76"/>
      <c r="DJ76"/>
      <c r="DK76"/>
      <c r="DL76"/>
      <c r="DM76"/>
    </row>
    <row r="77" spans="2:117" x14ac:dyDescent="0.2">
      <c r="B77" s="130" t="s">
        <v>566</v>
      </c>
      <c r="C77" s="118">
        <f t="shared" ref="C77:M77" si="79">+C16-C48</f>
        <v>-51.865350000000035</v>
      </c>
      <c r="D77" s="118">
        <f t="shared" si="79"/>
        <v>274.08483999999976</v>
      </c>
      <c r="E77" s="118">
        <f t="shared" si="79"/>
        <v>362.39103000000068</v>
      </c>
      <c r="F77" s="118">
        <f t="shared" si="79"/>
        <v>374.34180999999944</v>
      </c>
      <c r="G77" s="118">
        <f t="shared" si="79"/>
        <v>324.94937000000004</v>
      </c>
      <c r="H77" s="118">
        <f t="shared" si="79"/>
        <v>313.65793000000053</v>
      </c>
      <c r="I77" s="118">
        <f t="shared" si="79"/>
        <v>415.51313000000039</v>
      </c>
      <c r="J77" s="118">
        <f t="shared" si="79"/>
        <v>411.70549000000028</v>
      </c>
      <c r="K77" s="118">
        <f t="shared" si="79"/>
        <v>383.38113000000021</v>
      </c>
      <c r="L77" s="118">
        <f t="shared" si="79"/>
        <v>314.93984999999975</v>
      </c>
      <c r="M77" s="118">
        <f t="shared" si="79"/>
        <v>341.67902000000026</v>
      </c>
      <c r="N77" s="118">
        <v>198</v>
      </c>
      <c r="O77" s="118">
        <v>213</v>
      </c>
      <c r="P77" s="118">
        <v>155</v>
      </c>
      <c r="Q77" s="118">
        <f t="shared" ref="Q77:AJ77" si="80">+Q16-Q48</f>
        <v>219</v>
      </c>
      <c r="R77" s="118">
        <f t="shared" si="80"/>
        <v>165</v>
      </c>
      <c r="S77" s="118">
        <f t="shared" si="80"/>
        <v>194</v>
      </c>
      <c r="T77" s="118">
        <f t="shared" si="80"/>
        <v>60</v>
      </c>
      <c r="U77" s="118">
        <f t="shared" si="80"/>
        <v>163</v>
      </c>
      <c r="V77" s="118">
        <f t="shared" si="80"/>
        <v>100</v>
      </c>
      <c r="W77" s="118">
        <f t="shared" si="80"/>
        <v>120</v>
      </c>
      <c r="X77" s="118">
        <f t="shared" si="80"/>
        <v>95</v>
      </c>
      <c r="Y77" s="118">
        <f t="shared" si="80"/>
        <v>82</v>
      </c>
      <c r="Z77" s="118">
        <f t="shared" si="80"/>
        <v>137</v>
      </c>
      <c r="AA77" s="118">
        <f t="shared" si="80"/>
        <v>93</v>
      </c>
      <c r="AB77" s="118">
        <f t="shared" si="80"/>
        <v>99</v>
      </c>
      <c r="AC77" s="118">
        <f t="shared" si="80"/>
        <v>88</v>
      </c>
      <c r="AD77" s="118">
        <f t="shared" si="80"/>
        <v>105</v>
      </c>
      <c r="AE77" s="118">
        <f t="shared" si="80"/>
        <v>79</v>
      </c>
      <c r="AF77" s="118">
        <f t="shared" si="80"/>
        <v>64</v>
      </c>
      <c r="AG77" s="118">
        <f t="shared" si="80"/>
        <v>64</v>
      </c>
      <c r="AH77" s="118">
        <f t="shared" si="80"/>
        <v>58</v>
      </c>
      <c r="AI77" s="118">
        <f t="shared" si="80"/>
        <v>46</v>
      </c>
      <c r="AJ77" s="118">
        <f t="shared" si="80"/>
        <v>47</v>
      </c>
      <c r="AK77" s="118">
        <f t="shared" si="77"/>
        <v>43</v>
      </c>
      <c r="AL77" s="118">
        <f t="shared" si="77"/>
        <v>45</v>
      </c>
      <c r="AM77" s="118">
        <f t="shared" si="77"/>
        <v>41</v>
      </c>
      <c r="AN77" s="118">
        <f t="shared" si="77"/>
        <v>43</v>
      </c>
      <c r="AO77" s="118">
        <f t="shared" si="77"/>
        <v>52</v>
      </c>
      <c r="AP77" s="118">
        <f t="shared" si="77"/>
        <v>43</v>
      </c>
      <c r="AQ77" s="118">
        <f t="shared" si="77"/>
        <v>47</v>
      </c>
      <c r="AR77" s="118">
        <f t="shared" ref="AR77" si="81">+AR16-AR48</f>
        <v>67</v>
      </c>
      <c r="AS77" s="118">
        <f>+AS16-AS48</f>
        <v>52</v>
      </c>
      <c r="AT77" s="118">
        <f>+AT16-AT48</f>
        <v>57</v>
      </c>
      <c r="CW77"/>
      <c r="CX77"/>
      <c r="CY77"/>
      <c r="CZ77"/>
      <c r="DA77"/>
      <c r="DB77"/>
      <c r="DC77"/>
      <c r="DD77"/>
      <c r="DE77"/>
      <c r="DF77"/>
      <c r="DG77"/>
      <c r="DH77"/>
      <c r="DI77"/>
      <c r="DJ77"/>
      <c r="DK77"/>
      <c r="DL77"/>
      <c r="DM77"/>
    </row>
    <row r="78" spans="2:117" x14ac:dyDescent="0.2">
      <c r="B78" s="130" t="s">
        <v>568</v>
      </c>
      <c r="C78" s="118">
        <f t="shared" ref="C78:M78" si="82">+C18-C49</f>
        <v>835.72808000000077</v>
      </c>
      <c r="D78" s="118">
        <f t="shared" si="82"/>
        <v>345.05817999999772</v>
      </c>
      <c r="E78" s="118">
        <f t="shared" si="82"/>
        <v>390.83558000000198</v>
      </c>
      <c r="F78" s="118">
        <f t="shared" si="82"/>
        <v>-402.51756999999952</v>
      </c>
      <c r="G78" s="118">
        <f t="shared" si="82"/>
        <v>343.58133000000089</v>
      </c>
      <c r="H78" s="118">
        <f t="shared" si="82"/>
        <v>230.10247999999876</v>
      </c>
      <c r="I78" s="118">
        <f t="shared" si="82"/>
        <v>397.00000000000091</v>
      </c>
      <c r="J78" s="118">
        <f t="shared" si="82"/>
        <v>229.54692</v>
      </c>
      <c r="K78" s="118">
        <f t="shared" si="82"/>
        <v>307.16673999999989</v>
      </c>
      <c r="L78" s="118">
        <f t="shared" si="82"/>
        <v>157.15259999999989</v>
      </c>
      <c r="M78" s="118">
        <f t="shared" si="82"/>
        <v>280.68066000000022</v>
      </c>
      <c r="N78" s="118">
        <v>490</v>
      </c>
      <c r="O78" s="118">
        <v>300</v>
      </c>
      <c r="P78" s="118">
        <v>308</v>
      </c>
      <c r="Q78" s="118">
        <f t="shared" ref="Q78:W78" si="83">+Q18-Q49</f>
        <v>243</v>
      </c>
      <c r="R78" s="118">
        <f t="shared" si="83"/>
        <v>382</v>
      </c>
      <c r="S78" s="118">
        <f t="shared" si="83"/>
        <v>233</v>
      </c>
      <c r="T78" s="118">
        <f t="shared" si="83"/>
        <v>245</v>
      </c>
      <c r="U78" s="118">
        <f t="shared" si="83"/>
        <v>208</v>
      </c>
      <c r="V78" s="118">
        <f t="shared" si="83"/>
        <v>880</v>
      </c>
      <c r="W78" s="118">
        <f t="shared" si="83"/>
        <v>123</v>
      </c>
      <c r="X78" s="118">
        <f t="shared" ref="X78:AC78" si="84">+X18-X49</f>
        <v>307</v>
      </c>
      <c r="Y78" s="118">
        <f t="shared" si="84"/>
        <v>278</v>
      </c>
      <c r="Z78" s="118">
        <f t="shared" si="84"/>
        <v>1184</v>
      </c>
      <c r="AA78" s="118">
        <f t="shared" si="84"/>
        <v>197</v>
      </c>
      <c r="AB78" s="118">
        <f t="shared" si="84"/>
        <v>786</v>
      </c>
      <c r="AC78" s="118">
        <f t="shared" si="84"/>
        <v>589</v>
      </c>
      <c r="AD78" s="118">
        <f t="shared" ref="AD78:AJ78" si="85">+AD18-AD49</f>
        <v>467</v>
      </c>
      <c r="AE78" s="118">
        <f t="shared" si="85"/>
        <v>91</v>
      </c>
      <c r="AF78" s="118">
        <f t="shared" si="85"/>
        <v>125</v>
      </c>
      <c r="AG78" s="118">
        <f t="shared" si="85"/>
        <v>84</v>
      </c>
      <c r="AH78" s="118">
        <f t="shared" si="85"/>
        <v>189</v>
      </c>
      <c r="AI78" s="118">
        <f>+AI18-AI49</f>
        <v>224</v>
      </c>
      <c r="AJ78" s="118">
        <f t="shared" si="85"/>
        <v>330</v>
      </c>
      <c r="AK78" s="118">
        <f t="shared" ref="AK78:AQ78" si="86">+AK18-AK49</f>
        <v>456</v>
      </c>
      <c r="AL78" s="118">
        <f t="shared" si="86"/>
        <v>278</v>
      </c>
      <c r="AM78" s="118">
        <f t="shared" si="86"/>
        <v>207</v>
      </c>
      <c r="AN78" s="118">
        <f t="shared" si="86"/>
        <v>221</v>
      </c>
      <c r="AO78" s="118">
        <f t="shared" si="86"/>
        <v>289</v>
      </c>
      <c r="AP78" s="118">
        <f t="shared" si="86"/>
        <v>296</v>
      </c>
      <c r="AQ78" s="118">
        <f t="shared" si="86"/>
        <v>380</v>
      </c>
      <c r="AR78" s="118">
        <f t="shared" ref="AR78" si="87">+AR18-AR49</f>
        <v>243</v>
      </c>
      <c r="AS78" s="118">
        <f>+AS18-AS49</f>
        <v>290</v>
      </c>
      <c r="AT78" s="118">
        <f>+AT18-AT49</f>
        <v>362</v>
      </c>
      <c r="CW78"/>
      <c r="CX78"/>
      <c r="CY78"/>
      <c r="CZ78"/>
      <c r="DA78"/>
      <c r="DB78"/>
      <c r="DC78"/>
      <c r="DD78"/>
      <c r="DE78"/>
      <c r="DF78"/>
      <c r="DG78"/>
      <c r="DH78"/>
      <c r="DI78"/>
      <c r="DJ78"/>
      <c r="DK78"/>
      <c r="DL78"/>
      <c r="DM78"/>
    </row>
    <row r="79" spans="2:117" ht="15" customHeight="1" x14ac:dyDescent="0.2">
      <c r="B79" s="130" t="s">
        <v>574</v>
      </c>
      <c r="C79" s="118">
        <f t="shared" ref="C79:M79" si="88">+C25-C50</f>
        <v>1040.6842999999999</v>
      </c>
      <c r="D79" s="118">
        <f t="shared" si="88"/>
        <v>505.89512000000104</v>
      </c>
      <c r="E79" s="118">
        <f t="shared" si="88"/>
        <v>175.02178999999899</v>
      </c>
      <c r="F79" s="118">
        <f t="shared" si="88"/>
        <v>141.74965000000043</v>
      </c>
      <c r="G79" s="118">
        <f t="shared" si="88"/>
        <v>321.04614000000004</v>
      </c>
      <c r="H79" s="118">
        <f t="shared" si="88"/>
        <v>421.39044999999942</v>
      </c>
      <c r="I79" s="118">
        <f t="shared" si="88"/>
        <v>187.4424299999996</v>
      </c>
      <c r="J79" s="118">
        <f t="shared" si="88"/>
        <v>306.9741900000015</v>
      </c>
      <c r="K79" s="118">
        <f t="shared" si="88"/>
        <v>365.60933999999997</v>
      </c>
      <c r="L79" s="118">
        <f t="shared" si="88"/>
        <v>471.49612000000093</v>
      </c>
      <c r="M79" s="118">
        <f t="shared" si="88"/>
        <v>291.89453999999887</v>
      </c>
      <c r="N79" s="118">
        <v>367</v>
      </c>
      <c r="O79" s="118">
        <v>252</v>
      </c>
      <c r="P79" s="118">
        <v>193</v>
      </c>
      <c r="Q79" s="118">
        <f t="shared" ref="Q79:W79" si="89">+Q25-Q50</f>
        <v>276</v>
      </c>
      <c r="R79" s="118">
        <f t="shared" si="89"/>
        <v>119</v>
      </c>
      <c r="S79" s="118">
        <f t="shared" si="89"/>
        <v>87</v>
      </c>
      <c r="T79" s="118">
        <f t="shared" si="89"/>
        <v>118</v>
      </c>
      <c r="U79" s="118">
        <f t="shared" si="89"/>
        <v>118</v>
      </c>
      <c r="V79" s="118">
        <f t="shared" si="89"/>
        <v>148</v>
      </c>
      <c r="W79" s="118">
        <f t="shared" si="89"/>
        <v>322</v>
      </c>
      <c r="X79" s="118">
        <f t="shared" ref="X79:AC79" si="90">+X25-X50</f>
        <v>192</v>
      </c>
      <c r="Y79" s="118">
        <f t="shared" si="90"/>
        <v>90</v>
      </c>
      <c r="Z79" s="118">
        <f t="shared" si="90"/>
        <v>272</v>
      </c>
      <c r="AA79" s="118">
        <f t="shared" si="90"/>
        <v>87</v>
      </c>
      <c r="AB79" s="118">
        <f t="shared" si="90"/>
        <v>118</v>
      </c>
      <c r="AC79" s="118">
        <f t="shared" si="90"/>
        <v>343</v>
      </c>
      <c r="AD79" s="118">
        <f t="shared" ref="AD79:AJ79" si="91">+AD25-AD50</f>
        <v>32</v>
      </c>
      <c r="AE79" s="118">
        <f t="shared" si="91"/>
        <v>196</v>
      </c>
      <c r="AF79" s="118">
        <f t="shared" si="91"/>
        <v>567</v>
      </c>
      <c r="AG79" s="118">
        <f t="shared" si="91"/>
        <v>-120</v>
      </c>
      <c r="AH79" s="118">
        <f t="shared" si="91"/>
        <v>42</v>
      </c>
      <c r="AI79" s="118">
        <f>+AI25-AI50</f>
        <v>216</v>
      </c>
      <c r="AJ79" s="118">
        <f t="shared" si="91"/>
        <v>26</v>
      </c>
      <c r="AK79" s="118">
        <f t="shared" ref="AK79:AQ79" si="92">+AK25-AK50</f>
        <v>71</v>
      </c>
      <c r="AL79" s="118">
        <f t="shared" si="92"/>
        <v>99</v>
      </c>
      <c r="AM79" s="118">
        <f t="shared" si="92"/>
        <v>43</v>
      </c>
      <c r="AN79" s="118">
        <f t="shared" si="92"/>
        <v>35</v>
      </c>
      <c r="AO79" s="118">
        <f t="shared" si="92"/>
        <v>35</v>
      </c>
      <c r="AP79" s="118">
        <f t="shared" si="92"/>
        <v>102</v>
      </c>
      <c r="AQ79" s="118">
        <f t="shared" si="92"/>
        <v>21</v>
      </c>
      <c r="AR79" s="118">
        <f t="shared" ref="AR79" si="93">+AR25-AR50</f>
        <v>85</v>
      </c>
      <c r="AS79" s="118">
        <f>+AS25-AS50</f>
        <v>139</v>
      </c>
      <c r="AT79" s="118">
        <f>+AT25-AT50</f>
        <v>73</v>
      </c>
      <c r="CW79"/>
      <c r="CX79"/>
      <c r="CY79"/>
      <c r="CZ79"/>
      <c r="DA79"/>
      <c r="DB79"/>
      <c r="DC79"/>
      <c r="DD79"/>
      <c r="DE79"/>
      <c r="DF79"/>
      <c r="DG79"/>
      <c r="DH79"/>
      <c r="DI79"/>
      <c r="DJ79"/>
      <c r="DK79"/>
      <c r="DL79"/>
      <c r="DM79"/>
    </row>
    <row r="80" spans="2:117" x14ac:dyDescent="0.2">
      <c r="B80" s="130" t="s">
        <v>570</v>
      </c>
      <c r="C80" s="118">
        <f t="shared" ref="C80:M80" si="94">+C20-C51</f>
        <v>1254.8394000000003</v>
      </c>
      <c r="D80" s="118">
        <f t="shared" si="94"/>
        <v>713.37842000000001</v>
      </c>
      <c r="E80" s="118">
        <f t="shared" si="94"/>
        <v>564.21155999999996</v>
      </c>
      <c r="F80" s="118">
        <f t="shared" si="94"/>
        <v>749.35759999999959</v>
      </c>
      <c r="G80" s="118">
        <f t="shared" si="94"/>
        <v>590.61613000000011</v>
      </c>
      <c r="H80" s="118">
        <f t="shared" si="94"/>
        <v>438.48381999999947</v>
      </c>
      <c r="I80" s="118">
        <f t="shared" si="94"/>
        <v>408.43801000000042</v>
      </c>
      <c r="J80" s="118">
        <f t="shared" si="94"/>
        <v>1169.5439100000017</v>
      </c>
      <c r="K80" s="118">
        <f t="shared" si="94"/>
        <v>340.93719999999962</v>
      </c>
      <c r="L80" s="118">
        <f t="shared" si="94"/>
        <v>301.46114000000068</v>
      </c>
      <c r="M80" s="118">
        <f t="shared" si="94"/>
        <v>416.60165999999981</v>
      </c>
      <c r="N80" s="118">
        <v>461</v>
      </c>
      <c r="O80" s="118">
        <v>336</v>
      </c>
      <c r="P80" s="118">
        <v>524</v>
      </c>
      <c r="Q80" s="118">
        <f t="shared" ref="Q80:W80" si="95">+Q20-Q51</f>
        <v>602</v>
      </c>
      <c r="R80" s="118">
        <f t="shared" si="95"/>
        <v>595</v>
      </c>
      <c r="S80" s="118">
        <f t="shared" si="95"/>
        <v>321</v>
      </c>
      <c r="T80" s="118">
        <f t="shared" si="95"/>
        <v>388</v>
      </c>
      <c r="U80" s="118">
        <f t="shared" si="95"/>
        <v>292</v>
      </c>
      <c r="V80" s="118">
        <f t="shared" si="95"/>
        <v>381</v>
      </c>
      <c r="W80" s="118">
        <f t="shared" si="95"/>
        <v>301</v>
      </c>
      <c r="X80" s="118">
        <f t="shared" ref="X80:AC80" si="96">+X20-X51</f>
        <v>333</v>
      </c>
      <c r="Y80" s="118">
        <f t="shared" si="96"/>
        <v>323</v>
      </c>
      <c r="Z80" s="118">
        <f t="shared" si="96"/>
        <v>440</v>
      </c>
      <c r="AA80" s="118">
        <f t="shared" si="96"/>
        <v>283</v>
      </c>
      <c r="AB80" s="118">
        <f t="shared" si="96"/>
        <v>406</v>
      </c>
      <c r="AC80" s="118">
        <f t="shared" si="96"/>
        <v>389</v>
      </c>
      <c r="AD80" s="118">
        <f t="shared" ref="AD80:AJ80" si="97">+AD20-AD51</f>
        <v>184</v>
      </c>
      <c r="AE80" s="118">
        <f t="shared" si="97"/>
        <v>81</v>
      </c>
      <c r="AF80" s="118">
        <f t="shared" si="97"/>
        <v>41</v>
      </c>
      <c r="AG80" s="118">
        <f t="shared" si="97"/>
        <v>37</v>
      </c>
      <c r="AH80" s="118">
        <f t="shared" si="97"/>
        <v>37</v>
      </c>
      <c r="AI80" s="118">
        <f>+AI20-AI51</f>
        <v>32</v>
      </c>
      <c r="AJ80" s="118">
        <f t="shared" si="97"/>
        <v>54</v>
      </c>
      <c r="AK80" s="118">
        <f t="shared" ref="AK80:AQ80" si="98">+AK20-AK51</f>
        <v>70</v>
      </c>
      <c r="AL80" s="118">
        <f t="shared" si="98"/>
        <v>77</v>
      </c>
      <c r="AM80" s="118">
        <f t="shared" si="98"/>
        <v>47</v>
      </c>
      <c r="AN80" s="118">
        <f t="shared" si="98"/>
        <v>51</v>
      </c>
      <c r="AO80" s="118">
        <f t="shared" si="98"/>
        <v>58</v>
      </c>
      <c r="AP80" s="118">
        <f t="shared" si="98"/>
        <v>71</v>
      </c>
      <c r="AQ80" s="118">
        <f t="shared" si="98"/>
        <v>65</v>
      </c>
      <c r="AR80" s="118">
        <f t="shared" ref="AR80" si="99">+AR20-AR51</f>
        <v>127</v>
      </c>
      <c r="AS80" s="118">
        <f>+AS20-AS51</f>
        <v>201</v>
      </c>
      <c r="AT80" s="118">
        <f>+AT20-AT51</f>
        <v>320</v>
      </c>
      <c r="CW80"/>
      <c r="CX80"/>
      <c r="CY80"/>
      <c r="CZ80"/>
      <c r="DA80"/>
      <c r="DB80"/>
      <c r="DC80"/>
      <c r="DD80"/>
      <c r="DE80"/>
      <c r="DF80"/>
      <c r="DG80"/>
      <c r="DH80"/>
      <c r="DI80"/>
      <c r="DJ80"/>
      <c r="DK80"/>
      <c r="DL80"/>
      <c r="DM80"/>
    </row>
    <row r="81" spans="1:163" x14ac:dyDescent="0.2">
      <c r="B81" s="130" t="s">
        <v>573</v>
      </c>
      <c r="C81" s="118">
        <f t="shared" ref="C81:M81" si="100">+C24-C52</f>
        <v>-2.7388000000000545</v>
      </c>
      <c r="D81" s="118">
        <f t="shared" si="100"/>
        <v>15.444800000000043</v>
      </c>
      <c r="E81" s="118">
        <f t="shared" si="100"/>
        <v>8.4469699999999648</v>
      </c>
      <c r="F81" s="118">
        <f t="shared" si="100"/>
        <v>3.0886999999999603</v>
      </c>
      <c r="G81" s="118">
        <f t="shared" si="100"/>
        <v>1.7280000000000086</v>
      </c>
      <c r="H81" s="118">
        <f t="shared" si="100"/>
        <v>3.3314999999999486</v>
      </c>
      <c r="I81" s="118">
        <f t="shared" si="100"/>
        <v>3.6031999999999584</v>
      </c>
      <c r="J81" s="118">
        <f t="shared" si="100"/>
        <v>3.3285400000000323</v>
      </c>
      <c r="K81" s="118">
        <f t="shared" si="100"/>
        <v>2.3491999999999962</v>
      </c>
      <c r="L81" s="118">
        <f t="shared" si="100"/>
        <v>3.4756000000000142</v>
      </c>
      <c r="M81" s="118">
        <f t="shared" si="100"/>
        <v>5.1751999999999612</v>
      </c>
      <c r="N81" s="118">
        <v>7</v>
      </c>
      <c r="O81" s="118">
        <v>20</v>
      </c>
      <c r="P81" s="118">
        <v>12</v>
      </c>
      <c r="Q81" s="118">
        <f t="shared" ref="Q81:W81" si="101">+Q24-Q52</f>
        <v>24</v>
      </c>
      <c r="R81" s="118">
        <f t="shared" si="101"/>
        <v>17</v>
      </c>
      <c r="S81" s="118">
        <f t="shared" si="101"/>
        <v>4</v>
      </c>
      <c r="T81" s="118">
        <f t="shared" si="101"/>
        <v>-1</v>
      </c>
      <c r="U81" s="118">
        <f t="shared" si="101"/>
        <v>1</v>
      </c>
      <c r="V81" s="118">
        <f t="shared" si="101"/>
        <v>-1</v>
      </c>
      <c r="W81" s="118">
        <f t="shared" si="101"/>
        <v>0</v>
      </c>
      <c r="X81" s="118">
        <f t="shared" ref="X81:AC81" si="102">+X24-X52</f>
        <v>0</v>
      </c>
      <c r="Y81" s="118">
        <f t="shared" si="102"/>
        <v>9</v>
      </c>
      <c r="Z81" s="118">
        <f t="shared" si="102"/>
        <v>0</v>
      </c>
      <c r="AA81" s="118">
        <f t="shared" si="102"/>
        <v>0</v>
      </c>
      <c r="AB81" s="118">
        <f t="shared" si="102"/>
        <v>6</v>
      </c>
      <c r="AC81" s="118">
        <f t="shared" si="102"/>
        <v>0</v>
      </c>
      <c r="AD81" s="118">
        <f t="shared" ref="AD81:AJ81" si="103">+AD24-AD52</f>
        <v>0</v>
      </c>
      <c r="AE81" s="118">
        <f t="shared" si="103"/>
        <v>1</v>
      </c>
      <c r="AF81" s="118">
        <f t="shared" si="103"/>
        <v>19</v>
      </c>
      <c r="AG81" s="118">
        <f t="shared" si="103"/>
        <v>6</v>
      </c>
      <c r="AH81" s="118">
        <f t="shared" si="103"/>
        <v>19</v>
      </c>
      <c r="AI81" s="118">
        <f>+AI24-AI52</f>
        <v>107</v>
      </c>
      <c r="AJ81" s="118">
        <f t="shared" si="103"/>
        <v>35</v>
      </c>
      <c r="AK81" s="118">
        <f t="shared" ref="AK81:AQ81" si="104">+AK24-AK52</f>
        <v>67</v>
      </c>
      <c r="AL81" s="118">
        <f t="shared" si="104"/>
        <v>44</v>
      </c>
      <c r="AM81" s="118">
        <f t="shared" si="104"/>
        <v>39</v>
      </c>
      <c r="AN81" s="118">
        <f t="shared" si="104"/>
        <v>86</v>
      </c>
      <c r="AO81" s="118">
        <f t="shared" si="104"/>
        <v>40</v>
      </c>
      <c r="AP81" s="118">
        <f t="shared" si="104"/>
        <v>41</v>
      </c>
      <c r="AQ81" s="118">
        <f t="shared" si="104"/>
        <v>43</v>
      </c>
      <c r="AR81" s="118">
        <f t="shared" ref="AR81" si="105">+AR24-AR52</f>
        <v>50</v>
      </c>
      <c r="AS81" s="118">
        <f>+AS24-AS52</f>
        <v>57</v>
      </c>
      <c r="AT81" s="118">
        <f>+AT24-AT52</f>
        <v>40</v>
      </c>
      <c r="CW81"/>
      <c r="CX81"/>
      <c r="CY81"/>
      <c r="CZ81"/>
      <c r="DA81"/>
      <c r="DB81"/>
      <c r="DC81"/>
      <c r="DD81"/>
      <c r="DE81"/>
      <c r="DF81"/>
      <c r="DG81"/>
      <c r="DH81"/>
      <c r="DI81"/>
      <c r="DJ81"/>
      <c r="DK81"/>
      <c r="DL81"/>
      <c r="DM81"/>
    </row>
    <row r="82" spans="1:163" x14ac:dyDescent="0.2">
      <c r="B82" s="130" t="s">
        <v>572</v>
      </c>
      <c r="C82" s="118">
        <f t="shared" ref="C82:M82" si="106">+C23-C53</f>
        <v>6772.3977000000004</v>
      </c>
      <c r="D82" s="118">
        <f t="shared" si="106"/>
        <v>-1302.7440800000002</v>
      </c>
      <c r="E82" s="118">
        <f t="shared" si="106"/>
        <v>8779.5152800000014</v>
      </c>
      <c r="F82" s="118">
        <f t="shared" si="106"/>
        <v>-2514.4006500000014</v>
      </c>
      <c r="G82" s="118">
        <f t="shared" si="106"/>
        <v>44.605710000000002</v>
      </c>
      <c r="H82" s="118">
        <f t="shared" si="106"/>
        <v>1.4139799999999809</v>
      </c>
      <c r="I82" s="118">
        <f t="shared" si="106"/>
        <v>62.758260000000007</v>
      </c>
      <c r="J82" s="118">
        <f t="shared" si="106"/>
        <v>54.057079999999956</v>
      </c>
      <c r="K82" s="118">
        <f t="shared" si="106"/>
        <v>11.095889999999997</v>
      </c>
      <c r="L82" s="118">
        <f t="shared" si="106"/>
        <v>147.23572999999993</v>
      </c>
      <c r="M82" s="118">
        <f t="shared" si="106"/>
        <v>16.66838000000007</v>
      </c>
      <c r="N82" s="118">
        <v>49</v>
      </c>
      <c r="O82" s="118">
        <v>15</v>
      </c>
      <c r="P82" s="118">
        <v>17</v>
      </c>
      <c r="Q82" s="118">
        <f t="shared" ref="Q82:W82" si="107">+Q23-Q53</f>
        <v>18</v>
      </c>
      <c r="R82" s="118">
        <f t="shared" si="107"/>
        <v>169</v>
      </c>
      <c r="S82" s="118">
        <f t="shared" si="107"/>
        <v>35</v>
      </c>
      <c r="T82" s="118">
        <f t="shared" si="107"/>
        <v>27</v>
      </c>
      <c r="U82" s="118">
        <f t="shared" si="107"/>
        <v>55</v>
      </c>
      <c r="V82" s="118">
        <f t="shared" si="107"/>
        <v>41</v>
      </c>
      <c r="W82" s="118">
        <f t="shared" si="107"/>
        <v>0</v>
      </c>
      <c r="X82" s="118">
        <f t="shared" ref="X82:AC82" si="108">+X23-X53</f>
        <v>5</v>
      </c>
      <c r="Y82" s="118">
        <f t="shared" si="108"/>
        <v>-4</v>
      </c>
      <c r="Z82" s="118">
        <f t="shared" si="108"/>
        <v>257</v>
      </c>
      <c r="AA82" s="118">
        <f t="shared" si="108"/>
        <v>-163</v>
      </c>
      <c r="AB82" s="118">
        <f t="shared" si="108"/>
        <v>2</v>
      </c>
      <c r="AC82" s="118">
        <f t="shared" si="108"/>
        <v>0</v>
      </c>
      <c r="AD82" s="118">
        <f t="shared" ref="AD82:AJ82" si="109">+AD23-AD53</f>
        <v>0</v>
      </c>
      <c r="AE82" s="118">
        <f t="shared" si="109"/>
        <v>0</v>
      </c>
      <c r="AF82" s="118">
        <f t="shared" si="109"/>
        <v>-1</v>
      </c>
      <c r="AG82" s="118">
        <f t="shared" si="109"/>
        <v>2</v>
      </c>
      <c r="AH82" s="118">
        <f t="shared" si="109"/>
        <v>-2</v>
      </c>
      <c r="AI82" s="118">
        <f>+AI23-AI53</f>
        <v>0</v>
      </c>
      <c r="AJ82" s="118">
        <f t="shared" si="109"/>
        <v>0</v>
      </c>
      <c r="AK82" s="118">
        <f t="shared" ref="AK82:AQ82" si="110">+AK23-AK53</f>
        <v>0</v>
      </c>
      <c r="AL82" s="118">
        <f t="shared" si="110"/>
        <v>0</v>
      </c>
      <c r="AM82" s="118">
        <f t="shared" si="110"/>
        <v>0</v>
      </c>
      <c r="AN82" s="118">
        <f t="shared" si="110"/>
        <v>1</v>
      </c>
      <c r="AO82" s="118">
        <f t="shared" si="110"/>
        <v>123</v>
      </c>
      <c r="AP82" s="118">
        <f t="shared" si="110"/>
        <v>1</v>
      </c>
      <c r="AQ82" s="118">
        <f t="shared" si="110"/>
        <v>1</v>
      </c>
      <c r="AR82" s="118">
        <f t="shared" ref="AR82" si="111">+AR23-AR53</f>
        <v>1</v>
      </c>
      <c r="AS82" s="118">
        <f>+AS23-AS53</f>
        <v>5</v>
      </c>
      <c r="AT82" s="118">
        <f>+AT23-AT53</f>
        <v>14</v>
      </c>
      <c r="CW82"/>
      <c r="CX82"/>
      <c r="CY82"/>
      <c r="CZ82"/>
      <c r="DA82"/>
      <c r="DB82"/>
      <c r="DC82"/>
      <c r="DD82"/>
      <c r="DE82"/>
      <c r="DF82"/>
      <c r="DG82"/>
      <c r="DH82"/>
      <c r="DI82"/>
      <c r="DJ82"/>
      <c r="DK82"/>
      <c r="DL82"/>
      <c r="DM82"/>
    </row>
    <row r="83" spans="1:163" x14ac:dyDescent="0.2">
      <c r="B83" s="130" t="s">
        <v>571</v>
      </c>
      <c r="C83" s="118">
        <f t="shared" ref="C83:M83" si="112">+C21-C54</f>
        <v>11.809869999999989</v>
      </c>
      <c r="D83" s="118">
        <f t="shared" si="112"/>
        <v>-5.7145399999998858</v>
      </c>
      <c r="E83" s="118">
        <f t="shared" si="112"/>
        <v>2.3984699999998611</v>
      </c>
      <c r="F83" s="118">
        <f t="shared" si="112"/>
        <v>75.974660000000029</v>
      </c>
      <c r="G83" s="118">
        <f t="shared" si="112"/>
        <v>1.0978000000000065</v>
      </c>
      <c r="H83" s="118">
        <f t="shared" si="112"/>
        <v>0</v>
      </c>
      <c r="I83" s="118">
        <f t="shared" si="112"/>
        <v>0</v>
      </c>
      <c r="J83" s="118">
        <f t="shared" si="112"/>
        <v>17.19996000000009</v>
      </c>
      <c r="K83" s="118">
        <f t="shared" si="112"/>
        <v>0</v>
      </c>
      <c r="L83" s="118">
        <f t="shared" si="112"/>
        <v>0</v>
      </c>
      <c r="M83" s="118">
        <f t="shared" si="112"/>
        <v>1.1368683772161603E-13</v>
      </c>
      <c r="N83" s="118">
        <v>5</v>
      </c>
      <c r="O83" s="118">
        <v>4</v>
      </c>
      <c r="P83" s="118">
        <v>0</v>
      </c>
      <c r="Q83" s="118">
        <f t="shared" ref="Q83:W83" si="113">+Q21-Q54</f>
        <v>1</v>
      </c>
      <c r="R83" s="118">
        <f t="shared" si="113"/>
        <v>12</v>
      </c>
      <c r="S83" s="118">
        <f t="shared" si="113"/>
        <v>1</v>
      </c>
      <c r="T83" s="118">
        <f t="shared" si="113"/>
        <v>1</v>
      </c>
      <c r="U83" s="118">
        <f t="shared" si="113"/>
        <v>1</v>
      </c>
      <c r="V83" s="118">
        <f t="shared" si="113"/>
        <v>0</v>
      </c>
      <c r="W83" s="118">
        <f t="shared" si="113"/>
        <v>17</v>
      </c>
      <c r="X83" s="118">
        <f t="shared" ref="X83:AC83" si="114">+X21-X54</f>
        <v>13</v>
      </c>
      <c r="Y83" s="118">
        <f t="shared" si="114"/>
        <v>30</v>
      </c>
      <c r="Z83" s="118">
        <f t="shared" si="114"/>
        <v>30</v>
      </c>
      <c r="AA83" s="118">
        <f t="shared" si="114"/>
        <v>10</v>
      </c>
      <c r="AB83" s="118">
        <f t="shared" si="114"/>
        <v>1</v>
      </c>
      <c r="AC83" s="118">
        <f t="shared" si="114"/>
        <v>164</v>
      </c>
      <c r="AD83" s="118">
        <f t="shared" ref="AD83:AJ83" si="115">+AD21-AD54</f>
        <v>0</v>
      </c>
      <c r="AE83" s="118">
        <f t="shared" si="115"/>
        <v>6</v>
      </c>
      <c r="AF83" s="118">
        <f t="shared" si="115"/>
        <v>0</v>
      </c>
      <c r="AG83" s="118">
        <f t="shared" si="115"/>
        <v>0</v>
      </c>
      <c r="AH83" s="118">
        <f t="shared" si="115"/>
        <v>1</v>
      </c>
      <c r="AI83" s="118">
        <f>+AI21-AI54</f>
        <v>2</v>
      </c>
      <c r="AJ83" s="118">
        <f t="shared" si="115"/>
        <v>0</v>
      </c>
      <c r="AK83" s="118">
        <f t="shared" ref="AK83:AQ83" si="116">+AK21-AK54</f>
        <v>0</v>
      </c>
      <c r="AL83" s="118">
        <f t="shared" si="116"/>
        <v>13</v>
      </c>
      <c r="AM83" s="118">
        <f t="shared" si="116"/>
        <v>8</v>
      </c>
      <c r="AN83" s="118">
        <f t="shared" si="116"/>
        <v>5</v>
      </c>
      <c r="AO83" s="118">
        <f t="shared" si="116"/>
        <v>6</v>
      </c>
      <c r="AP83" s="118">
        <f t="shared" si="116"/>
        <v>20</v>
      </c>
      <c r="AQ83" s="118">
        <f t="shared" si="116"/>
        <v>0</v>
      </c>
      <c r="AR83" s="118">
        <f t="shared" ref="AR83" si="117">+AR21-AR54</f>
        <v>4</v>
      </c>
      <c r="AS83" s="118">
        <f>+AS21-AS54</f>
        <v>12</v>
      </c>
      <c r="AT83" s="118">
        <f>+AT21-AT54</f>
        <v>2</v>
      </c>
      <c r="CW83"/>
      <c r="CX83"/>
      <c r="CY83"/>
      <c r="CZ83"/>
      <c r="DA83"/>
      <c r="DB83"/>
      <c r="DC83"/>
      <c r="DD83"/>
      <c r="DE83"/>
      <c r="DF83"/>
      <c r="DG83"/>
      <c r="DH83"/>
      <c r="DI83"/>
      <c r="DJ83"/>
      <c r="DK83"/>
      <c r="DL83"/>
      <c r="DM83"/>
    </row>
    <row r="84" spans="1:163" x14ac:dyDescent="0.2">
      <c r="B84" s="130" t="s">
        <v>748</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18">+Q29</f>
        <v>5733</v>
      </c>
      <c r="R84" s="118">
        <f t="shared" si="118"/>
        <v>5731</v>
      </c>
      <c r="S84" s="118">
        <f t="shared" si="118"/>
        <v>0</v>
      </c>
      <c r="T84" s="118">
        <f t="shared" si="118"/>
        <v>0</v>
      </c>
      <c r="U84" s="118">
        <f t="shared" si="118"/>
        <v>0</v>
      </c>
      <c r="V84" s="118">
        <f t="shared" si="118"/>
        <v>1907</v>
      </c>
      <c r="W84" s="118">
        <f t="shared" si="118"/>
        <v>0</v>
      </c>
      <c r="X84" s="118">
        <f t="shared" ref="X84:AC84" si="119">+X29</f>
        <v>0</v>
      </c>
      <c r="Y84" s="118">
        <f t="shared" si="119"/>
        <v>0</v>
      </c>
      <c r="Z84" s="118">
        <f t="shared" si="119"/>
        <v>0</v>
      </c>
      <c r="AA84" s="118">
        <f t="shared" si="119"/>
        <v>0</v>
      </c>
      <c r="AB84" s="118">
        <f t="shared" si="119"/>
        <v>0</v>
      </c>
      <c r="AC84" s="118">
        <f t="shared" si="119"/>
        <v>0</v>
      </c>
      <c r="AD84" s="118">
        <f t="shared" ref="AD84:AJ84" si="120">+AD29</f>
        <v>0</v>
      </c>
      <c r="AE84" s="118">
        <f t="shared" si="120"/>
        <v>0</v>
      </c>
      <c r="AF84" s="118">
        <f t="shared" si="120"/>
        <v>0</v>
      </c>
      <c r="AG84" s="118">
        <f t="shared" si="120"/>
        <v>0</v>
      </c>
      <c r="AH84" s="118">
        <f t="shared" si="120"/>
        <v>0</v>
      </c>
      <c r="AI84" s="118">
        <f>+AI29</f>
        <v>0</v>
      </c>
      <c r="AJ84" s="118">
        <f t="shared" si="120"/>
        <v>0</v>
      </c>
      <c r="AK84" s="118">
        <f t="shared" ref="AK84:AQ84" si="121">+AK29</f>
        <v>0</v>
      </c>
      <c r="AL84" s="118">
        <f t="shared" si="121"/>
        <v>0</v>
      </c>
      <c r="AM84" s="118">
        <f t="shared" si="121"/>
        <v>0</v>
      </c>
      <c r="AN84" s="118">
        <f t="shared" si="121"/>
        <v>0</v>
      </c>
      <c r="AO84" s="118">
        <f t="shared" si="121"/>
        <v>0</v>
      </c>
      <c r="AP84" s="118">
        <f t="shared" si="121"/>
        <v>0</v>
      </c>
      <c r="AQ84" s="118">
        <f t="shared" si="121"/>
        <v>0</v>
      </c>
      <c r="AR84" s="118">
        <f t="shared" ref="AR84" si="122">+AR29</f>
        <v>0</v>
      </c>
      <c r="AS84" s="118">
        <f>+AS29</f>
        <v>0</v>
      </c>
      <c r="AT84" s="118">
        <f>+AT29</f>
        <v>0</v>
      </c>
    </row>
    <row r="85" spans="1:163" x14ac:dyDescent="0.2">
      <c r="B85" s="130" t="s">
        <v>1297</v>
      </c>
      <c r="C85" s="118">
        <f t="shared" ref="C85:AN85" si="123">C28-C56</f>
        <v>0</v>
      </c>
      <c r="D85" s="118">
        <f t="shared" si="123"/>
        <v>0</v>
      </c>
      <c r="E85" s="118">
        <f t="shared" si="123"/>
        <v>0</v>
      </c>
      <c r="F85" s="118">
        <f t="shared" si="123"/>
        <v>0</v>
      </c>
      <c r="G85" s="118">
        <f t="shared" si="123"/>
        <v>0</v>
      </c>
      <c r="H85" s="118">
        <f t="shared" si="123"/>
        <v>0</v>
      </c>
      <c r="I85" s="118">
        <f t="shared" si="123"/>
        <v>0</v>
      </c>
      <c r="J85" s="118">
        <f t="shared" si="123"/>
        <v>0</v>
      </c>
      <c r="K85" s="118">
        <f t="shared" si="123"/>
        <v>0</v>
      </c>
      <c r="L85" s="118">
        <f t="shared" si="123"/>
        <v>0</v>
      </c>
      <c r="M85" s="118">
        <f t="shared" si="123"/>
        <v>0</v>
      </c>
      <c r="N85" s="118">
        <f t="shared" si="123"/>
        <v>0</v>
      </c>
      <c r="O85" s="118">
        <f t="shared" si="123"/>
        <v>0</v>
      </c>
      <c r="P85" s="118">
        <f t="shared" si="123"/>
        <v>0</v>
      </c>
      <c r="Q85" s="118">
        <f t="shared" si="123"/>
        <v>0</v>
      </c>
      <c r="R85" s="118">
        <f t="shared" si="123"/>
        <v>0</v>
      </c>
      <c r="S85" s="118">
        <f t="shared" si="123"/>
        <v>0</v>
      </c>
      <c r="T85" s="118">
        <f t="shared" si="123"/>
        <v>0</v>
      </c>
      <c r="U85" s="118">
        <f t="shared" si="123"/>
        <v>0</v>
      </c>
      <c r="V85" s="118">
        <f t="shared" si="123"/>
        <v>0</v>
      </c>
      <c r="W85" s="118">
        <f t="shared" si="123"/>
        <v>0</v>
      </c>
      <c r="X85" s="118">
        <f t="shared" si="123"/>
        <v>0</v>
      </c>
      <c r="Y85" s="118">
        <f t="shared" si="123"/>
        <v>0</v>
      </c>
      <c r="Z85" s="118">
        <f t="shared" si="123"/>
        <v>0</v>
      </c>
      <c r="AA85" s="118">
        <f t="shared" si="123"/>
        <v>0</v>
      </c>
      <c r="AB85" s="118">
        <f t="shared" si="123"/>
        <v>0</v>
      </c>
      <c r="AC85" s="118">
        <f t="shared" si="123"/>
        <v>0</v>
      </c>
      <c r="AD85" s="118">
        <f t="shared" si="123"/>
        <v>0</v>
      </c>
      <c r="AE85" s="118">
        <f t="shared" si="123"/>
        <v>0</v>
      </c>
      <c r="AF85" s="118">
        <f t="shared" si="123"/>
        <v>0</v>
      </c>
      <c r="AG85" s="118">
        <f t="shared" si="123"/>
        <v>0</v>
      </c>
      <c r="AH85" s="118">
        <f t="shared" si="123"/>
        <v>0</v>
      </c>
      <c r="AI85" s="118">
        <f t="shared" si="123"/>
        <v>26</v>
      </c>
      <c r="AJ85" s="118">
        <f t="shared" si="123"/>
        <v>77</v>
      </c>
      <c r="AK85" s="118">
        <f t="shared" si="123"/>
        <v>17</v>
      </c>
      <c r="AL85" s="118">
        <f t="shared" si="123"/>
        <v>72</v>
      </c>
      <c r="AM85" s="118">
        <f t="shared" si="123"/>
        <v>382</v>
      </c>
      <c r="AN85" s="118">
        <f t="shared" si="123"/>
        <v>-28</v>
      </c>
      <c r="AO85" s="118">
        <f t="shared" ref="AO85:AT85" si="124">AO28-AO56</f>
        <v>183</v>
      </c>
      <c r="AP85" s="118">
        <f t="shared" si="124"/>
        <v>48</v>
      </c>
      <c r="AQ85" s="118">
        <f t="shared" si="124"/>
        <v>-58</v>
      </c>
      <c r="AR85" s="118">
        <f t="shared" si="124"/>
        <v>73</v>
      </c>
      <c r="AS85" s="118">
        <f t="shared" si="124"/>
        <v>185</v>
      </c>
      <c r="AT85" s="118">
        <f t="shared" si="124"/>
        <v>69</v>
      </c>
    </row>
    <row r="86" spans="1:163" x14ac:dyDescent="0.2">
      <c r="B86" s="130" t="s">
        <v>225</v>
      </c>
      <c r="C86" s="118">
        <f t="shared" ref="C86:M86" si="125">+C22-C57</f>
        <v>-2467.0325000000048</v>
      </c>
      <c r="D86" s="118">
        <f t="shared" si="125"/>
        <v>-2703.6668299999947</v>
      </c>
      <c r="E86" s="118">
        <f t="shared" si="125"/>
        <v>-2524.9194800000114</v>
      </c>
      <c r="F86" s="118">
        <f t="shared" si="125"/>
        <v>-2446.2342099999842</v>
      </c>
      <c r="G86" s="118">
        <f t="shared" si="125"/>
        <v>-2445.1620999999977</v>
      </c>
      <c r="H86" s="118">
        <f t="shared" si="125"/>
        <v>-2492.1423099999993</v>
      </c>
      <c r="I86" s="118">
        <f t="shared" si="125"/>
        <v>-2619.0484900000029</v>
      </c>
      <c r="J86" s="118">
        <f t="shared" si="125"/>
        <v>-6128.3222099999875</v>
      </c>
      <c r="K86" s="118">
        <f t="shared" si="125"/>
        <v>-1863.7015500000016</v>
      </c>
      <c r="L86" s="118">
        <f t="shared" si="125"/>
        <v>-2071.065260000003</v>
      </c>
      <c r="M86" s="118">
        <f t="shared" si="125"/>
        <v>-1920.2331899999954</v>
      </c>
      <c r="N86" s="118">
        <v>-1179</v>
      </c>
      <c r="O86" s="118">
        <v>-1604</v>
      </c>
      <c r="P86" s="118">
        <v>-1653</v>
      </c>
      <c r="Q86" s="118">
        <f t="shared" ref="Q86:W86" si="126">+Q22-Q57</f>
        <v>-1513</v>
      </c>
      <c r="R86" s="118">
        <f t="shared" si="126"/>
        <v>-5665</v>
      </c>
      <c r="S86" s="118">
        <f t="shared" si="126"/>
        <v>-1276</v>
      </c>
      <c r="T86" s="118">
        <f t="shared" si="126"/>
        <v>-1192</v>
      </c>
      <c r="U86" s="118">
        <f t="shared" si="126"/>
        <v>-1659</v>
      </c>
      <c r="V86" s="118">
        <f t="shared" si="126"/>
        <v>-1496</v>
      </c>
      <c r="W86" s="118">
        <f t="shared" si="126"/>
        <v>-1748</v>
      </c>
      <c r="X86" s="118">
        <f t="shared" ref="X86:AC86" si="127">+X22-X57</f>
        <v>-2784</v>
      </c>
      <c r="Y86" s="118">
        <f t="shared" si="127"/>
        <v>-1885</v>
      </c>
      <c r="Z86" s="118">
        <f t="shared" si="127"/>
        <v>-2563</v>
      </c>
      <c r="AA86" s="118">
        <f t="shared" si="127"/>
        <v>-2222</v>
      </c>
      <c r="AB86" s="118">
        <f t="shared" si="127"/>
        <v>-1734</v>
      </c>
      <c r="AC86" s="118">
        <f t="shared" si="127"/>
        <v>-2385</v>
      </c>
      <c r="AD86" s="118">
        <f t="shared" ref="AD86:AJ86" si="128">+AD22-AD57</f>
        <v>-2610</v>
      </c>
      <c r="AE86" s="118">
        <f t="shared" si="128"/>
        <v>-2567</v>
      </c>
      <c r="AF86" s="118">
        <f t="shared" si="128"/>
        <v>-3424</v>
      </c>
      <c r="AG86" s="118">
        <f t="shared" si="128"/>
        <v>-2828</v>
      </c>
      <c r="AH86" s="118">
        <f t="shared" si="128"/>
        <v>-3047</v>
      </c>
      <c r="AI86" s="118">
        <f>+AI22-AI57</f>
        <v>-3135</v>
      </c>
      <c r="AJ86" s="118">
        <f t="shared" si="128"/>
        <v>-3493</v>
      </c>
      <c r="AK86" s="118">
        <f t="shared" ref="AK86:AQ86" si="129">+AK22-AK57</f>
        <v>-4055</v>
      </c>
      <c r="AL86" s="118">
        <f t="shared" si="129"/>
        <v>-4741</v>
      </c>
      <c r="AM86" s="118">
        <f t="shared" si="129"/>
        <v>-4575</v>
      </c>
      <c r="AN86" s="118">
        <f t="shared" si="129"/>
        <v>-4091</v>
      </c>
      <c r="AO86" s="118">
        <f t="shared" si="129"/>
        <v>-4869</v>
      </c>
      <c r="AP86" s="118">
        <f t="shared" si="129"/>
        <v>-5443</v>
      </c>
      <c r="AQ86" s="118">
        <f t="shared" si="129"/>
        <v>-4698</v>
      </c>
      <c r="AR86" s="118">
        <f t="shared" ref="AR86" si="130">+AR22-AR57</f>
        <v>-3669</v>
      </c>
      <c r="AS86" s="118">
        <f>+AS22-AS57</f>
        <v>-2642</v>
      </c>
      <c r="AT86" s="118">
        <f>+AT22-AT57</f>
        <v>-2210</v>
      </c>
      <c r="CW86"/>
      <c r="CX86"/>
      <c r="CY86"/>
      <c r="CZ86"/>
      <c r="DA86"/>
      <c r="DB86"/>
      <c r="DC86"/>
      <c r="DD86"/>
      <c r="DE86"/>
      <c r="DF86"/>
      <c r="DG86"/>
      <c r="DH86"/>
      <c r="DI86"/>
      <c r="DJ86"/>
      <c r="DK86"/>
      <c r="DL86"/>
      <c r="DM86"/>
    </row>
    <row r="87" spans="1:163" s="249" customFormat="1" ht="14.25" hidden="1" customHeight="1" outlineLevel="1" x14ac:dyDescent="0.2">
      <c r="A87" s="233"/>
      <c r="B87" s="250" t="s">
        <v>576</v>
      </c>
      <c r="C87" s="219">
        <f t="shared" ref="C87:M87" si="131">+C27-C55</f>
        <v>0</v>
      </c>
      <c r="D87" s="219">
        <f t="shared" si="131"/>
        <v>0</v>
      </c>
      <c r="E87" s="219">
        <f t="shared" si="131"/>
        <v>0</v>
      </c>
      <c r="F87" s="219">
        <f t="shared" si="131"/>
        <v>0</v>
      </c>
      <c r="G87" s="219">
        <f t="shared" si="131"/>
        <v>0</v>
      </c>
      <c r="H87" s="219">
        <f t="shared" si="131"/>
        <v>3704.1926200000003</v>
      </c>
      <c r="I87" s="219">
        <f t="shared" si="131"/>
        <v>-1E-3</v>
      </c>
      <c r="J87" s="219">
        <f t="shared" si="131"/>
        <v>4006.04358</v>
      </c>
      <c r="K87" s="219">
        <f t="shared" si="131"/>
        <v>0</v>
      </c>
      <c r="L87" s="219">
        <f t="shared" si="131"/>
        <v>235.36089999999999</v>
      </c>
      <c r="M87" s="219">
        <f t="shared" si="131"/>
        <v>-0.36089999999999378</v>
      </c>
      <c r="N87" s="219">
        <v>15</v>
      </c>
      <c r="O87" s="219">
        <v>5</v>
      </c>
      <c r="P87" s="219">
        <v>0</v>
      </c>
      <c r="Q87" s="219">
        <f t="shared" ref="Q87:W87" si="132">+Q27-Q55</f>
        <v>0</v>
      </c>
      <c r="R87" s="219">
        <f t="shared" si="132"/>
        <v>0</v>
      </c>
      <c r="S87" s="219">
        <f t="shared" si="132"/>
        <v>0</v>
      </c>
      <c r="T87" s="219">
        <f t="shared" si="132"/>
        <v>0</v>
      </c>
      <c r="U87" s="219">
        <f t="shared" si="132"/>
        <v>0</v>
      </c>
      <c r="V87" s="219">
        <f t="shared" si="132"/>
        <v>0</v>
      </c>
      <c r="W87" s="219">
        <f t="shared" si="132"/>
        <v>0</v>
      </c>
      <c r="X87" s="219">
        <f t="shared" ref="X87:AC87" si="133">+X27-X55</f>
        <v>0</v>
      </c>
      <c r="Y87" s="219">
        <f t="shared" si="133"/>
        <v>0</v>
      </c>
      <c r="Z87" s="219">
        <f t="shared" si="133"/>
        <v>242</v>
      </c>
      <c r="AA87" s="219">
        <f t="shared" si="133"/>
        <v>0</v>
      </c>
      <c r="AB87" s="219">
        <f t="shared" si="133"/>
        <v>0</v>
      </c>
      <c r="AC87" s="219">
        <f t="shared" si="133"/>
        <v>0</v>
      </c>
      <c r="AD87" s="219">
        <f t="shared" ref="AD87:AJ87" si="134">+AD27-AD55</f>
        <v>-81</v>
      </c>
      <c r="AE87" s="219">
        <f t="shared" si="134"/>
        <v>0</v>
      </c>
      <c r="AF87" s="219">
        <f t="shared" si="134"/>
        <v>0</v>
      </c>
      <c r="AG87" s="219">
        <f t="shared" si="134"/>
        <v>0</v>
      </c>
      <c r="AH87" s="219">
        <f t="shared" si="134"/>
        <v>0</v>
      </c>
      <c r="AI87" s="219">
        <f>+AI27-AI55</f>
        <v>0</v>
      </c>
      <c r="AJ87" s="219">
        <f t="shared" si="134"/>
        <v>0</v>
      </c>
      <c r="AK87" s="219">
        <f t="shared" ref="AK87:AQ87" si="135">+AK27-AK55</f>
        <v>0</v>
      </c>
      <c r="AL87" s="219">
        <f t="shared" si="135"/>
        <v>0</v>
      </c>
      <c r="AM87" s="219">
        <f t="shared" si="135"/>
        <v>0</v>
      </c>
      <c r="AN87" s="219">
        <f t="shared" si="135"/>
        <v>0</v>
      </c>
      <c r="AO87" s="219">
        <f t="shared" si="135"/>
        <v>0</v>
      </c>
      <c r="AP87" s="219">
        <f t="shared" si="135"/>
        <v>0</v>
      </c>
      <c r="AQ87" s="219">
        <f t="shared" si="135"/>
        <v>0</v>
      </c>
      <c r="AR87" s="219">
        <f t="shared" ref="AR87" si="136">+AR27-AR55</f>
        <v>0</v>
      </c>
      <c r="AS87" s="219"/>
      <c r="AT87" s="219">
        <f>+AT27-AT55</f>
        <v>0</v>
      </c>
      <c r="CW87" s="233"/>
      <c r="CX87" s="233"/>
      <c r="CY87" s="233"/>
      <c r="CZ87" s="233"/>
      <c r="DA87" s="233"/>
      <c r="DB87" s="233"/>
      <c r="DC87" s="233"/>
      <c r="DD87" s="233"/>
      <c r="DE87" s="233"/>
      <c r="DF87" s="233"/>
      <c r="DG87" s="233"/>
      <c r="DH87" s="233"/>
      <c r="DI87" s="233"/>
      <c r="DJ87" s="233"/>
      <c r="DK87" s="233"/>
      <c r="DL87" s="233"/>
      <c r="DM87" s="233"/>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row>
    <row r="88" spans="1:163" s="249" customFormat="1" ht="14.25" hidden="1" customHeight="1" outlineLevel="1" x14ac:dyDescent="0.2">
      <c r="A88" s="233"/>
      <c r="B88" s="250" t="s">
        <v>575</v>
      </c>
      <c r="C88" s="219">
        <f t="shared" ref="C88:M88" si="137">+C30-C58</f>
        <v>0</v>
      </c>
      <c r="D88" s="219">
        <f t="shared" si="137"/>
        <v>0</v>
      </c>
      <c r="E88" s="219">
        <f t="shared" si="137"/>
        <v>0</v>
      </c>
      <c r="F88" s="219">
        <f t="shared" si="137"/>
        <v>0</v>
      </c>
      <c r="G88" s="219">
        <f t="shared" si="137"/>
        <v>0</v>
      </c>
      <c r="H88" s="219">
        <f t="shared" si="137"/>
        <v>0</v>
      </c>
      <c r="I88" s="219">
        <f t="shared" si="137"/>
        <v>0</v>
      </c>
      <c r="J88" s="219">
        <f t="shared" si="137"/>
        <v>2643</v>
      </c>
      <c r="K88" s="219">
        <f t="shared" si="137"/>
        <v>0</v>
      </c>
      <c r="L88" s="219">
        <f t="shared" si="137"/>
        <v>0</v>
      </c>
      <c r="M88" s="219">
        <f t="shared" si="137"/>
        <v>0</v>
      </c>
      <c r="N88" s="219">
        <v>0</v>
      </c>
      <c r="O88" s="219">
        <v>0</v>
      </c>
      <c r="P88" s="219">
        <v>0</v>
      </c>
      <c r="Q88" s="219">
        <f t="shared" ref="Q88:W88" si="138">+Q30-Q58</f>
        <v>0</v>
      </c>
      <c r="R88" s="219">
        <f t="shared" si="138"/>
        <v>0</v>
      </c>
      <c r="S88" s="219">
        <f t="shared" si="138"/>
        <v>0</v>
      </c>
      <c r="T88" s="219">
        <f t="shared" si="138"/>
        <v>0</v>
      </c>
      <c r="U88" s="219">
        <f t="shared" si="138"/>
        <v>0</v>
      </c>
      <c r="V88" s="219">
        <f t="shared" si="138"/>
        <v>0</v>
      </c>
      <c r="W88" s="219">
        <f t="shared" si="138"/>
        <v>0</v>
      </c>
      <c r="X88" s="219">
        <f t="shared" ref="X88:AC88" si="139">+X30-X58</f>
        <v>0</v>
      </c>
      <c r="Y88" s="219">
        <f t="shared" si="139"/>
        <v>0</v>
      </c>
      <c r="Z88" s="219">
        <f t="shared" si="139"/>
        <v>0</v>
      </c>
      <c r="AA88" s="219">
        <f t="shared" si="139"/>
        <v>0</v>
      </c>
      <c r="AB88" s="219">
        <f t="shared" si="139"/>
        <v>0</v>
      </c>
      <c r="AC88" s="219">
        <f t="shared" si="139"/>
        <v>0</v>
      </c>
      <c r="AD88" s="219">
        <f t="shared" ref="AD88:AJ88" si="140">+AD30-AD58</f>
        <v>2875</v>
      </c>
      <c r="AE88" s="219">
        <f t="shared" si="140"/>
        <v>0</v>
      </c>
      <c r="AF88" s="219">
        <f t="shared" si="140"/>
        <v>0</v>
      </c>
      <c r="AG88" s="219">
        <f t="shared" si="140"/>
        <v>0</v>
      </c>
      <c r="AH88" s="219">
        <f t="shared" si="140"/>
        <v>0</v>
      </c>
      <c r="AI88" s="219">
        <f>+AI30-AI58</f>
        <v>0</v>
      </c>
      <c r="AJ88" s="219">
        <f t="shared" si="140"/>
        <v>0</v>
      </c>
      <c r="AK88" s="219">
        <f t="shared" ref="AK88:AQ88" si="141">+AK30-AK58</f>
        <v>0</v>
      </c>
      <c r="AL88" s="219">
        <f t="shared" si="141"/>
        <v>0</v>
      </c>
      <c r="AM88" s="219">
        <f t="shared" si="141"/>
        <v>0</v>
      </c>
      <c r="AN88" s="219">
        <f t="shared" si="141"/>
        <v>0</v>
      </c>
      <c r="AO88" s="219">
        <f t="shared" si="141"/>
        <v>0</v>
      </c>
      <c r="AP88" s="219">
        <f t="shared" si="141"/>
        <v>0</v>
      </c>
      <c r="AQ88" s="219">
        <f t="shared" si="141"/>
        <v>0</v>
      </c>
      <c r="AR88" s="219">
        <f t="shared" ref="AR88" si="142">+AR30-AR58</f>
        <v>0</v>
      </c>
      <c r="AS88" s="219"/>
      <c r="AT88" s="219">
        <f>+AT30-AT58</f>
        <v>0</v>
      </c>
      <c r="CW88" s="233"/>
      <c r="CX88" s="233"/>
      <c r="CY88" s="233"/>
      <c r="CZ88" s="233"/>
      <c r="DA88" s="233"/>
      <c r="DB88" s="233"/>
      <c r="DC88" s="233"/>
      <c r="DD88" s="233"/>
      <c r="DE88" s="233"/>
      <c r="DF88" s="233"/>
      <c r="DG88" s="233"/>
      <c r="DH88" s="233"/>
      <c r="DI88" s="233"/>
      <c r="DJ88" s="233"/>
      <c r="DK88" s="233"/>
      <c r="DL88" s="233"/>
      <c r="DM88" s="233"/>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row>
    <row r="89" spans="1:163" s="249" customFormat="1" ht="14.25" hidden="1" customHeight="1" outlineLevel="1" x14ac:dyDescent="0.2">
      <c r="A89" s="233"/>
      <c r="B89" s="250" t="s">
        <v>578</v>
      </c>
      <c r="C89" s="219">
        <f t="shared" ref="C89:M89" si="143">+C31-C60</f>
        <v>0</v>
      </c>
      <c r="D89" s="219">
        <f t="shared" si="143"/>
        <v>0</v>
      </c>
      <c r="E89" s="219">
        <f t="shared" si="143"/>
        <v>0</v>
      </c>
      <c r="F89" s="219">
        <f t="shared" si="143"/>
        <v>3637.7085200000001</v>
      </c>
      <c r="G89" s="219">
        <f t="shared" si="143"/>
        <v>0</v>
      </c>
      <c r="H89" s="219">
        <f t="shared" si="143"/>
        <v>0</v>
      </c>
      <c r="I89" s="219">
        <f t="shared" si="143"/>
        <v>0</v>
      </c>
      <c r="J89" s="219">
        <f t="shared" si="143"/>
        <v>0</v>
      </c>
      <c r="K89" s="219">
        <f t="shared" si="143"/>
        <v>0</v>
      </c>
      <c r="L89" s="219">
        <f t="shared" si="143"/>
        <v>0</v>
      </c>
      <c r="M89" s="219">
        <f t="shared" si="143"/>
        <v>0</v>
      </c>
      <c r="N89" s="219">
        <v>0</v>
      </c>
      <c r="O89" s="219">
        <v>0</v>
      </c>
      <c r="P89" s="219">
        <v>0</v>
      </c>
      <c r="Q89" s="219">
        <f t="shared" ref="Q89:S90" si="144">+Q31-Q60</f>
        <v>0</v>
      </c>
      <c r="R89" s="219">
        <f t="shared" si="144"/>
        <v>0</v>
      </c>
      <c r="S89" s="219">
        <f t="shared" si="144"/>
        <v>0</v>
      </c>
      <c r="T89" s="219" t="s">
        <v>47</v>
      </c>
      <c r="U89" s="219" t="s">
        <v>47</v>
      </c>
      <c r="V89" s="219" t="s">
        <v>47</v>
      </c>
      <c r="W89" s="219" t="s">
        <v>47</v>
      </c>
      <c r="X89" s="219" t="s">
        <v>47</v>
      </c>
      <c r="Y89" s="219" t="s">
        <v>47</v>
      </c>
      <c r="Z89" s="219" t="s">
        <v>47</v>
      </c>
      <c r="AA89" s="219" t="s">
        <v>47</v>
      </c>
      <c r="AB89" s="219" t="s">
        <v>47</v>
      </c>
      <c r="AC89" s="219" t="s">
        <v>47</v>
      </c>
      <c r="AD89" s="219" t="s">
        <v>47</v>
      </c>
      <c r="AE89" s="219" t="s">
        <v>47</v>
      </c>
      <c r="AF89" s="219" t="s">
        <v>47</v>
      </c>
      <c r="AG89" s="219" t="s">
        <v>47</v>
      </c>
      <c r="AH89" s="219" t="s">
        <v>47</v>
      </c>
      <c r="AI89" s="219" t="s">
        <v>47</v>
      </c>
      <c r="AJ89" s="219" t="s">
        <v>47</v>
      </c>
      <c r="AK89" s="219" t="s">
        <v>47</v>
      </c>
      <c r="AL89" s="219" t="s">
        <v>47</v>
      </c>
      <c r="AM89" s="219" t="s">
        <v>47</v>
      </c>
      <c r="AN89" s="219" t="s">
        <v>47</v>
      </c>
      <c r="AO89" s="219" t="s">
        <v>47</v>
      </c>
      <c r="AP89" s="219" t="s">
        <v>47</v>
      </c>
      <c r="AQ89" s="219" t="s">
        <v>47</v>
      </c>
      <c r="AR89" s="219" t="s">
        <v>47</v>
      </c>
      <c r="AS89" s="219"/>
      <c r="AT89" s="219" t="s">
        <v>47</v>
      </c>
      <c r="CW89" s="233"/>
      <c r="CX89" s="233"/>
      <c r="CY89" s="233"/>
      <c r="CZ89" s="233"/>
      <c r="DA89" s="233"/>
      <c r="DB89" s="233"/>
      <c r="DC89" s="233"/>
      <c r="DD89" s="233"/>
      <c r="DE89" s="233"/>
      <c r="DF89" s="233"/>
      <c r="DG89" s="233"/>
      <c r="DH89" s="233"/>
      <c r="DI89" s="233"/>
      <c r="DJ89" s="233"/>
      <c r="DK89" s="233"/>
      <c r="DL89" s="233"/>
      <c r="DM89" s="233"/>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row>
    <row r="90" spans="1:163" ht="25.5" collapsed="1" x14ac:dyDescent="0.2">
      <c r="B90" s="127" t="s">
        <v>38</v>
      </c>
      <c r="C90" s="120">
        <f t="shared" ref="C90:M90" si="145">+C32-C61</f>
        <v>61096.568379999953</v>
      </c>
      <c r="D90" s="120">
        <f t="shared" si="145"/>
        <v>45899.205290000129</v>
      </c>
      <c r="E90" s="120">
        <f t="shared" si="145"/>
        <v>54634.289449999924</v>
      </c>
      <c r="F90" s="120">
        <f t="shared" si="145"/>
        <v>49696.306192599994</v>
      </c>
      <c r="G90" s="120">
        <f t="shared" si="145"/>
        <v>46183.605933950166</v>
      </c>
      <c r="H90" s="120">
        <f t="shared" si="145"/>
        <v>52155.658936749853</v>
      </c>
      <c r="I90" s="120">
        <f t="shared" si="145"/>
        <v>47353.829017950135</v>
      </c>
      <c r="J90" s="120">
        <f t="shared" si="145"/>
        <v>49261.225610000081</v>
      </c>
      <c r="K90" s="120">
        <f t="shared" si="145"/>
        <v>36005.654849999963</v>
      </c>
      <c r="L90" s="120">
        <f t="shared" si="145"/>
        <v>36346.00297000003</v>
      </c>
      <c r="M90" s="120">
        <f t="shared" si="145"/>
        <v>33747.342179999978</v>
      </c>
      <c r="N90" s="120">
        <f>+N32-N61</f>
        <v>32605</v>
      </c>
      <c r="O90" s="120">
        <f>+O32-O61</f>
        <v>31035</v>
      </c>
      <c r="P90" s="120">
        <f>+P32-P61</f>
        <v>31523</v>
      </c>
      <c r="Q90" s="120">
        <f t="shared" si="144"/>
        <v>37391</v>
      </c>
      <c r="R90" s="120">
        <f t="shared" si="144"/>
        <v>38579</v>
      </c>
      <c r="S90" s="120">
        <f t="shared" si="144"/>
        <v>28343</v>
      </c>
      <c r="T90" s="120">
        <f t="shared" ref="T90:Z90" si="146">+T32-T61</f>
        <v>25815</v>
      </c>
      <c r="U90" s="120">
        <f t="shared" si="146"/>
        <v>26493</v>
      </c>
      <c r="V90" s="120">
        <f t="shared" si="146"/>
        <v>29838</v>
      </c>
      <c r="W90" s="120">
        <f t="shared" si="146"/>
        <v>26879</v>
      </c>
      <c r="X90" s="120">
        <f t="shared" si="146"/>
        <v>37026</v>
      </c>
      <c r="Y90" s="120">
        <f t="shared" si="146"/>
        <v>37597</v>
      </c>
      <c r="Z90" s="120">
        <f t="shared" si="146"/>
        <v>40423</v>
      </c>
      <c r="AA90" s="120">
        <f t="shared" ref="AA90:AF90" si="147">+AA32-AA61</f>
        <v>33145</v>
      </c>
      <c r="AB90" s="120">
        <f t="shared" si="147"/>
        <v>31725</v>
      </c>
      <c r="AC90" s="120">
        <f t="shared" si="147"/>
        <v>36493</v>
      </c>
      <c r="AD90" s="120">
        <f t="shared" si="147"/>
        <v>39446</v>
      </c>
      <c r="AE90" s="120">
        <f t="shared" si="147"/>
        <v>35078</v>
      </c>
      <c r="AF90" s="120">
        <f t="shared" si="147"/>
        <v>38801</v>
      </c>
      <c r="AG90" s="120">
        <f t="shared" ref="AG90:AL90" si="148">+AG32-AG61</f>
        <v>36913</v>
      </c>
      <c r="AH90" s="120">
        <f t="shared" si="148"/>
        <v>38532</v>
      </c>
      <c r="AI90" s="120">
        <f t="shared" si="148"/>
        <v>39568</v>
      </c>
      <c r="AJ90" s="120">
        <f t="shared" si="148"/>
        <v>45749</v>
      </c>
      <c r="AK90" s="120">
        <f t="shared" si="148"/>
        <v>51742</v>
      </c>
      <c r="AL90" s="120">
        <f t="shared" si="148"/>
        <v>55514</v>
      </c>
      <c r="AM90" s="120">
        <f t="shared" ref="AM90:AT90" si="149">+AM32-AM61</f>
        <v>55567</v>
      </c>
      <c r="AN90" s="120">
        <f t="shared" si="149"/>
        <v>50901</v>
      </c>
      <c r="AO90" s="120">
        <f t="shared" si="149"/>
        <v>57313</v>
      </c>
      <c r="AP90" s="120">
        <f t="shared" si="149"/>
        <v>59850</v>
      </c>
      <c r="AQ90" s="120">
        <f t="shared" si="149"/>
        <v>64397</v>
      </c>
      <c r="AR90" s="120">
        <f t="shared" ref="AR90" si="150">+AR32-AR61</f>
        <v>54597</v>
      </c>
      <c r="AS90" s="120">
        <f t="shared" si="149"/>
        <v>45256</v>
      </c>
      <c r="AT90" s="120">
        <f t="shared" si="149"/>
        <v>45185</v>
      </c>
      <c r="CW90"/>
      <c r="CX90"/>
      <c r="CY90"/>
      <c r="CZ90"/>
      <c r="DA90"/>
      <c r="DB90"/>
      <c r="DC90"/>
      <c r="DD90"/>
      <c r="DE90"/>
      <c r="DF90"/>
      <c r="DG90"/>
      <c r="DH90"/>
      <c r="DI90"/>
      <c r="DJ90"/>
      <c r="DK90"/>
      <c r="DL90"/>
      <c r="DM90"/>
    </row>
    <row r="91" spans="1:163" x14ac:dyDescent="0.2">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CW91"/>
      <c r="CX91"/>
      <c r="CY91"/>
      <c r="CZ91"/>
      <c r="DA91"/>
      <c r="DB91"/>
      <c r="DC91"/>
      <c r="DD91"/>
      <c r="DE91"/>
      <c r="DF91"/>
      <c r="DG91"/>
      <c r="DH91"/>
      <c r="DI91"/>
      <c r="DJ91"/>
      <c r="DK91"/>
      <c r="DL91"/>
      <c r="DM91"/>
    </row>
    <row r="92" spans="1:163" x14ac:dyDescent="0.2">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163" ht="15.75" customHeight="1" x14ac:dyDescent="0.2">
      <c r="B93" s="180"/>
      <c r="C93" s="180"/>
      <c r="D93" s="180"/>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row>
    <row r="94" spans="1:163" ht="15.75" customHeight="1" x14ac:dyDescent="0.2"/>
    <row r="101" ht="15.75" customHeight="1" x14ac:dyDescent="0.2"/>
    <row r="102" ht="24.75" customHeight="1" x14ac:dyDescent="0.2"/>
    <row r="107" ht="13.5" customHeight="1" x14ac:dyDescent="0.2"/>
    <row r="110" ht="15" customHeight="1" x14ac:dyDescent="0.2"/>
    <row r="111" ht="15.75" customHeight="1" x14ac:dyDescent="0.2"/>
    <row r="168" ht="15" customHeight="1" x14ac:dyDescent="0.2"/>
    <row r="172" ht="14.25" customHeight="1" x14ac:dyDescent="0.2"/>
    <row r="195" ht="15" customHeight="1" x14ac:dyDescent="0.2"/>
    <row r="199" ht="20.25" customHeight="1" x14ac:dyDescent="0.2"/>
    <row r="225" ht="15" customHeight="1" x14ac:dyDescent="0.2"/>
    <row r="242" spans="1:176" x14ac:dyDescent="0.2">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row>
    <row r="246" spans="1:176" ht="15" thickBot="1" x14ac:dyDescent="0.25"/>
    <row r="247" spans="1:176" s="36" customFormat="1" ht="26.25" customHeight="1" thickBot="1" x14ac:dyDescent="0.25">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I247" s="72" t="s">
        <v>20</v>
      </c>
      <c r="FJ247" s="73" t="s">
        <v>34</v>
      </c>
      <c r="FK247" s="32" t="s">
        <v>39</v>
      </c>
      <c r="FL247" s="32" t="s">
        <v>14</v>
      </c>
      <c r="FM247" s="32" t="s">
        <v>30</v>
      </c>
      <c r="FN247" s="74" t="s">
        <v>31</v>
      </c>
      <c r="FO247" s="72" t="s">
        <v>32</v>
      </c>
      <c r="FP247" s="73" t="s">
        <v>33</v>
      </c>
      <c r="FQ247" s="75" t="s">
        <v>40</v>
      </c>
      <c r="FR247" s="32" t="s">
        <v>41</v>
      </c>
      <c r="FS247" s="32" t="s">
        <v>42</v>
      </c>
      <c r="FT247" s="74" t="s">
        <v>36</v>
      </c>
    </row>
    <row r="248" spans="1:176" ht="14.25" customHeight="1" thickBot="1" x14ac:dyDescent="0.25">
      <c r="FI248" s="76" t="s">
        <v>7</v>
      </c>
      <c r="FJ248" s="77">
        <v>13833</v>
      </c>
      <c r="FK248" s="33">
        <v>3240</v>
      </c>
      <c r="FL248" s="33">
        <v>2099</v>
      </c>
      <c r="FM248" s="33">
        <v>1551</v>
      </c>
      <c r="FN248" s="78">
        <v>80</v>
      </c>
      <c r="FO248" s="76">
        <v>524</v>
      </c>
      <c r="FP248" s="77">
        <v>218</v>
      </c>
      <c r="FQ248" s="79">
        <v>727</v>
      </c>
      <c r="FR248" s="33">
        <v>53</v>
      </c>
      <c r="FS248" s="33">
        <v>497</v>
      </c>
      <c r="FT248" s="78">
        <v>20723</v>
      </c>
    </row>
    <row r="249" spans="1:176" x14ac:dyDescent="0.2">
      <c r="FI249" s="80" t="s">
        <v>43</v>
      </c>
      <c r="FJ249" s="81"/>
      <c r="FK249" s="34"/>
      <c r="FL249" s="34"/>
      <c r="FM249" s="34">
        <v>1500</v>
      </c>
      <c r="FN249" s="82" t="s">
        <v>44</v>
      </c>
      <c r="FO249" s="80" t="s">
        <v>44</v>
      </c>
      <c r="FP249" s="81"/>
      <c r="FQ249" s="83"/>
      <c r="FR249" s="34"/>
      <c r="FS249" s="34"/>
      <c r="FT249" s="82"/>
    </row>
    <row r="250" spans="1:176" x14ac:dyDescent="0.2">
      <c r="FI250" s="80" t="s">
        <v>45</v>
      </c>
      <c r="FJ250" s="81">
        <v>4600</v>
      </c>
      <c r="FK250" s="34"/>
      <c r="FL250" s="34"/>
      <c r="FM250" s="34"/>
      <c r="FN250" s="82"/>
      <c r="FO250" s="80"/>
      <c r="FP250" s="81"/>
      <c r="FQ250" s="83"/>
      <c r="FR250" s="34"/>
      <c r="FS250" s="34"/>
      <c r="FT250" s="82"/>
    </row>
    <row r="251" spans="1:176" x14ac:dyDescent="0.2">
      <c r="FI251" s="80" t="s">
        <v>46</v>
      </c>
      <c r="FJ251" s="81">
        <v>8000</v>
      </c>
      <c r="FK251" s="34"/>
      <c r="FL251" s="34"/>
      <c r="FM251" s="34"/>
      <c r="FN251" s="82"/>
      <c r="FO251" s="80"/>
      <c r="FP251" s="81"/>
      <c r="FQ251" s="83"/>
      <c r="FR251" s="34"/>
      <c r="FS251" s="34"/>
      <c r="FT251" s="82"/>
    </row>
    <row r="252" spans="1:176" x14ac:dyDescent="0.2">
      <c r="FI252" s="80"/>
      <c r="FJ252" s="81"/>
      <c r="FK252" s="34"/>
      <c r="FL252" s="34"/>
      <c r="FM252" s="34"/>
      <c r="FN252" s="82"/>
      <c r="FO252" s="80"/>
      <c r="FP252" s="81"/>
      <c r="FQ252" s="83"/>
      <c r="FR252" s="34"/>
      <c r="FS252" s="34"/>
      <c r="FT252" s="82"/>
    </row>
    <row r="253" spans="1:176" ht="15" thickBot="1" x14ac:dyDescent="0.25">
      <c r="FI253" s="84"/>
      <c r="FJ253" s="85"/>
      <c r="FK253" s="35"/>
      <c r="FL253" s="35"/>
      <c r="FM253" s="35"/>
      <c r="FN253" s="86"/>
      <c r="FO253" s="84"/>
      <c r="FP253" s="85"/>
      <c r="FQ253" s="87"/>
      <c r="FR253" s="35"/>
      <c r="FS253" s="35"/>
      <c r="FT253" s="86"/>
    </row>
    <row r="255" spans="1:176"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S67:AT85" formula="1"/>
    <ignoredError sqref="AT29:AT30" formulaRange="1"/>
  </ignoredErrors>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10">
    <pageSetUpPr autoPageBreaks="0"/>
  </sheetPr>
  <dimension ref="B1:AT27"/>
  <sheetViews>
    <sheetView showGridLines="0" workbookViewId="0">
      <pane xSplit="2" ySplit="4" topLeftCell="AG5" activePane="bottomRight" state="frozen"/>
      <selection activeCell="G3" sqref="G3"/>
      <selection pane="topRight" activeCell="G3" sqref="G3"/>
      <selection pane="bottomLeft" activeCell="G3" sqref="G3"/>
      <selection pane="bottomRight" activeCell="AT5" sqref="AT5"/>
    </sheetView>
  </sheetViews>
  <sheetFormatPr defaultRowHeight="12.75" x14ac:dyDescent="0.2"/>
  <cols>
    <col min="1" max="1" width="1.42578125" customWidth="1"/>
    <col min="2" max="2" width="29.7109375" customWidth="1"/>
    <col min="3" max="46" width="10.7109375" customWidth="1"/>
  </cols>
  <sheetData>
    <row r="1" spans="2:46" s="551" customFormat="1" ht="7.5" customHeight="1" x14ac:dyDescent="0.2"/>
    <row r="2" spans="2:46" s="551" customFormat="1" ht="18" x14ac:dyDescent="0.25">
      <c r="D2" s="561"/>
    </row>
    <row r="3" spans="2:46" x14ac:dyDescent="0.2">
      <c r="W3" s="40"/>
      <c r="X3" s="40"/>
      <c r="Y3" s="40"/>
      <c r="Z3" s="40"/>
      <c r="AA3" s="40"/>
      <c r="AB3" s="40"/>
      <c r="AC3" s="40"/>
      <c r="AD3" s="40"/>
      <c r="AE3" s="40"/>
      <c r="AF3" s="40"/>
      <c r="AG3" s="40"/>
      <c r="AH3" s="40"/>
      <c r="AI3" s="40"/>
      <c r="AJ3" s="40"/>
      <c r="AK3" s="40"/>
      <c r="AL3" s="40"/>
      <c r="AM3" s="40"/>
      <c r="AN3" s="40"/>
      <c r="AO3" s="40"/>
      <c r="AP3" s="40"/>
      <c r="AQ3" s="40"/>
      <c r="AR3" s="40"/>
      <c r="AS3" s="40"/>
      <c r="AT3" s="40"/>
    </row>
    <row r="4" spans="2:46" x14ac:dyDescent="0.2">
      <c r="W4" s="40"/>
      <c r="X4" s="40"/>
      <c r="Y4" s="40"/>
      <c r="Z4" s="40"/>
      <c r="AA4" s="40"/>
      <c r="AB4" s="40"/>
      <c r="AC4" s="40"/>
      <c r="AD4" s="40"/>
      <c r="AE4" s="40"/>
      <c r="AF4" s="40"/>
      <c r="AG4" s="40"/>
      <c r="AH4" s="40"/>
      <c r="AI4" s="40"/>
      <c r="AJ4" s="40"/>
      <c r="AK4" s="40"/>
      <c r="AL4" s="40"/>
      <c r="AM4" s="40"/>
      <c r="AN4" s="40"/>
      <c r="AO4" s="40"/>
      <c r="AP4" s="40"/>
      <c r="AQ4" s="40"/>
      <c r="AR4" s="40"/>
      <c r="AS4" s="40"/>
      <c r="AT4" s="40"/>
    </row>
    <row r="5" spans="2:46" x14ac:dyDescent="0.2">
      <c r="B5" s="115" t="s">
        <v>391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2:46" x14ac:dyDescent="0.2">
      <c r="B6" s="130" t="s">
        <v>557</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row>
    <row r="7" spans="2:46" x14ac:dyDescent="0.2">
      <c r="B7" s="130" t="s">
        <v>227</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2">
        <v>23075</v>
      </c>
      <c r="AM7" s="118">
        <v>19898</v>
      </c>
      <c r="AN7" s="118">
        <v>22984</v>
      </c>
      <c r="AO7" s="118">
        <v>25386</v>
      </c>
      <c r="AP7" s="118">
        <v>28550</v>
      </c>
      <c r="AQ7" s="118">
        <v>27941</v>
      </c>
      <c r="AR7" s="118">
        <v>24401</v>
      </c>
      <c r="AS7" s="118">
        <v>26255</v>
      </c>
      <c r="AT7" s="118">
        <v>28949</v>
      </c>
    </row>
    <row r="8" spans="2:46" ht="25.5" x14ac:dyDescent="0.2">
      <c r="B8" s="130" t="s">
        <v>337</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1">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row>
    <row r="9" spans="2:46" x14ac:dyDescent="0.2">
      <c r="B9" s="130" t="s">
        <v>558</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row>
    <row r="10" spans="2:46" x14ac:dyDescent="0.2">
      <c r="B10" s="130" t="s">
        <v>1297</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row>
    <row r="11" spans="2:46" x14ac:dyDescent="0.2">
      <c r="B11" s="127" t="s">
        <v>36</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T11" si="1">SUM(AO6:AO10)</f>
        <v>361786</v>
      </c>
      <c r="AP11" s="120">
        <f t="shared" si="1"/>
        <v>391495</v>
      </c>
      <c r="AQ11" s="120">
        <f t="shared" si="1"/>
        <v>344136</v>
      </c>
      <c r="AR11" s="120">
        <f t="shared" si="1"/>
        <v>402015</v>
      </c>
      <c r="AS11" s="120">
        <f t="shared" si="1"/>
        <v>492000</v>
      </c>
      <c r="AT11" s="120">
        <f t="shared" si="1"/>
        <v>514506</v>
      </c>
    </row>
    <row r="13" spans="2:46" x14ac:dyDescent="0.2">
      <c r="B13" s="115" t="s">
        <v>397</v>
      </c>
      <c r="C13" s="115" t="str">
        <f>C5</f>
        <v>1Q14</v>
      </c>
      <c r="D13" s="115" t="str">
        <f t="shared" ref="D13:Q13" si="2">D5</f>
        <v>2Q14</v>
      </c>
      <c r="E13" s="115" t="str">
        <f t="shared" si="2"/>
        <v>3Q14</v>
      </c>
      <c r="F13" s="115" t="str">
        <f t="shared" si="2"/>
        <v>4Q14</v>
      </c>
      <c r="G13" s="115" t="str">
        <f t="shared" si="2"/>
        <v>1Q15</v>
      </c>
      <c r="H13" s="115" t="str">
        <f t="shared" si="2"/>
        <v>2Q15</v>
      </c>
      <c r="I13" s="115" t="str">
        <f t="shared" si="2"/>
        <v>3Q15</v>
      </c>
      <c r="J13" s="115" t="str">
        <f t="shared" si="2"/>
        <v>4Q15</v>
      </c>
      <c r="K13" s="115" t="str">
        <f t="shared" si="2"/>
        <v>1Q16</v>
      </c>
      <c r="L13" s="115" t="str">
        <f t="shared" si="2"/>
        <v>2Q16</v>
      </c>
      <c r="M13" s="115" t="str">
        <f t="shared" si="2"/>
        <v>3Q16</v>
      </c>
      <c r="N13" s="115" t="str">
        <f t="shared" si="2"/>
        <v>4Q16</v>
      </c>
      <c r="O13" s="115" t="str">
        <f t="shared" si="2"/>
        <v>1Q17</v>
      </c>
      <c r="P13" s="115" t="str">
        <f t="shared" si="2"/>
        <v>2Q17</v>
      </c>
      <c r="Q13" s="115" t="str">
        <f t="shared" si="2"/>
        <v>3Q17</v>
      </c>
      <c r="R13" s="115" t="str">
        <f t="shared" ref="R13:W13" si="3">R5</f>
        <v>4Q17</v>
      </c>
      <c r="S13" s="115" t="str">
        <f t="shared" si="3"/>
        <v>1Q18</v>
      </c>
      <c r="T13" s="115" t="str">
        <f t="shared" si="3"/>
        <v>2Q18</v>
      </c>
      <c r="U13" s="115" t="str">
        <f t="shared" si="3"/>
        <v>3Q18</v>
      </c>
      <c r="V13" s="115" t="str">
        <f t="shared" si="3"/>
        <v>4Q18</v>
      </c>
      <c r="W13" s="115" t="str">
        <f t="shared" si="3"/>
        <v>1Q19</v>
      </c>
      <c r="X13" s="115" t="str">
        <f t="shared" ref="X13:AC13" si="4">X5</f>
        <v>2Q19</v>
      </c>
      <c r="Y13" s="115" t="str">
        <f t="shared" si="4"/>
        <v>3Q19</v>
      </c>
      <c r="Z13" s="115" t="str">
        <f t="shared" si="4"/>
        <v>4Q19</v>
      </c>
      <c r="AA13" s="115" t="str">
        <f t="shared" si="4"/>
        <v>1Q20</v>
      </c>
      <c r="AB13" s="115" t="str">
        <f t="shared" si="4"/>
        <v>2Q20</v>
      </c>
      <c r="AC13" s="115" t="str">
        <f t="shared" si="4"/>
        <v>3Q20</v>
      </c>
      <c r="AD13" s="115" t="str">
        <f t="shared" ref="AD13:AJ13" si="5">AD5</f>
        <v>4Q20</v>
      </c>
      <c r="AE13" s="115" t="str">
        <f t="shared" si="5"/>
        <v>1Q21</v>
      </c>
      <c r="AF13" s="115" t="str">
        <f t="shared" si="5"/>
        <v>2Q21</v>
      </c>
      <c r="AG13" s="115" t="str">
        <f t="shared" si="5"/>
        <v>3Q21</v>
      </c>
      <c r="AH13" s="115" t="str">
        <f t="shared" si="5"/>
        <v>4Q21</v>
      </c>
      <c r="AI13" s="115" t="str">
        <f t="shared" si="5"/>
        <v>1Q22</v>
      </c>
      <c r="AJ13" s="115" t="str">
        <f t="shared" si="5"/>
        <v>2Q22</v>
      </c>
      <c r="AK13" s="115" t="str">
        <f t="shared" ref="AK13:AR13" si="6">AK5</f>
        <v>3Q22</v>
      </c>
      <c r="AL13" s="115" t="str">
        <f t="shared" si="6"/>
        <v>4Q22</v>
      </c>
      <c r="AM13" s="115" t="str">
        <f t="shared" si="6"/>
        <v>1Q23</v>
      </c>
      <c r="AN13" s="115" t="str">
        <f t="shared" si="6"/>
        <v>2Q23</v>
      </c>
      <c r="AO13" s="115" t="str">
        <f t="shared" si="6"/>
        <v>3Q23</v>
      </c>
      <c r="AP13" s="115" t="str">
        <f t="shared" si="6"/>
        <v>4Q23</v>
      </c>
      <c r="AQ13" s="115" t="str">
        <f t="shared" si="6"/>
        <v>1Q24</v>
      </c>
      <c r="AR13" s="115" t="str">
        <f t="shared" si="6"/>
        <v>2Q24</v>
      </c>
      <c r="AS13" s="115" t="str">
        <f>AS5</f>
        <v>3Q24</v>
      </c>
      <c r="AT13" s="115" t="str">
        <f>AT5</f>
        <v>4Q24</v>
      </c>
    </row>
    <row r="14" spans="2:46" x14ac:dyDescent="0.2">
      <c r="B14" s="130" t="s">
        <v>557</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row>
    <row r="15" spans="2:46" x14ac:dyDescent="0.2">
      <c r="B15" s="130" t="s">
        <v>227</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2">
        <v>21954</v>
      </c>
      <c r="AM15" s="118">
        <v>19435</v>
      </c>
      <c r="AN15" s="118">
        <v>22747</v>
      </c>
      <c r="AO15" s="118">
        <v>25527</v>
      </c>
      <c r="AP15" s="118">
        <v>26675</v>
      </c>
      <c r="AQ15" s="118">
        <v>23377</v>
      </c>
      <c r="AR15" s="118">
        <v>20627</v>
      </c>
      <c r="AS15" s="118">
        <v>21982</v>
      </c>
      <c r="AT15" s="118">
        <v>24519</v>
      </c>
    </row>
    <row r="16" spans="2:46" ht="25.5" x14ac:dyDescent="0.2">
      <c r="B16" s="130" t="s">
        <v>337</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1">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row>
    <row r="17" spans="2:46" x14ac:dyDescent="0.2">
      <c r="B17" s="130" t="s">
        <v>558</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row>
    <row r="18" spans="2:46" x14ac:dyDescent="0.2">
      <c r="B18" s="130" t="s">
        <v>1297</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row>
    <row r="19" spans="2:46" x14ac:dyDescent="0.2">
      <c r="B19" s="127" t="s">
        <v>36</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T19" si="8">SUM(AO14:AO18)</f>
        <v>304473</v>
      </c>
      <c r="AP19" s="120">
        <f t="shared" si="8"/>
        <v>331645</v>
      </c>
      <c r="AQ19" s="120">
        <f t="shared" si="8"/>
        <v>279739</v>
      </c>
      <c r="AR19" s="120">
        <f t="shared" si="8"/>
        <v>347418</v>
      </c>
      <c r="AS19" s="120">
        <f t="shared" si="8"/>
        <v>446744</v>
      </c>
      <c r="AT19" s="120">
        <f t="shared" si="8"/>
        <v>469321</v>
      </c>
    </row>
    <row r="21" spans="2:46" x14ac:dyDescent="0.2">
      <c r="B21" s="115" t="s">
        <v>401</v>
      </c>
      <c r="C21" s="115" t="str">
        <f>C5</f>
        <v>1Q14</v>
      </c>
      <c r="D21" s="115" t="str">
        <f t="shared" ref="D21:Q21" si="9">D5</f>
        <v>2Q14</v>
      </c>
      <c r="E21" s="115" t="str">
        <f t="shared" si="9"/>
        <v>3Q14</v>
      </c>
      <c r="F21" s="115" t="str">
        <f t="shared" si="9"/>
        <v>4Q14</v>
      </c>
      <c r="G21" s="115" t="str">
        <f t="shared" si="9"/>
        <v>1Q15</v>
      </c>
      <c r="H21" s="115" t="str">
        <f t="shared" si="9"/>
        <v>2Q15</v>
      </c>
      <c r="I21" s="115" t="str">
        <f t="shared" si="9"/>
        <v>3Q15</v>
      </c>
      <c r="J21" s="115" t="str">
        <f t="shared" si="9"/>
        <v>4Q15</v>
      </c>
      <c r="K21" s="115" t="str">
        <f t="shared" si="9"/>
        <v>1Q16</v>
      </c>
      <c r="L21" s="115" t="str">
        <f t="shared" si="9"/>
        <v>2Q16</v>
      </c>
      <c r="M21" s="115" t="str">
        <f t="shared" si="9"/>
        <v>3Q16</v>
      </c>
      <c r="N21" s="115" t="str">
        <f t="shared" si="9"/>
        <v>4Q16</v>
      </c>
      <c r="O21" s="115" t="str">
        <f t="shared" si="9"/>
        <v>1Q17</v>
      </c>
      <c r="P21" s="115" t="str">
        <f t="shared" si="9"/>
        <v>2Q17</v>
      </c>
      <c r="Q21" s="115" t="str">
        <f t="shared" si="9"/>
        <v>3Q17</v>
      </c>
      <c r="R21" s="115" t="str">
        <f t="shared" ref="R21:W21" si="10">R5</f>
        <v>4Q17</v>
      </c>
      <c r="S21" s="115" t="str">
        <f t="shared" si="10"/>
        <v>1Q18</v>
      </c>
      <c r="T21" s="115" t="str">
        <f t="shared" si="10"/>
        <v>2Q18</v>
      </c>
      <c r="U21" s="115" t="str">
        <f t="shared" si="10"/>
        <v>3Q18</v>
      </c>
      <c r="V21" s="115" t="str">
        <f t="shared" si="10"/>
        <v>4Q18</v>
      </c>
      <c r="W21" s="115" t="str">
        <f t="shared" si="10"/>
        <v>1Q19</v>
      </c>
      <c r="X21" s="115" t="str">
        <f t="shared" ref="X21:AC21" si="11">X5</f>
        <v>2Q19</v>
      </c>
      <c r="Y21" s="115" t="str">
        <f t="shared" si="11"/>
        <v>3Q19</v>
      </c>
      <c r="Z21" s="115" t="str">
        <f t="shared" si="11"/>
        <v>4Q19</v>
      </c>
      <c r="AA21" s="115" t="str">
        <f t="shared" si="11"/>
        <v>1Q20</v>
      </c>
      <c r="AB21" s="115" t="str">
        <f t="shared" si="11"/>
        <v>2Q20</v>
      </c>
      <c r="AC21" s="115" t="str">
        <f t="shared" si="11"/>
        <v>3Q20</v>
      </c>
      <c r="AD21" s="115" t="str">
        <f t="shared" ref="AD21:AJ21" si="12">AD5</f>
        <v>4Q20</v>
      </c>
      <c r="AE21" s="115" t="str">
        <f t="shared" si="12"/>
        <v>1Q21</v>
      </c>
      <c r="AF21" s="115" t="str">
        <f t="shared" si="12"/>
        <v>2Q21</v>
      </c>
      <c r="AG21" s="115" t="str">
        <f t="shared" si="12"/>
        <v>3Q21</v>
      </c>
      <c r="AH21" s="115" t="str">
        <f t="shared" si="12"/>
        <v>4Q21</v>
      </c>
      <c r="AI21" s="115" t="str">
        <f>AI5</f>
        <v>1Q22</v>
      </c>
      <c r="AJ21" s="115" t="str">
        <f t="shared" si="12"/>
        <v>2Q22</v>
      </c>
      <c r="AK21" s="115" t="str">
        <f t="shared" ref="AK21:AQ21" si="13">AK5</f>
        <v>3Q22</v>
      </c>
      <c r="AL21" s="115" t="str">
        <f t="shared" si="13"/>
        <v>4Q22</v>
      </c>
      <c r="AM21" s="115" t="str">
        <f t="shared" si="13"/>
        <v>1Q23</v>
      </c>
      <c r="AN21" s="115" t="str">
        <f t="shared" si="13"/>
        <v>2Q23</v>
      </c>
      <c r="AO21" s="115" t="str">
        <f t="shared" si="13"/>
        <v>3Q23</v>
      </c>
      <c r="AP21" s="115" t="str">
        <f t="shared" si="13"/>
        <v>4Q23</v>
      </c>
      <c r="AQ21" s="115" t="str">
        <f t="shared" si="13"/>
        <v>1Q24</v>
      </c>
      <c r="AR21" s="115" t="str">
        <f t="shared" ref="AR21" si="14">AR5</f>
        <v>2Q24</v>
      </c>
      <c r="AS21" s="115" t="str">
        <f>AS5</f>
        <v>3Q24</v>
      </c>
      <c r="AT21" s="115" t="str">
        <f>AT5</f>
        <v>4Q24</v>
      </c>
    </row>
    <row r="22" spans="2:46" x14ac:dyDescent="0.2">
      <c r="B22" s="130" t="s">
        <v>557</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T26" si="20">+AS6-AS14</f>
        <v>40282</v>
      </c>
      <c r="AT22" s="118">
        <f t="shared" si="20"/>
        <v>39949</v>
      </c>
    </row>
    <row r="23" spans="2:46" x14ac:dyDescent="0.2">
      <c r="B23" s="130" t="s">
        <v>227</v>
      </c>
      <c r="C23" s="118">
        <f t="shared" ref="C23:I23" si="21">+C7-C15</f>
        <v>2140</v>
      </c>
      <c r="D23" s="118">
        <f t="shared" si="21"/>
        <v>221</v>
      </c>
      <c r="E23" s="118">
        <f t="shared" si="21"/>
        <v>9680</v>
      </c>
      <c r="F23" s="118">
        <f t="shared" si="21"/>
        <v>-690</v>
      </c>
      <c r="G23" s="118">
        <f t="shared" si="21"/>
        <v>1494</v>
      </c>
      <c r="H23" s="118">
        <f t="shared" si="21"/>
        <v>1297</v>
      </c>
      <c r="I23" s="118">
        <f t="shared" si="21"/>
        <v>1241</v>
      </c>
      <c r="J23" s="118">
        <f t="shared" ref="J23:R23" si="22">+J7-J15</f>
        <v>2105</v>
      </c>
      <c r="K23" s="118">
        <f t="shared" si="22"/>
        <v>1020</v>
      </c>
      <c r="L23" s="118">
        <f t="shared" si="22"/>
        <v>858</v>
      </c>
      <c r="M23" s="118">
        <f t="shared" si="22"/>
        <v>910</v>
      </c>
      <c r="N23" s="118">
        <f t="shared" si="22"/>
        <v>823</v>
      </c>
      <c r="O23" s="118">
        <f t="shared" si="22"/>
        <v>646</v>
      </c>
      <c r="P23" s="118">
        <f t="shared" si="22"/>
        <v>639</v>
      </c>
      <c r="Q23" s="118">
        <f t="shared" si="22"/>
        <v>623</v>
      </c>
      <c r="R23" s="118">
        <f t="shared" si="22"/>
        <v>2181</v>
      </c>
      <c r="S23" s="118">
        <v>583</v>
      </c>
      <c r="T23" s="118">
        <f t="shared" ref="T23:AJ23" si="23">+T7-T15</f>
        <v>564</v>
      </c>
      <c r="U23" s="118">
        <f t="shared" si="23"/>
        <v>197</v>
      </c>
      <c r="V23" s="118">
        <f t="shared" si="23"/>
        <v>319</v>
      </c>
      <c r="W23" s="118">
        <f t="shared" si="23"/>
        <v>342</v>
      </c>
      <c r="X23" s="118">
        <f t="shared" si="23"/>
        <v>404</v>
      </c>
      <c r="Y23" s="118">
        <f t="shared" si="23"/>
        <v>553</v>
      </c>
      <c r="Z23" s="118">
        <f t="shared" si="23"/>
        <v>470</v>
      </c>
      <c r="AA23" s="118">
        <f t="shared" si="23"/>
        <v>471</v>
      </c>
      <c r="AB23" s="118">
        <f t="shared" si="23"/>
        <v>317</v>
      </c>
      <c r="AC23" s="118">
        <f t="shared" si="23"/>
        <v>421</v>
      </c>
      <c r="AD23" s="118">
        <f t="shared" si="23"/>
        <v>368</v>
      </c>
      <c r="AE23" s="118">
        <f t="shared" si="23"/>
        <v>197</v>
      </c>
      <c r="AF23" s="118">
        <f t="shared" si="23"/>
        <v>216</v>
      </c>
      <c r="AG23" s="118">
        <f t="shared" si="23"/>
        <v>167</v>
      </c>
      <c r="AH23" s="118">
        <f t="shared" si="23"/>
        <v>304</v>
      </c>
      <c r="AI23" s="118">
        <f t="shared" si="23"/>
        <v>194</v>
      </c>
      <c r="AJ23" s="118">
        <f t="shared" si="23"/>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4">+AR7-AR15</f>
        <v>3774</v>
      </c>
      <c r="AS23" s="118">
        <f t="shared" si="20"/>
        <v>4273</v>
      </c>
      <c r="AT23" s="118">
        <f t="shared" si="20"/>
        <v>4430</v>
      </c>
    </row>
    <row r="24" spans="2:46" ht="25.5" x14ac:dyDescent="0.2">
      <c r="B24" s="130" t="s">
        <v>337</v>
      </c>
      <c r="C24" s="118">
        <f t="shared" ref="C24:I24" si="25">+C8-C16</f>
        <v>0</v>
      </c>
      <c r="D24" s="118">
        <f t="shared" si="25"/>
        <v>0</v>
      </c>
      <c r="E24" s="118">
        <f t="shared" si="25"/>
        <v>0</v>
      </c>
      <c r="F24" s="118">
        <f t="shared" si="25"/>
        <v>0</v>
      </c>
      <c r="G24" s="118">
        <f t="shared" si="25"/>
        <v>0</v>
      </c>
      <c r="H24" s="118">
        <f t="shared" si="25"/>
        <v>0</v>
      </c>
      <c r="I24" s="118">
        <f t="shared" si="25"/>
        <v>0</v>
      </c>
      <c r="J24" s="118">
        <f t="shared" ref="J24:R24" si="26">+J8-J16</f>
        <v>0</v>
      </c>
      <c r="K24" s="118">
        <f t="shared" si="26"/>
        <v>0</v>
      </c>
      <c r="L24" s="118">
        <f t="shared" si="26"/>
        <v>0</v>
      </c>
      <c r="M24" s="118">
        <f t="shared" si="26"/>
        <v>0</v>
      </c>
      <c r="N24" s="118">
        <f t="shared" si="26"/>
        <v>0</v>
      </c>
      <c r="O24" s="118">
        <f t="shared" si="26"/>
        <v>0</v>
      </c>
      <c r="P24" s="118">
        <f t="shared" si="26"/>
        <v>0</v>
      </c>
      <c r="Q24" s="118">
        <f t="shared" si="26"/>
        <v>0</v>
      </c>
      <c r="R24" s="118">
        <f t="shared" si="26"/>
        <v>0</v>
      </c>
      <c r="S24" s="118">
        <v>0</v>
      </c>
      <c r="T24" s="118">
        <f t="shared" ref="T24:AJ24" si="27">+T8-T16</f>
        <v>0</v>
      </c>
      <c r="U24" s="118">
        <f t="shared" si="27"/>
        <v>0</v>
      </c>
      <c r="V24" s="118">
        <f t="shared" si="27"/>
        <v>0</v>
      </c>
      <c r="W24" s="118">
        <f t="shared" si="27"/>
        <v>0</v>
      </c>
      <c r="X24" s="118">
        <f t="shared" si="27"/>
        <v>0</v>
      </c>
      <c r="Y24" s="118">
        <f t="shared" si="27"/>
        <v>0</v>
      </c>
      <c r="Z24" s="118">
        <f t="shared" si="27"/>
        <v>0</v>
      </c>
      <c r="AA24" s="118">
        <f t="shared" si="27"/>
        <v>0</v>
      </c>
      <c r="AB24" s="118">
        <f t="shared" si="27"/>
        <v>0</v>
      </c>
      <c r="AC24" s="118">
        <f t="shared" si="27"/>
        <v>0</v>
      </c>
      <c r="AD24" s="118">
        <f t="shared" si="27"/>
        <v>0</v>
      </c>
      <c r="AE24" s="118">
        <f t="shared" si="27"/>
        <v>0</v>
      </c>
      <c r="AF24" s="118">
        <f t="shared" si="27"/>
        <v>0</v>
      </c>
      <c r="AG24" s="118">
        <f t="shared" si="27"/>
        <v>0</v>
      </c>
      <c r="AH24" s="118">
        <f t="shared" si="27"/>
        <v>0</v>
      </c>
      <c r="AI24" s="118">
        <f t="shared" si="27"/>
        <v>0</v>
      </c>
      <c r="AJ24" s="118">
        <f t="shared" si="27"/>
        <v>0</v>
      </c>
      <c r="AK24" s="118">
        <f t="shared" si="18"/>
        <v>0</v>
      </c>
      <c r="AL24" s="118">
        <f t="shared" si="18"/>
        <v>0</v>
      </c>
      <c r="AM24" s="118">
        <f t="shared" si="18"/>
        <v>0</v>
      </c>
      <c r="AN24" s="118">
        <f t="shared" si="18"/>
        <v>0</v>
      </c>
      <c r="AO24" s="118">
        <f t="shared" si="18"/>
        <v>0</v>
      </c>
      <c r="AP24" s="118">
        <f t="shared" si="18"/>
        <v>0</v>
      </c>
      <c r="AQ24" s="118">
        <f t="shared" si="18"/>
        <v>0</v>
      </c>
      <c r="AR24" s="118">
        <f t="shared" ref="AR24" si="28">+AR8-AR16</f>
        <v>0</v>
      </c>
      <c r="AS24" s="118">
        <f t="shared" si="20"/>
        <v>0</v>
      </c>
      <c r="AT24" s="118">
        <f t="shared" si="20"/>
        <v>0</v>
      </c>
    </row>
    <row r="25" spans="2:46" x14ac:dyDescent="0.2">
      <c r="B25" s="130" t="s">
        <v>558</v>
      </c>
      <c r="C25" s="118">
        <f t="shared" ref="C25:R26" si="29">+C9-C17</f>
        <v>0</v>
      </c>
      <c r="D25" s="118">
        <f t="shared" si="29"/>
        <v>0</v>
      </c>
      <c r="E25" s="118">
        <f t="shared" si="29"/>
        <v>0</v>
      </c>
      <c r="F25" s="118">
        <f t="shared" si="29"/>
        <v>0</v>
      </c>
      <c r="G25" s="118">
        <f t="shared" si="29"/>
        <v>0</v>
      </c>
      <c r="H25" s="118">
        <f t="shared" si="29"/>
        <v>0</v>
      </c>
      <c r="I25" s="118">
        <f t="shared" si="29"/>
        <v>0</v>
      </c>
      <c r="J25" s="118">
        <f t="shared" si="29"/>
        <v>0</v>
      </c>
      <c r="K25" s="118">
        <f t="shared" si="29"/>
        <v>0</v>
      </c>
      <c r="L25" s="118">
        <f t="shared" si="29"/>
        <v>0</v>
      </c>
      <c r="M25" s="118">
        <f t="shared" si="29"/>
        <v>0</v>
      </c>
      <c r="N25" s="118">
        <f t="shared" si="29"/>
        <v>0</v>
      </c>
      <c r="O25" s="118">
        <f t="shared" si="29"/>
        <v>0</v>
      </c>
      <c r="P25" s="118">
        <f t="shared" si="29"/>
        <v>0</v>
      </c>
      <c r="Q25" s="118">
        <f t="shared" si="29"/>
        <v>5733</v>
      </c>
      <c r="R25" s="118">
        <f t="shared" si="29"/>
        <v>5731</v>
      </c>
      <c r="S25" s="118">
        <v>0</v>
      </c>
      <c r="T25" s="118">
        <f t="shared" ref="T25:AJ25" si="30">+T9-T17</f>
        <v>0</v>
      </c>
      <c r="U25" s="118">
        <f t="shared" si="30"/>
        <v>0</v>
      </c>
      <c r="V25" s="118">
        <f t="shared" si="30"/>
        <v>1907</v>
      </c>
      <c r="W25" s="118">
        <f t="shared" si="30"/>
        <v>0</v>
      </c>
      <c r="X25" s="118">
        <f t="shared" si="30"/>
        <v>0</v>
      </c>
      <c r="Y25" s="118">
        <f t="shared" si="30"/>
        <v>0</v>
      </c>
      <c r="Z25" s="118">
        <f t="shared" si="30"/>
        <v>0</v>
      </c>
      <c r="AA25" s="118">
        <f t="shared" si="30"/>
        <v>0</v>
      </c>
      <c r="AB25" s="118">
        <f t="shared" si="30"/>
        <v>0</v>
      </c>
      <c r="AC25" s="118">
        <f t="shared" si="30"/>
        <v>0</v>
      </c>
      <c r="AD25" s="118">
        <f t="shared" si="30"/>
        <v>431</v>
      </c>
      <c r="AE25" s="118">
        <f t="shared" si="30"/>
        <v>179</v>
      </c>
      <c r="AF25" s="118">
        <f t="shared" si="30"/>
        <v>175</v>
      </c>
      <c r="AG25" s="118">
        <f t="shared" si="30"/>
        <v>187</v>
      </c>
      <c r="AH25" s="118">
        <f t="shared" si="30"/>
        <v>222</v>
      </c>
      <c r="AI25" s="118">
        <f t="shared" si="30"/>
        <v>238</v>
      </c>
      <c r="AJ25" s="118">
        <f t="shared" si="30"/>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1">+AR9-AR17</f>
        <v>487</v>
      </c>
      <c r="AS25" s="118">
        <f t="shared" si="20"/>
        <v>516</v>
      </c>
      <c r="AT25" s="118">
        <f t="shared" si="20"/>
        <v>737</v>
      </c>
    </row>
    <row r="26" spans="2:46" x14ac:dyDescent="0.2">
      <c r="B26" s="130" t="s">
        <v>1297</v>
      </c>
      <c r="C26" s="118">
        <f t="shared" si="29"/>
        <v>0</v>
      </c>
      <c r="D26" s="118">
        <f t="shared" si="29"/>
        <v>0</v>
      </c>
      <c r="E26" s="118">
        <f t="shared" si="29"/>
        <v>0</v>
      </c>
      <c r="F26" s="118">
        <f t="shared" si="29"/>
        <v>0</v>
      </c>
      <c r="G26" s="118">
        <f t="shared" si="29"/>
        <v>0</v>
      </c>
      <c r="H26" s="118">
        <f t="shared" si="29"/>
        <v>0</v>
      </c>
      <c r="I26" s="118">
        <f t="shared" si="29"/>
        <v>0</v>
      </c>
      <c r="J26" s="118">
        <f t="shared" si="29"/>
        <v>0</v>
      </c>
      <c r="K26" s="118">
        <f t="shared" si="29"/>
        <v>0</v>
      </c>
      <c r="L26" s="118">
        <f t="shared" si="29"/>
        <v>0</v>
      </c>
      <c r="M26" s="118">
        <f t="shared" si="29"/>
        <v>0</v>
      </c>
      <c r="N26" s="118">
        <f t="shared" si="29"/>
        <v>0</v>
      </c>
      <c r="O26" s="118">
        <f t="shared" si="29"/>
        <v>0</v>
      </c>
      <c r="P26" s="118">
        <f t="shared" si="29"/>
        <v>0</v>
      </c>
      <c r="Q26" s="118">
        <f t="shared" si="29"/>
        <v>0</v>
      </c>
      <c r="R26" s="118">
        <f t="shared" si="29"/>
        <v>0</v>
      </c>
      <c r="S26" s="118">
        <f t="shared" ref="S26:AO26" si="32">+S10-S18</f>
        <v>0</v>
      </c>
      <c r="T26" s="118">
        <f t="shared" si="32"/>
        <v>0</v>
      </c>
      <c r="U26" s="118">
        <f t="shared" si="32"/>
        <v>0</v>
      </c>
      <c r="V26" s="118">
        <f t="shared" si="32"/>
        <v>0</v>
      </c>
      <c r="W26" s="118">
        <f t="shared" si="32"/>
        <v>0</v>
      </c>
      <c r="X26" s="118">
        <f t="shared" si="32"/>
        <v>0</v>
      </c>
      <c r="Y26" s="118">
        <f t="shared" si="32"/>
        <v>0</v>
      </c>
      <c r="Z26" s="118">
        <f t="shared" si="32"/>
        <v>0</v>
      </c>
      <c r="AA26" s="118">
        <f t="shared" si="32"/>
        <v>0</v>
      </c>
      <c r="AB26" s="118">
        <f t="shared" si="32"/>
        <v>0</v>
      </c>
      <c r="AC26" s="118">
        <f t="shared" si="32"/>
        <v>0</v>
      </c>
      <c r="AD26" s="118">
        <f t="shared" si="32"/>
        <v>0</v>
      </c>
      <c r="AE26" s="118">
        <f t="shared" si="32"/>
        <v>0</v>
      </c>
      <c r="AF26" s="118">
        <f t="shared" si="32"/>
        <v>0</v>
      </c>
      <c r="AG26" s="118">
        <f t="shared" si="32"/>
        <v>0</v>
      </c>
      <c r="AH26" s="118">
        <f t="shared" si="32"/>
        <v>0</v>
      </c>
      <c r="AI26" s="118">
        <f t="shared" si="32"/>
        <v>26</v>
      </c>
      <c r="AJ26" s="118">
        <f t="shared" si="32"/>
        <v>77</v>
      </c>
      <c r="AK26" s="118">
        <f t="shared" si="32"/>
        <v>17</v>
      </c>
      <c r="AL26" s="118">
        <f t="shared" si="32"/>
        <v>72</v>
      </c>
      <c r="AM26" s="118">
        <f t="shared" si="32"/>
        <v>382</v>
      </c>
      <c r="AN26" s="118">
        <f t="shared" si="32"/>
        <v>-28</v>
      </c>
      <c r="AO26" s="118">
        <f t="shared" si="32"/>
        <v>183</v>
      </c>
      <c r="AP26" s="118">
        <f>+AP10-AP18</f>
        <v>48</v>
      </c>
      <c r="AQ26" s="118">
        <f>+AQ10-AQ18</f>
        <v>-58</v>
      </c>
      <c r="AR26" s="118">
        <f>+AR10-AR18</f>
        <v>73</v>
      </c>
      <c r="AS26" s="118">
        <f t="shared" si="20"/>
        <v>185</v>
      </c>
      <c r="AT26" s="118">
        <f t="shared" si="20"/>
        <v>69</v>
      </c>
    </row>
    <row r="27" spans="2:46" x14ac:dyDescent="0.2">
      <c r="B27" s="127" t="s">
        <v>36</v>
      </c>
      <c r="C27" s="120">
        <f t="shared" ref="C27:AN27" si="33">SUM(C22:C26)</f>
        <v>61005</v>
      </c>
      <c r="D27" s="120">
        <f t="shared" si="33"/>
        <v>46160</v>
      </c>
      <c r="E27" s="120">
        <f t="shared" si="33"/>
        <v>54464</v>
      </c>
      <c r="F27" s="120">
        <f t="shared" si="33"/>
        <v>49697</v>
      </c>
      <c r="G27" s="120">
        <f t="shared" si="33"/>
        <v>46184</v>
      </c>
      <c r="H27" s="120">
        <f t="shared" si="33"/>
        <v>52155</v>
      </c>
      <c r="I27" s="120">
        <f t="shared" si="33"/>
        <v>47354</v>
      </c>
      <c r="J27" s="120">
        <f t="shared" si="33"/>
        <v>49261</v>
      </c>
      <c r="K27" s="120">
        <f t="shared" si="33"/>
        <v>36006</v>
      </c>
      <c r="L27" s="120">
        <f t="shared" si="33"/>
        <v>36345</v>
      </c>
      <c r="M27" s="120">
        <f t="shared" si="33"/>
        <v>33748</v>
      </c>
      <c r="N27" s="120">
        <f t="shared" si="33"/>
        <v>32605</v>
      </c>
      <c r="O27" s="120">
        <f t="shared" si="33"/>
        <v>31035</v>
      </c>
      <c r="P27" s="120">
        <f t="shared" si="33"/>
        <v>31523</v>
      </c>
      <c r="Q27" s="120">
        <f t="shared" si="33"/>
        <v>37391</v>
      </c>
      <c r="R27" s="120">
        <f t="shared" si="33"/>
        <v>38579</v>
      </c>
      <c r="S27" s="120">
        <f t="shared" si="33"/>
        <v>28343</v>
      </c>
      <c r="T27" s="120">
        <f t="shared" si="33"/>
        <v>25815</v>
      </c>
      <c r="U27" s="120">
        <f t="shared" si="33"/>
        <v>26493</v>
      </c>
      <c r="V27" s="120">
        <f t="shared" si="33"/>
        <v>29838</v>
      </c>
      <c r="W27" s="120">
        <f t="shared" si="33"/>
        <v>26879</v>
      </c>
      <c r="X27" s="120">
        <f t="shared" si="33"/>
        <v>37026</v>
      </c>
      <c r="Y27" s="120">
        <f t="shared" si="33"/>
        <v>37597</v>
      </c>
      <c r="Z27" s="120">
        <f t="shared" si="33"/>
        <v>40423</v>
      </c>
      <c r="AA27" s="120">
        <f t="shared" si="33"/>
        <v>33145</v>
      </c>
      <c r="AB27" s="120">
        <f t="shared" si="33"/>
        <v>31725</v>
      </c>
      <c r="AC27" s="120">
        <f t="shared" si="33"/>
        <v>36493</v>
      </c>
      <c r="AD27" s="120">
        <f t="shared" si="33"/>
        <v>39446</v>
      </c>
      <c r="AE27" s="120">
        <f t="shared" si="33"/>
        <v>35078</v>
      </c>
      <c r="AF27" s="120">
        <f t="shared" si="33"/>
        <v>38801</v>
      </c>
      <c r="AG27" s="120">
        <f t="shared" si="33"/>
        <v>36913</v>
      </c>
      <c r="AH27" s="120">
        <f t="shared" si="33"/>
        <v>38532</v>
      </c>
      <c r="AI27" s="120">
        <f t="shared" si="33"/>
        <v>39568</v>
      </c>
      <c r="AJ27" s="120">
        <f t="shared" si="33"/>
        <v>45749</v>
      </c>
      <c r="AK27" s="120">
        <f t="shared" si="33"/>
        <v>51742</v>
      </c>
      <c r="AL27" s="120">
        <f t="shared" si="33"/>
        <v>55514</v>
      </c>
      <c r="AM27" s="120">
        <f t="shared" si="33"/>
        <v>55567</v>
      </c>
      <c r="AN27" s="120">
        <f t="shared" si="33"/>
        <v>50901</v>
      </c>
      <c r="AO27" s="120">
        <f t="shared" ref="AO27:AT27" si="34">SUM(AO22:AO26)</f>
        <v>57313</v>
      </c>
      <c r="AP27" s="120">
        <f t="shared" si="34"/>
        <v>59850</v>
      </c>
      <c r="AQ27" s="120">
        <f t="shared" si="34"/>
        <v>64397</v>
      </c>
      <c r="AR27" s="120">
        <f t="shared" si="34"/>
        <v>54597</v>
      </c>
      <c r="AS27" s="120">
        <f t="shared" si="34"/>
        <v>45256</v>
      </c>
      <c r="AT27" s="120">
        <f t="shared" si="34"/>
        <v>45185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11:AT13 AT19:AT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51">
    <pageSetUpPr autoPageBreaks="0"/>
  </sheetPr>
  <dimension ref="A1:XED203"/>
  <sheetViews>
    <sheetView showGridLines="0" zoomScaleNormal="100" workbookViewId="0">
      <pane xSplit="2" ySplit="5" topLeftCell="AI6"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5" customHeight="1" outlineLevelRow="1" x14ac:dyDescent="0.2"/>
  <cols>
    <col min="1" max="1" width="1.42578125" style="25" customWidth="1"/>
    <col min="2" max="2" width="47.7109375" style="25" bestFit="1" customWidth="1"/>
    <col min="3" max="46" width="10.7109375" style="25" customWidth="1"/>
    <col min="47" max="47" width="2.7109375" style="25" customWidth="1"/>
    <col min="48" max="48" width="8.7109375" style="25" customWidth="1"/>
    <col min="49" max="49" width="9.28515625" style="25" customWidth="1"/>
    <col min="50" max="50" width="1.7109375" style="25" customWidth="1"/>
    <col min="51" max="52" width="8.28515625" style="25" customWidth="1"/>
    <col min="53" max="53" width="1.28515625" style="25" customWidth="1"/>
    <col min="54" max="55" width="8.7109375" style="25" customWidth="1"/>
    <col min="56" max="56" width="2.7109375" style="25" customWidth="1"/>
    <col min="57" max="57" width="8.7109375" style="25" customWidth="1"/>
    <col min="58" max="58" width="9.28515625" style="25" customWidth="1"/>
    <col min="59" max="59" width="1.7109375" style="25" customWidth="1"/>
    <col min="60" max="61" width="8.28515625" style="25" customWidth="1"/>
    <col min="62" max="62" width="1.28515625" style="25" customWidth="1"/>
    <col min="63" max="64" width="8.7109375" style="25" customWidth="1"/>
    <col min="65" max="65" width="9.28515625" style="25"/>
    <col min="66" max="66" width="11.42578125" style="25" customWidth="1"/>
    <col min="67" max="67" width="11" style="25" customWidth="1"/>
    <col min="68" max="68" width="12.28515625" style="25" customWidth="1"/>
    <col min="69" max="69" width="10.28515625" style="25" customWidth="1"/>
    <col min="70" max="70" width="9.28515625" style="25"/>
    <col min="71" max="71" width="13.28515625" style="25" customWidth="1"/>
    <col min="72" max="72" width="14.5703125" style="25" customWidth="1"/>
    <col min="73" max="73" width="11.42578125" style="25" customWidth="1"/>
    <col min="74" max="74" width="12.42578125" style="25" customWidth="1"/>
    <col min="75" max="75" width="11.7109375" style="25" customWidth="1"/>
    <col min="76" max="76" width="10.7109375" style="25" customWidth="1"/>
    <col min="77" max="16384" width="9.28515625" style="25"/>
  </cols>
  <sheetData>
    <row r="1" spans="2:47 16358:16358" s="556" customFormat="1" ht="7.5" customHeight="1" x14ac:dyDescent="0.2">
      <c r="D1" s="551"/>
    </row>
    <row r="2" spans="2:47 16358:16358" s="556" customFormat="1" ht="12.75" customHeight="1" x14ac:dyDescent="0.25">
      <c r="D2" s="561"/>
    </row>
    <row r="3" spans="2:47 16358:16358" ht="12.75" customHeight="1" x14ac:dyDescent="0.2">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row>
    <row r="4" spans="2:47 16358:16358" ht="12.75" customHeight="1" x14ac:dyDescent="0.2">
      <c r="C4" s="217">
        <f t="shared" ref="C4:H4" si="0">+SUM(C11,C10,C14,C17,C21)</f>
        <v>-9847</v>
      </c>
      <c r="D4" s="217">
        <f t="shared" si="0"/>
        <v>-11943</v>
      </c>
      <c r="E4" s="217">
        <f t="shared" si="0"/>
        <v>-15471</v>
      </c>
      <c r="F4" s="217">
        <f t="shared" si="0"/>
        <v>-17751</v>
      </c>
      <c r="G4" s="217">
        <f t="shared" si="0"/>
        <v>-15773</v>
      </c>
      <c r="H4" s="217">
        <f t="shared" si="0"/>
        <v>-13166</v>
      </c>
      <c r="I4" s="217">
        <f>+SUM(I11,I14,I21)</f>
        <v>-13415</v>
      </c>
      <c r="J4" s="217">
        <f>+SUM(J11,J14,J21)</f>
        <v>-13124</v>
      </c>
      <c r="K4" s="217">
        <f>+SUM(K11,K14,K21)</f>
        <v>-12308</v>
      </c>
      <c r="L4" s="217">
        <f>+SUM(L11,L14,L21)</f>
        <v>-12501</v>
      </c>
      <c r="M4" s="217">
        <f>+SUM(M11,M14,M21)</f>
        <v>-12758</v>
      </c>
      <c r="N4" s="217">
        <v>-11783</v>
      </c>
      <c r="O4" s="217">
        <v>-8528</v>
      </c>
      <c r="P4" s="217">
        <v>-6348</v>
      </c>
      <c r="Q4" s="217">
        <f t="shared" ref="Q4:X4" si="1">+SUM(Q11,Q14,Q21)</f>
        <v>-7147</v>
      </c>
      <c r="R4" s="217">
        <f t="shared" si="1"/>
        <v>-4690</v>
      </c>
      <c r="S4" s="217">
        <f t="shared" si="1"/>
        <v>-3734</v>
      </c>
      <c r="T4" s="217">
        <f t="shared" si="1"/>
        <v>-3010</v>
      </c>
      <c r="U4" s="217">
        <f t="shared" si="1"/>
        <v>882</v>
      </c>
      <c r="V4" s="217">
        <f t="shared" si="1"/>
        <v>-4774</v>
      </c>
      <c r="W4" s="217">
        <f t="shared" si="1"/>
        <v>-1242</v>
      </c>
      <c r="X4" s="217">
        <f t="shared" si="1"/>
        <v>-4091</v>
      </c>
      <c r="Y4" s="217"/>
      <c r="Z4" s="217">
        <f t="shared" ref="Z4:AG4" si="2">+SUM(Z11,Z14,Z21)</f>
        <v>-3648</v>
      </c>
      <c r="AA4" s="217">
        <f t="shared" si="2"/>
        <v>13337</v>
      </c>
      <c r="AB4" s="217">
        <f t="shared" si="2"/>
        <v>1223</v>
      </c>
      <c r="AC4" s="217">
        <f t="shared" si="2"/>
        <v>-5763</v>
      </c>
      <c r="AD4" s="217">
        <f t="shared" si="2"/>
        <v>-2312</v>
      </c>
      <c r="AE4" s="217">
        <f t="shared" si="2"/>
        <v>-2312</v>
      </c>
      <c r="AF4" s="217">
        <f t="shared" si="2"/>
        <v>-2177</v>
      </c>
      <c r="AG4" s="217">
        <f t="shared" si="2"/>
        <v>-2577</v>
      </c>
      <c r="AH4" s="217"/>
      <c r="AI4" s="217"/>
      <c r="AJ4" s="217">
        <f t="shared" ref="AJ4:AQ4" si="3">+SUM(AJ11,AJ14,AJ21)</f>
        <v>-2320</v>
      </c>
      <c r="AK4" s="217">
        <f t="shared" si="3"/>
        <v>-2564</v>
      </c>
      <c r="AL4" s="217">
        <f t="shared" si="3"/>
        <v>-2739</v>
      </c>
      <c r="AM4" s="217">
        <f t="shared" si="3"/>
        <v>-3682</v>
      </c>
      <c r="AN4" s="217">
        <f t="shared" si="3"/>
        <v>-3293</v>
      </c>
      <c r="AO4" s="217">
        <f t="shared" si="3"/>
        <v>-2518</v>
      </c>
      <c r="AP4" s="217">
        <f t="shared" si="3"/>
        <v>-3127</v>
      </c>
      <c r="AQ4" s="217">
        <f t="shared" si="3"/>
        <v>-3111</v>
      </c>
      <c r="AR4" s="217"/>
      <c r="AS4" s="217"/>
      <c r="AT4" s="217">
        <f>+SUM(AT11,AT14,AT21)</f>
        <v>-3186</v>
      </c>
      <c r="XED4" s="209"/>
    </row>
    <row r="5" spans="2:47 16358:16358" ht="14.25" x14ac:dyDescent="0.2">
      <c r="B5" s="115" t="s">
        <v>391</v>
      </c>
      <c r="C5" s="115" t="s">
        <v>471</v>
      </c>
      <c r="D5" s="115" t="s">
        <v>472</v>
      </c>
      <c r="E5" s="115" t="s">
        <v>473</v>
      </c>
      <c r="F5" s="115" t="s">
        <v>474</v>
      </c>
      <c r="G5" s="115" t="s">
        <v>475</v>
      </c>
      <c r="H5" s="115" t="s">
        <v>476</v>
      </c>
      <c r="I5" s="146" t="s">
        <v>477</v>
      </c>
      <c r="J5" s="146" t="s">
        <v>478</v>
      </c>
      <c r="K5" s="146" t="s">
        <v>479</v>
      </c>
      <c r="L5" s="146" t="s">
        <v>371</v>
      </c>
      <c r="M5" s="146" t="s">
        <v>372</v>
      </c>
      <c r="N5" s="146" t="s">
        <v>373</v>
      </c>
      <c r="O5" s="146" t="s">
        <v>374</v>
      </c>
      <c r="P5" s="146" t="s">
        <v>375</v>
      </c>
      <c r="Q5" s="146" t="s">
        <v>376</v>
      </c>
      <c r="R5" s="146" t="s">
        <v>694</v>
      </c>
      <c r="S5" s="146" t="s">
        <v>758</v>
      </c>
      <c r="T5" s="146" t="s">
        <v>771</v>
      </c>
      <c r="U5" s="146" t="s">
        <v>788</v>
      </c>
      <c r="V5" s="146" t="s">
        <v>844</v>
      </c>
      <c r="W5" s="146" t="s">
        <v>862</v>
      </c>
      <c r="X5" s="146" t="s">
        <v>922</v>
      </c>
      <c r="Y5" s="146" t="s">
        <v>923</v>
      </c>
      <c r="Z5" s="146" t="s">
        <v>924</v>
      </c>
      <c r="AA5" s="146" t="s">
        <v>995</v>
      </c>
      <c r="AB5" s="146" t="s">
        <v>1027</v>
      </c>
      <c r="AC5" s="146" t="s">
        <v>1028</v>
      </c>
      <c r="AD5" s="146" t="s">
        <v>993</v>
      </c>
      <c r="AE5" s="146" t="s">
        <v>1124</v>
      </c>
      <c r="AF5" s="146" t="s">
        <v>1125</v>
      </c>
      <c r="AG5" s="146" t="s">
        <v>1126</v>
      </c>
      <c r="AH5" s="146" t="s">
        <v>1127</v>
      </c>
      <c r="AI5" s="146" t="s">
        <v>1181</v>
      </c>
      <c r="AJ5" s="146" t="s">
        <v>1189</v>
      </c>
      <c r="AK5" s="146" t="s">
        <v>1191</v>
      </c>
      <c r="AL5" s="146" t="s">
        <v>1193</v>
      </c>
      <c r="AM5" s="146" t="s">
        <v>1232</v>
      </c>
      <c r="AN5" s="146" t="s">
        <v>1245</v>
      </c>
      <c r="AO5" s="146" t="s">
        <v>1247</v>
      </c>
      <c r="AP5" s="146" t="s">
        <v>1249</v>
      </c>
      <c r="AQ5" s="146" t="s">
        <v>1306</v>
      </c>
      <c r="AR5" s="146" t="s">
        <v>1316</v>
      </c>
      <c r="AS5" s="146" t="s">
        <v>1317</v>
      </c>
      <c r="AT5" s="146" t="s">
        <v>1318</v>
      </c>
    </row>
    <row r="6" spans="2:47 16358:16358" ht="15" customHeight="1" x14ac:dyDescent="0.2">
      <c r="B6" s="130" t="s">
        <v>865</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2">
        <v>1457</v>
      </c>
      <c r="AA6" s="322">
        <v>1269</v>
      </c>
      <c r="AB6" s="322">
        <v>2012</v>
      </c>
      <c r="AC6" s="322">
        <v>1345</v>
      </c>
      <c r="AD6" s="322">
        <v>1286</v>
      </c>
      <c r="AE6" s="322">
        <v>1353</v>
      </c>
      <c r="AF6" s="322">
        <v>2018</v>
      </c>
      <c r="AG6" s="322">
        <v>2973</v>
      </c>
      <c r="AH6" s="322">
        <v>3438</v>
      </c>
      <c r="AI6" s="322">
        <v>4952</v>
      </c>
      <c r="AJ6" s="322">
        <v>3689</v>
      </c>
      <c r="AK6" s="322">
        <v>3916</v>
      </c>
      <c r="AL6" s="322">
        <v>5075</v>
      </c>
      <c r="AM6" s="322">
        <v>7197</v>
      </c>
      <c r="AN6" s="322">
        <v>7077</v>
      </c>
      <c r="AO6" s="322">
        <v>7258</v>
      </c>
      <c r="AP6" s="322">
        <v>7758</v>
      </c>
      <c r="AQ6" s="322">
        <v>7489</v>
      </c>
      <c r="AR6" s="322">
        <v>7313</v>
      </c>
      <c r="AS6" s="322">
        <v>6938</v>
      </c>
      <c r="AT6" s="322">
        <v>7133</v>
      </c>
    </row>
    <row r="7" spans="2:47 16358:16358" ht="15" customHeight="1" x14ac:dyDescent="0.2">
      <c r="B7" s="130" t="s">
        <v>579</v>
      </c>
      <c r="C7" s="118">
        <v>58</v>
      </c>
      <c r="D7" s="118">
        <v>63</v>
      </c>
      <c r="E7" s="118">
        <v>1832</v>
      </c>
      <c r="F7" s="118">
        <v>2925</v>
      </c>
      <c r="G7" s="118">
        <v>1942</v>
      </c>
      <c r="H7" s="118">
        <v>3171</v>
      </c>
      <c r="I7" s="118">
        <v>203</v>
      </c>
      <c r="J7" s="118">
        <v>954</v>
      </c>
      <c r="K7" s="118">
        <v>466</v>
      </c>
      <c r="L7" s="118">
        <v>142</v>
      </c>
      <c r="M7" s="118">
        <v>168</v>
      </c>
      <c r="N7" s="118">
        <v>1357</v>
      </c>
      <c r="O7" s="118">
        <v>350</v>
      </c>
      <c r="P7" s="262">
        <v>8100</v>
      </c>
      <c r="Q7" s="118">
        <v>1155</v>
      </c>
      <c r="R7" s="262">
        <v>11064</v>
      </c>
      <c r="S7" s="118">
        <v>181</v>
      </c>
      <c r="T7" s="118">
        <v>1067</v>
      </c>
      <c r="U7" s="118">
        <v>134</v>
      </c>
      <c r="V7" s="118">
        <v>731</v>
      </c>
      <c r="W7" s="118">
        <v>1391</v>
      </c>
      <c r="X7" s="118">
        <v>447</v>
      </c>
      <c r="Y7" s="262">
        <v>35329</v>
      </c>
      <c r="Z7" s="322">
        <v>1115</v>
      </c>
      <c r="AA7" s="322">
        <v>616</v>
      </c>
      <c r="AB7" s="322">
        <v>399</v>
      </c>
      <c r="AC7" s="322">
        <v>255</v>
      </c>
      <c r="AD7" s="322">
        <v>581</v>
      </c>
      <c r="AE7" s="322">
        <v>170</v>
      </c>
      <c r="AF7" s="262">
        <v>3685</v>
      </c>
      <c r="AG7" s="118">
        <v>478</v>
      </c>
      <c r="AH7" s="118">
        <v>594</v>
      </c>
      <c r="AI7" s="118">
        <v>565</v>
      </c>
      <c r="AJ7" s="118">
        <v>1776</v>
      </c>
      <c r="AK7" s="118">
        <v>899</v>
      </c>
      <c r="AL7" s="262">
        <v>6234</v>
      </c>
      <c r="AM7" s="118">
        <v>736</v>
      </c>
      <c r="AN7" s="262">
        <v>3071</v>
      </c>
      <c r="AO7" s="262">
        <v>1185</v>
      </c>
      <c r="AP7" s="322">
        <v>1112</v>
      </c>
      <c r="AQ7" s="322">
        <v>938</v>
      </c>
      <c r="AR7" s="262">
        <v>3034</v>
      </c>
      <c r="AS7" s="262">
        <v>630</v>
      </c>
      <c r="AT7" s="322">
        <v>158</v>
      </c>
    </row>
    <row r="8" spans="2:47 16358:16358" s="249" customFormat="1" ht="15" customHeight="1" x14ac:dyDescent="0.2">
      <c r="B8" s="130" t="s">
        <v>1186</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2">
        <v>29</v>
      </c>
      <c r="AP8" s="322">
        <v>509</v>
      </c>
      <c r="AQ8" s="322">
        <v>178</v>
      </c>
      <c r="AR8" s="322">
        <v>170</v>
      </c>
      <c r="AS8" s="322">
        <v>177</v>
      </c>
      <c r="AT8" s="322">
        <v>659</v>
      </c>
    </row>
    <row r="9" spans="2:47 16358:16358" s="249" customFormat="1" ht="17.25" customHeight="1" x14ac:dyDescent="0.2">
      <c r="B9" s="130" t="s">
        <v>1298</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2">
        <v>71</v>
      </c>
      <c r="AP9" s="322">
        <v>2</v>
      </c>
      <c r="AQ9" s="322">
        <v>56</v>
      </c>
      <c r="AR9" s="322">
        <v>1</v>
      </c>
      <c r="AS9" s="322">
        <v>1</v>
      </c>
      <c r="AT9" s="322">
        <v>13</v>
      </c>
    </row>
    <row r="10" spans="2:47 16358:16358" s="249" customFormat="1" ht="17.25" customHeight="1" x14ac:dyDescent="0.2">
      <c r="B10" s="130" t="s">
        <v>580</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2">
        <v>0</v>
      </c>
      <c r="AP10" s="322">
        <v>0</v>
      </c>
      <c r="AQ10" s="322">
        <v>0</v>
      </c>
      <c r="AR10" s="322">
        <v>0</v>
      </c>
      <c r="AS10" s="322">
        <v>115</v>
      </c>
      <c r="AT10" s="322">
        <v>284</v>
      </c>
    </row>
    <row r="11" spans="2:47 16358:16358" s="249" customFormat="1" ht="15" customHeight="1" outlineLevel="1" x14ac:dyDescent="0.2">
      <c r="B11" s="250" t="s">
        <v>581</v>
      </c>
      <c r="C11" s="219">
        <v>0</v>
      </c>
      <c r="D11" s="219">
        <v>0</v>
      </c>
      <c r="E11" s="219">
        <v>9154</v>
      </c>
      <c r="F11" s="219">
        <v>0</v>
      </c>
      <c r="G11" s="219">
        <v>0</v>
      </c>
      <c r="H11" s="219">
        <v>1193</v>
      </c>
      <c r="I11" s="219">
        <v>0</v>
      </c>
      <c r="J11" s="219">
        <v>0</v>
      </c>
      <c r="K11" s="219">
        <v>0</v>
      </c>
      <c r="L11" s="219">
        <v>0</v>
      </c>
      <c r="M11" s="219">
        <v>0</v>
      </c>
      <c r="N11" s="219">
        <v>0</v>
      </c>
      <c r="O11" s="219">
        <v>0</v>
      </c>
      <c r="P11" s="219">
        <v>0</v>
      </c>
      <c r="Q11" s="219">
        <v>0</v>
      </c>
      <c r="R11" s="219">
        <v>0</v>
      </c>
      <c r="S11" s="219">
        <v>0</v>
      </c>
      <c r="T11" s="219">
        <v>0</v>
      </c>
      <c r="U11" s="219">
        <v>3735</v>
      </c>
      <c r="V11" s="219">
        <v>0</v>
      </c>
      <c r="W11" s="219">
        <v>1028</v>
      </c>
      <c r="X11" s="219">
        <v>-1028</v>
      </c>
      <c r="Y11" s="219">
        <v>3208</v>
      </c>
      <c r="Z11" s="219">
        <v>-1546</v>
      </c>
      <c r="AA11" s="219">
        <v>15165</v>
      </c>
      <c r="AB11" s="219">
        <v>4243</v>
      </c>
      <c r="AC11" s="219">
        <v>-3089</v>
      </c>
      <c r="AD11" s="219">
        <v>0</v>
      </c>
      <c r="AE11" s="219">
        <v>0</v>
      </c>
      <c r="AF11" s="219">
        <v>0</v>
      </c>
      <c r="AG11" s="219">
        <v>0</v>
      </c>
      <c r="AH11" s="219">
        <v>0</v>
      </c>
      <c r="AI11" s="219">
        <v>0</v>
      </c>
      <c r="AJ11" s="219">
        <v>0</v>
      </c>
      <c r="AK11" s="219">
        <v>0</v>
      </c>
      <c r="AL11" s="219">
        <v>0</v>
      </c>
      <c r="AM11" s="219">
        <v>0</v>
      </c>
      <c r="AN11" s="219">
        <v>0</v>
      </c>
      <c r="AO11" s="219">
        <v>0</v>
      </c>
      <c r="AP11" s="219">
        <v>0</v>
      </c>
      <c r="AQ11" s="219">
        <v>0</v>
      </c>
      <c r="AR11" s="219">
        <v>0</v>
      </c>
      <c r="AS11" s="219">
        <v>0</v>
      </c>
      <c r="AT11" s="219">
        <v>0</v>
      </c>
    </row>
    <row r="12" spans="2:47 16358:16358" s="249" customFormat="1" ht="15" customHeight="1" outlineLevel="1" x14ac:dyDescent="0.2">
      <c r="B12" s="250" t="s">
        <v>741</v>
      </c>
      <c r="C12" s="219">
        <v>0</v>
      </c>
      <c r="D12" s="219">
        <v>0</v>
      </c>
      <c r="E12" s="219">
        <v>0</v>
      </c>
      <c r="F12" s="219">
        <v>0</v>
      </c>
      <c r="G12" s="219">
        <v>0</v>
      </c>
      <c r="H12" s="219">
        <v>0</v>
      </c>
      <c r="I12" s="219">
        <v>0</v>
      </c>
      <c r="J12" s="219">
        <v>0</v>
      </c>
      <c r="K12" s="219">
        <v>0</v>
      </c>
      <c r="L12" s="219">
        <v>0</v>
      </c>
      <c r="M12" s="219">
        <v>0</v>
      </c>
      <c r="N12" s="219">
        <v>0</v>
      </c>
      <c r="O12" s="219">
        <v>0</v>
      </c>
      <c r="P12" s="219">
        <v>0</v>
      </c>
      <c r="Q12" s="219">
        <v>0</v>
      </c>
      <c r="R12" s="219">
        <v>0</v>
      </c>
      <c r="S12" s="219">
        <v>0</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v>0</v>
      </c>
      <c r="AJ12" s="219">
        <v>0</v>
      </c>
      <c r="AK12" s="219">
        <v>0</v>
      </c>
      <c r="AL12" s="219">
        <v>0</v>
      </c>
      <c r="AM12" s="219">
        <v>0</v>
      </c>
      <c r="AN12" s="219">
        <v>0</v>
      </c>
      <c r="AO12" s="219">
        <v>0</v>
      </c>
      <c r="AP12" s="219">
        <v>0</v>
      </c>
      <c r="AQ12" s="219">
        <v>0</v>
      </c>
      <c r="AR12" s="219">
        <v>0</v>
      </c>
      <c r="AS12" s="219">
        <v>0</v>
      </c>
      <c r="AT12" s="219">
        <v>0</v>
      </c>
    </row>
    <row r="13" spans="2:47 16358:16358" ht="15" customHeight="1" x14ac:dyDescent="0.2">
      <c r="B13" s="127" t="s">
        <v>582</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T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row>
    <row r="14" spans="2:47 16358:16358" ht="15" customHeight="1" x14ac:dyDescent="0.2">
      <c r="B14" s="130" t="s">
        <v>583</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row>
    <row r="15" spans="2:47 16358:16358" ht="15" customHeight="1" x14ac:dyDescent="0.2">
      <c r="B15" s="130" t="s">
        <v>584</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row>
    <row r="16" spans="2:47 16358:16358" ht="15" customHeight="1" x14ac:dyDescent="0.2">
      <c r="B16" s="130" t="s">
        <v>866</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row>
    <row r="17" spans="1:46" ht="15" customHeight="1" x14ac:dyDescent="0.2">
      <c r="B17" s="321" t="s">
        <v>585</v>
      </c>
      <c r="C17" s="322">
        <v>0</v>
      </c>
      <c r="D17" s="322">
        <v>0</v>
      </c>
      <c r="E17" s="322">
        <v>-12358</v>
      </c>
      <c r="F17" s="322">
        <v>-201</v>
      </c>
      <c r="G17" s="322">
        <v>-244</v>
      </c>
      <c r="H17" s="322">
        <v>-294</v>
      </c>
      <c r="I17" s="322">
        <v>0</v>
      </c>
      <c r="J17" s="322">
        <v>-81</v>
      </c>
      <c r="K17" s="322">
        <v>-376</v>
      </c>
      <c r="L17" s="322">
        <v>-180</v>
      </c>
      <c r="M17" s="322">
        <v>-89</v>
      </c>
      <c r="N17" s="322">
        <v>0</v>
      </c>
      <c r="O17" s="322">
        <v>-36</v>
      </c>
      <c r="P17" s="322">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row>
    <row r="18" spans="1:46" ht="15" customHeight="1" x14ac:dyDescent="0.2">
      <c r="B18" s="130" t="s">
        <v>586</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2">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row>
    <row r="19" spans="1:46" ht="15" customHeight="1" x14ac:dyDescent="0.2">
      <c r="A19" s="249"/>
      <c r="B19" s="321" t="s">
        <v>1186</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row>
    <row r="20" spans="1:46" ht="15" customHeight="1" x14ac:dyDescent="0.2">
      <c r="B20" s="130" t="s">
        <v>588</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2">
        <v>-1810</v>
      </c>
      <c r="Z20" s="322">
        <v>-185</v>
      </c>
      <c r="AA20" s="322">
        <v>-158</v>
      </c>
      <c r="AB20" s="322">
        <v>-276</v>
      </c>
      <c r="AC20" s="322">
        <v>-96</v>
      </c>
      <c r="AD20" s="322">
        <v>-89</v>
      </c>
      <c r="AE20" s="322">
        <v>-71</v>
      </c>
      <c r="AF20" s="322">
        <v>-259</v>
      </c>
      <c r="AG20" s="322">
        <v>-136</v>
      </c>
      <c r="AH20" s="322">
        <v>-244</v>
      </c>
      <c r="AI20" s="322">
        <v>-286</v>
      </c>
      <c r="AJ20" s="322">
        <v>-1180</v>
      </c>
      <c r="AK20" s="322">
        <v>-282</v>
      </c>
      <c r="AL20" s="322">
        <v>-548</v>
      </c>
      <c r="AM20" s="322">
        <v>-381</v>
      </c>
      <c r="AN20" s="322">
        <v>-504</v>
      </c>
      <c r="AO20" s="118">
        <v>-419</v>
      </c>
      <c r="AP20" s="118">
        <v>-391</v>
      </c>
      <c r="AQ20" s="118">
        <v>-363</v>
      </c>
      <c r="AR20" s="118">
        <v>-468</v>
      </c>
      <c r="AS20" s="118">
        <v>-410</v>
      </c>
      <c r="AT20" s="118">
        <v>-344</v>
      </c>
    </row>
    <row r="21" spans="1:46" s="249" customFormat="1" ht="15" hidden="1" customHeight="1" outlineLevel="1" x14ac:dyDescent="0.2">
      <c r="B21" s="250" t="s">
        <v>587</v>
      </c>
      <c r="C21" s="219">
        <v>-3215</v>
      </c>
      <c r="D21" s="219">
        <v>-2761</v>
      </c>
      <c r="E21" s="219">
        <v>0</v>
      </c>
      <c r="F21" s="219">
        <v>-2558</v>
      </c>
      <c r="G21" s="219">
        <v>-484</v>
      </c>
      <c r="H21" s="219">
        <v>0</v>
      </c>
      <c r="I21" s="219">
        <v>0</v>
      </c>
      <c r="J21" s="219">
        <v>0</v>
      </c>
      <c r="K21" s="219">
        <v>0</v>
      </c>
      <c r="L21" s="219">
        <v>0</v>
      </c>
      <c r="M21" s="219">
        <v>0</v>
      </c>
      <c r="N21" s="219">
        <v>0</v>
      </c>
      <c r="O21" s="219">
        <v>0</v>
      </c>
      <c r="P21" s="219">
        <v>0</v>
      </c>
      <c r="Q21" s="219">
        <v>0</v>
      </c>
      <c r="R21" s="219">
        <v>0</v>
      </c>
      <c r="S21" s="219">
        <v>0</v>
      </c>
      <c r="T21" s="219">
        <v>0</v>
      </c>
      <c r="U21" s="219">
        <v>0</v>
      </c>
      <c r="V21" s="219">
        <v>-2034</v>
      </c>
      <c r="W21" s="219">
        <v>0</v>
      </c>
      <c r="X21" s="219">
        <v>-641</v>
      </c>
      <c r="Y21" s="219">
        <v>641</v>
      </c>
      <c r="Z21" s="219">
        <v>0</v>
      </c>
      <c r="AA21" s="219">
        <v>0</v>
      </c>
      <c r="AB21" s="219">
        <v>0</v>
      </c>
      <c r="AC21" s="219">
        <v>0</v>
      </c>
      <c r="AD21" s="219">
        <v>0</v>
      </c>
      <c r="AE21" s="219">
        <v>0</v>
      </c>
      <c r="AF21" s="219">
        <v>0</v>
      </c>
      <c r="AG21" s="219">
        <v>0</v>
      </c>
      <c r="AH21" s="219">
        <v>0</v>
      </c>
      <c r="AI21" s="219">
        <v>0</v>
      </c>
      <c r="AJ21" s="219">
        <v>0</v>
      </c>
      <c r="AK21" s="219">
        <v>0</v>
      </c>
      <c r="AL21" s="219">
        <v>0</v>
      </c>
      <c r="AM21" s="219">
        <v>0</v>
      </c>
      <c r="AN21" s="219">
        <v>0</v>
      </c>
      <c r="AO21" s="219">
        <v>0</v>
      </c>
      <c r="AP21" s="219">
        <v>0</v>
      </c>
      <c r="AQ21" s="219">
        <v>0</v>
      </c>
      <c r="AR21" s="219"/>
      <c r="AS21" s="219"/>
      <c r="AT21" s="219">
        <v>0</v>
      </c>
    </row>
    <row r="22" spans="1:46" s="249" customFormat="1" ht="15" hidden="1" customHeight="1" outlineLevel="1" x14ac:dyDescent="0.2">
      <c r="B22" s="250" t="s">
        <v>742</v>
      </c>
      <c r="C22" s="219">
        <v>0</v>
      </c>
      <c r="D22" s="219">
        <v>0</v>
      </c>
      <c r="E22" s="219">
        <v>0</v>
      </c>
      <c r="F22" s="219">
        <v>0</v>
      </c>
      <c r="G22" s="219">
        <v>0</v>
      </c>
      <c r="H22" s="219">
        <v>0</v>
      </c>
      <c r="I22" s="219">
        <v>0</v>
      </c>
      <c r="J22" s="219">
        <v>0</v>
      </c>
      <c r="K22" s="219">
        <v>0</v>
      </c>
      <c r="L22" s="219">
        <v>0</v>
      </c>
      <c r="M22" s="219">
        <v>0</v>
      </c>
      <c r="N22" s="219">
        <v>0</v>
      </c>
      <c r="O22" s="219">
        <v>0</v>
      </c>
      <c r="P22" s="219">
        <v>0</v>
      </c>
      <c r="Q22" s="219">
        <v>0</v>
      </c>
      <c r="R22" s="219">
        <v>-186</v>
      </c>
      <c r="S22" s="219">
        <v>0</v>
      </c>
      <c r="T22" s="219">
        <v>0</v>
      </c>
      <c r="U22" s="219">
        <v>0</v>
      </c>
      <c r="V22" s="219">
        <v>0</v>
      </c>
      <c r="W22" s="219">
        <v>0</v>
      </c>
      <c r="X22" s="219"/>
      <c r="Y22" s="219">
        <v>0</v>
      </c>
      <c r="Z22" s="219">
        <v>0</v>
      </c>
      <c r="AA22" s="219">
        <v>0</v>
      </c>
      <c r="AB22" s="219">
        <v>0</v>
      </c>
      <c r="AC22" s="219">
        <v>0</v>
      </c>
      <c r="AD22" s="219">
        <v>0</v>
      </c>
      <c r="AE22" s="219">
        <v>0</v>
      </c>
      <c r="AF22" s="219">
        <v>0</v>
      </c>
      <c r="AG22" s="219">
        <v>0</v>
      </c>
      <c r="AH22" s="219"/>
      <c r="AI22" s="219">
        <v>0</v>
      </c>
      <c r="AJ22" s="219">
        <v>0</v>
      </c>
      <c r="AK22" s="219">
        <v>0</v>
      </c>
      <c r="AL22" s="219">
        <v>0</v>
      </c>
      <c r="AM22" s="219">
        <v>0</v>
      </c>
      <c r="AN22" s="219">
        <v>0</v>
      </c>
      <c r="AO22" s="219">
        <v>0</v>
      </c>
      <c r="AP22" s="219">
        <v>0</v>
      </c>
      <c r="AQ22" s="219">
        <v>0</v>
      </c>
      <c r="AR22" s="219"/>
      <c r="AS22" s="219"/>
      <c r="AT22" s="219">
        <v>0</v>
      </c>
    </row>
    <row r="23" spans="1:46" ht="15" customHeight="1" collapsed="1" x14ac:dyDescent="0.2">
      <c r="B23" s="127" t="s">
        <v>589</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T23" si="8">SUM(AR14:AR20)</f>
        <v>-6460</v>
      </c>
      <c r="AS23" s="120">
        <f t="shared" si="8"/>
        <v>-6644</v>
      </c>
      <c r="AT23" s="120">
        <f t="shared" si="8"/>
        <v>-6786</v>
      </c>
    </row>
    <row r="24" spans="1:46" ht="15" customHeight="1" x14ac:dyDescent="0.2">
      <c r="B24" s="127" t="s">
        <v>590</v>
      </c>
      <c r="C24" s="120">
        <f t="shared" ref="C24:AJ24" si="9">C23+C13</f>
        <v>-6096</v>
      </c>
      <c r="D24" s="120">
        <f t="shared" si="9"/>
        <v>-8050</v>
      </c>
      <c r="E24" s="120">
        <f t="shared" si="9"/>
        <v>-10474</v>
      </c>
      <c r="F24" s="120">
        <f t="shared" si="9"/>
        <v>-14224</v>
      </c>
      <c r="G24" s="120">
        <f t="shared" si="9"/>
        <v>-7678</v>
      </c>
      <c r="H24" s="120">
        <f t="shared" si="9"/>
        <v>-5199</v>
      </c>
      <c r="I24" s="120">
        <f t="shared" si="9"/>
        <v>-8493</v>
      </c>
      <c r="J24" s="120">
        <f t="shared" si="9"/>
        <v>-11585</v>
      </c>
      <c r="K24" s="120">
        <f t="shared" si="9"/>
        <v>-8795</v>
      </c>
      <c r="L24" s="120">
        <f t="shared" si="9"/>
        <v>-6205</v>
      </c>
      <c r="M24" s="120">
        <f t="shared" si="9"/>
        <v>-11073</v>
      </c>
      <c r="N24" s="120">
        <f t="shared" si="9"/>
        <v>-3804</v>
      </c>
      <c r="O24" s="120">
        <f t="shared" si="9"/>
        <v>-4287</v>
      </c>
      <c r="P24" s="120">
        <f t="shared" si="9"/>
        <v>3567</v>
      </c>
      <c r="Q24" s="120">
        <f t="shared" si="9"/>
        <v>-3114</v>
      </c>
      <c r="R24" s="120">
        <f t="shared" si="9"/>
        <v>8713</v>
      </c>
      <c r="S24" s="120">
        <f t="shared" si="9"/>
        <v>-1889</v>
      </c>
      <c r="T24" s="120">
        <f t="shared" si="9"/>
        <v>-826</v>
      </c>
      <c r="U24" s="120">
        <f t="shared" si="9"/>
        <v>-4991</v>
      </c>
      <c r="V24" s="120">
        <f t="shared" si="9"/>
        <v>-1414</v>
      </c>
      <c r="W24" s="120">
        <f t="shared" si="9"/>
        <v>-1898</v>
      </c>
      <c r="X24" s="120">
        <f t="shared" si="9"/>
        <v>-2688</v>
      </c>
      <c r="Y24" s="120">
        <f t="shared" si="9"/>
        <v>30529</v>
      </c>
      <c r="Z24" s="120">
        <f t="shared" si="9"/>
        <v>-3246</v>
      </c>
      <c r="AA24" s="120">
        <f t="shared" si="9"/>
        <v>-2007</v>
      </c>
      <c r="AB24" s="120">
        <f t="shared" si="9"/>
        <v>-2213</v>
      </c>
      <c r="AC24" s="120">
        <f t="shared" si="9"/>
        <v>-2785</v>
      </c>
      <c r="AD24" s="120">
        <f t="shared" si="9"/>
        <v>-2152</v>
      </c>
      <c r="AE24" s="120">
        <f t="shared" si="9"/>
        <v>-2894</v>
      </c>
      <c r="AF24" s="120">
        <f t="shared" si="9"/>
        <v>1720</v>
      </c>
      <c r="AG24" s="120">
        <f t="shared" si="9"/>
        <v>-896</v>
      </c>
      <c r="AH24" s="120">
        <f t="shared" si="9"/>
        <v>-953</v>
      </c>
      <c r="AI24" s="120">
        <f t="shared" si="9"/>
        <v>-541</v>
      </c>
      <c r="AJ24" s="120">
        <f t="shared" si="9"/>
        <v>164</v>
      </c>
      <c r="AK24" s="120">
        <f t="shared" ref="AK24:AQ24" si="10">AK23+AK13</f>
        <v>-53</v>
      </c>
      <c r="AL24" s="120">
        <f t="shared" si="10"/>
        <v>7143</v>
      </c>
      <c r="AM24" s="120">
        <f t="shared" si="10"/>
        <v>1279</v>
      </c>
      <c r="AN24" s="120">
        <f t="shared" si="10"/>
        <v>2933</v>
      </c>
      <c r="AO24" s="120">
        <f t="shared" si="10"/>
        <v>2517</v>
      </c>
      <c r="AP24" s="120">
        <f t="shared" si="10"/>
        <v>2210</v>
      </c>
      <c r="AQ24" s="120">
        <f t="shared" si="10"/>
        <v>2039</v>
      </c>
      <c r="AR24" s="120">
        <f t="shared" ref="AR24:AT24" si="11">AR23+AR13</f>
        <v>4058</v>
      </c>
      <c r="AS24" s="120">
        <f t="shared" si="11"/>
        <v>1217</v>
      </c>
      <c r="AT24" s="120">
        <f t="shared" si="11"/>
        <v>1461</v>
      </c>
    </row>
    <row r="25" spans="1:46" ht="15" customHeight="1" x14ac:dyDescent="0.2">
      <c r="B25" s="181"/>
      <c r="C25" s="784"/>
      <c r="D25" s="784"/>
      <c r="E25" s="784"/>
      <c r="F25" s="784"/>
      <c r="G25" s="784"/>
      <c r="H25" s="784"/>
      <c r="I25" s="784"/>
      <c r="J25" s="784"/>
      <c r="K25" s="784"/>
      <c r="L25" s="784"/>
      <c r="M25" s="784"/>
      <c r="N25" s="784"/>
      <c r="O25" s="784"/>
      <c r="P25" s="783"/>
      <c r="Q25" s="783"/>
      <c r="R25" s="849">
        <f>+IncS!AE21-R24</f>
        <v>3904.6183699999983</v>
      </c>
      <c r="S25" s="849">
        <f>+IncS!AF21-S24</f>
        <v>-0.45195000000057917</v>
      </c>
      <c r="T25" s="849">
        <f>+IncS!AG21-T24</f>
        <v>0.74929999999994834</v>
      </c>
      <c r="U25" s="849">
        <f>+IncS!AH21-U24</f>
        <v>-0.25160999999934575</v>
      </c>
      <c r="V25" s="849">
        <f>+IncS!AI21-V24</f>
        <v>0.14075000000048021</v>
      </c>
      <c r="W25" s="849">
        <f>+IncS!AJ21-W24</f>
        <v>0</v>
      </c>
      <c r="X25" s="849">
        <f>+IncS!AK21-X24</f>
        <v>0</v>
      </c>
      <c r="Y25" s="849">
        <f>+IncS!AL21-Y24</f>
        <v>0</v>
      </c>
      <c r="Z25" s="849">
        <f>+IncS!AM21-Z24</f>
        <v>0.45946999999978289</v>
      </c>
      <c r="AA25" s="849">
        <f>+IncS!AN21-AA24</f>
        <v>-0.30313999999998487</v>
      </c>
      <c r="AB25" s="849">
        <f>+IncS!AO21-AB24</f>
        <v>0.25329000000238011</v>
      </c>
      <c r="AC25" s="849">
        <f>+IncS!AP21-AC24</f>
        <v>0.11339000000043598</v>
      </c>
      <c r="AD25" s="849">
        <f>+IncS!AQ21-AD24</f>
        <v>-3.1480000000556174E-2</v>
      </c>
      <c r="AE25" s="849">
        <f>+IncS!AR21-AE24</f>
        <v>0.47916000000032</v>
      </c>
      <c r="AF25" s="849">
        <f>+IncS!AS21-AF24</f>
        <v>-0.42277999999987514</v>
      </c>
      <c r="AG25" s="849">
        <f>+IncS!AT21-AG24</f>
        <v>-9.4010000000253058E-2</v>
      </c>
      <c r="AH25" s="849">
        <f>+IncS!AU21-AH24</f>
        <v>0.62840999999934866</v>
      </c>
      <c r="AI25" s="849">
        <v>9.0949470177292824E-13</v>
      </c>
      <c r="AJ25" s="849">
        <f>+IncS!AW21-AJ24</f>
        <v>0.84838000000036118</v>
      </c>
      <c r="AK25" s="849">
        <f>+IncS!AX21-AK24</f>
        <v>0.20974000000114756</v>
      </c>
      <c r="AL25" s="849">
        <f>+IncS!AY21-AL24</f>
        <v>0.27959999999984575</v>
      </c>
      <c r="AM25" s="849">
        <f>+IncS!AZ21-AM24</f>
        <v>0.28911000000061904</v>
      </c>
      <c r="AN25" s="849">
        <f>+IncS!BA21-AN24</f>
        <v>2.794999999787251E-2</v>
      </c>
      <c r="AO25" s="849">
        <f>+IncS!BB21-AO24</f>
        <v>0.94306999999844265</v>
      </c>
      <c r="AP25" s="849">
        <f>+IncS!BC21-AP24</f>
        <v>-1.4882100000004357</v>
      </c>
      <c r="AQ25" s="849">
        <f>+IncS!BD21-AQ24</f>
        <v>0.73438000000078318</v>
      </c>
      <c r="AR25" s="849">
        <f>+IncS!BE21-AR24</f>
        <v>-1.4396699999997509</v>
      </c>
      <c r="AS25" s="849">
        <f>+IncS!BF21-AS24</f>
        <v>1.2220500000021275</v>
      </c>
      <c r="AT25" s="849">
        <f>+IncS!BG21-AT24</f>
        <v>-0.57879999999931897</v>
      </c>
    </row>
    <row r="26" spans="1:46" customFormat="1" ht="12.75" x14ac:dyDescent="0.2"/>
    <row r="27" spans="1:46" customFormat="1" ht="15" customHeight="1" x14ac:dyDescent="0.2"/>
    <row r="28" spans="1:46" customFormat="1" ht="15" customHeight="1" x14ac:dyDescent="0.2"/>
    <row r="29" spans="1:46" customFormat="1" ht="15" customHeight="1" x14ac:dyDescent="0.2"/>
    <row r="30" spans="1:46" customFormat="1" ht="15" customHeight="1" x14ac:dyDescent="0.2"/>
    <row r="31" spans="1:46" customFormat="1" ht="15" hidden="1" customHeight="1" outlineLevel="1" x14ac:dyDescent="0.2"/>
    <row r="32" spans="1:46" customFormat="1" ht="15" hidden="1" customHeight="1" outlineLevel="1" x14ac:dyDescent="0.2"/>
    <row r="33" spans="3:81" customFormat="1" ht="15" hidden="1" customHeight="1" outlineLevel="1" x14ac:dyDescent="0.2"/>
    <row r="34" spans="3:81" customFormat="1" ht="15" customHeight="1" collapsed="1" x14ac:dyDescent="0.2"/>
    <row r="35" spans="3:81" customFormat="1" ht="15" customHeight="1" x14ac:dyDescent="0.2"/>
    <row r="36" spans="3:81" customFormat="1" ht="15" customHeight="1" x14ac:dyDescent="0.2"/>
    <row r="37" spans="3:81" customFormat="1" ht="15" customHeight="1" x14ac:dyDescent="0.2"/>
    <row r="38" spans="3:81" customFormat="1" ht="15" customHeight="1" x14ac:dyDescent="0.2"/>
    <row r="39" spans="3:81" customFormat="1" ht="15" customHeight="1" x14ac:dyDescent="0.2"/>
    <row r="40" spans="3:81" customFormat="1" ht="15" customHeight="1" x14ac:dyDescent="0.2"/>
    <row r="41" spans="3:81" customFormat="1" ht="15" customHeight="1" x14ac:dyDescent="0.2"/>
    <row r="42" spans="3:81" customFormat="1" ht="15" hidden="1" customHeight="1" outlineLevel="1" x14ac:dyDescent="0.2"/>
    <row r="43" spans="3:81" customFormat="1" ht="15" hidden="1" customHeight="1" outlineLevel="1" x14ac:dyDescent="0.2"/>
    <row r="44" spans="3:81" customFormat="1" ht="15" customHeight="1" collapsed="1" x14ac:dyDescent="0.2"/>
    <row r="45" spans="3:81" customFormat="1" ht="15" customHeight="1" x14ac:dyDescent="0.2"/>
    <row r="46" spans="3:81" ht="15" customHeight="1" x14ac:dyDescent="0.2">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row>
    <row r="47" spans="3:81" customFormat="1" ht="25.5" customHeight="1" x14ac:dyDescent="0.2"/>
    <row r="48" spans="3:81" customFormat="1" ht="15" customHeight="1" x14ac:dyDescent="0.2"/>
    <row r="49" customFormat="1" ht="15" customHeight="1" x14ac:dyDescent="0.2"/>
    <row r="50" customFormat="1" ht="15" customHeight="1" x14ac:dyDescent="0.2"/>
    <row r="51" customFormat="1" ht="15" customHeight="1" x14ac:dyDescent="0.2"/>
    <row r="52" customFormat="1" ht="15" hidden="1" customHeight="1" outlineLevel="1" x14ac:dyDescent="0.2"/>
    <row r="53" customFormat="1" ht="15" hidden="1" customHeight="1" outlineLevel="1" x14ac:dyDescent="0.2"/>
    <row r="54" customFormat="1" ht="15" hidden="1" customHeight="1" outlineLevel="1" x14ac:dyDescent="0.2"/>
    <row r="55" customFormat="1" ht="15" customHeight="1" collapsed="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outlineLevel="1" x14ac:dyDescent="0.2"/>
    <row r="64" customFormat="1" ht="15" customHeight="1" outlineLevel="1" x14ac:dyDescent="0.2"/>
    <row r="65" spans="7:81" customFormat="1" ht="15" customHeight="1" x14ac:dyDescent="0.2"/>
    <row r="66" spans="7:81" customFormat="1" ht="15" customHeight="1" x14ac:dyDescent="0.2"/>
    <row r="67" spans="7:81" s="776" customFormat="1" ht="15" customHeight="1" x14ac:dyDescent="0.2">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row>
    <row r="68" spans="7:81" s="776" customFormat="1" ht="15" customHeight="1" x14ac:dyDescent="0.2">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row>
    <row r="69" spans="7:81" s="556" customFormat="1" ht="15" customHeight="1" x14ac:dyDescent="0.2">
      <c r="G69" s="856">
        <f>H69</f>
        <v>2015</v>
      </c>
      <c r="H69" s="856">
        <f>I69</f>
        <v>2015</v>
      </c>
      <c r="I69" s="856">
        <f>J69</f>
        <v>2015</v>
      </c>
      <c r="J69" s="856">
        <f>K69-1</f>
        <v>2015</v>
      </c>
      <c r="K69" s="856">
        <f>L69</f>
        <v>2016</v>
      </c>
      <c r="L69" s="856">
        <f>M69</f>
        <v>2016</v>
      </c>
      <c r="M69" s="856">
        <f>N69</f>
        <v>2016</v>
      </c>
      <c r="N69" s="856">
        <f>O69-1</f>
        <v>2016</v>
      </c>
      <c r="O69" s="856">
        <f>P69</f>
        <v>2017</v>
      </c>
      <c r="P69" s="856">
        <f>Q69</f>
        <v>2017</v>
      </c>
      <c r="Q69" s="856">
        <f>R69</f>
        <v>2017</v>
      </c>
      <c r="R69" s="856">
        <f>S69-1</f>
        <v>2017</v>
      </c>
      <c r="S69" s="856">
        <f>T69</f>
        <v>2018</v>
      </c>
      <c r="T69" s="856">
        <f>U69</f>
        <v>2018</v>
      </c>
      <c r="U69" s="856">
        <f>V69</f>
        <v>2018</v>
      </c>
      <c r="V69" s="856">
        <f>W69-1</f>
        <v>2018</v>
      </c>
      <c r="W69" s="857">
        <v>2019</v>
      </c>
      <c r="X69" s="857">
        <v>2019</v>
      </c>
      <c r="Y69" s="857">
        <v>2019</v>
      </c>
      <c r="Z69" s="857">
        <v>2019</v>
      </c>
      <c r="AA69" s="857">
        <v>2020</v>
      </c>
      <c r="AB69" s="857">
        <v>2020</v>
      </c>
      <c r="AC69" s="857">
        <v>2020</v>
      </c>
      <c r="AD69" s="857">
        <v>2020</v>
      </c>
      <c r="AE69" s="857">
        <v>2021</v>
      </c>
      <c r="AF69" s="857">
        <v>2021</v>
      </c>
      <c r="AG69" s="857">
        <v>2021</v>
      </c>
      <c r="AH69" s="857">
        <v>2021</v>
      </c>
      <c r="AI69" s="857">
        <v>2022</v>
      </c>
      <c r="AJ69" s="857">
        <v>2022</v>
      </c>
      <c r="AK69" s="857">
        <v>2022</v>
      </c>
      <c r="AL69" s="857">
        <v>2022</v>
      </c>
      <c r="AM69" s="857">
        <v>2023</v>
      </c>
      <c r="AN69" s="857">
        <v>2023</v>
      </c>
      <c r="AO69" s="857">
        <v>2023</v>
      </c>
      <c r="AP69" s="857">
        <v>2023</v>
      </c>
      <c r="AQ69" s="857">
        <v>2023</v>
      </c>
      <c r="AR69" s="857"/>
      <c r="AS69" s="857"/>
      <c r="AT69" s="857">
        <v>2023</v>
      </c>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row>
    <row r="70" spans="7:81" s="776" customFormat="1" ht="15" customHeight="1" x14ac:dyDescent="0.2">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row>
    <row r="71" spans="7:81" s="776" customFormat="1" ht="15" customHeight="1" x14ac:dyDescent="0.2">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row>
    <row r="72" spans="7:81" s="776" customFormat="1" ht="15" customHeight="1" x14ac:dyDescent="0.2">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row>
    <row r="73" spans="7:81" s="776" customFormat="1" ht="15" customHeight="1" x14ac:dyDescent="0.2">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row>
    <row r="74" spans="7:81" s="776" customFormat="1" ht="15" customHeight="1" x14ac:dyDescent="0.2">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row>
    <row r="75" spans="7:81" ht="15" customHeight="1" x14ac:dyDescent="0.2">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row>
    <row r="76" spans="7:81" ht="15" customHeight="1" x14ac:dyDescent="0.2">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row>
    <row r="77" spans="7:81" ht="15" customHeight="1" x14ac:dyDescent="0.2">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row>
    <row r="78" spans="7:81" ht="15" customHeight="1" x14ac:dyDescent="0.2">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row>
    <row r="79" spans="7:81" ht="15" customHeight="1" x14ac:dyDescent="0.2">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row>
    <row r="80" spans="7:81" ht="15" customHeight="1" x14ac:dyDescent="0.2">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row>
    <row r="81" spans="47:81" ht="15" customHeight="1" x14ac:dyDescent="0.2">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row>
    <row r="82" spans="47:81" ht="15" customHeight="1" x14ac:dyDescent="0.2">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row>
    <row r="83" spans="47:81" ht="15" customHeight="1" x14ac:dyDescent="0.2">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row>
    <row r="84" spans="47:81" ht="15" customHeight="1" x14ac:dyDescent="0.2">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row>
    <row r="85" spans="47:81" ht="15" customHeight="1" x14ac:dyDescent="0.2">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row>
    <row r="86" spans="47:81" ht="15" customHeight="1" x14ac:dyDescent="0.2">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row>
    <row r="87" spans="47:81" ht="15" customHeight="1" x14ac:dyDescent="0.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row>
    <row r="88" spans="47:81" ht="15" customHeight="1" x14ac:dyDescent="0.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row>
    <row r="89" spans="47:81" ht="15" customHeight="1" x14ac:dyDescent="0.2">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row>
    <row r="90" spans="47:81" ht="15" customHeight="1" x14ac:dyDescent="0.2">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row>
    <row r="91" spans="47:81" ht="15" customHeight="1" x14ac:dyDescent="0.2">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row>
    <row r="92" spans="47:81" ht="15" customHeight="1" x14ac:dyDescent="0.2">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row>
    <row r="93" spans="47:81" ht="15" customHeight="1" x14ac:dyDescent="0.2">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row>
    <row r="94" spans="47:81" ht="15" customHeight="1" x14ac:dyDescent="0.2">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row>
    <row r="95" spans="47:81" ht="15" customHeight="1" x14ac:dyDescent="0.2">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row>
    <row r="96" spans="47:81" ht="15" customHeight="1" x14ac:dyDescent="0.2">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row>
    <row r="97" spans="47:81" ht="15" customHeight="1" x14ac:dyDescent="0.2">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row>
    <row r="98" spans="47:81" ht="15" customHeight="1" x14ac:dyDescent="0.2">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row>
    <row r="99" spans="47:81" ht="15" customHeight="1" x14ac:dyDescent="0.2">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row>
    <row r="100" spans="47:81" ht="15" customHeight="1" x14ac:dyDescent="0.2">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row>
    <row r="101" spans="47:81" ht="15" customHeight="1" x14ac:dyDescent="0.2">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row>
    <row r="102" spans="47:81" ht="15" customHeight="1" x14ac:dyDescent="0.2">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row>
    <row r="103" spans="47:81" ht="15" customHeight="1" x14ac:dyDescent="0.2">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row>
    <row r="104" spans="47:81" ht="15" customHeight="1" x14ac:dyDescent="0.2">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row>
    <row r="105" spans="47:81" ht="15" customHeight="1" x14ac:dyDescent="0.2">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row>
    <row r="106" spans="47:81" ht="15" customHeight="1" x14ac:dyDescent="0.2">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row>
    <row r="107" spans="47:81" ht="15" customHeight="1" x14ac:dyDescent="0.2">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row>
    <row r="108" spans="47:81" ht="15" customHeight="1" x14ac:dyDescent="0.2">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row>
    <row r="109" spans="47:81" ht="15" customHeight="1" x14ac:dyDescent="0.2">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row>
    <row r="110" spans="47:81" ht="15" customHeight="1" x14ac:dyDescent="0.2">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row>
    <row r="111" spans="47:81" ht="15" customHeight="1" x14ac:dyDescent="0.2">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row>
    <row r="112" spans="47:81" ht="15" customHeight="1" x14ac:dyDescent="0.2">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row>
    <row r="113" spans="47:81" ht="15" customHeight="1" x14ac:dyDescent="0.2">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row>
    <row r="114" spans="47:81" ht="15" customHeight="1" x14ac:dyDescent="0.2">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row>
    <row r="115" spans="47:81" ht="15" customHeight="1" x14ac:dyDescent="0.2">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row>
    <row r="116" spans="47:81" ht="15" customHeight="1" x14ac:dyDescent="0.2">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row>
    <row r="117" spans="47:81" ht="15" customHeight="1" x14ac:dyDescent="0.2">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row>
    <row r="118" spans="47:81" ht="15" customHeight="1" x14ac:dyDescent="0.2">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row>
    <row r="119" spans="47:81" ht="15" customHeight="1" x14ac:dyDescent="0.2">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row>
    <row r="120" spans="47:81" ht="15" customHeight="1" x14ac:dyDescent="0.2">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row>
    <row r="121" spans="47:81" ht="15" customHeight="1" x14ac:dyDescent="0.2">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row>
    <row r="122" spans="47:81" ht="15" customHeight="1" x14ac:dyDescent="0.2">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row>
    <row r="123" spans="47:81" ht="15" customHeight="1" x14ac:dyDescent="0.2">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row>
    <row r="124" spans="47:81" ht="15" customHeight="1" x14ac:dyDescent="0.2">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row>
    <row r="125" spans="47:81" ht="15" customHeight="1" x14ac:dyDescent="0.2">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row>
    <row r="126" spans="47:81" ht="15" customHeight="1" x14ac:dyDescent="0.2">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row>
    <row r="127" spans="47:81" ht="15" customHeight="1" x14ac:dyDescent="0.2">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row>
    <row r="128" spans="47:81" ht="15" customHeight="1" x14ac:dyDescent="0.2">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row>
    <row r="129" spans="47:81" ht="15" customHeight="1" x14ac:dyDescent="0.2">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row>
    <row r="130" spans="47:81" ht="15" customHeight="1" x14ac:dyDescent="0.2">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row>
    <row r="131" spans="47:81" ht="15" customHeight="1" x14ac:dyDescent="0.2">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row>
    <row r="132" spans="47:81" ht="15" customHeight="1" x14ac:dyDescent="0.2">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row>
    <row r="133" spans="47:81" ht="15" customHeight="1" x14ac:dyDescent="0.2">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row>
    <row r="134" spans="47:81" ht="15" customHeight="1" x14ac:dyDescent="0.2">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row>
    <row r="135" spans="47:81" ht="15" customHeight="1" x14ac:dyDescent="0.2">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row>
    <row r="136" spans="47:81" ht="15" customHeight="1" x14ac:dyDescent="0.2">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row>
    <row r="137" spans="47:81" ht="15" customHeight="1" x14ac:dyDescent="0.2">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row>
    <row r="138" spans="47:81" ht="15" customHeight="1" x14ac:dyDescent="0.2">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row>
    <row r="139" spans="47:81" ht="15" customHeight="1" x14ac:dyDescent="0.2">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row>
    <row r="140" spans="47:81" ht="15" customHeight="1" x14ac:dyDescent="0.2">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row>
    <row r="141" spans="47:81" ht="15" customHeight="1" x14ac:dyDescent="0.2">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row>
    <row r="142" spans="47:81" ht="15" customHeight="1" x14ac:dyDescent="0.2">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row>
    <row r="143" spans="47:81" ht="15" customHeight="1" x14ac:dyDescent="0.2">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row>
    <row r="144" spans="47:81" ht="15" customHeight="1" x14ac:dyDescent="0.2">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row>
    <row r="145" spans="47:81" ht="15" customHeight="1" x14ac:dyDescent="0.2">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row>
    <row r="146" spans="47:81" ht="15" customHeight="1" x14ac:dyDescent="0.2">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row>
    <row r="147" spans="47:81" ht="15" customHeight="1" x14ac:dyDescent="0.2">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row>
    <row r="148" spans="47:81" ht="15" customHeight="1" x14ac:dyDescent="0.2">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row>
    <row r="149" spans="47:81" ht="15" customHeight="1" x14ac:dyDescent="0.2">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row>
    <row r="150" spans="47:81" ht="15" customHeight="1" x14ac:dyDescent="0.2">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row>
    <row r="151" spans="47:81" ht="15" customHeight="1" x14ac:dyDescent="0.2">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row>
    <row r="152" spans="47:81" ht="15" customHeight="1" x14ac:dyDescent="0.2">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row>
    <row r="153" spans="47:81" ht="15" customHeight="1" x14ac:dyDescent="0.2">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row>
    <row r="154" spans="47:81" ht="15" customHeight="1" x14ac:dyDescent="0.2">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row>
    <row r="155" spans="47:81" ht="15" customHeight="1" x14ac:dyDescent="0.2">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row>
    <row r="156" spans="47:81" ht="15" customHeight="1" x14ac:dyDescent="0.2">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row>
    <row r="157" spans="47:81" ht="15" customHeight="1" x14ac:dyDescent="0.2">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row>
    <row r="158" spans="47:81" ht="15" customHeight="1" x14ac:dyDescent="0.2">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row>
    <row r="159" spans="47:81" ht="15" customHeight="1" x14ac:dyDescent="0.2">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row>
    <row r="160" spans="47:81" ht="15" customHeight="1" x14ac:dyDescent="0.2">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row>
    <row r="161" spans="47:81" ht="15" customHeight="1" x14ac:dyDescent="0.2">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row>
    <row r="162" spans="47:81" ht="15" customHeight="1" x14ac:dyDescent="0.2">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row>
    <row r="163" spans="47:81" ht="15" customHeight="1" x14ac:dyDescent="0.2">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row>
    <row r="164" spans="47:81" ht="15" customHeight="1" x14ac:dyDescent="0.2">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row>
    <row r="165" spans="47:81" ht="15" customHeight="1" x14ac:dyDescent="0.2">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row>
    <row r="166" spans="47:81" ht="15" customHeight="1" x14ac:dyDescent="0.2">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row>
    <row r="167" spans="47:81" ht="15" customHeight="1" x14ac:dyDescent="0.2">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row>
    <row r="168" spans="47:81" ht="15" customHeight="1" x14ac:dyDescent="0.2">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row>
    <row r="169" spans="47:81" ht="15" customHeight="1" x14ac:dyDescent="0.2">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row>
    <row r="170" spans="47:81" ht="15" customHeight="1" x14ac:dyDescent="0.2">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row>
    <row r="171" spans="47:81" ht="15" customHeight="1" x14ac:dyDescent="0.2">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row>
    <row r="172" spans="47:81" ht="15" customHeight="1" x14ac:dyDescent="0.2">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row>
    <row r="173" spans="47:81" ht="15" customHeight="1" x14ac:dyDescent="0.2">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row>
    <row r="174" spans="47:81" ht="15" customHeight="1" x14ac:dyDescent="0.2">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row>
    <row r="175" spans="47:81" ht="15" customHeight="1" x14ac:dyDescent="0.2">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row>
    <row r="176" spans="47:81" ht="15" customHeight="1" x14ac:dyDescent="0.2">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row>
    <row r="177" spans="1:81" ht="15" customHeight="1" x14ac:dyDescent="0.2">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row>
    <row r="178" spans="1:81" ht="15" customHeight="1" x14ac:dyDescent="0.2">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row>
    <row r="179" spans="1:81" ht="15" customHeight="1" x14ac:dyDescent="0.2">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row>
    <row r="180" spans="1:81" ht="15" customHeight="1" x14ac:dyDescent="0.2">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row>
    <row r="181" spans="1:81" ht="15" customHeight="1" x14ac:dyDescent="0.2">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row>
    <row r="182" spans="1:81" ht="15" customHeight="1" x14ac:dyDescent="0.2">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row>
    <row r="183" spans="1:81" ht="15" customHeight="1" x14ac:dyDescent="0.2">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row>
    <row r="184" spans="1:81" ht="15" customHeight="1" x14ac:dyDescent="0.2">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row>
    <row r="185" spans="1:81" ht="15" customHeight="1" x14ac:dyDescent="0.2">
      <c r="A185" s="36"/>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row>
    <row r="186" spans="1:81" s="36" customFormat="1" ht="15" customHeight="1" x14ac:dyDescent="0.2">
      <c r="A186" s="25"/>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row>
    <row r="187" spans="1:81" ht="15" customHeight="1" x14ac:dyDescent="0.2">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row>
    <row r="188" spans="1:81" ht="15" customHeight="1" x14ac:dyDescent="0.2">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row>
    <row r="189" spans="1:81" ht="15" customHeight="1" x14ac:dyDescent="0.2">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row>
    <row r="190" spans="1:81" ht="15" customHeight="1" x14ac:dyDescent="0.2">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row>
    <row r="191" spans="1:81" ht="15" customHeight="1" x14ac:dyDescent="0.2">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row>
    <row r="192" spans="1:81" ht="15" customHeight="1" x14ac:dyDescent="0.2">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row>
    <row r="193" spans="47:81" ht="15" customHeight="1" x14ac:dyDescent="0.2">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row>
    <row r="194" spans="47:81" ht="15" customHeight="1" x14ac:dyDescent="0.2">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row>
    <row r="195" spans="47:81" ht="15" customHeight="1" x14ac:dyDescent="0.2">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row>
    <row r="196" spans="47:81" ht="15" customHeight="1" x14ac:dyDescent="0.2">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row>
    <row r="197" spans="47:81" ht="15" customHeight="1" x14ac:dyDescent="0.2">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row>
    <row r="198" spans="47:81" ht="15" customHeight="1" x14ac:dyDescent="0.2">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row>
    <row r="199" spans="47:81" ht="15" customHeight="1" x14ac:dyDescent="0.2">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row>
    <row r="200" spans="47:81" ht="15" customHeight="1" x14ac:dyDescent="0.2">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row>
    <row r="201" spans="47:81" ht="15" customHeight="1" x14ac:dyDescent="0.2">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row>
    <row r="202" spans="47:81" ht="15" customHeight="1" x14ac:dyDescent="0.2">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row>
    <row r="203" spans="47:81" ht="15" customHeight="1" x14ac:dyDescent="0.2">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24 AT21:AT23 AT12:AT13 AT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12">
    <pageSetUpPr autoPageBreaks="0"/>
  </sheetPr>
  <dimension ref="B1:AT16"/>
  <sheetViews>
    <sheetView showGridLines="0" workbookViewId="0">
      <pane xSplit="2" ySplit="4" topLeftCell="AI5" activePane="bottomRight" state="frozen"/>
      <selection activeCell="G3" sqref="G3"/>
      <selection pane="topRight" activeCell="G3" sqref="G3"/>
      <selection pane="bottomLeft" activeCell="G3" sqref="G3"/>
      <selection pane="bottomRight" activeCell="AT5" sqref="AT5"/>
    </sheetView>
  </sheetViews>
  <sheetFormatPr defaultRowHeight="12.75" outlineLevelRow="1" x14ac:dyDescent="0.2"/>
  <cols>
    <col min="1" max="1" width="1.42578125" customWidth="1"/>
    <col min="2" max="2" width="50.7109375" bestFit="1" customWidth="1"/>
    <col min="3" max="8" width="10.7109375" customWidth="1"/>
    <col min="10" max="13" width="10.28515625" bestFit="1" customWidth="1"/>
    <col min="14" max="16" width="10.28515625" customWidth="1"/>
    <col min="17" max="20" width="10.28515625" bestFit="1" customWidth="1"/>
    <col min="21" max="21" width="10.28515625" customWidth="1"/>
    <col min="22" max="22" width="10.28515625" bestFit="1" customWidth="1"/>
    <col min="23" max="25" width="10.28515625" customWidth="1"/>
    <col min="26" max="33" width="10.28515625" bestFit="1" customWidth="1"/>
    <col min="34" max="35" width="10.28515625" customWidth="1"/>
    <col min="36" max="43" width="10.28515625" bestFit="1" customWidth="1"/>
    <col min="44" max="45" width="10.28515625" customWidth="1"/>
    <col min="46" max="46" width="10.28515625" bestFit="1" customWidth="1"/>
  </cols>
  <sheetData>
    <row r="1" spans="2:46" s="551" customFormat="1" ht="7.5" customHeight="1" x14ac:dyDescent="0.2">
      <c r="C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2:46" s="551" customFormat="1" ht="18" x14ac:dyDescent="0.25">
      <c r="C2" s="556"/>
      <c r="D2" s="561"/>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row>
    <row r="3" spans="2:46" x14ac:dyDescent="0.2">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row>
    <row r="5" spans="2:46" x14ac:dyDescent="0.2">
      <c r="B5" s="115" t="s">
        <v>591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c r="W5" s="115" t="s">
        <v>862</v>
      </c>
      <c r="X5" s="115" t="s">
        <v>922</v>
      </c>
      <c r="Y5" s="115" t="s">
        <v>923</v>
      </c>
      <c r="Z5" s="115" t="s">
        <v>924</v>
      </c>
      <c r="AA5" s="115" t="s">
        <v>995</v>
      </c>
      <c r="AB5" s="115" t="s">
        <v>1027</v>
      </c>
      <c r="AC5" s="115" t="s">
        <v>1028</v>
      </c>
      <c r="AD5" s="115" t="s">
        <v>993</v>
      </c>
      <c r="AE5" s="115" t="s">
        <v>1124</v>
      </c>
      <c r="AF5" s="115" t="s">
        <v>1125</v>
      </c>
      <c r="AG5" s="115" t="s">
        <v>1126</v>
      </c>
      <c r="AH5" s="115" t="s">
        <v>1127</v>
      </c>
      <c r="AI5" s="115" t="s">
        <v>1181</v>
      </c>
      <c r="AJ5" s="115" t="s">
        <v>1189</v>
      </c>
      <c r="AK5" s="115" t="s">
        <v>1191</v>
      </c>
      <c r="AL5" s="115" t="s">
        <v>1193</v>
      </c>
      <c r="AM5" s="115" t="s">
        <v>1232</v>
      </c>
      <c r="AN5" s="115" t="s">
        <v>1245</v>
      </c>
      <c r="AO5" s="115" t="s">
        <v>1247</v>
      </c>
      <c r="AP5" s="115" t="s">
        <v>1249</v>
      </c>
      <c r="AQ5" s="115" t="s">
        <v>1306</v>
      </c>
      <c r="AR5" s="115" t="s">
        <v>1316</v>
      </c>
      <c r="AS5" s="115" t="s">
        <v>1317</v>
      </c>
      <c r="AT5" s="115" t="s">
        <v>1318</v>
      </c>
    </row>
    <row r="6" spans="2:46" x14ac:dyDescent="0.2">
      <c r="B6" s="130" t="s">
        <v>592</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2">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row>
    <row r="7" spans="2:46" x14ac:dyDescent="0.2">
      <c r="B7" s="130" t="s">
        <v>593</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row>
    <row r="8" spans="2:46" x14ac:dyDescent="0.2">
      <c r="B8" s="130" t="s">
        <v>595</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row>
    <row r="9" spans="2:46" s="233" customFormat="1" outlineLevel="1" x14ac:dyDescent="0.2">
      <c r="B9" s="250" t="s">
        <v>594</v>
      </c>
      <c r="C9" s="219">
        <v>141</v>
      </c>
      <c r="D9" s="219">
        <v>367</v>
      </c>
      <c r="E9" s="219">
        <v>-191</v>
      </c>
      <c r="F9" s="219">
        <v>115</v>
      </c>
      <c r="G9" s="219">
        <v>110</v>
      </c>
      <c r="H9" s="219">
        <v>110</v>
      </c>
      <c r="I9" s="219">
        <v>-603</v>
      </c>
      <c r="J9" s="219">
        <v>-1730</v>
      </c>
      <c r="K9" s="219">
        <v>0</v>
      </c>
      <c r="L9" s="219">
        <v>-44</v>
      </c>
      <c r="M9" s="219">
        <v>0</v>
      </c>
      <c r="N9" s="219">
        <v>0</v>
      </c>
      <c r="O9" s="219">
        <v>0</v>
      </c>
      <c r="P9" s="219">
        <v>0</v>
      </c>
      <c r="Q9" s="219">
        <v>0</v>
      </c>
      <c r="R9" s="219">
        <v>0</v>
      </c>
      <c r="S9" s="219">
        <v>0</v>
      </c>
      <c r="T9" s="219">
        <v>0</v>
      </c>
      <c r="U9" s="219">
        <v>0</v>
      </c>
      <c r="V9" s="219">
        <v>0</v>
      </c>
      <c r="W9" s="219">
        <v>0</v>
      </c>
      <c r="X9" s="219"/>
      <c r="Y9" s="219">
        <v>0</v>
      </c>
      <c r="Z9" s="219">
        <v>0</v>
      </c>
      <c r="AA9" s="219">
        <v>0</v>
      </c>
      <c r="AB9" s="219">
        <v>0</v>
      </c>
      <c r="AC9" s="219">
        <v>0</v>
      </c>
      <c r="AD9" s="219">
        <v>0</v>
      </c>
      <c r="AE9" s="219">
        <v>0</v>
      </c>
      <c r="AF9" s="219">
        <v>0</v>
      </c>
      <c r="AG9" s="219">
        <v>0</v>
      </c>
      <c r="AH9" s="219"/>
      <c r="AI9" s="219">
        <v>0</v>
      </c>
      <c r="AJ9" s="219">
        <v>0</v>
      </c>
      <c r="AK9" s="219">
        <v>0</v>
      </c>
      <c r="AL9" s="219">
        <v>0</v>
      </c>
      <c r="AM9" s="219">
        <v>0</v>
      </c>
      <c r="AN9" s="219">
        <v>0</v>
      </c>
      <c r="AO9" s="219">
        <v>0</v>
      </c>
      <c r="AP9" s="219">
        <v>0</v>
      </c>
      <c r="AQ9" s="219">
        <v>0</v>
      </c>
      <c r="AR9" s="219"/>
      <c r="AS9" s="219">
        <v>0</v>
      </c>
      <c r="AT9" s="219">
        <v>0</v>
      </c>
    </row>
    <row r="10" spans="2:46" x14ac:dyDescent="0.2">
      <c r="B10" s="127" t="s">
        <v>36</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T10" si="3">SUM(AM6:AM8)</f>
        <v>3637</v>
      </c>
      <c r="AN10" s="120">
        <f t="shared" si="3"/>
        <v>3841</v>
      </c>
      <c r="AO10" s="120">
        <f t="shared" si="3"/>
        <v>4593</v>
      </c>
      <c r="AP10" s="120">
        <f t="shared" si="3"/>
        <v>3384</v>
      </c>
      <c r="AQ10" s="120">
        <f t="shared" si="3"/>
        <v>3224</v>
      </c>
      <c r="AR10" s="120">
        <f t="shared" si="3"/>
        <v>3864</v>
      </c>
      <c r="AS10" s="120">
        <f t="shared" si="3"/>
        <v>3151</v>
      </c>
      <c r="AT10" s="120">
        <f t="shared" si="3"/>
        <v>3271</v>
      </c>
    </row>
    <row r="16" spans="2:46" x14ac:dyDescent="0.2">
      <c r="R16" s="76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55">
    <pageSetUpPr autoPageBreaks="0"/>
  </sheetPr>
  <dimension ref="B1:V31"/>
  <sheetViews>
    <sheetView showGridLines="0" zoomScaleNormal="100" workbookViewId="0">
      <pane xSplit="2" ySplit="4" topLeftCell="K5" activePane="bottomRight" state="frozen"/>
      <selection activeCell="G3" sqref="G3"/>
      <selection pane="topRight" activeCell="G3" sqref="G3"/>
      <selection pane="bottomLeft" activeCell="G3" sqref="G3"/>
      <selection pane="bottomRight" activeCell="V5" sqref="V5"/>
    </sheetView>
  </sheetViews>
  <sheetFormatPr defaultRowHeight="12.75" outlineLevelRow="1" x14ac:dyDescent="0.2"/>
  <cols>
    <col min="1" max="1" width="1.42578125" customWidth="1"/>
    <col min="2" max="2" width="48.42578125" customWidth="1"/>
    <col min="3" max="22" width="10.7109375" customWidth="1"/>
  </cols>
  <sheetData>
    <row r="1" spans="2:22" s="551" customFormat="1" ht="7.5" customHeight="1" x14ac:dyDescent="0.2"/>
    <row r="2" spans="2:22" s="551" customFormat="1" ht="12.75" customHeight="1" x14ac:dyDescent="0.25">
      <c r="D2" s="561"/>
    </row>
    <row r="3" spans="2:22" ht="12.75" customHeight="1" x14ac:dyDescent="0.2"/>
    <row r="4" spans="2:22" ht="12.75" customHeight="1" x14ac:dyDescent="0.2"/>
    <row r="5" spans="2:22" x14ac:dyDescent="0.2">
      <c r="B5" s="115" t="s">
        <v>391</v>
      </c>
      <c r="C5" s="115" t="s">
        <v>471</v>
      </c>
      <c r="D5" s="115" t="s">
        <v>472</v>
      </c>
      <c r="E5" s="115" t="s">
        <v>473</v>
      </c>
      <c r="F5" s="115" t="s">
        <v>474</v>
      </c>
      <c r="G5" s="115" t="s">
        <v>475</v>
      </c>
      <c r="H5" s="115" t="s">
        <v>476</v>
      </c>
      <c r="I5" s="115" t="s">
        <v>477</v>
      </c>
      <c r="J5" s="115" t="s">
        <v>478</v>
      </c>
      <c r="K5" s="115" t="s">
        <v>479</v>
      </c>
      <c r="L5" s="115" t="s">
        <v>371</v>
      </c>
      <c r="M5" s="115" t="s">
        <v>372</v>
      </c>
      <c r="N5" s="115" t="s">
        <v>373</v>
      </c>
      <c r="O5" s="115" t="s">
        <v>374</v>
      </c>
      <c r="P5" s="115" t="s">
        <v>375</v>
      </c>
      <c r="Q5" s="115" t="s">
        <v>376</v>
      </c>
      <c r="R5" s="115" t="s">
        <v>694</v>
      </c>
      <c r="S5" s="115" t="s">
        <v>758</v>
      </c>
      <c r="T5" s="115" t="s">
        <v>771</v>
      </c>
      <c r="U5" s="115" t="s">
        <v>788</v>
      </c>
      <c r="V5" s="115" t="s">
        <v>844</v>
      </c>
    </row>
    <row r="6" spans="2:22" x14ac:dyDescent="0.2">
      <c r="B6" s="130" t="s">
        <v>596</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x14ac:dyDescent="0.2">
      <c r="B7" s="130" t="s">
        <v>597</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x14ac:dyDescent="0.2">
      <c r="B8" s="130" t="s">
        <v>598</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x14ac:dyDescent="0.2">
      <c r="B9" s="127" t="s">
        <v>599</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x14ac:dyDescent="0.2">
      <c r="B10" s="47"/>
      <c r="D10" s="106"/>
      <c r="E10" s="46"/>
      <c r="F10" s="46"/>
      <c r="G10" s="46"/>
      <c r="H10" s="46"/>
      <c r="I10" s="46"/>
      <c r="J10" s="46"/>
      <c r="K10" s="46"/>
      <c r="L10" s="46"/>
      <c r="M10" s="46"/>
      <c r="N10" s="46"/>
      <c r="O10" s="46"/>
      <c r="P10" s="46"/>
      <c r="Q10" s="46"/>
      <c r="R10" s="46"/>
      <c r="S10" s="46"/>
      <c r="T10" s="46"/>
      <c r="U10" s="46"/>
      <c r="V10" s="46"/>
    </row>
    <row r="11" spans="2:22" x14ac:dyDescent="0.2">
      <c r="B11" s="115" t="s">
        <v>397</v>
      </c>
      <c r="C11" s="115" t="str">
        <f>C5</f>
        <v>1Q14</v>
      </c>
      <c r="D11" s="115" t="str">
        <f t="shared" ref="D11:Q11" si="2">D5</f>
        <v>2Q14</v>
      </c>
      <c r="E11" s="115" t="str">
        <f t="shared" si="2"/>
        <v>3Q14</v>
      </c>
      <c r="F11" s="115" t="str">
        <f t="shared" si="2"/>
        <v>4Q14</v>
      </c>
      <c r="G11" s="115" t="str">
        <f t="shared" si="2"/>
        <v>1Q15</v>
      </c>
      <c r="H11" s="115" t="str">
        <f t="shared" si="2"/>
        <v>2Q15</v>
      </c>
      <c r="I11" s="115" t="str">
        <f t="shared" si="2"/>
        <v>3Q15</v>
      </c>
      <c r="J11" s="115" t="str">
        <f t="shared" si="2"/>
        <v>4Q15</v>
      </c>
      <c r="K11" s="115" t="str">
        <f t="shared" si="2"/>
        <v>1Q16</v>
      </c>
      <c r="L11" s="115" t="str">
        <f t="shared" si="2"/>
        <v>2Q16</v>
      </c>
      <c r="M11" s="115" t="str">
        <f t="shared" si="2"/>
        <v>3Q16</v>
      </c>
      <c r="N11" s="115" t="str">
        <f t="shared" si="2"/>
        <v>4Q16</v>
      </c>
      <c r="O11" s="115" t="str">
        <f t="shared" si="2"/>
        <v>1Q17</v>
      </c>
      <c r="P11" s="115" t="str">
        <f t="shared" si="2"/>
        <v>2Q17</v>
      </c>
      <c r="Q11" s="115" t="str">
        <f t="shared" si="2"/>
        <v>3Q17</v>
      </c>
      <c r="R11" s="115" t="str">
        <f>R5</f>
        <v>4Q17</v>
      </c>
      <c r="S11" s="115" t="str">
        <f>S5</f>
        <v>1Q18</v>
      </c>
      <c r="T11" s="115" t="str">
        <f>T5</f>
        <v>2Q18</v>
      </c>
      <c r="U11" s="115" t="str">
        <f>U5</f>
        <v>3Q18</v>
      </c>
      <c r="V11" s="115" t="str">
        <f>V5</f>
        <v>4Q18</v>
      </c>
    </row>
    <row r="12" spans="2:22" x14ac:dyDescent="0.2">
      <c r="B12" s="130" t="s">
        <v>596</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x14ac:dyDescent="0.2">
      <c r="B13" s="130" t="s">
        <v>597</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x14ac:dyDescent="0.2">
      <c r="B14" s="130" t="s">
        <v>598</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x14ac:dyDescent="0.2">
      <c r="B15" s="127" t="s">
        <v>599</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x14ac:dyDescent="0.2">
      <c r="B17" s="115" t="s">
        <v>401</v>
      </c>
      <c r="C17" s="115" t="str">
        <f>C5</f>
        <v>1Q14</v>
      </c>
      <c r="D17" s="115" t="str">
        <f t="shared" ref="D17:Q17" si="5">D5</f>
        <v>2Q14</v>
      </c>
      <c r="E17" s="115" t="str">
        <f t="shared" si="5"/>
        <v>3Q14</v>
      </c>
      <c r="F17" s="115" t="str">
        <f t="shared" si="5"/>
        <v>4Q14</v>
      </c>
      <c r="G17" s="115" t="str">
        <f t="shared" si="5"/>
        <v>1Q15</v>
      </c>
      <c r="H17" s="115" t="str">
        <f t="shared" si="5"/>
        <v>2Q15</v>
      </c>
      <c r="I17" s="115" t="str">
        <f t="shared" si="5"/>
        <v>3Q15</v>
      </c>
      <c r="J17" s="115" t="str">
        <f t="shared" si="5"/>
        <v>4Q15</v>
      </c>
      <c r="K17" s="115" t="str">
        <f t="shared" si="5"/>
        <v>1Q16</v>
      </c>
      <c r="L17" s="115" t="str">
        <f t="shared" si="5"/>
        <v>2Q16</v>
      </c>
      <c r="M17" s="115" t="str">
        <f t="shared" si="5"/>
        <v>3Q16</v>
      </c>
      <c r="N17" s="115" t="str">
        <f t="shared" si="5"/>
        <v>4Q16</v>
      </c>
      <c r="O17" s="115" t="str">
        <f t="shared" si="5"/>
        <v>1Q17</v>
      </c>
      <c r="P17" s="115" t="str">
        <f t="shared" si="5"/>
        <v>2Q17</v>
      </c>
      <c r="Q17" s="115" t="str">
        <f t="shared" si="5"/>
        <v>3Q17</v>
      </c>
      <c r="R17" s="115" t="str">
        <f>R5</f>
        <v>4Q17</v>
      </c>
      <c r="S17" s="115" t="str">
        <f>S5</f>
        <v>1Q18</v>
      </c>
      <c r="T17" s="115" t="str">
        <f>T5</f>
        <v>2Q18</v>
      </c>
      <c r="U17" s="115" t="str">
        <f>U5</f>
        <v>3Q18</v>
      </c>
      <c r="V17" s="115" t="str">
        <f>V5</f>
        <v>4Q18</v>
      </c>
    </row>
    <row r="18" spans="2:22" x14ac:dyDescent="0.2">
      <c r="B18" s="130" t="s">
        <v>596</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x14ac:dyDescent="0.2">
      <c r="B19" s="130" t="s">
        <v>597</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3" customFormat="1" hidden="1" outlineLevel="1" x14ac:dyDescent="0.2">
      <c r="B20" s="250" t="s">
        <v>598</v>
      </c>
      <c r="C20" s="219">
        <f t="shared" ref="C20:I20" si="12">+C8-C14</f>
        <v>35429</v>
      </c>
      <c r="D20" s="219">
        <f t="shared" si="12"/>
        <v>30704</v>
      </c>
      <c r="E20" s="219">
        <f t="shared" si="12"/>
        <v>-6</v>
      </c>
      <c r="F20" s="219">
        <f t="shared" si="12"/>
        <v>25621</v>
      </c>
      <c r="G20" s="219">
        <f t="shared" si="12"/>
        <v>23472</v>
      </c>
      <c r="H20" s="219">
        <f t="shared" si="12"/>
        <v>25532</v>
      </c>
      <c r="I20" s="219">
        <f t="shared" si="12"/>
        <v>4325</v>
      </c>
      <c r="J20" s="219">
        <f t="shared" si="7"/>
        <v>760</v>
      </c>
      <c r="K20" s="219">
        <f t="shared" si="7"/>
        <v>0</v>
      </c>
      <c r="L20" s="219">
        <f t="shared" si="7"/>
        <v>0</v>
      </c>
      <c r="M20" s="219">
        <f t="shared" si="7"/>
        <v>0</v>
      </c>
      <c r="N20" s="219">
        <f t="shared" si="8"/>
        <v>0</v>
      </c>
      <c r="O20" s="219">
        <f t="shared" si="8"/>
        <v>0</v>
      </c>
      <c r="P20" s="219">
        <f t="shared" si="8"/>
        <v>0</v>
      </c>
      <c r="Q20" s="219">
        <f t="shared" si="9"/>
        <v>0</v>
      </c>
      <c r="R20" s="219">
        <f t="shared" si="9"/>
        <v>0</v>
      </c>
      <c r="S20" s="219">
        <v>0</v>
      </c>
      <c r="T20" s="219">
        <f t="shared" si="10"/>
        <v>0</v>
      </c>
      <c r="U20" s="219">
        <f t="shared" si="10"/>
        <v>0</v>
      </c>
      <c r="V20" s="219">
        <f t="shared" si="10"/>
        <v>0</v>
      </c>
    </row>
    <row r="21" spans="2:22" collapsed="1" x14ac:dyDescent="0.2">
      <c r="B21" s="127" t="s">
        <v>599</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x14ac:dyDescent="0.2">
      <c r="B25" s="47"/>
      <c r="C25" s="89"/>
      <c r="D25" s="89"/>
    </row>
    <row r="26" spans="2:22" x14ac:dyDescent="0.2">
      <c r="B26" s="47"/>
      <c r="C26" s="45"/>
    </row>
    <row r="27" spans="2:22" x14ac:dyDescent="0.2">
      <c r="B27" s="47"/>
      <c r="C27" s="107"/>
    </row>
    <row r="28" spans="2:22" x14ac:dyDescent="0.2">
      <c r="B28" s="47"/>
      <c r="C28" s="95"/>
    </row>
    <row r="29" spans="2:22" x14ac:dyDescent="0.2">
      <c r="B29" s="47"/>
      <c r="C29" s="95"/>
    </row>
    <row r="30" spans="2:22" x14ac:dyDescent="0.2">
      <c r="B30" s="47"/>
      <c r="C30" s="95"/>
    </row>
    <row r="31" spans="2:22" x14ac:dyDescent="0.2">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15">
    <pageSetUpPr autoPageBreaks="0"/>
  </sheetPr>
  <dimension ref="A1:CL158"/>
  <sheetViews>
    <sheetView showGridLines="0" topLeftCell="B1" zoomScaleNormal="100" workbookViewId="0">
      <pane xSplit="1" ySplit="5" topLeftCell="C6" activePane="bottomRight" state="frozen"/>
      <selection activeCell="B1" sqref="B1"/>
      <selection pane="topRight" activeCell="C1" sqref="C1"/>
      <selection pane="bottomLeft" activeCell="B6" sqref="B6"/>
      <selection pane="bottomRight" activeCell="C6" sqref="C6"/>
    </sheetView>
  </sheetViews>
  <sheetFormatPr defaultColWidth="9.28515625" defaultRowHeight="12.75" outlineLevelRow="2" outlineLevelCol="1" x14ac:dyDescent="0.2"/>
  <cols>
    <col min="1" max="1" width="2.28515625" style="202" customWidth="1"/>
    <col min="2" max="2" width="59.7109375" style="202" customWidth="1"/>
    <col min="3" max="24" width="10.7109375" style="204" hidden="1" customWidth="1" outlineLevel="1"/>
    <col min="25" max="31" width="11.28515625" style="204" hidden="1" customWidth="1" outlineLevel="1"/>
    <col min="32" max="32" width="8.140625" style="204" bestFit="1" customWidth="1" collapsed="1"/>
    <col min="33" max="38" width="8.140625" style="204" bestFit="1" customWidth="1"/>
    <col min="39" max="40" width="8.28515625" style="203" bestFit="1" customWidth="1"/>
    <col min="41" max="42" width="8.28515625" style="203" customWidth="1"/>
    <col min="43" max="43" width="8.28515625" style="203" bestFit="1" customWidth="1"/>
    <col min="44" max="59" width="10.7109375" style="202" customWidth="1"/>
    <col min="60" max="60" width="8.42578125" style="202" customWidth="1"/>
    <col min="61" max="79" width="10.7109375" style="202" customWidth="1"/>
    <col min="80" max="16384" width="9.28515625" style="202"/>
  </cols>
  <sheetData>
    <row r="1" spans="2:90" s="569" customFormat="1" x14ac:dyDescent="0.2">
      <c r="C1" s="567"/>
      <c r="D1" s="567"/>
      <c r="E1" s="567"/>
      <c r="F1" s="567"/>
      <c r="G1" s="567"/>
      <c r="H1" s="567"/>
      <c r="I1" s="568"/>
      <c r="J1" s="568"/>
      <c r="K1" s="568"/>
      <c r="L1" s="568"/>
      <c r="M1" s="589"/>
      <c r="N1" s="589"/>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567"/>
      <c r="AS1" s="551"/>
      <c r="AT1" s="567"/>
      <c r="AU1" s="567"/>
      <c r="AV1" s="567"/>
      <c r="AW1" s="567"/>
      <c r="AX1" s="568"/>
      <c r="AY1" s="568"/>
      <c r="AZ1" s="568"/>
      <c r="BA1" s="56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G1" s="1235"/>
      <c r="CH1" s="1235"/>
      <c r="CI1" s="1235"/>
      <c r="CJ1" s="1235"/>
      <c r="CK1" s="1235"/>
      <c r="CL1" s="1235"/>
    </row>
    <row r="2" spans="2:90" s="569" customFormat="1" ht="18" x14ac:dyDescent="0.25">
      <c r="C2" s="567"/>
      <c r="D2" s="567"/>
      <c r="E2" s="567"/>
      <c r="F2" s="567"/>
      <c r="G2" s="567"/>
      <c r="H2" s="567"/>
      <c r="I2" s="567"/>
      <c r="J2" s="567"/>
      <c r="K2" s="567"/>
      <c r="L2" s="567"/>
      <c r="M2" s="589"/>
      <c r="N2" s="589"/>
      <c r="O2" s="589"/>
      <c r="P2" s="589"/>
      <c r="Q2" s="589"/>
      <c r="R2" s="589"/>
      <c r="S2" s="589"/>
      <c r="T2" s="589"/>
      <c r="U2" s="589"/>
      <c r="V2" s="589"/>
      <c r="W2" s="589"/>
      <c r="X2" s="1063"/>
      <c r="Y2" s="1063"/>
      <c r="Z2" s="1063"/>
      <c r="AA2" s="1063"/>
      <c r="AB2" s="1063"/>
      <c r="AC2" s="1063"/>
      <c r="AD2" s="1063"/>
      <c r="AE2" s="1063"/>
      <c r="AF2" s="589"/>
      <c r="AG2" s="589"/>
      <c r="AH2" s="589"/>
      <c r="AI2" s="589"/>
      <c r="AJ2" s="589"/>
      <c r="AK2" s="589"/>
      <c r="AL2" s="589"/>
      <c r="AM2" s="590"/>
      <c r="AN2" s="590"/>
      <c r="AO2" s="590"/>
      <c r="AP2" s="590"/>
      <c r="AQ2" s="590"/>
      <c r="AR2" s="567"/>
      <c r="AS2" s="561"/>
      <c r="AT2" s="567"/>
      <c r="AU2" s="567"/>
      <c r="AV2" s="567"/>
      <c r="AW2" s="567"/>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G2" s="1235"/>
      <c r="CH2" s="1235"/>
      <c r="CI2" s="1235"/>
      <c r="CJ2" s="1235"/>
      <c r="CK2" s="1235"/>
      <c r="CL2" s="1235"/>
    </row>
    <row r="3" spans="2:90" s="569" customFormat="1" x14ac:dyDescent="0.2">
      <c r="B3" s="569" t="s">
        <v>26</v>
      </c>
      <c r="C3" s="568"/>
      <c r="D3" s="568"/>
      <c r="E3" s="568"/>
      <c r="F3" s="568"/>
      <c r="G3" s="568"/>
      <c r="H3" s="568"/>
      <c r="I3" s="568"/>
      <c r="J3" s="568"/>
      <c r="K3" s="568"/>
      <c r="L3" s="568"/>
      <c r="M3" s="589"/>
      <c r="N3" s="589"/>
      <c r="O3" s="589"/>
      <c r="P3" s="589"/>
      <c r="Q3" s="589"/>
      <c r="R3" s="589"/>
      <c r="S3" s="589"/>
      <c r="T3" s="589"/>
      <c r="U3" s="589"/>
      <c r="V3" s="589"/>
      <c r="W3" s="589"/>
      <c r="X3" s="589"/>
      <c r="Y3" s="589"/>
      <c r="Z3" s="589"/>
      <c r="AA3" s="589"/>
      <c r="AB3" s="589"/>
      <c r="AC3" s="589"/>
      <c r="AD3" s="589"/>
      <c r="AE3" s="589"/>
      <c r="AF3" s="1063"/>
      <c r="AG3" s="1063"/>
      <c r="AH3" s="1063"/>
      <c r="AI3" s="1063"/>
      <c r="AJ3" s="1063"/>
      <c r="AK3" s="1063"/>
      <c r="AL3" s="1063"/>
      <c r="AM3" s="1203"/>
      <c r="AN3" s="1203"/>
      <c r="AO3" s="1203"/>
      <c r="AP3" s="1203"/>
      <c r="AQ3" s="1203"/>
      <c r="AR3" s="1204"/>
      <c r="AS3" s="568"/>
      <c r="AT3" s="568"/>
      <c r="AU3" s="568"/>
      <c r="AV3" s="568"/>
      <c r="AW3" s="568"/>
      <c r="AX3" s="568"/>
      <c r="AY3" s="568"/>
      <c r="AZ3" s="568"/>
      <c r="BA3" s="568"/>
      <c r="BB3" s="568"/>
      <c r="BC3" s="829"/>
      <c r="BD3" s="829"/>
      <c r="BE3" s="829"/>
      <c r="BF3" s="829"/>
      <c r="BG3" s="829"/>
      <c r="BH3" s="829"/>
      <c r="BI3" s="829"/>
      <c r="BJ3" s="829"/>
      <c r="BK3" s="829"/>
      <c r="BL3" s="829"/>
      <c r="BM3" s="829"/>
      <c r="BN3" s="829"/>
      <c r="BO3" s="829"/>
      <c r="BP3" s="829"/>
      <c r="BQ3" s="829"/>
      <c r="BR3" s="829"/>
      <c r="BS3" s="829"/>
      <c r="BT3" s="829"/>
      <c r="BU3" s="829"/>
      <c r="BV3" s="829"/>
      <c r="BW3" s="829"/>
      <c r="BX3" s="829"/>
      <c r="BY3" s="829"/>
      <c r="BZ3" s="829"/>
      <c r="CA3" s="829"/>
      <c r="CG3" s="1235"/>
      <c r="CH3" s="1235"/>
      <c r="CI3" s="1235"/>
      <c r="CJ3" s="1235"/>
      <c r="CK3" s="1235"/>
      <c r="CL3" s="1235"/>
    </row>
    <row r="4" spans="2:90" s="569" customFormat="1" x14ac:dyDescent="0.2">
      <c r="C4" s="568"/>
      <c r="D4" s="568"/>
      <c r="E4" s="568"/>
      <c r="F4" s="568"/>
      <c r="G4" s="568"/>
      <c r="H4" s="568"/>
      <c r="I4" s="568"/>
      <c r="J4" s="568"/>
      <c r="K4" s="568"/>
      <c r="L4" s="568"/>
      <c r="M4" s="589"/>
      <c r="N4" s="589"/>
      <c r="O4" s="589"/>
      <c r="P4" s="589"/>
      <c r="Q4" s="589"/>
      <c r="R4" s="589"/>
      <c r="S4" s="589"/>
      <c r="T4" s="589"/>
      <c r="U4" s="589"/>
      <c r="V4" s="589"/>
      <c r="W4" s="589"/>
      <c r="X4" s="589"/>
      <c r="Y4" s="589"/>
      <c r="Z4" s="589"/>
      <c r="AA4" s="589"/>
      <c r="AB4" s="589"/>
      <c r="AC4" s="589"/>
      <c r="AD4" s="589"/>
      <c r="AE4" s="589"/>
      <c r="AF4" s="1063"/>
      <c r="AG4" s="1063"/>
      <c r="AH4" s="1063"/>
      <c r="AI4" s="1063"/>
      <c r="AJ4" s="1063"/>
      <c r="AK4" s="1063"/>
      <c r="AL4" s="1063"/>
      <c r="AM4" s="1203"/>
      <c r="AN4" s="1203"/>
      <c r="AO4" s="1203"/>
      <c r="AP4" s="1203"/>
      <c r="AQ4" s="1203"/>
      <c r="AR4" s="1204"/>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G4" s="1235"/>
      <c r="CH4" s="1235"/>
      <c r="CI4" s="1235"/>
      <c r="CJ4" s="1235"/>
      <c r="CK4" s="1235"/>
      <c r="CL4" s="1235"/>
    </row>
    <row r="5" spans="2:90" x14ac:dyDescent="0.2">
      <c r="B5" s="115" t="s">
        <v>600</v>
      </c>
      <c r="C5" s="206" t="s">
        <v>1586</v>
      </c>
      <c r="D5" s="206">
        <v>42094</v>
      </c>
      <c r="E5" s="206" t="s">
        <v>1588</v>
      </c>
      <c r="F5" s="206" t="s">
        <v>1589</v>
      </c>
      <c r="G5" s="206" t="s">
        <v>1622</v>
      </c>
      <c r="H5" s="206" t="s">
        <v>1591</v>
      </c>
      <c r="I5" s="206" t="s">
        <v>1592</v>
      </c>
      <c r="J5" s="206" t="s">
        <v>1593</v>
      </c>
      <c r="K5" s="206" t="s">
        <v>1594</v>
      </c>
      <c r="L5" s="206" t="s">
        <v>1595</v>
      </c>
      <c r="M5" s="206" t="s">
        <v>1596</v>
      </c>
      <c r="N5" s="206">
        <v>43008</v>
      </c>
      <c r="O5" s="206" t="s">
        <v>1623</v>
      </c>
      <c r="P5" s="206" t="s">
        <v>1599</v>
      </c>
      <c r="Q5" s="206" t="s">
        <v>1600</v>
      </c>
      <c r="R5" s="206" t="s">
        <v>1601</v>
      </c>
      <c r="S5" s="206" t="s">
        <v>1602</v>
      </c>
      <c r="T5" s="206" t="s">
        <v>1624</v>
      </c>
      <c r="U5" s="206" t="s">
        <v>1603</v>
      </c>
      <c r="V5" s="206">
        <v>43738</v>
      </c>
      <c r="W5" s="206" t="s">
        <v>1605</v>
      </c>
      <c r="X5" s="206" t="s">
        <v>1606</v>
      </c>
      <c r="Y5" s="206" t="s">
        <v>1033</v>
      </c>
      <c r="Z5" s="206" t="s">
        <v>1096</v>
      </c>
      <c r="AA5" s="206" t="s">
        <v>1607</v>
      </c>
      <c r="AB5" s="206" t="s">
        <v>1625</v>
      </c>
      <c r="AC5" s="206" t="s">
        <v>1609</v>
      </c>
      <c r="AD5" s="206" t="s">
        <v>1177</v>
      </c>
      <c r="AE5" s="206" t="s">
        <v>1610</v>
      </c>
      <c r="AF5" s="206" t="s">
        <v>1611</v>
      </c>
      <c r="AG5" s="206" t="s">
        <v>1612</v>
      </c>
      <c r="AH5" s="206" t="s">
        <v>1613</v>
      </c>
      <c r="AI5" s="206" t="s">
        <v>1614</v>
      </c>
      <c r="AJ5" s="206" t="s">
        <v>1615</v>
      </c>
      <c r="AK5" s="206" t="s">
        <v>1616</v>
      </c>
      <c r="AL5" s="206" t="s">
        <v>1617</v>
      </c>
      <c r="AM5" s="206" t="s">
        <v>1618</v>
      </c>
      <c r="AN5" s="206" t="s">
        <v>1619</v>
      </c>
      <c r="AO5" s="206" t="s">
        <v>1626</v>
      </c>
      <c r="AP5" s="206" t="s">
        <v>1620</v>
      </c>
      <c r="AQ5" s="206" t="s">
        <v>1621</v>
      </c>
    </row>
    <row r="6" spans="2:90" x14ac:dyDescent="0.2">
      <c r="B6" s="130" t="s">
        <v>105</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row>
    <row r="7" spans="2:90" x14ac:dyDescent="0.2">
      <c r="B7" s="130" t="s">
        <v>102</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row>
    <row r="8" spans="2:90" x14ac:dyDescent="0.2">
      <c r="B8" s="130" t="s">
        <v>98</v>
      </c>
      <c r="C8" s="118">
        <v>312</v>
      </c>
      <c r="D8" s="118"/>
      <c r="E8" s="118">
        <v>0</v>
      </c>
      <c r="F8" s="118">
        <v>0</v>
      </c>
      <c r="G8" s="118">
        <v>0</v>
      </c>
      <c r="H8" s="215">
        <v>0</v>
      </c>
      <c r="I8" s="215">
        <v>0</v>
      </c>
      <c r="J8" s="215">
        <v>0</v>
      </c>
      <c r="K8" s="215">
        <v>0</v>
      </c>
      <c r="L8" s="215">
        <v>34</v>
      </c>
      <c r="M8" s="215">
        <v>34.156109999999998</v>
      </c>
      <c r="N8" s="215">
        <v>34.156109999999998</v>
      </c>
      <c r="O8" s="215">
        <v>34.156109999999998</v>
      </c>
      <c r="P8" s="215">
        <v>34</v>
      </c>
      <c r="Q8" s="215">
        <v>34</v>
      </c>
      <c r="R8" s="215">
        <v>34</v>
      </c>
      <c r="S8" s="215">
        <v>34</v>
      </c>
      <c r="T8" s="215">
        <v>34</v>
      </c>
      <c r="U8" s="215">
        <v>34</v>
      </c>
      <c r="V8" s="215">
        <v>34</v>
      </c>
      <c r="W8" s="215">
        <v>34</v>
      </c>
      <c r="X8" s="215">
        <v>34</v>
      </c>
      <c r="Y8" s="215">
        <v>34</v>
      </c>
      <c r="Z8" s="215">
        <v>34</v>
      </c>
      <c r="AA8" s="215">
        <v>34</v>
      </c>
      <c r="AB8" s="215">
        <v>34</v>
      </c>
      <c r="AC8" s="215">
        <v>34</v>
      </c>
      <c r="AD8" s="215">
        <v>34</v>
      </c>
      <c r="AE8" s="215">
        <v>34</v>
      </c>
      <c r="AF8" s="215">
        <v>34</v>
      </c>
      <c r="AG8" s="215">
        <v>34</v>
      </c>
      <c r="AH8" s="215">
        <v>34</v>
      </c>
      <c r="AI8" s="215">
        <v>34</v>
      </c>
      <c r="AJ8" s="215">
        <v>34</v>
      </c>
      <c r="AK8" s="215">
        <v>34</v>
      </c>
      <c r="AL8" s="215">
        <v>34</v>
      </c>
      <c r="AM8" s="215">
        <v>34</v>
      </c>
      <c r="AN8" s="215">
        <v>34</v>
      </c>
      <c r="AO8" s="215">
        <v>34</v>
      </c>
      <c r="AP8" s="215">
        <v>34</v>
      </c>
      <c r="AQ8" s="215">
        <v>34</v>
      </c>
    </row>
    <row r="9" spans="2:90" x14ac:dyDescent="0.2">
      <c r="B9" s="130" t="s">
        <v>987</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row>
    <row r="10" spans="2:90" x14ac:dyDescent="0.2">
      <c r="B10" s="130" t="s">
        <v>1150</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5">
        <v>0</v>
      </c>
      <c r="Y10" s="215">
        <v>0</v>
      </c>
      <c r="Z10" s="215">
        <v>0</v>
      </c>
      <c r="AA10" s="215">
        <v>0</v>
      </c>
      <c r="AB10" s="215">
        <v>0</v>
      </c>
      <c r="AC10" s="215">
        <v>127</v>
      </c>
      <c r="AD10" s="215">
        <v>21</v>
      </c>
      <c r="AE10" s="215">
        <v>59</v>
      </c>
      <c r="AF10" s="215">
        <v>1</v>
      </c>
      <c r="AG10" s="215">
        <v>0</v>
      </c>
      <c r="AH10" s="215">
        <v>0</v>
      </c>
      <c r="AI10" s="215">
        <v>0</v>
      </c>
      <c r="AJ10" s="215">
        <v>0</v>
      </c>
      <c r="AK10" s="215">
        <v>0</v>
      </c>
      <c r="AL10" s="215">
        <v>0</v>
      </c>
      <c r="AM10" s="215">
        <v>0</v>
      </c>
      <c r="AN10" s="215">
        <v>0</v>
      </c>
      <c r="AO10" s="215">
        <v>0</v>
      </c>
      <c r="AP10" s="215">
        <v>0</v>
      </c>
      <c r="AQ10" s="215">
        <v>0</v>
      </c>
    </row>
    <row r="11" spans="2:90" x14ac:dyDescent="0.2">
      <c r="B11" s="130" t="s">
        <v>224</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row>
    <row r="12" spans="2:90" hidden="1" outlineLevel="1" x14ac:dyDescent="0.2">
      <c r="B12" s="250" t="s">
        <v>94</v>
      </c>
      <c r="C12" s="219">
        <v>0</v>
      </c>
      <c r="D12" s="219"/>
      <c r="E12" s="219"/>
      <c r="F12" s="219">
        <v>0</v>
      </c>
      <c r="G12" s="219">
        <v>0</v>
      </c>
      <c r="H12" s="219">
        <v>0</v>
      </c>
      <c r="I12" s="219">
        <v>0</v>
      </c>
      <c r="J12" s="219">
        <v>0</v>
      </c>
      <c r="K12" s="219">
        <v>0</v>
      </c>
      <c r="L12" s="219">
        <v>0</v>
      </c>
      <c r="M12" s="219">
        <v>0</v>
      </c>
      <c r="N12" s="219">
        <v>0</v>
      </c>
      <c r="O12" s="219">
        <v>0</v>
      </c>
      <c r="P12" s="219">
        <v>0</v>
      </c>
      <c r="Q12" s="219">
        <v>0</v>
      </c>
      <c r="R12" s="219">
        <v>0</v>
      </c>
      <c r="S12" s="219">
        <v>0</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v>0</v>
      </c>
      <c r="AJ12" s="219">
        <v>0</v>
      </c>
      <c r="AK12" s="219">
        <v>0</v>
      </c>
      <c r="AL12" s="219">
        <v>0</v>
      </c>
      <c r="AM12" s="219">
        <v>0</v>
      </c>
      <c r="AN12" s="219">
        <v>0</v>
      </c>
      <c r="AO12" s="219"/>
      <c r="AP12" s="219">
        <v>0</v>
      </c>
      <c r="AQ12" s="219">
        <v>0</v>
      </c>
    </row>
    <row r="13" spans="2:90" hidden="1" outlineLevel="1" x14ac:dyDescent="0.2">
      <c r="B13" s="250" t="s">
        <v>867</v>
      </c>
      <c r="C13" s="219"/>
      <c r="D13" s="219"/>
      <c r="E13" s="219"/>
      <c r="F13" s="219"/>
      <c r="G13" s="219"/>
      <c r="H13" s="219"/>
      <c r="I13" s="219"/>
      <c r="J13" s="219"/>
      <c r="K13" s="219"/>
      <c r="L13" s="219"/>
      <c r="M13" s="219"/>
      <c r="N13" s="219"/>
      <c r="O13" s="219">
        <v>0</v>
      </c>
      <c r="P13" s="219"/>
      <c r="Q13" s="219"/>
      <c r="R13" s="219"/>
      <c r="S13" s="219"/>
      <c r="T13" s="219">
        <v>38</v>
      </c>
      <c r="U13" s="219">
        <v>0</v>
      </c>
      <c r="V13" s="219">
        <v>0</v>
      </c>
      <c r="W13" s="219">
        <v>0</v>
      </c>
      <c r="X13" s="219">
        <v>0</v>
      </c>
      <c r="Y13" s="219">
        <v>0</v>
      </c>
      <c r="Z13" s="219">
        <v>0</v>
      </c>
      <c r="AA13" s="219">
        <v>0</v>
      </c>
      <c r="AB13" s="219">
        <v>0</v>
      </c>
      <c r="AC13" s="219">
        <v>0</v>
      </c>
      <c r="AD13" s="219">
        <v>0</v>
      </c>
      <c r="AE13" s="219">
        <v>0</v>
      </c>
      <c r="AF13" s="219">
        <v>0</v>
      </c>
      <c r="AG13" s="219">
        <v>0</v>
      </c>
      <c r="AH13" s="219">
        <v>0</v>
      </c>
      <c r="AI13" s="219">
        <v>0</v>
      </c>
      <c r="AJ13" s="219">
        <v>0</v>
      </c>
      <c r="AK13" s="219">
        <v>0</v>
      </c>
      <c r="AL13" s="219">
        <v>0</v>
      </c>
      <c r="AM13" s="219">
        <v>0</v>
      </c>
      <c r="AN13" s="219">
        <v>0</v>
      </c>
      <c r="AO13" s="219"/>
      <c r="AP13" s="219">
        <v>0</v>
      </c>
      <c r="AQ13" s="219">
        <v>0</v>
      </c>
    </row>
    <row r="14" spans="2:90" hidden="1" outlineLevel="1" x14ac:dyDescent="0.2">
      <c r="B14" s="250" t="s">
        <v>101</v>
      </c>
      <c r="C14" s="219">
        <v>1118</v>
      </c>
      <c r="D14" s="219"/>
      <c r="E14" s="219">
        <v>102</v>
      </c>
      <c r="F14" s="219">
        <v>175</v>
      </c>
      <c r="G14" s="219">
        <v>1261</v>
      </c>
      <c r="H14" s="219">
        <v>397</v>
      </c>
      <c r="I14" s="219">
        <v>131</v>
      </c>
      <c r="J14" s="219">
        <v>611</v>
      </c>
      <c r="K14" s="219">
        <v>636</v>
      </c>
      <c r="L14" s="219">
        <v>293</v>
      </c>
      <c r="M14" s="219">
        <v>152.40390999999997</v>
      </c>
      <c r="N14" s="219">
        <v>315.459190000001</v>
      </c>
      <c r="O14" s="219">
        <v>315.459190000001</v>
      </c>
      <c r="P14" s="219">
        <v>192</v>
      </c>
      <c r="Q14" s="219">
        <v>3</v>
      </c>
      <c r="R14" s="219">
        <v>1</v>
      </c>
      <c r="S14" s="219">
        <v>1</v>
      </c>
      <c r="T14" s="219">
        <v>1</v>
      </c>
      <c r="U14" s="219">
        <v>0</v>
      </c>
      <c r="V14" s="219">
        <v>0</v>
      </c>
      <c r="W14" s="219">
        <v>0</v>
      </c>
      <c r="X14" s="219">
        <v>0</v>
      </c>
      <c r="Y14" s="219">
        <v>0</v>
      </c>
      <c r="Z14" s="219">
        <v>0</v>
      </c>
      <c r="AA14" s="219">
        <v>0</v>
      </c>
      <c r="AB14" s="219">
        <v>0</v>
      </c>
      <c r="AC14" s="219">
        <v>0</v>
      </c>
      <c r="AD14" s="219">
        <v>0</v>
      </c>
      <c r="AE14" s="219">
        <v>0</v>
      </c>
      <c r="AF14" s="219">
        <v>0</v>
      </c>
      <c r="AG14" s="219">
        <v>0</v>
      </c>
      <c r="AH14" s="219">
        <v>0</v>
      </c>
      <c r="AI14" s="219">
        <v>0</v>
      </c>
      <c r="AJ14" s="219">
        <v>0</v>
      </c>
      <c r="AK14" s="219">
        <v>0</v>
      </c>
      <c r="AL14" s="219">
        <v>0</v>
      </c>
      <c r="AM14" s="219">
        <v>0</v>
      </c>
      <c r="AN14" s="219">
        <v>0</v>
      </c>
      <c r="AO14" s="219"/>
      <c r="AP14" s="219">
        <v>0</v>
      </c>
      <c r="AQ14" s="219">
        <v>0</v>
      </c>
    </row>
    <row r="15" spans="2:90" ht="12.75" hidden="1" customHeight="1" outlineLevel="1" x14ac:dyDescent="0.2">
      <c r="B15" s="250" t="s">
        <v>95</v>
      </c>
      <c r="C15" s="219">
        <v>0</v>
      </c>
      <c r="D15" s="219"/>
      <c r="E15" s="219">
        <v>105</v>
      </c>
      <c r="F15" s="219">
        <v>23</v>
      </c>
      <c r="G15" s="219">
        <v>0</v>
      </c>
      <c r="H15" s="219">
        <v>0</v>
      </c>
      <c r="I15" s="219">
        <v>0</v>
      </c>
      <c r="J15" s="219">
        <v>0</v>
      </c>
      <c r="K15" s="219">
        <v>0</v>
      </c>
      <c r="L15" s="219">
        <v>0</v>
      </c>
      <c r="M15" s="219">
        <v>0</v>
      </c>
      <c r="N15" s="219">
        <v>0</v>
      </c>
      <c r="O15" s="219">
        <v>0</v>
      </c>
      <c r="P15" s="219">
        <v>133</v>
      </c>
      <c r="Q15" s="219">
        <v>594</v>
      </c>
      <c r="R15" s="219">
        <v>1077</v>
      </c>
      <c r="S15" s="219">
        <v>3477</v>
      </c>
      <c r="T15" s="219">
        <v>2072</v>
      </c>
      <c r="U15" s="219">
        <v>2785</v>
      </c>
      <c r="V15" s="219">
        <v>19</v>
      </c>
      <c r="W15" s="219">
        <v>405</v>
      </c>
      <c r="X15" s="219">
        <v>435</v>
      </c>
      <c r="Y15" s="219">
        <v>25</v>
      </c>
      <c r="Z15" s="219">
        <v>14</v>
      </c>
      <c r="AA15" s="219">
        <v>46</v>
      </c>
      <c r="AB15" s="219">
        <v>39</v>
      </c>
      <c r="AC15" s="219">
        <v>13</v>
      </c>
      <c r="AD15" s="219">
        <v>0</v>
      </c>
      <c r="AE15" s="219">
        <v>0</v>
      </c>
      <c r="AF15" s="219">
        <v>0</v>
      </c>
      <c r="AG15" s="219">
        <v>0</v>
      </c>
      <c r="AH15" s="219">
        <v>0</v>
      </c>
      <c r="AI15" s="219">
        <v>0</v>
      </c>
      <c r="AJ15" s="219">
        <v>0</v>
      </c>
      <c r="AK15" s="219">
        <v>0</v>
      </c>
      <c r="AL15" s="219">
        <v>0</v>
      </c>
      <c r="AM15" s="219">
        <v>0</v>
      </c>
      <c r="AN15" s="219">
        <v>0</v>
      </c>
      <c r="AO15" s="219"/>
      <c r="AP15" s="219">
        <v>0</v>
      </c>
      <c r="AQ15" s="219">
        <v>0</v>
      </c>
    </row>
    <row r="16" spans="2:90" hidden="1" outlineLevel="1" x14ac:dyDescent="0.2">
      <c r="B16" s="250" t="s">
        <v>936</v>
      </c>
      <c r="C16" s="219">
        <v>0</v>
      </c>
      <c r="D16" s="219"/>
      <c r="E16" s="219">
        <v>0</v>
      </c>
      <c r="F16" s="219">
        <v>0</v>
      </c>
      <c r="G16" s="219">
        <v>0</v>
      </c>
      <c r="H16" s="1176">
        <v>0</v>
      </c>
      <c r="I16" s="1176">
        <v>0</v>
      </c>
      <c r="J16" s="1176">
        <v>0</v>
      </c>
      <c r="K16" s="1176">
        <v>0</v>
      </c>
      <c r="L16" s="1176">
        <v>0</v>
      </c>
      <c r="M16" s="1176">
        <v>0</v>
      </c>
      <c r="N16" s="1176">
        <v>0</v>
      </c>
      <c r="O16" s="1176">
        <v>0</v>
      </c>
      <c r="P16" s="1176">
        <v>0</v>
      </c>
      <c r="Q16" s="1176">
        <v>0</v>
      </c>
      <c r="R16" s="1176">
        <v>0</v>
      </c>
      <c r="S16" s="1176">
        <v>0</v>
      </c>
      <c r="T16" s="1176">
        <v>0</v>
      </c>
      <c r="U16" s="1176">
        <v>2</v>
      </c>
      <c r="V16" s="1176">
        <v>1</v>
      </c>
      <c r="W16" s="1176">
        <v>1</v>
      </c>
      <c r="X16" s="1176">
        <v>0</v>
      </c>
      <c r="Y16" s="1176">
        <v>0</v>
      </c>
      <c r="Z16" s="1176">
        <v>1</v>
      </c>
      <c r="AA16" s="1176">
        <v>1</v>
      </c>
      <c r="AB16" s="1176">
        <v>1</v>
      </c>
      <c r="AC16" s="1176">
        <v>1</v>
      </c>
      <c r="AD16" s="1176">
        <v>1</v>
      </c>
      <c r="AE16" s="1176">
        <v>0</v>
      </c>
      <c r="AF16" s="1176">
        <v>0</v>
      </c>
      <c r="AG16" s="1176">
        <v>0</v>
      </c>
      <c r="AH16" s="1176">
        <v>0</v>
      </c>
      <c r="AI16" s="1176">
        <v>0</v>
      </c>
      <c r="AJ16" s="1176">
        <v>0</v>
      </c>
      <c r="AK16" s="1176">
        <v>0</v>
      </c>
      <c r="AL16" s="1176">
        <v>0</v>
      </c>
      <c r="AM16" s="1176">
        <v>0</v>
      </c>
      <c r="AN16" s="1176">
        <v>0</v>
      </c>
      <c r="AO16" s="1176"/>
      <c r="AP16" s="1176">
        <v>0</v>
      </c>
      <c r="AQ16" s="1176">
        <v>0</v>
      </c>
    </row>
    <row r="17" spans="2:43" hidden="1" outlineLevel="1" x14ac:dyDescent="0.2">
      <c r="B17" s="250" t="s">
        <v>96</v>
      </c>
      <c r="C17" s="219">
        <v>0</v>
      </c>
      <c r="D17" s="219"/>
      <c r="E17" s="219">
        <v>66</v>
      </c>
      <c r="F17" s="219">
        <v>4</v>
      </c>
      <c r="G17" s="219">
        <v>0</v>
      </c>
      <c r="H17" s="219">
        <v>0</v>
      </c>
      <c r="I17" s="219">
        <v>0</v>
      </c>
      <c r="J17" s="219">
        <v>0</v>
      </c>
      <c r="K17" s="219">
        <v>0</v>
      </c>
      <c r="L17" s="219">
        <v>0</v>
      </c>
      <c r="M17" s="219">
        <v>0</v>
      </c>
      <c r="N17" s="219">
        <v>0</v>
      </c>
      <c r="O17" s="219">
        <v>0</v>
      </c>
      <c r="P17" s="219">
        <v>0</v>
      </c>
      <c r="Q17" s="219">
        <v>0</v>
      </c>
      <c r="R17" s="219">
        <v>0</v>
      </c>
      <c r="S17" s="219">
        <v>0</v>
      </c>
      <c r="T17" s="219">
        <v>0</v>
      </c>
      <c r="U17" s="219">
        <v>0</v>
      </c>
      <c r="V17" s="219">
        <v>0</v>
      </c>
      <c r="W17" s="219">
        <v>0</v>
      </c>
      <c r="X17" s="219">
        <v>0</v>
      </c>
      <c r="Y17" s="219">
        <v>0</v>
      </c>
      <c r="Z17" s="219">
        <v>0</v>
      </c>
      <c r="AA17" s="219">
        <v>0</v>
      </c>
      <c r="AB17" s="219">
        <v>0</v>
      </c>
      <c r="AC17" s="219">
        <v>0</v>
      </c>
      <c r="AD17" s="219">
        <v>0</v>
      </c>
      <c r="AE17" s="219">
        <v>0</v>
      </c>
      <c r="AF17" s="219">
        <v>0</v>
      </c>
      <c r="AG17" s="219">
        <v>0</v>
      </c>
      <c r="AH17" s="219">
        <v>0</v>
      </c>
      <c r="AI17" s="219">
        <v>0</v>
      </c>
      <c r="AJ17" s="219">
        <v>0</v>
      </c>
      <c r="AK17" s="219">
        <v>0</v>
      </c>
      <c r="AL17" s="219">
        <v>0</v>
      </c>
      <c r="AM17" s="219">
        <v>0</v>
      </c>
      <c r="AN17" s="219">
        <v>0</v>
      </c>
      <c r="AO17" s="219"/>
      <c r="AP17" s="219">
        <v>0</v>
      </c>
      <c r="AQ17" s="219">
        <v>0</v>
      </c>
    </row>
    <row r="18" spans="2:43" hidden="1" outlineLevel="1" x14ac:dyDescent="0.2">
      <c r="B18" s="250" t="s">
        <v>1233</v>
      </c>
      <c r="C18" s="219">
        <v>0</v>
      </c>
      <c r="D18" s="219"/>
      <c r="E18" s="219">
        <v>0</v>
      </c>
      <c r="F18" s="219">
        <v>0</v>
      </c>
      <c r="G18" s="219">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219">
        <v>0</v>
      </c>
      <c r="Z18" s="219">
        <v>0</v>
      </c>
      <c r="AA18" s="219">
        <v>0</v>
      </c>
      <c r="AB18" s="219">
        <v>0</v>
      </c>
      <c r="AC18" s="219">
        <v>0</v>
      </c>
      <c r="AD18" s="219">
        <v>0</v>
      </c>
      <c r="AE18" s="219">
        <v>0</v>
      </c>
      <c r="AF18" s="219">
        <v>0</v>
      </c>
      <c r="AG18" s="219">
        <v>0</v>
      </c>
      <c r="AH18" s="219">
        <v>0</v>
      </c>
      <c r="AI18" s="219">
        <v>0</v>
      </c>
      <c r="AJ18" s="219">
        <v>0</v>
      </c>
      <c r="AK18" s="219">
        <v>0</v>
      </c>
      <c r="AL18" s="219">
        <v>0</v>
      </c>
      <c r="AM18" s="219">
        <v>0</v>
      </c>
      <c r="AN18" s="219">
        <v>0</v>
      </c>
      <c r="AO18" s="219"/>
      <c r="AP18" s="219">
        <v>0</v>
      </c>
      <c r="AQ18" s="219">
        <v>0</v>
      </c>
    </row>
    <row r="19" spans="2:43" ht="14.25" hidden="1" customHeight="1" outlineLevel="1" x14ac:dyDescent="0.2">
      <c r="B19" s="250" t="s">
        <v>97</v>
      </c>
      <c r="C19" s="219">
        <v>0</v>
      </c>
      <c r="D19" s="219"/>
      <c r="E19" s="219"/>
      <c r="F19" s="219">
        <v>0</v>
      </c>
      <c r="G19" s="219">
        <v>0</v>
      </c>
      <c r="H19" s="219">
        <v>0</v>
      </c>
      <c r="I19" s="219">
        <v>0</v>
      </c>
      <c r="J19" s="219">
        <v>0</v>
      </c>
      <c r="K19" s="219">
        <v>0</v>
      </c>
      <c r="L19" s="219">
        <v>0</v>
      </c>
      <c r="M19" s="219">
        <v>0</v>
      </c>
      <c r="N19" s="219">
        <v>0</v>
      </c>
      <c r="O19" s="219">
        <v>0</v>
      </c>
      <c r="P19" s="219">
        <v>0</v>
      </c>
      <c r="Q19" s="219">
        <v>0</v>
      </c>
      <c r="R19" s="219">
        <v>0</v>
      </c>
      <c r="S19" s="219">
        <v>0</v>
      </c>
      <c r="T19" s="219">
        <v>0</v>
      </c>
      <c r="U19" s="219">
        <v>0</v>
      </c>
      <c r="V19" s="219">
        <v>0</v>
      </c>
      <c r="W19" s="219">
        <v>0</v>
      </c>
      <c r="X19" s="219">
        <v>1</v>
      </c>
      <c r="Y19" s="219">
        <v>1</v>
      </c>
      <c r="Z19" s="219">
        <v>0</v>
      </c>
      <c r="AA19" s="219">
        <v>0</v>
      </c>
      <c r="AB19" s="219">
        <v>0</v>
      </c>
      <c r="AC19" s="219">
        <v>0</v>
      </c>
      <c r="AD19" s="219">
        <v>0</v>
      </c>
      <c r="AE19" s="219">
        <v>0</v>
      </c>
      <c r="AF19" s="219">
        <v>0</v>
      </c>
      <c r="AG19" s="219">
        <v>0</v>
      </c>
      <c r="AH19" s="219">
        <v>0</v>
      </c>
      <c r="AI19" s="219">
        <v>0</v>
      </c>
      <c r="AJ19" s="219">
        <v>0</v>
      </c>
      <c r="AK19" s="219">
        <v>0</v>
      </c>
      <c r="AL19" s="219">
        <v>0</v>
      </c>
      <c r="AM19" s="219">
        <v>0</v>
      </c>
      <c r="AN19" s="219">
        <v>0</v>
      </c>
      <c r="AO19" s="219"/>
      <c r="AP19" s="219">
        <v>0</v>
      </c>
      <c r="AQ19" s="219">
        <v>0</v>
      </c>
    </row>
    <row r="20" spans="2:43" collapsed="1" x14ac:dyDescent="0.2">
      <c r="B20" s="207" t="s">
        <v>601</v>
      </c>
      <c r="C20" s="208">
        <f t="shared" ref="C20:AM20" si="0">SUM(C6:C11)</f>
        <v>11368</v>
      </c>
      <c r="D20" s="208"/>
      <c r="E20" s="208">
        <f t="shared" si="0"/>
        <v>1101</v>
      </c>
      <c r="F20" s="208">
        <f t="shared" si="0"/>
        <v>382</v>
      </c>
      <c r="G20" s="208">
        <f t="shared" si="0"/>
        <v>590</v>
      </c>
      <c r="H20" s="208">
        <f t="shared" si="0"/>
        <v>401</v>
      </c>
      <c r="I20" s="208">
        <f t="shared" si="0"/>
        <v>203</v>
      </c>
      <c r="J20" s="208">
        <f t="shared" si="0"/>
        <v>199</v>
      </c>
      <c r="K20" s="208">
        <f t="shared" si="0"/>
        <v>134</v>
      </c>
      <c r="L20" s="208">
        <f t="shared" si="0"/>
        <v>220</v>
      </c>
      <c r="M20" s="208">
        <f t="shared" si="0"/>
        <v>309.8438899999997</v>
      </c>
      <c r="N20" s="208">
        <f t="shared" si="0"/>
        <v>298.62268999999986</v>
      </c>
      <c r="O20" s="208">
        <f t="shared" si="0"/>
        <v>298.62268999999986</v>
      </c>
      <c r="P20" s="208">
        <f t="shared" si="0"/>
        <v>277</v>
      </c>
      <c r="Q20" s="208">
        <f t="shared" si="0"/>
        <v>328</v>
      </c>
      <c r="R20" s="208">
        <f t="shared" si="0"/>
        <v>429</v>
      </c>
      <c r="S20" s="208">
        <f t="shared" si="0"/>
        <v>599</v>
      </c>
      <c r="T20" s="208">
        <f t="shared" si="0"/>
        <v>615</v>
      </c>
      <c r="U20" s="208">
        <f t="shared" si="0"/>
        <v>213</v>
      </c>
      <c r="V20" s="208">
        <f t="shared" si="0"/>
        <v>181</v>
      </c>
      <c r="W20" s="208">
        <f t="shared" si="0"/>
        <v>278</v>
      </c>
      <c r="X20" s="208">
        <f t="shared" si="0"/>
        <v>122</v>
      </c>
      <c r="Y20" s="208">
        <f t="shared" si="0"/>
        <v>86</v>
      </c>
      <c r="Z20" s="208">
        <f t="shared" si="0"/>
        <v>112</v>
      </c>
      <c r="AA20" s="208">
        <f t="shared" si="0"/>
        <v>135</v>
      </c>
      <c r="AB20" s="208">
        <f t="shared" si="0"/>
        <v>202</v>
      </c>
      <c r="AC20" s="208">
        <f t="shared" si="0"/>
        <v>225</v>
      </c>
      <c r="AD20" s="208">
        <f t="shared" si="0"/>
        <v>92</v>
      </c>
      <c r="AE20" s="208">
        <f t="shared" si="0"/>
        <v>94</v>
      </c>
      <c r="AF20" s="208">
        <f t="shared" si="0"/>
        <v>35</v>
      </c>
      <c r="AG20" s="208">
        <f t="shared" si="0"/>
        <v>35</v>
      </c>
      <c r="AH20" s="208">
        <f t="shared" si="0"/>
        <v>34</v>
      </c>
      <c r="AI20" s="208">
        <f t="shared" si="0"/>
        <v>181</v>
      </c>
      <c r="AJ20" s="208">
        <f t="shared" si="0"/>
        <v>197</v>
      </c>
      <c r="AK20" s="208">
        <f t="shared" si="0"/>
        <v>347</v>
      </c>
      <c r="AL20" s="208">
        <f t="shared" si="0"/>
        <v>268</v>
      </c>
      <c r="AM20" s="208">
        <f t="shared" si="0"/>
        <v>292</v>
      </c>
      <c r="AN20" s="208">
        <f>SUM(AN6:AN11)</f>
        <v>378</v>
      </c>
      <c r="AO20" s="208">
        <f>SUM(AO6:AO11)</f>
        <v>435</v>
      </c>
      <c r="AP20" s="208">
        <f>SUM(AP6:AP11)</f>
        <v>1027</v>
      </c>
      <c r="AQ20" s="208">
        <f>SUM(AQ6:AQ11)</f>
        <v>537</v>
      </c>
    </row>
    <row r="21" spans="2:43" x14ac:dyDescent="0.2">
      <c r="B21" s="130" t="s">
        <v>99</v>
      </c>
      <c r="C21" s="118">
        <v>124</v>
      </c>
      <c r="D21" s="118"/>
      <c r="E21" s="118">
        <v>124</v>
      </c>
      <c r="F21" s="118">
        <v>124</v>
      </c>
      <c r="G21" s="118">
        <v>124</v>
      </c>
      <c r="H21" s="215">
        <v>124</v>
      </c>
      <c r="I21" s="215">
        <v>0</v>
      </c>
      <c r="J21" s="215">
        <v>0</v>
      </c>
      <c r="K21" s="215">
        <v>0</v>
      </c>
      <c r="L21" s="215">
        <v>0</v>
      </c>
      <c r="M21" s="215">
        <v>0</v>
      </c>
      <c r="N21" s="215">
        <v>0</v>
      </c>
      <c r="O21" s="215">
        <v>0</v>
      </c>
      <c r="P21" s="215">
        <v>0</v>
      </c>
      <c r="Q21" s="215">
        <v>0</v>
      </c>
      <c r="R21" s="215">
        <v>0</v>
      </c>
      <c r="S21" s="215">
        <v>0</v>
      </c>
      <c r="T21" s="215">
        <v>0</v>
      </c>
      <c r="U21" s="215">
        <v>0</v>
      </c>
      <c r="V21" s="215">
        <v>0</v>
      </c>
      <c r="W21" s="215">
        <v>0</v>
      </c>
      <c r="X21" s="215">
        <v>0</v>
      </c>
      <c r="Y21" s="215">
        <v>0</v>
      </c>
      <c r="Z21" s="215">
        <v>0</v>
      </c>
      <c r="AA21" s="215">
        <v>0</v>
      </c>
      <c r="AB21" s="215">
        <v>0</v>
      </c>
      <c r="AC21" s="215"/>
      <c r="AD21" s="215"/>
      <c r="AE21" s="215"/>
      <c r="AF21" s="215">
        <v>0</v>
      </c>
      <c r="AG21" s="215">
        <v>0</v>
      </c>
      <c r="AH21" s="215">
        <v>0</v>
      </c>
      <c r="AI21" s="215">
        <v>0</v>
      </c>
      <c r="AJ21" s="215">
        <v>0</v>
      </c>
      <c r="AK21" s="215">
        <v>0</v>
      </c>
      <c r="AL21" s="215">
        <v>0</v>
      </c>
      <c r="AM21" s="215">
        <v>0</v>
      </c>
      <c r="AN21" s="215">
        <v>0</v>
      </c>
      <c r="AO21" s="215" t="s">
        <v>47</v>
      </c>
      <c r="AP21" s="215">
        <v>0</v>
      </c>
      <c r="AQ21" s="215">
        <v>0</v>
      </c>
    </row>
    <row r="22" spans="2:43" x14ac:dyDescent="0.2">
      <c r="B22" s="130" t="s">
        <v>1234</v>
      </c>
      <c r="C22" s="118" t="s">
        <v>47</v>
      </c>
      <c r="D22" s="118"/>
      <c r="E22" s="118" t="s">
        <v>47</v>
      </c>
      <c r="F22" s="118" t="s">
        <v>47</v>
      </c>
      <c r="G22" s="118" t="s">
        <v>47</v>
      </c>
      <c r="H22" s="118" t="s">
        <v>47</v>
      </c>
      <c r="I22" s="118" t="s">
        <v>47</v>
      </c>
      <c r="J22" s="118" t="s">
        <v>47</v>
      </c>
      <c r="K22" s="118" t="s">
        <v>47</v>
      </c>
      <c r="L22" s="118" t="s">
        <v>47</v>
      </c>
      <c r="M22" s="118" t="s">
        <v>47</v>
      </c>
      <c r="N22" s="118" t="s">
        <v>47</v>
      </c>
      <c r="O22" s="118">
        <v>0</v>
      </c>
      <c r="P22" s="118" t="s">
        <v>47</v>
      </c>
      <c r="Q22" s="118" t="s">
        <v>47</v>
      </c>
      <c r="R22" s="118">
        <v>17713</v>
      </c>
      <c r="S22" s="118">
        <v>15626</v>
      </c>
      <c r="T22" s="118">
        <v>15964</v>
      </c>
      <c r="U22" s="262">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row>
    <row r="23" spans="2:43" x14ac:dyDescent="0.2">
      <c r="B23" s="207" t="s">
        <v>602</v>
      </c>
      <c r="C23" s="208">
        <f t="shared" ref="C23:W23" si="1">SUM(C21:C22)</f>
        <v>124</v>
      </c>
      <c r="D23" s="208"/>
      <c r="E23" s="208">
        <f t="shared" si="1"/>
        <v>124</v>
      </c>
      <c r="F23" s="208">
        <f t="shared" si="1"/>
        <v>124</v>
      </c>
      <c r="G23" s="208">
        <f t="shared" si="1"/>
        <v>124</v>
      </c>
      <c r="H23" s="208">
        <f t="shared" si="1"/>
        <v>124</v>
      </c>
      <c r="I23" s="208">
        <f t="shared" si="1"/>
        <v>0</v>
      </c>
      <c r="J23" s="208">
        <f t="shared" si="1"/>
        <v>0</v>
      </c>
      <c r="K23" s="208">
        <f t="shared" si="1"/>
        <v>0</v>
      </c>
      <c r="L23" s="208">
        <f t="shared" si="1"/>
        <v>0</v>
      </c>
      <c r="M23" s="208">
        <f t="shared" si="1"/>
        <v>0</v>
      </c>
      <c r="N23" s="208">
        <f t="shared" si="1"/>
        <v>0</v>
      </c>
      <c r="O23" s="208">
        <f t="shared" si="1"/>
        <v>0</v>
      </c>
      <c r="P23" s="208">
        <f t="shared" si="1"/>
        <v>0</v>
      </c>
      <c r="Q23" s="208">
        <f t="shared" si="1"/>
        <v>0</v>
      </c>
      <c r="R23" s="208">
        <f t="shared" si="1"/>
        <v>17713</v>
      </c>
      <c r="S23" s="208">
        <f t="shared" si="1"/>
        <v>15626</v>
      </c>
      <c r="T23" s="208">
        <f t="shared" si="1"/>
        <v>15964</v>
      </c>
      <c r="U23" s="208">
        <f t="shared" si="1"/>
        <v>3371</v>
      </c>
      <c r="V23" s="208">
        <f t="shared" si="1"/>
        <v>3676</v>
      </c>
      <c r="W23" s="208">
        <f t="shared" si="1"/>
        <v>1115</v>
      </c>
      <c r="X23" s="208">
        <f t="shared" ref="X23:AG23" si="2">SUM(X21:X22)</f>
        <v>1115</v>
      </c>
      <c r="Y23" s="208">
        <f t="shared" si="2"/>
        <v>1115</v>
      </c>
      <c r="Z23" s="208">
        <f t="shared" si="2"/>
        <v>1115</v>
      </c>
      <c r="AA23" s="208">
        <f t="shared" si="2"/>
        <v>1115</v>
      </c>
      <c r="AB23" s="208">
        <f t="shared" si="2"/>
        <v>1115</v>
      </c>
      <c r="AC23" s="208">
        <f t="shared" si="2"/>
        <v>1115</v>
      </c>
      <c r="AD23" s="208">
        <f t="shared" si="2"/>
        <v>1115</v>
      </c>
      <c r="AE23" s="208">
        <f t="shared" si="2"/>
        <v>1115</v>
      </c>
      <c r="AF23" s="208">
        <f t="shared" si="2"/>
        <v>1115</v>
      </c>
      <c r="AG23" s="208">
        <f t="shared" si="2"/>
        <v>1115</v>
      </c>
      <c r="AH23" s="208">
        <f t="shared" ref="AH23:AN23" si="3">SUM(AH21:AH22)</f>
        <v>1115</v>
      </c>
      <c r="AI23" s="208">
        <f t="shared" si="3"/>
        <v>1115</v>
      </c>
      <c r="AJ23" s="208">
        <f t="shared" si="3"/>
        <v>1115</v>
      </c>
      <c r="AK23" s="208">
        <f t="shared" si="3"/>
        <v>1115</v>
      </c>
      <c r="AL23" s="208">
        <f t="shared" si="3"/>
        <v>1115</v>
      </c>
      <c r="AM23" s="208">
        <f t="shared" si="3"/>
        <v>1115</v>
      </c>
      <c r="AN23" s="208">
        <f t="shared" si="3"/>
        <v>1115</v>
      </c>
      <c r="AO23" s="208">
        <f>SUM(AO21:AO22)</f>
        <v>1115</v>
      </c>
      <c r="AP23" s="208">
        <f>SUM(AP21:AP22)</f>
        <v>1115</v>
      </c>
      <c r="AQ23" s="208">
        <f>SUM(AQ21:AQ22)</f>
        <v>1115</v>
      </c>
    </row>
    <row r="24" spans="2:43" x14ac:dyDescent="0.2">
      <c r="B24" s="130" t="s">
        <v>936</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row>
    <row r="25" spans="2:43" x14ac:dyDescent="0.2">
      <c r="B25" s="130" t="s">
        <v>981</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row>
    <row r="26" spans="2:43" x14ac:dyDescent="0.2">
      <c r="B26" s="207" t="s">
        <v>959</v>
      </c>
      <c r="C26" s="208">
        <f>SUM(C24:C25)</f>
        <v>0</v>
      </c>
      <c r="D26" s="208"/>
      <c r="E26" s="208">
        <f t="shared" ref="E26:W26" si="4">SUM(E24:E25)</f>
        <v>0</v>
      </c>
      <c r="F26" s="208">
        <f t="shared" si="4"/>
        <v>0</v>
      </c>
      <c r="G26" s="208">
        <f t="shared" si="4"/>
        <v>0</v>
      </c>
      <c r="H26" s="208">
        <f t="shared" si="4"/>
        <v>0</v>
      </c>
      <c r="I26" s="208">
        <f t="shared" si="4"/>
        <v>0</v>
      </c>
      <c r="J26" s="208">
        <f t="shared" si="4"/>
        <v>0</v>
      </c>
      <c r="K26" s="208">
        <f t="shared" si="4"/>
        <v>0</v>
      </c>
      <c r="L26" s="208">
        <f t="shared" si="4"/>
        <v>0</v>
      </c>
      <c r="M26" s="208">
        <f t="shared" si="4"/>
        <v>0</v>
      </c>
      <c r="N26" s="208">
        <f t="shared" si="4"/>
        <v>0</v>
      </c>
      <c r="O26" s="208">
        <f t="shared" si="4"/>
        <v>0</v>
      </c>
      <c r="P26" s="208">
        <f t="shared" si="4"/>
        <v>0</v>
      </c>
      <c r="Q26" s="208">
        <f t="shared" si="4"/>
        <v>0</v>
      </c>
      <c r="R26" s="208">
        <f t="shared" si="4"/>
        <v>0</v>
      </c>
      <c r="S26" s="208">
        <f t="shared" si="4"/>
        <v>0</v>
      </c>
      <c r="T26" s="208">
        <f t="shared" si="4"/>
        <v>0</v>
      </c>
      <c r="U26" s="208">
        <f t="shared" si="4"/>
        <v>0</v>
      </c>
      <c r="V26" s="208">
        <f t="shared" si="4"/>
        <v>0</v>
      </c>
      <c r="W26" s="208">
        <f t="shared" si="4"/>
        <v>2600</v>
      </c>
      <c r="X26" s="208">
        <f t="shared" ref="X26:AC26" si="5">SUM(X24:X25)</f>
        <v>3600</v>
      </c>
      <c r="Y26" s="208">
        <f t="shared" si="5"/>
        <v>4600</v>
      </c>
      <c r="Z26" s="208">
        <f t="shared" si="5"/>
        <v>4600</v>
      </c>
      <c r="AA26" s="208">
        <f t="shared" si="5"/>
        <v>3956</v>
      </c>
      <c r="AB26" s="208">
        <f t="shared" si="5"/>
        <v>3965</v>
      </c>
      <c r="AC26" s="208">
        <f t="shared" si="5"/>
        <v>4253</v>
      </c>
      <c r="AD26" s="208">
        <f t="shared" ref="AD26:AN26" si="6">SUM(AD24:AD25)</f>
        <v>3824</v>
      </c>
      <c r="AE26" s="208">
        <f t="shared" si="6"/>
        <v>3636</v>
      </c>
      <c r="AF26" s="208">
        <f t="shared" si="6"/>
        <v>3753</v>
      </c>
      <c r="AG26" s="208">
        <f t="shared" si="6"/>
        <v>0</v>
      </c>
      <c r="AH26" s="208">
        <f t="shared" si="6"/>
        <v>0</v>
      </c>
      <c r="AI26" s="208">
        <f t="shared" si="6"/>
        <v>0</v>
      </c>
      <c r="AJ26" s="208">
        <f t="shared" si="6"/>
        <v>0</v>
      </c>
      <c r="AK26" s="208">
        <f t="shared" si="6"/>
        <v>0</v>
      </c>
      <c r="AL26" s="208">
        <f t="shared" si="6"/>
        <v>0</v>
      </c>
      <c r="AM26" s="208">
        <f t="shared" si="6"/>
        <v>0</v>
      </c>
      <c r="AN26" s="208">
        <f t="shared" si="6"/>
        <v>0</v>
      </c>
      <c r="AO26" s="208">
        <f>SUM(AO24:AO25)</f>
        <v>0</v>
      </c>
      <c r="AP26" s="208">
        <v>0</v>
      </c>
      <c r="AQ26" s="208">
        <f>SUM(AQ24:AQ25)</f>
        <v>0</v>
      </c>
    </row>
    <row r="27" spans="2:43" ht="13.5" customHeight="1" x14ac:dyDescent="0.2">
      <c r="B27" s="130" t="s">
        <v>981</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77">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row>
    <row r="28" spans="2:43" ht="15" customHeight="1" x14ac:dyDescent="0.2">
      <c r="B28" s="207" t="s">
        <v>1323</v>
      </c>
      <c r="C28" s="208">
        <f t="shared" ref="C28:AH28" si="7">C27</f>
        <v>0</v>
      </c>
      <c r="D28" s="208"/>
      <c r="E28" s="208">
        <f t="shared" si="7"/>
        <v>0</v>
      </c>
      <c r="F28" s="208">
        <f t="shared" si="7"/>
        <v>0</v>
      </c>
      <c r="G28" s="208">
        <f t="shared" si="7"/>
        <v>0</v>
      </c>
      <c r="H28" s="208">
        <f t="shared" si="7"/>
        <v>0</v>
      </c>
      <c r="I28" s="208">
        <f t="shared" si="7"/>
        <v>0</v>
      </c>
      <c r="J28" s="208">
        <f t="shared" si="7"/>
        <v>0</v>
      </c>
      <c r="K28" s="208">
        <f t="shared" si="7"/>
        <v>0</v>
      </c>
      <c r="L28" s="208">
        <f t="shared" si="7"/>
        <v>0</v>
      </c>
      <c r="M28" s="208">
        <f t="shared" si="7"/>
        <v>0</v>
      </c>
      <c r="N28" s="208">
        <f t="shared" si="7"/>
        <v>0</v>
      </c>
      <c r="O28" s="208">
        <f t="shared" si="7"/>
        <v>0</v>
      </c>
      <c r="P28" s="208">
        <f t="shared" si="7"/>
        <v>0</v>
      </c>
      <c r="Q28" s="208">
        <f t="shared" si="7"/>
        <v>0</v>
      </c>
      <c r="R28" s="208">
        <f t="shared" si="7"/>
        <v>0</v>
      </c>
      <c r="S28" s="208">
        <f t="shared" si="7"/>
        <v>0</v>
      </c>
      <c r="T28" s="208">
        <f t="shared" si="7"/>
        <v>0</v>
      </c>
      <c r="U28" s="208">
        <f t="shared" si="7"/>
        <v>0</v>
      </c>
      <c r="V28" s="208">
        <f t="shared" si="7"/>
        <v>0</v>
      </c>
      <c r="W28" s="208">
        <f t="shared" si="7"/>
        <v>0</v>
      </c>
      <c r="X28" s="208">
        <f t="shared" si="7"/>
        <v>0</v>
      </c>
      <c r="Y28" s="208">
        <f t="shared" si="7"/>
        <v>0</v>
      </c>
      <c r="Z28" s="208">
        <f t="shared" si="7"/>
        <v>0</v>
      </c>
      <c r="AA28" s="208">
        <f t="shared" si="7"/>
        <v>0</v>
      </c>
      <c r="AB28" s="1177">
        <f t="shared" si="7"/>
        <v>0</v>
      </c>
      <c r="AC28" s="208">
        <f t="shared" si="7"/>
        <v>0</v>
      </c>
      <c r="AD28" s="208">
        <f t="shared" si="7"/>
        <v>0</v>
      </c>
      <c r="AE28" s="208">
        <f t="shared" si="7"/>
        <v>0</v>
      </c>
      <c r="AF28" s="208">
        <f t="shared" si="7"/>
        <v>0</v>
      </c>
      <c r="AG28" s="208">
        <f t="shared" si="7"/>
        <v>0</v>
      </c>
      <c r="AH28" s="208">
        <f t="shared" si="7"/>
        <v>0</v>
      </c>
      <c r="AI28" s="208">
        <f t="shared" ref="AI28:AN28" si="8">AI27</f>
        <v>0</v>
      </c>
      <c r="AJ28" s="208">
        <f t="shared" si="8"/>
        <v>0</v>
      </c>
      <c r="AK28" s="208">
        <f t="shared" si="8"/>
        <v>0</v>
      </c>
      <c r="AL28" s="208">
        <f t="shared" si="8"/>
        <v>0</v>
      </c>
      <c r="AM28" s="208">
        <f t="shared" si="8"/>
        <v>0</v>
      </c>
      <c r="AN28" s="208">
        <f t="shared" si="8"/>
        <v>0</v>
      </c>
      <c r="AO28" s="208">
        <f>AO27</f>
        <v>0</v>
      </c>
      <c r="AP28" s="208">
        <v>0</v>
      </c>
      <c r="AQ28" s="208">
        <f>AQ27</f>
        <v>0</v>
      </c>
    </row>
    <row r="29" spans="2:43" ht="15" customHeight="1" x14ac:dyDescent="0.2">
      <c r="B29" s="130" t="s">
        <v>1234</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row>
    <row r="30" spans="2:43" x14ac:dyDescent="0.2">
      <c r="B30" s="130" t="s">
        <v>103</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row>
    <row r="31" spans="2:43" x14ac:dyDescent="0.2">
      <c r="B31" s="207" t="s">
        <v>1324</v>
      </c>
      <c r="C31" s="208">
        <f>SUM(C29:C30)</f>
        <v>0</v>
      </c>
      <c r="D31" s="208"/>
      <c r="E31" s="208">
        <f t="shared" ref="E31:AI31" si="9">SUM(E29:E30)</f>
        <v>0</v>
      </c>
      <c r="F31" s="208">
        <f t="shared" si="9"/>
        <v>0</v>
      </c>
      <c r="G31" s="208">
        <f t="shared" si="9"/>
        <v>0</v>
      </c>
      <c r="H31" s="208">
        <f t="shared" si="9"/>
        <v>0</v>
      </c>
      <c r="I31" s="208">
        <f t="shared" si="9"/>
        <v>0</v>
      </c>
      <c r="J31" s="208">
        <f t="shared" si="9"/>
        <v>0</v>
      </c>
      <c r="K31" s="208">
        <f t="shared" si="9"/>
        <v>0</v>
      </c>
      <c r="L31" s="208">
        <f t="shared" si="9"/>
        <v>0</v>
      </c>
      <c r="M31" s="208">
        <f t="shared" si="9"/>
        <v>0</v>
      </c>
      <c r="N31" s="208">
        <f t="shared" si="9"/>
        <v>0</v>
      </c>
      <c r="O31" s="208">
        <f t="shared" si="9"/>
        <v>0</v>
      </c>
      <c r="P31" s="208">
        <f t="shared" si="9"/>
        <v>0</v>
      </c>
      <c r="Q31" s="208">
        <f t="shared" si="9"/>
        <v>0</v>
      </c>
      <c r="R31" s="208">
        <f t="shared" si="9"/>
        <v>0</v>
      </c>
      <c r="S31" s="208">
        <f t="shared" si="9"/>
        <v>0</v>
      </c>
      <c r="T31" s="208">
        <f t="shared" si="9"/>
        <v>0</v>
      </c>
      <c r="U31" s="208">
        <f t="shared" si="9"/>
        <v>0</v>
      </c>
      <c r="V31" s="208">
        <f t="shared" si="9"/>
        <v>0</v>
      </c>
      <c r="W31" s="208">
        <f t="shared" si="9"/>
        <v>0</v>
      </c>
      <c r="X31" s="208">
        <f t="shared" si="9"/>
        <v>0</v>
      </c>
      <c r="Y31" s="208">
        <f t="shared" si="9"/>
        <v>0</v>
      </c>
      <c r="Z31" s="208">
        <f t="shared" si="9"/>
        <v>0</v>
      </c>
      <c r="AA31" s="208">
        <f t="shared" si="9"/>
        <v>0</v>
      </c>
      <c r="AB31" s="208">
        <f t="shared" si="9"/>
        <v>0</v>
      </c>
      <c r="AC31" s="208">
        <f t="shared" si="9"/>
        <v>0</v>
      </c>
      <c r="AD31" s="208">
        <f t="shared" si="9"/>
        <v>0</v>
      </c>
      <c r="AE31" s="208">
        <f t="shared" si="9"/>
        <v>0</v>
      </c>
      <c r="AF31" s="208">
        <f t="shared" si="9"/>
        <v>0</v>
      </c>
      <c r="AG31" s="208">
        <f t="shared" si="9"/>
        <v>7323</v>
      </c>
      <c r="AH31" s="208">
        <f t="shared" si="9"/>
        <v>15351</v>
      </c>
      <c r="AI31" s="208">
        <f t="shared" si="9"/>
        <v>14353</v>
      </c>
      <c r="AJ31" s="208">
        <f t="shared" ref="AJ31:AQ31" si="10">SUM(AJ29:AJ30)</f>
        <v>14172</v>
      </c>
      <c r="AK31" s="208">
        <f t="shared" si="10"/>
        <v>13120</v>
      </c>
      <c r="AL31" s="208">
        <f t="shared" si="10"/>
        <v>12648</v>
      </c>
      <c r="AM31" s="208">
        <f t="shared" si="10"/>
        <v>11159</v>
      </c>
      <c r="AN31" s="208">
        <f t="shared" si="10"/>
        <v>14542</v>
      </c>
      <c r="AO31" s="208">
        <f t="shared" ref="AO31" si="11">SUM(AO29:AO30)</f>
        <v>13083</v>
      </c>
      <c r="AP31" s="208">
        <f t="shared" ref="AP31" si="12">SUM(AP29:AP30)</f>
        <v>11573</v>
      </c>
      <c r="AQ31" s="208">
        <f t="shared" si="10"/>
        <v>10065</v>
      </c>
    </row>
    <row r="32" spans="2:43" x14ac:dyDescent="0.2">
      <c r="B32" s="127" t="s">
        <v>822</v>
      </c>
      <c r="C32" s="120">
        <f t="shared" ref="C32:AF32" si="13">C20+C23+C26+C31</f>
        <v>11492</v>
      </c>
      <c r="D32" s="120"/>
      <c r="E32" s="120">
        <f t="shared" si="13"/>
        <v>1225</v>
      </c>
      <c r="F32" s="120">
        <f t="shared" si="13"/>
        <v>506</v>
      </c>
      <c r="G32" s="120">
        <f t="shared" si="13"/>
        <v>714</v>
      </c>
      <c r="H32" s="120">
        <f t="shared" si="13"/>
        <v>525</v>
      </c>
      <c r="I32" s="120">
        <f t="shared" si="13"/>
        <v>203</v>
      </c>
      <c r="J32" s="120">
        <f t="shared" si="13"/>
        <v>199</v>
      </c>
      <c r="K32" s="120">
        <f t="shared" si="13"/>
        <v>134</v>
      </c>
      <c r="L32" s="120">
        <f t="shared" si="13"/>
        <v>220</v>
      </c>
      <c r="M32" s="120">
        <f t="shared" si="13"/>
        <v>309.8438899999997</v>
      </c>
      <c r="N32" s="120">
        <f t="shared" si="13"/>
        <v>298.62268999999986</v>
      </c>
      <c r="O32" s="120">
        <f t="shared" si="13"/>
        <v>298.62268999999986</v>
      </c>
      <c r="P32" s="120">
        <f t="shared" si="13"/>
        <v>277</v>
      </c>
      <c r="Q32" s="120">
        <f t="shared" si="13"/>
        <v>328</v>
      </c>
      <c r="R32" s="120">
        <f t="shared" si="13"/>
        <v>18142</v>
      </c>
      <c r="S32" s="120">
        <f t="shared" si="13"/>
        <v>16225</v>
      </c>
      <c r="T32" s="120">
        <f t="shared" si="13"/>
        <v>16579</v>
      </c>
      <c r="U32" s="120">
        <f t="shared" si="13"/>
        <v>3584</v>
      </c>
      <c r="V32" s="120">
        <f t="shared" si="13"/>
        <v>3857</v>
      </c>
      <c r="W32" s="120">
        <f t="shared" si="13"/>
        <v>3993</v>
      </c>
      <c r="X32" s="120">
        <f t="shared" si="13"/>
        <v>4837</v>
      </c>
      <c r="Y32" s="120">
        <f t="shared" si="13"/>
        <v>5801</v>
      </c>
      <c r="Z32" s="120">
        <f t="shared" si="13"/>
        <v>5827</v>
      </c>
      <c r="AA32" s="120">
        <f t="shared" si="13"/>
        <v>5206</v>
      </c>
      <c r="AB32" s="120">
        <f t="shared" si="13"/>
        <v>5282</v>
      </c>
      <c r="AC32" s="120">
        <f t="shared" si="13"/>
        <v>5593</v>
      </c>
      <c r="AD32" s="120">
        <f t="shared" si="13"/>
        <v>5031</v>
      </c>
      <c r="AE32" s="120">
        <f t="shared" si="13"/>
        <v>4845</v>
      </c>
      <c r="AF32" s="120">
        <f t="shared" si="13"/>
        <v>4903</v>
      </c>
      <c r="AG32" s="120">
        <f>AG20+AG23+AG26+AG31+AG28</f>
        <v>8473</v>
      </c>
      <c r="AH32" s="120">
        <f t="shared" ref="AH32:AM32" si="14">AH20+AH23+AH26+AH31</f>
        <v>16500</v>
      </c>
      <c r="AI32" s="120">
        <f t="shared" si="14"/>
        <v>15649</v>
      </c>
      <c r="AJ32" s="120">
        <f t="shared" si="14"/>
        <v>15484</v>
      </c>
      <c r="AK32" s="120">
        <f t="shared" si="14"/>
        <v>14582</v>
      </c>
      <c r="AL32" s="120">
        <f t="shared" si="14"/>
        <v>14031</v>
      </c>
      <c r="AM32" s="120">
        <f t="shared" si="14"/>
        <v>12566</v>
      </c>
      <c r="AN32" s="120">
        <f>AN20+AN23+AN26+AN31</f>
        <v>16035</v>
      </c>
      <c r="AO32" s="120">
        <f>AO20+AO23+AO26+AO31</f>
        <v>14633</v>
      </c>
      <c r="AP32" s="120">
        <f>AP20+AP23+AP26+AP31</f>
        <v>13715</v>
      </c>
      <c r="AQ32" s="120">
        <f>AQ20+AQ23+AQ26+AQ31</f>
        <v>11717</v>
      </c>
    </row>
    <row r="33" spans="2:43" ht="15" customHeight="1" x14ac:dyDescent="0.2">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2:43" ht="15" customHeight="1" x14ac:dyDescent="0.2">
      <c r="B34" s="130" t="s">
        <v>1202</v>
      </c>
      <c r="C34" s="118">
        <v>0</v>
      </c>
      <c r="D34" s="118"/>
      <c r="E34" s="118">
        <v>8893</v>
      </c>
      <c r="F34" s="118">
        <v>8925</v>
      </c>
      <c r="G34" s="118">
        <v>0</v>
      </c>
      <c r="H34" s="215">
        <v>0</v>
      </c>
      <c r="I34" s="215">
        <v>0</v>
      </c>
      <c r="J34" s="215">
        <v>0</v>
      </c>
      <c r="K34" s="215">
        <v>0</v>
      </c>
      <c r="L34" s="215">
        <v>0</v>
      </c>
      <c r="M34" s="215">
        <v>0</v>
      </c>
      <c r="N34" s="215">
        <v>0</v>
      </c>
      <c r="O34" s="215">
        <v>0</v>
      </c>
      <c r="P34" s="215">
        <v>367</v>
      </c>
      <c r="Q34" s="215">
        <v>0</v>
      </c>
      <c r="R34" s="215">
        <v>1135</v>
      </c>
      <c r="S34" s="215">
        <v>1865</v>
      </c>
      <c r="T34" s="215">
        <v>70</v>
      </c>
      <c r="U34" s="215">
        <v>1023</v>
      </c>
      <c r="V34" s="215">
        <v>30</v>
      </c>
      <c r="W34" s="215">
        <v>70</v>
      </c>
      <c r="X34" s="215">
        <v>28</v>
      </c>
      <c r="Y34" s="215">
        <v>35</v>
      </c>
      <c r="Z34" s="215">
        <v>31</v>
      </c>
      <c r="AA34" s="215">
        <v>25</v>
      </c>
      <c r="AB34" s="215">
        <v>27</v>
      </c>
      <c r="AC34" s="215">
        <v>15</v>
      </c>
      <c r="AD34" s="215">
        <v>378</v>
      </c>
      <c r="AE34" s="215">
        <v>89</v>
      </c>
      <c r="AF34" s="215">
        <v>63</v>
      </c>
      <c r="AG34" s="215">
        <v>92</v>
      </c>
      <c r="AH34" s="215">
        <v>51</v>
      </c>
      <c r="AI34" s="215">
        <v>180</v>
      </c>
      <c r="AJ34" s="215">
        <v>136</v>
      </c>
      <c r="AK34" s="215">
        <v>108</v>
      </c>
      <c r="AL34" s="215">
        <v>110</v>
      </c>
      <c r="AM34" s="215">
        <v>110</v>
      </c>
      <c r="AN34" s="215">
        <v>543</v>
      </c>
      <c r="AO34" s="215">
        <v>287</v>
      </c>
      <c r="AP34" s="215">
        <v>299</v>
      </c>
      <c r="AQ34" s="215">
        <v>114</v>
      </c>
    </row>
    <row r="35" spans="2:43" x14ac:dyDescent="0.2">
      <c r="B35" s="130" t="s">
        <v>103</v>
      </c>
      <c r="C35" s="118">
        <v>252</v>
      </c>
      <c r="D35" s="118"/>
      <c r="E35" s="118">
        <v>261</v>
      </c>
      <c r="F35" s="118">
        <v>261</v>
      </c>
      <c r="G35" s="118">
        <v>5615</v>
      </c>
      <c r="H35" s="215">
        <v>5615</v>
      </c>
      <c r="I35" s="215">
        <v>5353</v>
      </c>
      <c r="J35" s="215">
        <v>421</v>
      </c>
      <c r="K35" s="215">
        <v>661</v>
      </c>
      <c r="L35" s="215">
        <v>360</v>
      </c>
      <c r="M35" s="215">
        <v>359.5</v>
      </c>
      <c r="N35" s="215">
        <v>359.5</v>
      </c>
      <c r="O35" s="215">
        <v>359.5</v>
      </c>
      <c r="P35" s="215">
        <v>360</v>
      </c>
      <c r="Q35" s="215">
        <v>231</v>
      </c>
      <c r="R35" s="215">
        <v>360</v>
      </c>
      <c r="S35" s="215">
        <v>360</v>
      </c>
      <c r="T35" s="215">
        <v>0</v>
      </c>
      <c r="U35" s="215">
        <v>0</v>
      </c>
      <c r="V35" s="215">
        <v>0</v>
      </c>
      <c r="W35" s="215">
        <v>0</v>
      </c>
      <c r="X35" s="215">
        <v>0</v>
      </c>
      <c r="Y35" s="215">
        <v>0</v>
      </c>
      <c r="Z35" s="215">
        <v>0</v>
      </c>
      <c r="AA35" s="215">
        <v>0</v>
      </c>
      <c r="AB35" s="215">
        <v>0</v>
      </c>
      <c r="AC35" s="215">
        <v>0</v>
      </c>
      <c r="AD35" s="215">
        <v>0</v>
      </c>
      <c r="AE35" s="215">
        <v>0</v>
      </c>
      <c r="AF35" s="215">
        <v>0</v>
      </c>
      <c r="AG35" s="215">
        <v>0</v>
      </c>
      <c r="AH35" s="215">
        <v>0</v>
      </c>
      <c r="AI35" s="215">
        <v>404</v>
      </c>
      <c r="AJ35" s="215">
        <v>427</v>
      </c>
      <c r="AK35" s="215">
        <v>427</v>
      </c>
      <c r="AL35" s="215">
        <v>427</v>
      </c>
      <c r="AM35" s="215">
        <v>427</v>
      </c>
      <c r="AN35" s="215">
        <v>447</v>
      </c>
      <c r="AO35" s="215">
        <v>447</v>
      </c>
      <c r="AP35" s="215">
        <v>447</v>
      </c>
      <c r="AQ35" s="215">
        <v>447</v>
      </c>
    </row>
    <row r="36" spans="2:43" x14ac:dyDescent="0.2">
      <c r="B36" s="130" t="s">
        <v>987</v>
      </c>
      <c r="C36" s="118">
        <v>227</v>
      </c>
      <c r="D36" s="118"/>
      <c r="E36" s="118">
        <v>235</v>
      </c>
      <c r="F36" s="118">
        <v>235</v>
      </c>
      <c r="G36" s="118">
        <v>235</v>
      </c>
      <c r="H36" s="215">
        <v>235</v>
      </c>
      <c r="I36" s="215">
        <v>235</v>
      </c>
      <c r="J36" s="215">
        <v>235</v>
      </c>
      <c r="K36" s="215">
        <v>235</v>
      </c>
      <c r="L36" s="215">
        <v>558</v>
      </c>
      <c r="M36" s="215">
        <v>235.39260999999999</v>
      </c>
      <c r="N36" s="215">
        <v>231.10809</v>
      </c>
      <c r="O36" s="215">
        <v>235</v>
      </c>
      <c r="P36" s="215">
        <v>85</v>
      </c>
      <c r="Q36" s="215">
        <v>360</v>
      </c>
      <c r="R36" s="215">
        <v>93</v>
      </c>
      <c r="S36" s="215">
        <v>86</v>
      </c>
      <c r="T36" s="215">
        <v>0</v>
      </c>
      <c r="U36" s="215">
        <v>0</v>
      </c>
      <c r="V36" s="215">
        <v>0</v>
      </c>
      <c r="W36" s="215">
        <v>0</v>
      </c>
      <c r="X36" s="215">
        <v>0</v>
      </c>
      <c r="Y36" s="215">
        <v>0</v>
      </c>
      <c r="Z36" s="215">
        <v>0</v>
      </c>
      <c r="AA36" s="215">
        <v>44</v>
      </c>
      <c r="AB36" s="215">
        <v>25</v>
      </c>
      <c r="AC36" s="215">
        <v>8</v>
      </c>
      <c r="AD36" s="215">
        <v>39</v>
      </c>
      <c r="AE36" s="215">
        <v>47</v>
      </c>
      <c r="AF36" s="215">
        <v>0</v>
      </c>
      <c r="AG36" s="215">
        <v>38</v>
      </c>
      <c r="AH36" s="215">
        <v>111</v>
      </c>
      <c r="AI36" s="215">
        <v>216</v>
      </c>
      <c r="AJ36" s="215">
        <v>186</v>
      </c>
      <c r="AK36" s="215">
        <v>149</v>
      </c>
      <c r="AL36" s="215">
        <v>119</v>
      </c>
      <c r="AM36" s="215">
        <v>194</v>
      </c>
      <c r="AN36" s="215">
        <v>165</v>
      </c>
      <c r="AO36" s="215">
        <v>160</v>
      </c>
      <c r="AP36" s="215">
        <v>123</v>
      </c>
      <c r="AQ36" s="215">
        <v>100</v>
      </c>
    </row>
    <row r="37" spans="2:43" x14ac:dyDescent="0.2">
      <c r="B37" s="130" t="s">
        <v>105</v>
      </c>
      <c r="C37" s="118">
        <v>0</v>
      </c>
      <c r="D37" s="118"/>
      <c r="E37" s="118">
        <v>0</v>
      </c>
      <c r="F37" s="118">
        <v>0</v>
      </c>
      <c r="G37" s="118">
        <v>0</v>
      </c>
      <c r="H37" s="215">
        <v>0</v>
      </c>
      <c r="I37" s="215">
        <v>0</v>
      </c>
      <c r="J37" s="215">
        <v>0</v>
      </c>
      <c r="K37" s="215">
        <v>0</v>
      </c>
      <c r="L37" s="215">
        <v>9</v>
      </c>
      <c r="M37" s="215">
        <v>0</v>
      </c>
      <c r="N37" s="215">
        <v>0</v>
      </c>
      <c r="O37" s="215">
        <v>0</v>
      </c>
      <c r="P37" s="215">
        <v>0</v>
      </c>
      <c r="Q37" s="215">
        <v>0</v>
      </c>
      <c r="R37" s="215">
        <v>0</v>
      </c>
      <c r="S37" s="215">
        <v>0</v>
      </c>
      <c r="T37" s="215">
        <v>2</v>
      </c>
      <c r="U37" s="215">
        <v>0</v>
      </c>
      <c r="V37" s="215">
        <v>0</v>
      </c>
      <c r="W37" s="215">
        <v>0</v>
      </c>
      <c r="X37" s="215">
        <v>0</v>
      </c>
      <c r="Y37" s="215">
        <v>0</v>
      </c>
      <c r="Z37" s="215">
        <v>0</v>
      </c>
      <c r="AA37" s="215">
        <v>0</v>
      </c>
      <c r="AB37" s="215">
        <v>0</v>
      </c>
      <c r="AC37" s="215">
        <v>0</v>
      </c>
      <c r="AD37" s="215">
        <v>0</v>
      </c>
      <c r="AE37" s="215">
        <v>5</v>
      </c>
      <c r="AF37" s="215">
        <v>6</v>
      </c>
      <c r="AG37" s="215">
        <v>7</v>
      </c>
      <c r="AH37" s="215">
        <v>7</v>
      </c>
      <c r="AI37" s="215">
        <v>6</v>
      </c>
      <c r="AJ37" s="215">
        <v>0</v>
      </c>
      <c r="AK37" s="215">
        <v>0</v>
      </c>
      <c r="AL37" s="215">
        <v>0</v>
      </c>
      <c r="AM37" s="215">
        <v>0</v>
      </c>
      <c r="AN37" s="215">
        <v>0</v>
      </c>
      <c r="AO37" s="215">
        <v>0</v>
      </c>
      <c r="AP37" s="215">
        <v>0</v>
      </c>
      <c r="AQ37" s="215">
        <v>0</v>
      </c>
    </row>
    <row r="38" spans="2:43" x14ac:dyDescent="0.2">
      <c r="B38" s="130" t="s">
        <v>936</v>
      </c>
      <c r="C38" s="118">
        <v>0</v>
      </c>
      <c r="D38" s="118"/>
      <c r="E38" s="118">
        <v>0</v>
      </c>
      <c r="F38" s="118">
        <v>0</v>
      </c>
      <c r="G38" s="118">
        <v>0</v>
      </c>
      <c r="H38" s="215">
        <v>0</v>
      </c>
      <c r="I38" s="215">
        <v>0</v>
      </c>
      <c r="J38" s="215">
        <v>0</v>
      </c>
      <c r="K38" s="215">
        <v>0</v>
      </c>
      <c r="L38" s="215">
        <v>0</v>
      </c>
      <c r="M38" s="215">
        <v>0</v>
      </c>
      <c r="N38" s="215">
        <v>0</v>
      </c>
      <c r="O38" s="215">
        <v>0</v>
      </c>
      <c r="P38" s="215">
        <v>0</v>
      </c>
      <c r="Q38" s="215">
        <v>0</v>
      </c>
      <c r="R38" s="215">
        <v>0</v>
      </c>
      <c r="S38" s="215">
        <v>0</v>
      </c>
      <c r="T38" s="215">
        <v>19</v>
      </c>
      <c r="U38" s="215">
        <v>2</v>
      </c>
      <c r="V38" s="215">
        <v>2</v>
      </c>
      <c r="W38" s="215">
        <v>2</v>
      </c>
      <c r="X38" s="215">
        <v>0</v>
      </c>
      <c r="Y38" s="215">
        <v>2</v>
      </c>
      <c r="Z38" s="215">
        <v>4</v>
      </c>
      <c r="AA38" s="215">
        <v>4</v>
      </c>
      <c r="AB38" s="215">
        <v>2</v>
      </c>
      <c r="AC38" s="215">
        <v>2</v>
      </c>
      <c r="AD38" s="215">
        <v>4</v>
      </c>
      <c r="AE38" s="215">
        <v>0</v>
      </c>
      <c r="AF38" s="215">
        <v>0</v>
      </c>
      <c r="AG38" s="215">
        <v>6</v>
      </c>
      <c r="AH38" s="215">
        <v>0</v>
      </c>
      <c r="AI38" s="215">
        <v>0</v>
      </c>
      <c r="AJ38" s="215">
        <v>0</v>
      </c>
      <c r="AK38" s="215">
        <v>0</v>
      </c>
      <c r="AL38" s="215">
        <v>0</v>
      </c>
      <c r="AM38" s="215">
        <v>0</v>
      </c>
      <c r="AN38" s="215">
        <v>0</v>
      </c>
      <c r="AO38" s="215">
        <v>0</v>
      </c>
      <c r="AP38" s="215">
        <v>0</v>
      </c>
      <c r="AQ38" s="215">
        <v>0</v>
      </c>
    </row>
    <row r="39" spans="2:43" hidden="1" outlineLevel="1" x14ac:dyDescent="0.2">
      <c r="B39" s="250" t="s">
        <v>97</v>
      </c>
      <c r="C39" s="219">
        <v>0</v>
      </c>
      <c r="D39" s="219"/>
      <c r="E39" s="219">
        <v>311</v>
      </c>
      <c r="F39" s="219">
        <v>311</v>
      </c>
      <c r="G39" s="219">
        <v>0</v>
      </c>
      <c r="H39" s="1176">
        <v>0</v>
      </c>
      <c r="I39" s="1176">
        <v>0</v>
      </c>
      <c r="J39" s="1176">
        <v>0</v>
      </c>
      <c r="K39" s="1176">
        <v>0</v>
      </c>
      <c r="L39" s="1176">
        <v>0</v>
      </c>
      <c r="M39" s="1176">
        <v>0</v>
      </c>
      <c r="N39" s="1176">
        <v>0</v>
      </c>
      <c r="O39" s="1176">
        <v>0</v>
      </c>
      <c r="P39" s="1176">
        <v>0</v>
      </c>
      <c r="Q39" s="1176">
        <v>0</v>
      </c>
      <c r="R39" s="1176">
        <v>0</v>
      </c>
      <c r="S39" s="1176">
        <v>0</v>
      </c>
      <c r="T39" s="1176">
        <v>0</v>
      </c>
      <c r="U39" s="1176">
        <v>0</v>
      </c>
      <c r="V39" s="1176">
        <v>0</v>
      </c>
      <c r="W39" s="1176">
        <v>0</v>
      </c>
      <c r="X39" s="1176">
        <v>0</v>
      </c>
      <c r="Y39" s="1176">
        <v>0</v>
      </c>
      <c r="Z39" s="1176">
        <v>0</v>
      </c>
      <c r="AA39" s="1176">
        <v>0</v>
      </c>
      <c r="AB39" s="1176">
        <v>0</v>
      </c>
      <c r="AC39" s="1176">
        <v>0</v>
      </c>
      <c r="AD39" s="1176">
        <v>0</v>
      </c>
      <c r="AE39" s="1176">
        <v>0</v>
      </c>
      <c r="AF39" s="1176">
        <v>0</v>
      </c>
      <c r="AG39" s="1176">
        <v>0</v>
      </c>
      <c r="AH39" s="1176">
        <v>0</v>
      </c>
      <c r="AI39" s="1176">
        <v>0</v>
      </c>
      <c r="AJ39" s="1176">
        <v>0</v>
      </c>
      <c r="AK39" s="1176">
        <v>0</v>
      </c>
      <c r="AL39" s="1176">
        <v>0</v>
      </c>
      <c r="AM39" s="1176">
        <v>0</v>
      </c>
      <c r="AN39" s="1176">
        <v>0</v>
      </c>
      <c r="AO39" s="1176"/>
      <c r="AP39" s="1176">
        <v>0</v>
      </c>
      <c r="AQ39" s="1176">
        <v>0</v>
      </c>
    </row>
    <row r="40" spans="2:43" ht="15" hidden="1" customHeight="1" outlineLevel="1" x14ac:dyDescent="0.2">
      <c r="B40" s="250" t="s">
        <v>100</v>
      </c>
      <c r="C40" s="219">
        <v>0</v>
      </c>
      <c r="D40" s="219"/>
      <c r="E40" s="219">
        <v>0</v>
      </c>
      <c r="F40" s="219">
        <v>42</v>
      </c>
      <c r="G40" s="219">
        <v>0</v>
      </c>
      <c r="H40" s="1176">
        <v>0</v>
      </c>
      <c r="I40" s="1176">
        <v>0</v>
      </c>
      <c r="J40" s="1176">
        <v>0</v>
      </c>
      <c r="K40" s="1176">
        <v>0</v>
      </c>
      <c r="L40" s="1176">
        <v>0</v>
      </c>
      <c r="M40" s="1176">
        <v>0</v>
      </c>
      <c r="N40" s="1176">
        <v>0</v>
      </c>
      <c r="O40" s="1176">
        <v>0</v>
      </c>
      <c r="P40" s="1176">
        <v>0</v>
      </c>
      <c r="Q40" s="1176">
        <v>0</v>
      </c>
      <c r="R40" s="1176">
        <v>0</v>
      </c>
      <c r="S40" s="1176">
        <v>0</v>
      </c>
      <c r="T40" s="1176">
        <v>0</v>
      </c>
      <c r="U40" s="1176">
        <v>0</v>
      </c>
      <c r="V40" s="1176">
        <v>0</v>
      </c>
      <c r="W40" s="1176">
        <v>0</v>
      </c>
      <c r="X40" s="1176">
        <v>0</v>
      </c>
      <c r="Y40" s="1176">
        <v>0</v>
      </c>
      <c r="Z40" s="1176">
        <v>0</v>
      </c>
      <c r="AA40" s="1176">
        <v>0</v>
      </c>
      <c r="AB40" s="1176">
        <v>0</v>
      </c>
      <c r="AC40" s="1176">
        <v>0</v>
      </c>
      <c r="AD40" s="1176">
        <v>0</v>
      </c>
      <c r="AE40" s="1176">
        <v>0</v>
      </c>
      <c r="AF40" s="1176">
        <v>0</v>
      </c>
      <c r="AG40" s="1176">
        <v>0</v>
      </c>
      <c r="AH40" s="1176">
        <v>0</v>
      </c>
      <c r="AI40" s="1176">
        <v>0</v>
      </c>
      <c r="AJ40" s="1176">
        <v>0</v>
      </c>
      <c r="AK40" s="1176">
        <v>0</v>
      </c>
      <c r="AL40" s="1176">
        <v>0</v>
      </c>
      <c r="AM40" s="1176">
        <v>0</v>
      </c>
      <c r="AN40" s="1176">
        <v>0</v>
      </c>
      <c r="AO40" s="1176"/>
      <c r="AP40" s="1176">
        <v>0</v>
      </c>
      <c r="AQ40" s="1176">
        <v>0</v>
      </c>
    </row>
    <row r="41" spans="2:43" ht="15" hidden="1" customHeight="1" outlineLevel="1" x14ac:dyDescent="0.2">
      <c r="B41" s="250" t="s">
        <v>867</v>
      </c>
      <c r="C41" s="219"/>
      <c r="D41" s="219"/>
      <c r="E41" s="219"/>
      <c r="F41" s="219"/>
      <c r="G41" s="219"/>
      <c r="H41" s="1176"/>
      <c r="I41" s="1176"/>
      <c r="J41" s="1176"/>
      <c r="K41" s="1176"/>
      <c r="L41" s="1176"/>
      <c r="M41" s="1176"/>
      <c r="N41" s="1176"/>
      <c r="O41" s="1176">
        <v>0</v>
      </c>
      <c r="P41" s="1176"/>
      <c r="Q41" s="1176"/>
      <c r="R41" s="1176"/>
      <c r="S41" s="1176"/>
      <c r="T41" s="1176">
        <v>7</v>
      </c>
      <c r="U41" s="1176">
        <v>0</v>
      </c>
      <c r="V41" s="1176">
        <v>0</v>
      </c>
      <c r="W41" s="1176">
        <v>0</v>
      </c>
      <c r="X41" s="1176">
        <v>0</v>
      </c>
      <c r="Y41" s="1176">
        <v>0</v>
      </c>
      <c r="Z41" s="1176">
        <v>0</v>
      </c>
      <c r="AA41" s="1176">
        <v>0</v>
      </c>
      <c r="AB41" s="1176">
        <v>0</v>
      </c>
      <c r="AC41" s="1176">
        <v>0</v>
      </c>
      <c r="AD41" s="1176">
        <v>0</v>
      </c>
      <c r="AE41" s="1176">
        <v>0</v>
      </c>
      <c r="AF41" s="1176">
        <v>0</v>
      </c>
      <c r="AG41" s="1176">
        <v>0</v>
      </c>
      <c r="AH41" s="1176">
        <v>0</v>
      </c>
      <c r="AI41" s="1176">
        <v>0</v>
      </c>
      <c r="AJ41" s="1176">
        <v>0</v>
      </c>
      <c r="AK41" s="1176">
        <v>0</v>
      </c>
      <c r="AL41" s="1176">
        <v>0</v>
      </c>
      <c r="AM41" s="1176">
        <v>0</v>
      </c>
      <c r="AN41" s="1176">
        <v>0</v>
      </c>
      <c r="AO41" s="1176"/>
      <c r="AP41" s="1176">
        <v>0</v>
      </c>
      <c r="AQ41" s="1176">
        <v>0</v>
      </c>
    </row>
    <row r="42" spans="2:43" ht="15" hidden="1" customHeight="1" outlineLevel="1" x14ac:dyDescent="0.2">
      <c r="B42" s="250" t="s">
        <v>106</v>
      </c>
      <c r="C42" s="219">
        <v>0</v>
      </c>
      <c r="D42" s="219"/>
      <c r="E42" s="219">
        <v>0</v>
      </c>
      <c r="F42" s="219">
        <v>0</v>
      </c>
      <c r="G42" s="219">
        <v>0</v>
      </c>
      <c r="H42" s="1176">
        <v>0</v>
      </c>
      <c r="I42" s="1176">
        <v>2</v>
      </c>
      <c r="J42" s="1176">
        <v>15</v>
      </c>
      <c r="K42" s="1176">
        <v>0</v>
      </c>
      <c r="L42" s="1176">
        <v>0</v>
      </c>
      <c r="M42" s="1176">
        <v>0</v>
      </c>
      <c r="N42" s="1176">
        <v>0</v>
      </c>
      <c r="O42" s="1176">
        <v>0</v>
      </c>
      <c r="P42" s="1176">
        <v>0</v>
      </c>
      <c r="Q42" s="1176">
        <v>0</v>
      </c>
      <c r="R42" s="1176">
        <v>0</v>
      </c>
      <c r="S42" s="1176">
        <v>0</v>
      </c>
      <c r="T42" s="1176">
        <v>0</v>
      </c>
      <c r="U42" s="1176">
        <v>0</v>
      </c>
      <c r="V42" s="1176">
        <v>0</v>
      </c>
      <c r="W42" s="1176">
        <v>0</v>
      </c>
      <c r="X42" s="1176">
        <v>0</v>
      </c>
      <c r="Y42" s="1176">
        <v>0</v>
      </c>
      <c r="Z42" s="1176">
        <v>0</v>
      </c>
      <c r="AA42" s="1176">
        <v>0</v>
      </c>
      <c r="AB42" s="1176">
        <v>0</v>
      </c>
      <c r="AC42" s="1176">
        <v>0</v>
      </c>
      <c r="AD42" s="1176">
        <v>0</v>
      </c>
      <c r="AE42" s="1176">
        <v>0</v>
      </c>
      <c r="AF42" s="1176">
        <v>0</v>
      </c>
      <c r="AG42" s="1176">
        <v>0</v>
      </c>
      <c r="AH42" s="1176">
        <v>0</v>
      </c>
      <c r="AI42" s="1176">
        <v>0</v>
      </c>
      <c r="AJ42" s="1176">
        <v>0</v>
      </c>
      <c r="AK42" s="1176">
        <v>0</v>
      </c>
      <c r="AL42" s="1176">
        <v>0</v>
      </c>
      <c r="AM42" s="1176">
        <v>0</v>
      </c>
      <c r="AN42" s="1176">
        <v>0</v>
      </c>
      <c r="AO42" s="1176"/>
      <c r="AP42" s="1176">
        <v>0</v>
      </c>
      <c r="AQ42" s="1176">
        <v>0</v>
      </c>
    </row>
    <row r="43" spans="2:43" hidden="1" outlineLevel="1" x14ac:dyDescent="0.2">
      <c r="B43" s="250" t="s">
        <v>101</v>
      </c>
      <c r="C43" s="1176">
        <v>0</v>
      </c>
      <c r="D43" s="1176"/>
      <c r="E43" s="1176">
        <v>0</v>
      </c>
      <c r="F43" s="1176">
        <v>0</v>
      </c>
      <c r="G43" s="1176">
        <v>0</v>
      </c>
      <c r="H43" s="1176">
        <v>0</v>
      </c>
      <c r="I43" s="1176">
        <v>0</v>
      </c>
      <c r="J43" s="1176">
        <v>0</v>
      </c>
      <c r="K43" s="1176">
        <v>0</v>
      </c>
      <c r="L43" s="1176">
        <v>0</v>
      </c>
      <c r="M43" s="1176">
        <v>0</v>
      </c>
      <c r="N43" s="1176">
        <v>0</v>
      </c>
      <c r="O43" s="1176">
        <v>0</v>
      </c>
      <c r="P43" s="1176">
        <v>0</v>
      </c>
      <c r="Q43" s="1176">
        <v>0</v>
      </c>
      <c r="R43" s="1176">
        <v>0</v>
      </c>
      <c r="S43" s="1176">
        <v>0</v>
      </c>
      <c r="T43" s="1176">
        <v>0</v>
      </c>
      <c r="U43" s="1176">
        <v>0</v>
      </c>
      <c r="V43" s="1176">
        <v>0</v>
      </c>
      <c r="W43" s="1176">
        <v>0</v>
      </c>
      <c r="X43" s="1176">
        <v>0</v>
      </c>
      <c r="Y43" s="1176">
        <v>0</v>
      </c>
      <c r="Z43" s="1176">
        <v>0</v>
      </c>
      <c r="AA43" s="1176">
        <v>0</v>
      </c>
      <c r="AB43" s="1176">
        <v>0</v>
      </c>
      <c r="AC43" s="1176">
        <v>0</v>
      </c>
      <c r="AD43" s="1176">
        <v>0</v>
      </c>
      <c r="AE43" s="1176">
        <v>0</v>
      </c>
      <c r="AF43" s="1176">
        <v>0</v>
      </c>
      <c r="AG43" s="1176">
        <v>0</v>
      </c>
      <c r="AH43" s="1176">
        <v>0</v>
      </c>
      <c r="AI43" s="1176">
        <v>0</v>
      </c>
      <c r="AJ43" s="1176">
        <v>0</v>
      </c>
      <c r="AK43" s="1176">
        <v>0</v>
      </c>
      <c r="AL43" s="1176">
        <v>0</v>
      </c>
      <c r="AM43" s="1176">
        <v>0</v>
      </c>
      <c r="AN43" s="1176">
        <v>0</v>
      </c>
      <c r="AO43" s="1176"/>
      <c r="AP43" s="1176">
        <v>0</v>
      </c>
      <c r="AQ43" s="1176">
        <v>0</v>
      </c>
    </row>
    <row r="44" spans="2:43" hidden="1" outlineLevel="1" x14ac:dyDescent="0.2">
      <c r="B44" s="250" t="s">
        <v>104</v>
      </c>
      <c r="C44" s="219">
        <v>278</v>
      </c>
      <c r="D44" s="219"/>
      <c r="E44" s="219">
        <v>0</v>
      </c>
      <c r="F44" s="219">
        <v>0</v>
      </c>
      <c r="G44" s="219">
        <v>289</v>
      </c>
      <c r="H44" s="1176">
        <v>289</v>
      </c>
      <c r="I44" s="1176">
        <v>232</v>
      </c>
      <c r="J44" s="1176">
        <v>232</v>
      </c>
      <c r="K44" s="1176">
        <v>232</v>
      </c>
      <c r="L44" s="1176">
        <v>231</v>
      </c>
      <c r="M44" s="1176">
        <v>231.10809</v>
      </c>
      <c r="N44" s="1176">
        <v>231.10809</v>
      </c>
      <c r="O44" s="1176">
        <v>231.10809</v>
      </c>
      <c r="P44" s="1176">
        <v>0</v>
      </c>
      <c r="Q44" s="1176">
        <v>0</v>
      </c>
      <c r="R44" s="1176">
        <v>0</v>
      </c>
      <c r="S44" s="1176">
        <v>0</v>
      </c>
      <c r="T44" s="1176">
        <v>0</v>
      </c>
      <c r="U44" s="1176">
        <v>0</v>
      </c>
      <c r="V44" s="1176">
        <v>0</v>
      </c>
      <c r="W44" s="1176">
        <v>0</v>
      </c>
      <c r="X44" s="1176">
        <v>0</v>
      </c>
      <c r="Y44" s="1176">
        <v>0</v>
      </c>
      <c r="Z44" s="1176">
        <v>0</v>
      </c>
      <c r="AA44" s="1176">
        <v>0</v>
      </c>
      <c r="AB44" s="1176">
        <v>0</v>
      </c>
      <c r="AC44" s="1176">
        <v>0</v>
      </c>
      <c r="AD44" s="1176">
        <v>0</v>
      </c>
      <c r="AE44" s="1176">
        <v>0</v>
      </c>
      <c r="AF44" s="1176">
        <v>0</v>
      </c>
      <c r="AG44" s="1176">
        <v>0</v>
      </c>
      <c r="AH44" s="1176">
        <v>0</v>
      </c>
      <c r="AI44" s="1176">
        <v>0</v>
      </c>
      <c r="AJ44" s="1176">
        <v>0</v>
      </c>
      <c r="AK44" s="1176">
        <v>0</v>
      </c>
      <c r="AL44" s="1176">
        <v>0</v>
      </c>
      <c r="AM44" s="1176">
        <v>0</v>
      </c>
      <c r="AN44" s="1176">
        <v>0</v>
      </c>
      <c r="AO44" s="1176"/>
      <c r="AP44" s="1176">
        <v>0</v>
      </c>
      <c r="AQ44" s="1176">
        <v>0</v>
      </c>
    </row>
    <row r="45" spans="2:43" collapsed="1" x14ac:dyDescent="0.2">
      <c r="B45" s="207" t="s">
        <v>86</v>
      </c>
      <c r="C45" s="120">
        <f>(SUM(C34:C44))</f>
        <v>757</v>
      </c>
      <c r="D45" s="120"/>
      <c r="E45" s="120">
        <f t="shared" ref="E45:AM45" si="15">(SUM(E34:E44))</f>
        <v>9700</v>
      </c>
      <c r="F45" s="120">
        <f t="shared" si="15"/>
        <v>9774</v>
      </c>
      <c r="G45" s="120">
        <f t="shared" si="15"/>
        <v>6139</v>
      </c>
      <c r="H45" s="120">
        <f t="shared" si="15"/>
        <v>6139</v>
      </c>
      <c r="I45" s="120">
        <f t="shared" si="15"/>
        <v>5822</v>
      </c>
      <c r="J45" s="120">
        <f t="shared" si="15"/>
        <v>903</v>
      </c>
      <c r="K45" s="120">
        <f t="shared" si="15"/>
        <v>1128</v>
      </c>
      <c r="L45" s="120">
        <f t="shared" si="15"/>
        <v>1158</v>
      </c>
      <c r="M45" s="120">
        <f t="shared" si="15"/>
        <v>826.00070000000005</v>
      </c>
      <c r="N45" s="120">
        <f t="shared" si="15"/>
        <v>821.71617999999989</v>
      </c>
      <c r="O45" s="120">
        <f t="shared" si="15"/>
        <v>825.60808999999995</v>
      </c>
      <c r="P45" s="120">
        <f t="shared" si="15"/>
        <v>812</v>
      </c>
      <c r="Q45" s="120">
        <f t="shared" si="15"/>
        <v>591</v>
      </c>
      <c r="R45" s="120">
        <f t="shared" si="15"/>
        <v>1588</v>
      </c>
      <c r="S45" s="120">
        <f t="shared" si="15"/>
        <v>2311</v>
      </c>
      <c r="T45" s="120">
        <f t="shared" si="15"/>
        <v>98</v>
      </c>
      <c r="U45" s="120">
        <f t="shared" si="15"/>
        <v>1025</v>
      </c>
      <c r="V45" s="120">
        <f t="shared" si="15"/>
        <v>32</v>
      </c>
      <c r="W45" s="120">
        <f t="shared" si="15"/>
        <v>72</v>
      </c>
      <c r="X45" s="120">
        <f t="shared" si="15"/>
        <v>28</v>
      </c>
      <c r="Y45" s="120">
        <f t="shared" si="15"/>
        <v>37</v>
      </c>
      <c r="Z45" s="120">
        <f t="shared" si="15"/>
        <v>35</v>
      </c>
      <c r="AA45" s="120">
        <f t="shared" si="15"/>
        <v>73</v>
      </c>
      <c r="AB45" s="120">
        <f t="shared" si="15"/>
        <v>54</v>
      </c>
      <c r="AC45" s="120">
        <f t="shared" si="15"/>
        <v>25</v>
      </c>
      <c r="AD45" s="120">
        <f t="shared" si="15"/>
        <v>421</v>
      </c>
      <c r="AE45" s="120">
        <f t="shared" si="15"/>
        <v>141</v>
      </c>
      <c r="AF45" s="120">
        <f t="shared" si="15"/>
        <v>69</v>
      </c>
      <c r="AG45" s="120">
        <f t="shared" si="15"/>
        <v>143</v>
      </c>
      <c r="AH45" s="120">
        <f t="shared" si="15"/>
        <v>169</v>
      </c>
      <c r="AI45" s="120">
        <f t="shared" si="15"/>
        <v>806</v>
      </c>
      <c r="AJ45" s="120">
        <f t="shared" si="15"/>
        <v>749</v>
      </c>
      <c r="AK45" s="120">
        <f t="shared" si="15"/>
        <v>684</v>
      </c>
      <c r="AL45" s="120">
        <f t="shared" si="15"/>
        <v>656</v>
      </c>
      <c r="AM45" s="120">
        <f t="shared" si="15"/>
        <v>731</v>
      </c>
      <c r="AN45" s="120">
        <f>(SUM(AN34:AN44))</f>
        <v>1155</v>
      </c>
      <c r="AO45" s="120">
        <f>(SUM(AO34:AO44))</f>
        <v>894</v>
      </c>
      <c r="AP45" s="120">
        <f>(SUM(AP34:AP44))</f>
        <v>869</v>
      </c>
      <c r="AQ45" s="120">
        <f>(SUM(AQ34:AQ44))</f>
        <v>661</v>
      </c>
    </row>
    <row r="46" spans="2:43" x14ac:dyDescent="0.2">
      <c r="B46" s="130" t="s">
        <v>1202</v>
      </c>
      <c r="C46" s="215">
        <v>0</v>
      </c>
      <c r="D46" s="215"/>
      <c r="E46" s="215">
        <v>0</v>
      </c>
      <c r="F46" s="215">
        <v>0</v>
      </c>
      <c r="G46" s="215">
        <v>0</v>
      </c>
      <c r="H46" s="215">
        <v>0</v>
      </c>
      <c r="I46" s="215">
        <v>0</v>
      </c>
      <c r="J46" s="215">
        <v>0</v>
      </c>
      <c r="K46" s="215">
        <v>0</v>
      </c>
      <c r="L46" s="215">
        <v>0</v>
      </c>
      <c r="M46" s="215">
        <v>0</v>
      </c>
      <c r="N46" s="215">
        <v>0</v>
      </c>
      <c r="O46" s="215">
        <v>0</v>
      </c>
      <c r="P46" s="215">
        <v>0</v>
      </c>
      <c r="Q46" s="215">
        <v>0</v>
      </c>
      <c r="R46" s="215">
        <v>0</v>
      </c>
      <c r="S46" s="215">
        <v>0</v>
      </c>
      <c r="T46" s="215">
        <v>346</v>
      </c>
      <c r="U46" s="215">
        <v>457</v>
      </c>
      <c r="V46" s="215">
        <v>300</v>
      </c>
      <c r="W46" s="215">
        <v>333</v>
      </c>
      <c r="X46" s="215">
        <v>374</v>
      </c>
      <c r="Y46" s="215">
        <v>455</v>
      </c>
      <c r="Z46" s="215">
        <v>461</v>
      </c>
      <c r="AA46" s="215">
        <v>507</v>
      </c>
      <c r="AB46" s="215">
        <v>512</v>
      </c>
      <c r="AC46" s="215">
        <v>400</v>
      </c>
      <c r="AD46" s="215">
        <v>239</v>
      </c>
      <c r="AE46" s="215">
        <v>166</v>
      </c>
      <c r="AF46" s="215">
        <v>94</v>
      </c>
      <c r="AG46" s="215">
        <v>566</v>
      </c>
      <c r="AH46" s="215">
        <v>545</v>
      </c>
      <c r="AI46" s="215">
        <v>564</v>
      </c>
      <c r="AJ46" s="215">
        <v>481</v>
      </c>
      <c r="AK46" s="215">
        <v>343</v>
      </c>
      <c r="AL46" s="215">
        <v>414</v>
      </c>
      <c r="AM46" s="215">
        <v>105</v>
      </c>
      <c r="AN46" s="215">
        <v>1942</v>
      </c>
      <c r="AO46" s="215">
        <v>2039</v>
      </c>
      <c r="AP46" s="215">
        <v>2099</v>
      </c>
      <c r="AQ46" s="215">
        <v>2181</v>
      </c>
    </row>
    <row r="47" spans="2:43" x14ac:dyDescent="0.2">
      <c r="B47" s="130" t="s">
        <v>103</v>
      </c>
      <c r="C47" s="215">
        <v>0</v>
      </c>
      <c r="D47" s="215"/>
      <c r="E47" s="215">
        <v>0</v>
      </c>
      <c r="F47" s="215">
        <v>0</v>
      </c>
      <c r="G47" s="215">
        <v>0</v>
      </c>
      <c r="H47" s="215">
        <v>0</v>
      </c>
      <c r="I47" s="215">
        <v>0</v>
      </c>
      <c r="J47" s="215">
        <v>0</v>
      </c>
      <c r="K47" s="215">
        <v>0</v>
      </c>
      <c r="L47" s="215">
        <v>0</v>
      </c>
      <c r="M47" s="215">
        <v>0</v>
      </c>
      <c r="N47" s="215">
        <v>0</v>
      </c>
      <c r="O47" s="215">
        <v>0</v>
      </c>
      <c r="P47" s="215">
        <v>0</v>
      </c>
      <c r="Q47" s="215">
        <v>0</v>
      </c>
      <c r="R47" s="215">
        <v>0</v>
      </c>
      <c r="S47" s="215">
        <v>0</v>
      </c>
      <c r="T47" s="215">
        <v>3170</v>
      </c>
      <c r="U47" s="215">
        <v>2309</v>
      </c>
      <c r="V47" s="215">
        <v>1375</v>
      </c>
      <c r="W47" s="215">
        <v>373</v>
      </c>
      <c r="X47" s="215">
        <v>3930</v>
      </c>
      <c r="Y47" s="215">
        <v>3796</v>
      </c>
      <c r="Z47" s="215">
        <v>4272</v>
      </c>
      <c r="AA47" s="215">
        <v>4190</v>
      </c>
      <c r="AB47" s="215">
        <v>3601</v>
      </c>
      <c r="AC47" s="215">
        <v>3963</v>
      </c>
      <c r="AD47" s="215">
        <v>4001</v>
      </c>
      <c r="AE47" s="215">
        <v>4307</v>
      </c>
      <c r="AF47" s="215">
        <v>4286</v>
      </c>
      <c r="AG47" s="215">
        <v>4364</v>
      </c>
      <c r="AH47" s="215">
        <v>2755</v>
      </c>
      <c r="AI47" s="215">
        <v>2860</v>
      </c>
      <c r="AJ47" s="215">
        <v>3140</v>
      </c>
      <c r="AK47" s="215">
        <v>3259</v>
      </c>
      <c r="AL47" s="215">
        <v>3383</v>
      </c>
      <c r="AM47" s="215">
        <v>3511</v>
      </c>
      <c r="AN47" s="215">
        <v>3813</v>
      </c>
      <c r="AO47" s="215">
        <v>3958</v>
      </c>
      <c r="AP47" s="215">
        <v>4108</v>
      </c>
      <c r="AQ47" s="215">
        <v>4953</v>
      </c>
    </row>
    <row r="48" spans="2:43" hidden="1" outlineLevel="2" x14ac:dyDescent="0.2">
      <c r="B48" s="250" t="s">
        <v>107</v>
      </c>
      <c r="C48" s="1176">
        <v>0</v>
      </c>
      <c r="D48" s="1176"/>
      <c r="E48" s="1176">
        <v>0</v>
      </c>
      <c r="F48" s="1176">
        <v>0</v>
      </c>
      <c r="G48" s="1176">
        <v>0</v>
      </c>
      <c r="H48" s="1176">
        <v>0</v>
      </c>
      <c r="I48" s="1176">
        <v>0</v>
      </c>
      <c r="J48" s="1176">
        <v>0</v>
      </c>
      <c r="K48" s="1176">
        <v>0</v>
      </c>
      <c r="L48" s="1176">
        <v>0</v>
      </c>
      <c r="M48" s="1176">
        <v>0</v>
      </c>
      <c r="N48" s="1176">
        <v>0</v>
      </c>
      <c r="O48" s="1176">
        <v>0</v>
      </c>
      <c r="P48" s="1176">
        <v>0</v>
      </c>
      <c r="Q48" s="1176">
        <v>0</v>
      </c>
      <c r="R48" s="1176">
        <v>0</v>
      </c>
      <c r="S48" s="1176">
        <v>0</v>
      </c>
      <c r="T48" s="1176">
        <v>1062</v>
      </c>
      <c r="U48" s="1176">
        <v>1099</v>
      </c>
      <c r="V48" s="1176">
        <v>1107</v>
      </c>
      <c r="W48" s="1176">
        <v>0</v>
      </c>
      <c r="X48" s="1176">
        <v>0</v>
      </c>
      <c r="Y48" s="1176">
        <v>0</v>
      </c>
      <c r="Z48" s="1176">
        <v>0</v>
      </c>
      <c r="AA48" s="1176">
        <v>0</v>
      </c>
      <c r="AB48" s="1176">
        <v>0</v>
      </c>
      <c r="AC48" s="1176">
        <v>0</v>
      </c>
      <c r="AD48" s="1176" t="s">
        <v>47</v>
      </c>
      <c r="AE48" s="1176" t="s">
        <v>47</v>
      </c>
      <c r="AF48" s="1176">
        <v>0</v>
      </c>
      <c r="AG48" s="1176">
        <v>0</v>
      </c>
      <c r="AH48" s="1176">
        <v>0</v>
      </c>
      <c r="AI48" s="1176">
        <v>0</v>
      </c>
      <c r="AJ48" s="1176">
        <v>0</v>
      </c>
      <c r="AK48" s="1176">
        <v>0</v>
      </c>
      <c r="AL48" s="1176">
        <v>0</v>
      </c>
      <c r="AM48" s="1176">
        <v>0</v>
      </c>
      <c r="AN48" s="1176">
        <v>0</v>
      </c>
      <c r="AO48" s="1176"/>
      <c r="AP48" s="1176">
        <v>0</v>
      </c>
      <c r="AQ48" s="1176">
        <v>0</v>
      </c>
    </row>
    <row r="49" spans="1:79" hidden="1" outlineLevel="2" x14ac:dyDescent="0.2">
      <c r="B49" s="250" t="s">
        <v>94</v>
      </c>
      <c r="C49" s="1176">
        <v>0</v>
      </c>
      <c r="D49" s="1176"/>
      <c r="E49" s="1176">
        <v>0</v>
      </c>
      <c r="F49" s="1176">
        <v>0</v>
      </c>
      <c r="G49" s="1176">
        <v>0</v>
      </c>
      <c r="H49" s="1176">
        <v>0</v>
      </c>
      <c r="I49" s="1176">
        <v>0</v>
      </c>
      <c r="J49" s="1176">
        <v>0</v>
      </c>
      <c r="K49" s="1176">
        <v>0</v>
      </c>
      <c r="L49" s="1176">
        <v>0</v>
      </c>
      <c r="M49" s="1176">
        <v>0</v>
      </c>
      <c r="N49" s="1176">
        <v>0</v>
      </c>
      <c r="O49" s="1176">
        <v>0</v>
      </c>
      <c r="P49" s="1176">
        <v>0</v>
      </c>
      <c r="Q49" s="1176">
        <v>0</v>
      </c>
      <c r="R49" s="1176">
        <v>0</v>
      </c>
      <c r="S49" s="1176">
        <v>0</v>
      </c>
      <c r="T49" s="1176">
        <v>0</v>
      </c>
      <c r="U49" s="1176">
        <v>0</v>
      </c>
      <c r="V49" s="1176" t="s">
        <v>47</v>
      </c>
      <c r="W49" s="1176" t="s">
        <v>47</v>
      </c>
      <c r="X49" s="1176" t="s">
        <v>47</v>
      </c>
      <c r="Y49" s="1176" t="s">
        <v>47</v>
      </c>
      <c r="Z49" s="1176" t="s">
        <v>47</v>
      </c>
      <c r="AA49" s="1176" t="s">
        <v>47</v>
      </c>
      <c r="AB49" s="1176" t="s">
        <v>47</v>
      </c>
      <c r="AC49" s="1176">
        <v>0</v>
      </c>
      <c r="AD49" s="1176" t="s">
        <v>47</v>
      </c>
      <c r="AE49" s="1176" t="s">
        <v>47</v>
      </c>
      <c r="AF49" s="1176" t="s">
        <v>47</v>
      </c>
      <c r="AG49" s="1176" t="s">
        <v>47</v>
      </c>
      <c r="AH49" s="1176" t="s">
        <v>47</v>
      </c>
      <c r="AI49" s="1176" t="s">
        <v>47</v>
      </c>
      <c r="AJ49" s="1176" t="s">
        <v>47</v>
      </c>
      <c r="AK49" s="1176" t="s">
        <v>47</v>
      </c>
      <c r="AL49" s="1176" t="s">
        <v>47</v>
      </c>
      <c r="AM49" s="1176" t="s">
        <v>47</v>
      </c>
      <c r="AN49" s="1176" t="s">
        <v>47</v>
      </c>
      <c r="AO49" s="1176"/>
      <c r="AP49" s="1176" t="s">
        <v>47</v>
      </c>
      <c r="AQ49" s="1176" t="s">
        <v>47</v>
      </c>
    </row>
    <row r="50" spans="1:79" collapsed="1" x14ac:dyDescent="0.2">
      <c r="B50" s="207" t="s">
        <v>940</v>
      </c>
      <c r="C50" s="120">
        <f>SUM(C46:C48)</f>
        <v>0</v>
      </c>
      <c r="D50" s="120"/>
      <c r="E50" s="120">
        <f t="shared" ref="E50:AM50" si="16">SUM(E46:E48)</f>
        <v>0</v>
      </c>
      <c r="F50" s="120">
        <f t="shared" si="16"/>
        <v>0</v>
      </c>
      <c r="G50" s="120">
        <f t="shared" si="16"/>
        <v>0</v>
      </c>
      <c r="H50" s="120">
        <f t="shared" si="16"/>
        <v>0</v>
      </c>
      <c r="I50" s="120">
        <f t="shared" si="16"/>
        <v>0</v>
      </c>
      <c r="J50" s="120">
        <f t="shared" si="16"/>
        <v>0</v>
      </c>
      <c r="K50" s="120">
        <f t="shared" si="16"/>
        <v>0</v>
      </c>
      <c r="L50" s="120">
        <f t="shared" si="16"/>
        <v>0</v>
      </c>
      <c r="M50" s="120">
        <f t="shared" si="16"/>
        <v>0</v>
      </c>
      <c r="N50" s="120">
        <f t="shared" si="16"/>
        <v>0</v>
      </c>
      <c r="O50" s="120">
        <f t="shared" si="16"/>
        <v>0</v>
      </c>
      <c r="P50" s="120">
        <f t="shared" si="16"/>
        <v>0</v>
      </c>
      <c r="Q50" s="120">
        <f t="shared" si="16"/>
        <v>0</v>
      </c>
      <c r="R50" s="120">
        <f t="shared" si="16"/>
        <v>0</v>
      </c>
      <c r="S50" s="120">
        <f t="shared" si="16"/>
        <v>0</v>
      </c>
      <c r="T50" s="120">
        <f t="shared" si="16"/>
        <v>4578</v>
      </c>
      <c r="U50" s="120">
        <f t="shared" si="16"/>
        <v>3865</v>
      </c>
      <c r="V50" s="120">
        <f t="shared" si="16"/>
        <v>2782</v>
      </c>
      <c r="W50" s="120">
        <f t="shared" si="16"/>
        <v>706</v>
      </c>
      <c r="X50" s="120">
        <f t="shared" si="16"/>
        <v>4304</v>
      </c>
      <c r="Y50" s="120">
        <f t="shared" si="16"/>
        <v>4251</v>
      </c>
      <c r="Z50" s="120">
        <f t="shared" si="16"/>
        <v>4733</v>
      </c>
      <c r="AA50" s="120">
        <f t="shared" si="16"/>
        <v>4697</v>
      </c>
      <c r="AB50" s="120">
        <f t="shared" si="16"/>
        <v>4113</v>
      </c>
      <c r="AC50" s="120">
        <f t="shared" si="16"/>
        <v>4363</v>
      </c>
      <c r="AD50" s="120">
        <f t="shared" si="16"/>
        <v>4240</v>
      </c>
      <c r="AE50" s="120">
        <f t="shared" si="16"/>
        <v>4473</v>
      </c>
      <c r="AF50" s="120">
        <f t="shared" si="16"/>
        <v>4380</v>
      </c>
      <c r="AG50" s="120">
        <f t="shared" si="16"/>
        <v>4930</v>
      </c>
      <c r="AH50" s="120">
        <f t="shared" si="16"/>
        <v>3300</v>
      </c>
      <c r="AI50" s="120">
        <f t="shared" si="16"/>
        <v>3424</v>
      </c>
      <c r="AJ50" s="120">
        <f t="shared" si="16"/>
        <v>3621</v>
      </c>
      <c r="AK50" s="120">
        <f t="shared" si="16"/>
        <v>3602</v>
      </c>
      <c r="AL50" s="120">
        <f t="shared" si="16"/>
        <v>3797</v>
      </c>
      <c r="AM50" s="120">
        <f t="shared" si="16"/>
        <v>3616</v>
      </c>
      <c r="AN50" s="120">
        <f>SUM(AN46:AN48)</f>
        <v>5755</v>
      </c>
      <c r="AO50" s="120">
        <f>SUM(AO46:AO48)</f>
        <v>5997</v>
      </c>
      <c r="AP50" s="120">
        <f>SUM(AP46:AP48)</f>
        <v>6207</v>
      </c>
      <c r="AQ50" s="120">
        <f>SUM(AQ46:AQ48)</f>
        <v>7134</v>
      </c>
    </row>
    <row r="51" spans="1:79" x14ac:dyDescent="0.2">
      <c r="B51" s="207" t="s">
        <v>460</v>
      </c>
      <c r="C51" s="120">
        <f>C50+C45</f>
        <v>757</v>
      </c>
      <c r="D51" s="120"/>
      <c r="E51" s="120">
        <f t="shared" ref="E51:AM51" si="17">E50+E45</f>
        <v>9700</v>
      </c>
      <c r="F51" s="120">
        <f t="shared" si="17"/>
        <v>9774</v>
      </c>
      <c r="G51" s="120">
        <f t="shared" si="17"/>
        <v>6139</v>
      </c>
      <c r="H51" s="120">
        <f t="shared" si="17"/>
        <v>6139</v>
      </c>
      <c r="I51" s="120">
        <f t="shared" si="17"/>
        <v>5822</v>
      </c>
      <c r="J51" s="120">
        <f t="shared" si="17"/>
        <v>903</v>
      </c>
      <c r="K51" s="120">
        <f t="shared" si="17"/>
        <v>1128</v>
      </c>
      <c r="L51" s="120">
        <f t="shared" si="17"/>
        <v>1158</v>
      </c>
      <c r="M51" s="120">
        <f t="shared" si="17"/>
        <v>826.00070000000005</v>
      </c>
      <c r="N51" s="120">
        <f t="shared" si="17"/>
        <v>821.71617999999989</v>
      </c>
      <c r="O51" s="120">
        <f t="shared" si="17"/>
        <v>825.60808999999995</v>
      </c>
      <c r="P51" s="120">
        <f t="shared" si="17"/>
        <v>812</v>
      </c>
      <c r="Q51" s="120">
        <f t="shared" si="17"/>
        <v>591</v>
      </c>
      <c r="R51" s="120">
        <f t="shared" si="17"/>
        <v>1588</v>
      </c>
      <c r="S51" s="120">
        <f t="shared" si="17"/>
        <v>2311</v>
      </c>
      <c r="T51" s="120">
        <f t="shared" si="17"/>
        <v>4676</v>
      </c>
      <c r="U51" s="120">
        <f t="shared" si="17"/>
        <v>4890</v>
      </c>
      <c r="V51" s="120">
        <f t="shared" si="17"/>
        <v>2814</v>
      </c>
      <c r="W51" s="120">
        <f t="shared" si="17"/>
        <v>778</v>
      </c>
      <c r="X51" s="120">
        <f t="shared" si="17"/>
        <v>4332</v>
      </c>
      <c r="Y51" s="120">
        <f t="shared" si="17"/>
        <v>4288</v>
      </c>
      <c r="Z51" s="120">
        <f t="shared" si="17"/>
        <v>4768</v>
      </c>
      <c r="AA51" s="120">
        <f t="shared" si="17"/>
        <v>4770</v>
      </c>
      <c r="AB51" s="120">
        <f t="shared" si="17"/>
        <v>4167</v>
      </c>
      <c r="AC51" s="120">
        <f t="shared" si="17"/>
        <v>4388</v>
      </c>
      <c r="AD51" s="120">
        <f t="shared" si="17"/>
        <v>4661</v>
      </c>
      <c r="AE51" s="120">
        <f t="shared" si="17"/>
        <v>4614</v>
      </c>
      <c r="AF51" s="120">
        <f t="shared" si="17"/>
        <v>4449</v>
      </c>
      <c r="AG51" s="120">
        <f t="shared" si="17"/>
        <v>5073</v>
      </c>
      <c r="AH51" s="120">
        <f t="shared" si="17"/>
        <v>3469</v>
      </c>
      <c r="AI51" s="120">
        <f t="shared" si="17"/>
        <v>4230</v>
      </c>
      <c r="AJ51" s="120">
        <f t="shared" si="17"/>
        <v>4370</v>
      </c>
      <c r="AK51" s="120">
        <f t="shared" si="17"/>
        <v>4286</v>
      </c>
      <c r="AL51" s="120">
        <f t="shared" si="17"/>
        <v>4453</v>
      </c>
      <c r="AM51" s="120">
        <f t="shared" si="17"/>
        <v>4347</v>
      </c>
      <c r="AN51" s="120">
        <f>AN50+AN45</f>
        <v>6910</v>
      </c>
      <c r="AO51" s="120">
        <f>AO50+AO45</f>
        <v>6891</v>
      </c>
      <c r="AP51" s="120">
        <f>AP50+AP45</f>
        <v>7076</v>
      </c>
      <c r="AQ51" s="120">
        <f>AQ50+AQ45</f>
        <v>7795</v>
      </c>
    </row>
    <row r="52" spans="1:79" x14ac:dyDescent="0.2">
      <c r="B52" s="130" t="s">
        <v>1202</v>
      </c>
      <c r="C52" s="215">
        <v>0</v>
      </c>
      <c r="D52" s="215"/>
      <c r="E52" s="215">
        <v>0</v>
      </c>
      <c r="F52" s="215">
        <v>0</v>
      </c>
      <c r="G52" s="215">
        <v>0</v>
      </c>
      <c r="H52" s="215">
        <v>0</v>
      </c>
      <c r="I52" s="215">
        <v>0</v>
      </c>
      <c r="J52" s="215">
        <v>0</v>
      </c>
      <c r="K52" s="215">
        <v>0</v>
      </c>
      <c r="L52" s="215">
        <v>0</v>
      </c>
      <c r="M52" s="215">
        <v>0</v>
      </c>
      <c r="N52" s="215">
        <v>0</v>
      </c>
      <c r="O52" s="215">
        <v>0</v>
      </c>
      <c r="P52" s="215">
        <v>0</v>
      </c>
      <c r="Q52" s="215">
        <v>0</v>
      </c>
      <c r="R52" s="215">
        <v>0</v>
      </c>
      <c r="S52" s="215">
        <v>0</v>
      </c>
      <c r="T52" s="215">
        <v>2087</v>
      </c>
      <c r="U52" s="215">
        <v>2445</v>
      </c>
      <c r="V52" s="215">
        <v>2829</v>
      </c>
      <c r="W52" s="215">
        <v>542</v>
      </c>
      <c r="X52" s="215">
        <v>663</v>
      </c>
      <c r="Y52" s="215">
        <v>700</v>
      </c>
      <c r="Z52" s="215">
        <v>592</v>
      </c>
      <c r="AA52" s="215">
        <v>559</v>
      </c>
      <c r="AB52" s="215">
        <v>559</v>
      </c>
      <c r="AC52" s="215">
        <v>553</v>
      </c>
      <c r="AD52" s="215">
        <v>553</v>
      </c>
      <c r="AE52" s="215">
        <v>551</v>
      </c>
      <c r="AF52" s="215">
        <v>528</v>
      </c>
      <c r="AG52" s="215">
        <v>524</v>
      </c>
      <c r="AH52" s="215">
        <v>524</v>
      </c>
      <c r="AI52" s="215">
        <v>524</v>
      </c>
      <c r="AJ52" s="215">
        <v>524</v>
      </c>
      <c r="AK52" s="215">
        <v>524</v>
      </c>
      <c r="AL52" s="215">
        <v>524</v>
      </c>
      <c r="AM52" s="215">
        <v>524</v>
      </c>
      <c r="AN52" s="215">
        <v>524</v>
      </c>
      <c r="AO52" s="215">
        <v>524</v>
      </c>
      <c r="AP52" s="215">
        <v>524</v>
      </c>
      <c r="AQ52" s="215">
        <v>524</v>
      </c>
    </row>
    <row r="53" spans="1:79" x14ac:dyDescent="0.2">
      <c r="B53" s="207" t="s">
        <v>86</v>
      </c>
      <c r="C53" s="120">
        <f>C52</f>
        <v>0</v>
      </c>
      <c r="D53" s="120"/>
      <c r="E53" s="120">
        <f t="shared" ref="E53:W53" si="18">E52</f>
        <v>0</v>
      </c>
      <c r="F53" s="120">
        <f t="shared" si="18"/>
        <v>0</v>
      </c>
      <c r="G53" s="120">
        <f t="shared" si="18"/>
        <v>0</v>
      </c>
      <c r="H53" s="120">
        <f t="shared" si="18"/>
        <v>0</v>
      </c>
      <c r="I53" s="120">
        <f t="shared" si="18"/>
        <v>0</v>
      </c>
      <c r="J53" s="120">
        <f t="shared" si="18"/>
        <v>0</v>
      </c>
      <c r="K53" s="120">
        <f t="shared" si="18"/>
        <v>0</v>
      </c>
      <c r="L53" s="120">
        <f t="shared" si="18"/>
        <v>0</v>
      </c>
      <c r="M53" s="120">
        <f t="shared" si="18"/>
        <v>0</v>
      </c>
      <c r="N53" s="120">
        <f t="shared" si="18"/>
        <v>0</v>
      </c>
      <c r="O53" s="120">
        <f t="shared" si="18"/>
        <v>0</v>
      </c>
      <c r="P53" s="120">
        <f t="shared" si="18"/>
        <v>0</v>
      </c>
      <c r="Q53" s="120">
        <f t="shared" si="18"/>
        <v>0</v>
      </c>
      <c r="R53" s="120">
        <f t="shared" si="18"/>
        <v>0</v>
      </c>
      <c r="S53" s="120">
        <f t="shared" si="18"/>
        <v>0</v>
      </c>
      <c r="T53" s="120">
        <f t="shared" si="18"/>
        <v>2087</v>
      </c>
      <c r="U53" s="120">
        <f t="shared" si="18"/>
        <v>2445</v>
      </c>
      <c r="V53" s="120">
        <f t="shared" si="18"/>
        <v>2829</v>
      </c>
      <c r="W53" s="120">
        <f t="shared" si="18"/>
        <v>542</v>
      </c>
      <c r="X53" s="120">
        <f t="shared" ref="X53:AG53" si="19">X52</f>
        <v>663</v>
      </c>
      <c r="Y53" s="120">
        <f t="shared" si="19"/>
        <v>700</v>
      </c>
      <c r="Z53" s="120">
        <f t="shared" si="19"/>
        <v>592</v>
      </c>
      <c r="AA53" s="120">
        <f t="shared" si="19"/>
        <v>559</v>
      </c>
      <c r="AB53" s="120">
        <f t="shared" si="19"/>
        <v>559</v>
      </c>
      <c r="AC53" s="120">
        <f t="shared" si="19"/>
        <v>553</v>
      </c>
      <c r="AD53" s="120">
        <f t="shared" si="19"/>
        <v>553</v>
      </c>
      <c r="AE53" s="120">
        <f t="shared" si="19"/>
        <v>551</v>
      </c>
      <c r="AF53" s="120">
        <f t="shared" si="19"/>
        <v>528</v>
      </c>
      <c r="AG53" s="120">
        <f t="shared" si="19"/>
        <v>524</v>
      </c>
      <c r="AH53" s="120">
        <f t="shared" ref="AH53:AP53" si="20">AH52</f>
        <v>524</v>
      </c>
      <c r="AI53" s="120">
        <f t="shared" si="20"/>
        <v>524</v>
      </c>
      <c r="AJ53" s="120">
        <f t="shared" si="20"/>
        <v>524</v>
      </c>
      <c r="AK53" s="120">
        <f t="shared" si="20"/>
        <v>524</v>
      </c>
      <c r="AL53" s="120">
        <f t="shared" si="20"/>
        <v>524</v>
      </c>
      <c r="AM53" s="120">
        <f t="shared" si="20"/>
        <v>524</v>
      </c>
      <c r="AN53" s="120">
        <f t="shared" si="20"/>
        <v>524</v>
      </c>
      <c r="AO53" s="120">
        <f t="shared" si="20"/>
        <v>524</v>
      </c>
      <c r="AP53" s="120">
        <f t="shared" si="20"/>
        <v>524</v>
      </c>
      <c r="AQ53" s="120">
        <f>AQ52</f>
        <v>524</v>
      </c>
    </row>
    <row r="54" spans="1:79" x14ac:dyDescent="0.2">
      <c r="B54" s="130" t="s">
        <v>1202</v>
      </c>
      <c r="C54" s="215" t="s">
        <v>47</v>
      </c>
      <c r="D54" s="215"/>
      <c r="E54" s="215" t="s">
        <v>47</v>
      </c>
      <c r="F54" s="215" t="s">
        <v>47</v>
      </c>
      <c r="G54" s="215" t="s">
        <v>47</v>
      </c>
      <c r="H54" s="215" t="s">
        <v>47</v>
      </c>
      <c r="I54" s="215" t="s">
        <v>47</v>
      </c>
      <c r="J54" s="215" t="s">
        <v>47</v>
      </c>
      <c r="K54" s="215" t="s">
        <v>47</v>
      </c>
      <c r="L54" s="215" t="s">
        <v>47</v>
      </c>
      <c r="M54" s="215" t="s">
        <v>47</v>
      </c>
      <c r="N54" s="215" t="s">
        <v>47</v>
      </c>
      <c r="O54" s="215" t="s">
        <v>47</v>
      </c>
      <c r="P54" s="215" t="s">
        <v>47</v>
      </c>
      <c r="Q54" s="215" t="s">
        <v>47</v>
      </c>
      <c r="R54" s="215" t="s">
        <v>47</v>
      </c>
      <c r="S54" s="215" t="s">
        <v>47</v>
      </c>
      <c r="T54" s="215" t="s">
        <v>47</v>
      </c>
      <c r="U54" s="215" t="s">
        <v>47</v>
      </c>
      <c r="V54" s="215" t="s">
        <v>47</v>
      </c>
      <c r="W54" s="215" t="s">
        <v>47</v>
      </c>
      <c r="X54" s="215" t="s">
        <v>47</v>
      </c>
      <c r="Y54" s="215" t="s">
        <v>47</v>
      </c>
      <c r="Z54" s="215" t="s">
        <v>47</v>
      </c>
      <c r="AA54" s="215" t="s">
        <v>47</v>
      </c>
      <c r="AB54" s="215" t="s">
        <v>47</v>
      </c>
      <c r="AC54" s="215" t="s">
        <v>47</v>
      </c>
      <c r="AD54" s="215" t="s">
        <v>47</v>
      </c>
      <c r="AE54" s="215" t="s">
        <v>47</v>
      </c>
      <c r="AF54" s="215" t="s">
        <v>47</v>
      </c>
      <c r="AG54" s="215">
        <v>194</v>
      </c>
      <c r="AH54" s="215">
        <v>199</v>
      </c>
      <c r="AI54" s="215">
        <v>51</v>
      </c>
      <c r="AJ54" s="215">
        <v>0</v>
      </c>
      <c r="AK54" s="215">
        <v>0</v>
      </c>
      <c r="AL54" s="215">
        <v>0</v>
      </c>
      <c r="AM54" s="215">
        <v>0</v>
      </c>
      <c r="AN54" s="215">
        <v>1822</v>
      </c>
      <c r="AO54" s="215">
        <v>1302</v>
      </c>
      <c r="AP54" s="215">
        <v>755</v>
      </c>
      <c r="AQ54" s="215">
        <v>171</v>
      </c>
    </row>
    <row r="55" spans="1:79" x14ac:dyDescent="0.2">
      <c r="B55" s="130" t="s">
        <v>103</v>
      </c>
      <c r="C55" s="215">
        <v>0</v>
      </c>
      <c r="D55" s="215"/>
      <c r="E55" s="215">
        <v>0</v>
      </c>
      <c r="F55" s="215">
        <v>0</v>
      </c>
      <c r="G55" s="215">
        <v>0</v>
      </c>
      <c r="H55" s="215">
        <v>0</v>
      </c>
      <c r="I55" s="215">
        <v>0</v>
      </c>
      <c r="J55" s="215">
        <v>0</v>
      </c>
      <c r="K55" s="215">
        <v>0</v>
      </c>
      <c r="L55" s="215">
        <v>0</v>
      </c>
      <c r="M55" s="215">
        <v>0</v>
      </c>
      <c r="N55" s="215">
        <v>0</v>
      </c>
      <c r="O55" s="215">
        <v>0</v>
      </c>
      <c r="P55" s="215">
        <v>0</v>
      </c>
      <c r="Q55" s="215">
        <v>0</v>
      </c>
      <c r="R55" s="215">
        <v>0</v>
      </c>
      <c r="S55" s="215">
        <v>0</v>
      </c>
      <c r="T55" s="215">
        <v>5195</v>
      </c>
      <c r="U55" s="215">
        <v>5074</v>
      </c>
      <c r="V55" s="215">
        <v>4797</v>
      </c>
      <c r="W55" s="215">
        <v>0</v>
      </c>
      <c r="X55" s="215">
        <v>7750</v>
      </c>
      <c r="Y55" s="215">
        <v>3796</v>
      </c>
      <c r="Z55" s="215">
        <v>5721</v>
      </c>
      <c r="AA55" s="215">
        <v>4683</v>
      </c>
      <c r="AB55" s="215">
        <v>7676</v>
      </c>
      <c r="AC55" s="215">
        <v>6631</v>
      </c>
      <c r="AD55" s="215">
        <v>5667</v>
      </c>
      <c r="AE55" s="215">
        <v>5043</v>
      </c>
      <c r="AF55" s="215">
        <v>4091</v>
      </c>
      <c r="AG55" s="215">
        <v>2935</v>
      </c>
      <c r="AH55" s="215">
        <v>12400</v>
      </c>
      <c r="AI55" s="215">
        <v>11644</v>
      </c>
      <c r="AJ55" s="215">
        <v>11489</v>
      </c>
      <c r="AK55" s="215">
        <v>10628</v>
      </c>
      <c r="AL55" s="215">
        <v>9734</v>
      </c>
      <c r="AM55" s="215">
        <v>8807</v>
      </c>
      <c r="AN55" s="215">
        <v>8206</v>
      </c>
      <c r="AO55" s="215">
        <v>7161</v>
      </c>
      <c r="AP55" s="215">
        <v>6076</v>
      </c>
      <c r="AQ55" s="215">
        <v>4268</v>
      </c>
    </row>
    <row r="56" spans="1:79" x14ac:dyDescent="0.2">
      <c r="B56" s="130" t="s">
        <v>95</v>
      </c>
      <c r="C56" s="215">
        <v>0</v>
      </c>
      <c r="D56" s="215"/>
      <c r="E56" s="215">
        <v>0</v>
      </c>
      <c r="F56" s="215">
        <v>0</v>
      </c>
      <c r="G56" s="215">
        <v>0</v>
      </c>
      <c r="H56" s="215">
        <v>0</v>
      </c>
      <c r="I56" s="215">
        <v>0</v>
      </c>
      <c r="J56" s="215">
        <v>0</v>
      </c>
      <c r="K56" s="215">
        <v>0</v>
      </c>
      <c r="L56" s="215">
        <v>0</v>
      </c>
      <c r="M56" s="215">
        <v>0</v>
      </c>
      <c r="N56" s="215">
        <v>0</v>
      </c>
      <c r="O56" s="215">
        <v>0</v>
      </c>
      <c r="P56" s="215">
        <v>0</v>
      </c>
      <c r="Q56" s="215">
        <v>0</v>
      </c>
      <c r="R56" s="215">
        <v>0</v>
      </c>
      <c r="S56" s="215">
        <v>0</v>
      </c>
      <c r="T56" s="215">
        <v>1170</v>
      </c>
      <c r="U56" s="215">
        <v>1096</v>
      </c>
      <c r="V56" s="215">
        <v>1021</v>
      </c>
      <c r="W56" s="215">
        <v>1040</v>
      </c>
      <c r="X56" s="215">
        <v>954</v>
      </c>
      <c r="Y56" s="215">
        <v>355</v>
      </c>
      <c r="Z56" s="215">
        <v>238</v>
      </c>
      <c r="AA56" s="215">
        <v>120</v>
      </c>
      <c r="AB56" s="215">
        <v>0</v>
      </c>
      <c r="AC56" s="215">
        <v>0</v>
      </c>
      <c r="AD56" s="215" t="s">
        <v>47</v>
      </c>
      <c r="AE56" s="215" t="s">
        <v>47</v>
      </c>
      <c r="AF56" s="215">
        <v>0</v>
      </c>
      <c r="AG56" s="215">
        <v>0</v>
      </c>
      <c r="AH56" s="215">
        <v>0</v>
      </c>
      <c r="AI56" s="215">
        <v>0</v>
      </c>
      <c r="AJ56" s="215">
        <v>0</v>
      </c>
      <c r="AK56" s="215">
        <v>0</v>
      </c>
      <c r="AL56" s="215">
        <v>0</v>
      </c>
      <c r="AM56" s="215">
        <v>0</v>
      </c>
      <c r="AN56" s="215">
        <v>0</v>
      </c>
      <c r="AO56" s="215">
        <v>0</v>
      </c>
      <c r="AP56" s="215">
        <v>0</v>
      </c>
      <c r="AQ56" s="215">
        <v>0</v>
      </c>
    </row>
    <row r="57" spans="1:79" x14ac:dyDescent="0.2">
      <c r="B57" s="207" t="s">
        <v>940</v>
      </c>
      <c r="C57" s="120">
        <f t="shared" ref="C57:AL57" si="21">SUM(C54:C56)</f>
        <v>0</v>
      </c>
      <c r="D57" s="120"/>
      <c r="E57" s="120">
        <f t="shared" si="21"/>
        <v>0</v>
      </c>
      <c r="F57" s="120">
        <f t="shared" si="21"/>
        <v>0</v>
      </c>
      <c r="G57" s="120">
        <f t="shared" si="21"/>
        <v>0</v>
      </c>
      <c r="H57" s="120">
        <f t="shared" si="21"/>
        <v>0</v>
      </c>
      <c r="I57" s="120">
        <f t="shared" si="21"/>
        <v>0</v>
      </c>
      <c r="J57" s="120">
        <f t="shared" si="21"/>
        <v>0</v>
      </c>
      <c r="K57" s="120">
        <f t="shared" si="21"/>
        <v>0</v>
      </c>
      <c r="L57" s="120">
        <f t="shared" si="21"/>
        <v>0</v>
      </c>
      <c r="M57" s="120">
        <f t="shared" si="21"/>
        <v>0</v>
      </c>
      <c r="N57" s="120">
        <f t="shared" si="21"/>
        <v>0</v>
      </c>
      <c r="O57" s="120">
        <f t="shared" si="21"/>
        <v>0</v>
      </c>
      <c r="P57" s="120">
        <f t="shared" si="21"/>
        <v>0</v>
      </c>
      <c r="Q57" s="120">
        <f t="shared" si="21"/>
        <v>0</v>
      </c>
      <c r="R57" s="120">
        <f t="shared" si="21"/>
        <v>0</v>
      </c>
      <c r="S57" s="120">
        <f t="shared" si="21"/>
        <v>0</v>
      </c>
      <c r="T57" s="120">
        <f t="shared" si="21"/>
        <v>6365</v>
      </c>
      <c r="U57" s="120">
        <f t="shared" si="21"/>
        <v>6170</v>
      </c>
      <c r="V57" s="120">
        <f t="shared" si="21"/>
        <v>5818</v>
      </c>
      <c r="W57" s="120">
        <f t="shared" si="21"/>
        <v>1040</v>
      </c>
      <c r="X57" s="120">
        <f t="shared" si="21"/>
        <v>8704</v>
      </c>
      <c r="Y57" s="120">
        <f t="shared" si="21"/>
        <v>4151</v>
      </c>
      <c r="Z57" s="120">
        <f t="shared" si="21"/>
        <v>5959</v>
      </c>
      <c r="AA57" s="120">
        <f t="shared" si="21"/>
        <v>4803</v>
      </c>
      <c r="AB57" s="120">
        <f t="shared" si="21"/>
        <v>7676</v>
      </c>
      <c r="AC57" s="120">
        <f t="shared" si="21"/>
        <v>6631</v>
      </c>
      <c r="AD57" s="120">
        <f t="shared" si="21"/>
        <v>5667</v>
      </c>
      <c r="AE57" s="120">
        <f t="shared" si="21"/>
        <v>5043</v>
      </c>
      <c r="AF57" s="120">
        <f t="shared" si="21"/>
        <v>4091</v>
      </c>
      <c r="AG57" s="120">
        <f t="shared" si="21"/>
        <v>3129</v>
      </c>
      <c r="AH57" s="120">
        <f t="shared" si="21"/>
        <v>12599</v>
      </c>
      <c r="AI57" s="120">
        <f t="shared" si="21"/>
        <v>11695</v>
      </c>
      <c r="AJ57" s="120">
        <f t="shared" si="21"/>
        <v>11489</v>
      </c>
      <c r="AK57" s="120">
        <f t="shared" si="21"/>
        <v>10628</v>
      </c>
      <c r="AL57" s="120">
        <f t="shared" si="21"/>
        <v>9734</v>
      </c>
      <c r="AM57" s="120">
        <f>SUM(AM54:AM56)</f>
        <v>8807</v>
      </c>
      <c r="AN57" s="120">
        <f>SUM(AN54:AN56)</f>
        <v>10028</v>
      </c>
      <c r="AO57" s="120">
        <f>SUM(AO54:AO56)</f>
        <v>8463</v>
      </c>
      <c r="AP57" s="120">
        <f>SUM(AP54:AP56)</f>
        <v>6831</v>
      </c>
      <c r="AQ57" s="120">
        <f>SUM(AQ54:AQ56)</f>
        <v>4439</v>
      </c>
    </row>
    <row r="58" spans="1:79" x14ac:dyDescent="0.2">
      <c r="B58" s="207" t="s">
        <v>201</v>
      </c>
      <c r="C58" s="120">
        <f>C57+C53</f>
        <v>0</v>
      </c>
      <c r="D58" s="120"/>
      <c r="E58" s="120">
        <f t="shared" ref="E58:AM58" si="22">E57+E53</f>
        <v>0</v>
      </c>
      <c r="F58" s="120">
        <f t="shared" si="22"/>
        <v>0</v>
      </c>
      <c r="G58" s="120">
        <f t="shared" si="22"/>
        <v>0</v>
      </c>
      <c r="H58" s="120">
        <f t="shared" si="22"/>
        <v>0</v>
      </c>
      <c r="I58" s="120">
        <f t="shared" si="22"/>
        <v>0</v>
      </c>
      <c r="J58" s="120">
        <f t="shared" si="22"/>
        <v>0</v>
      </c>
      <c r="K58" s="120">
        <f t="shared" si="22"/>
        <v>0</v>
      </c>
      <c r="L58" s="120">
        <f t="shared" si="22"/>
        <v>0</v>
      </c>
      <c r="M58" s="120">
        <f t="shared" si="22"/>
        <v>0</v>
      </c>
      <c r="N58" s="120">
        <f t="shared" si="22"/>
        <v>0</v>
      </c>
      <c r="O58" s="120">
        <f t="shared" si="22"/>
        <v>0</v>
      </c>
      <c r="P58" s="120">
        <f t="shared" si="22"/>
        <v>0</v>
      </c>
      <c r="Q58" s="120">
        <f t="shared" si="22"/>
        <v>0</v>
      </c>
      <c r="R58" s="120">
        <f t="shared" si="22"/>
        <v>0</v>
      </c>
      <c r="S58" s="120">
        <f t="shared" si="22"/>
        <v>0</v>
      </c>
      <c r="T58" s="120">
        <f t="shared" si="22"/>
        <v>8452</v>
      </c>
      <c r="U58" s="120">
        <f t="shared" si="22"/>
        <v>8615</v>
      </c>
      <c r="V58" s="120">
        <f t="shared" si="22"/>
        <v>8647</v>
      </c>
      <c r="W58" s="120">
        <f t="shared" si="22"/>
        <v>1582</v>
      </c>
      <c r="X58" s="120">
        <f t="shared" si="22"/>
        <v>9367</v>
      </c>
      <c r="Y58" s="120">
        <f t="shared" si="22"/>
        <v>4851</v>
      </c>
      <c r="Z58" s="120">
        <f t="shared" si="22"/>
        <v>6551</v>
      </c>
      <c r="AA58" s="120">
        <f t="shared" si="22"/>
        <v>5362</v>
      </c>
      <c r="AB58" s="120">
        <f t="shared" si="22"/>
        <v>8235</v>
      </c>
      <c r="AC58" s="120">
        <f t="shared" si="22"/>
        <v>7184</v>
      </c>
      <c r="AD58" s="120">
        <f t="shared" si="22"/>
        <v>6220</v>
      </c>
      <c r="AE58" s="120">
        <f t="shared" si="22"/>
        <v>5594</v>
      </c>
      <c r="AF58" s="120">
        <f t="shared" si="22"/>
        <v>4619</v>
      </c>
      <c r="AG58" s="120">
        <f t="shared" si="22"/>
        <v>3653</v>
      </c>
      <c r="AH58" s="120">
        <f t="shared" si="22"/>
        <v>13123</v>
      </c>
      <c r="AI58" s="120">
        <f t="shared" si="22"/>
        <v>12219</v>
      </c>
      <c r="AJ58" s="120">
        <f t="shared" si="22"/>
        <v>12013</v>
      </c>
      <c r="AK58" s="120">
        <f t="shared" si="22"/>
        <v>11152</v>
      </c>
      <c r="AL58" s="120">
        <f t="shared" si="22"/>
        <v>10258</v>
      </c>
      <c r="AM58" s="120">
        <f t="shared" si="22"/>
        <v>9331</v>
      </c>
      <c r="AN58" s="120">
        <f>AN57+AN53</f>
        <v>10552</v>
      </c>
      <c r="AO58" s="120">
        <f>AO57+AO53</f>
        <v>8987</v>
      </c>
      <c r="AP58" s="120">
        <f>AP57+AP53</f>
        <v>7355</v>
      </c>
      <c r="AQ58" s="120">
        <f>AQ57+AQ53</f>
        <v>4963</v>
      </c>
    </row>
    <row r="59" spans="1:79" x14ac:dyDescent="0.2">
      <c r="B59" s="207" t="s">
        <v>603</v>
      </c>
      <c r="C59" s="120">
        <f>C58+C51</f>
        <v>757</v>
      </c>
      <c r="D59" s="120"/>
      <c r="E59" s="120">
        <f t="shared" ref="E59:AM59" si="23">E58+E51</f>
        <v>9700</v>
      </c>
      <c r="F59" s="120">
        <f t="shared" si="23"/>
        <v>9774</v>
      </c>
      <c r="G59" s="120">
        <f t="shared" si="23"/>
        <v>6139</v>
      </c>
      <c r="H59" s="120">
        <f t="shared" si="23"/>
        <v>6139</v>
      </c>
      <c r="I59" s="120">
        <f t="shared" si="23"/>
        <v>5822</v>
      </c>
      <c r="J59" s="120">
        <f t="shared" si="23"/>
        <v>903</v>
      </c>
      <c r="K59" s="120">
        <f t="shared" si="23"/>
        <v>1128</v>
      </c>
      <c r="L59" s="120">
        <f t="shared" si="23"/>
        <v>1158</v>
      </c>
      <c r="M59" s="120">
        <f t="shared" si="23"/>
        <v>826.00070000000005</v>
      </c>
      <c r="N59" s="120">
        <f t="shared" si="23"/>
        <v>821.71617999999989</v>
      </c>
      <c r="O59" s="120">
        <f t="shared" si="23"/>
        <v>825.60808999999995</v>
      </c>
      <c r="P59" s="120">
        <f t="shared" si="23"/>
        <v>812</v>
      </c>
      <c r="Q59" s="120">
        <f t="shared" si="23"/>
        <v>591</v>
      </c>
      <c r="R59" s="120">
        <f t="shared" si="23"/>
        <v>1588</v>
      </c>
      <c r="S59" s="120">
        <f t="shared" si="23"/>
        <v>2311</v>
      </c>
      <c r="T59" s="120">
        <f t="shared" si="23"/>
        <v>13128</v>
      </c>
      <c r="U59" s="120">
        <f t="shared" si="23"/>
        <v>13505</v>
      </c>
      <c r="V59" s="120">
        <f t="shared" si="23"/>
        <v>11461</v>
      </c>
      <c r="W59" s="120">
        <f t="shared" si="23"/>
        <v>2360</v>
      </c>
      <c r="X59" s="120">
        <f t="shared" si="23"/>
        <v>13699</v>
      </c>
      <c r="Y59" s="120">
        <f t="shared" si="23"/>
        <v>9139</v>
      </c>
      <c r="Z59" s="120">
        <f t="shared" si="23"/>
        <v>11319</v>
      </c>
      <c r="AA59" s="120">
        <f t="shared" si="23"/>
        <v>10132</v>
      </c>
      <c r="AB59" s="120">
        <f t="shared" si="23"/>
        <v>12402</v>
      </c>
      <c r="AC59" s="120">
        <f t="shared" si="23"/>
        <v>11572</v>
      </c>
      <c r="AD59" s="120">
        <f t="shared" si="23"/>
        <v>10881</v>
      </c>
      <c r="AE59" s="120">
        <f t="shared" si="23"/>
        <v>10208</v>
      </c>
      <c r="AF59" s="120">
        <f t="shared" si="23"/>
        <v>9068</v>
      </c>
      <c r="AG59" s="120">
        <f t="shared" si="23"/>
        <v>8726</v>
      </c>
      <c r="AH59" s="120">
        <f t="shared" si="23"/>
        <v>16592</v>
      </c>
      <c r="AI59" s="120">
        <f t="shared" si="23"/>
        <v>16449</v>
      </c>
      <c r="AJ59" s="120">
        <f t="shared" si="23"/>
        <v>16383</v>
      </c>
      <c r="AK59" s="120">
        <f t="shared" si="23"/>
        <v>15438</v>
      </c>
      <c r="AL59" s="120">
        <f t="shared" si="23"/>
        <v>14711</v>
      </c>
      <c r="AM59" s="120">
        <f t="shared" si="23"/>
        <v>13678</v>
      </c>
      <c r="AN59" s="120">
        <f>AN58+AN51</f>
        <v>17462</v>
      </c>
      <c r="AO59" s="120">
        <f>AO58+AO51</f>
        <v>15878</v>
      </c>
      <c r="AP59" s="120">
        <f>AP58+AP51</f>
        <v>14431</v>
      </c>
      <c r="AQ59" s="120">
        <f>AQ58+AQ51</f>
        <v>12758</v>
      </c>
    </row>
    <row r="61" spans="1:79" x14ac:dyDescent="0.2">
      <c r="B61" s="247" t="s">
        <v>1319</v>
      </c>
      <c r="C61" s="198">
        <v>2014</v>
      </c>
      <c r="D61" s="206" t="s">
        <v>475</v>
      </c>
      <c r="E61" s="206" t="s">
        <v>476</v>
      </c>
      <c r="F61" s="206" t="s">
        <v>477</v>
      </c>
      <c r="G61" s="206" t="s">
        <v>478</v>
      </c>
      <c r="H61" s="206" t="s">
        <v>479</v>
      </c>
      <c r="I61" s="206" t="s">
        <v>371</v>
      </c>
      <c r="J61" s="206" t="s">
        <v>372</v>
      </c>
      <c r="K61" s="206" t="s">
        <v>373</v>
      </c>
      <c r="L61" s="206" t="s">
        <v>374</v>
      </c>
      <c r="M61" s="206" t="s">
        <v>375</v>
      </c>
      <c r="N61" s="206" t="s">
        <v>376</v>
      </c>
      <c r="O61" s="206" t="s">
        <v>694</v>
      </c>
      <c r="P61" s="206" t="s">
        <v>758</v>
      </c>
      <c r="Q61" s="206" t="s">
        <v>771</v>
      </c>
      <c r="R61" s="206" t="s">
        <v>788</v>
      </c>
      <c r="S61" s="206" t="s">
        <v>844</v>
      </c>
      <c r="T61" s="206" t="s">
        <v>862</v>
      </c>
      <c r="U61" s="206" t="s">
        <v>922</v>
      </c>
      <c r="V61" s="206" t="s">
        <v>923</v>
      </c>
      <c r="W61" s="206" t="s">
        <v>924</v>
      </c>
      <c r="X61" s="206" t="s">
        <v>995</v>
      </c>
      <c r="Y61" s="206" t="s">
        <v>1027</v>
      </c>
      <c r="Z61" s="206" t="s">
        <v>1028</v>
      </c>
      <c r="AA61" s="206" t="s">
        <v>993</v>
      </c>
      <c r="AB61" s="206" t="s">
        <v>1124</v>
      </c>
      <c r="AC61" s="206" t="s">
        <v>1125</v>
      </c>
      <c r="AD61" s="206" t="s">
        <v>1126</v>
      </c>
      <c r="AE61" s="206" t="s">
        <v>1127</v>
      </c>
      <c r="AF61" s="206" t="s">
        <v>1182</v>
      </c>
      <c r="AG61" s="206" t="s">
        <v>1189</v>
      </c>
      <c r="AH61" s="206" t="s">
        <v>1191</v>
      </c>
      <c r="AI61" s="206" t="s">
        <v>1193</v>
      </c>
      <c r="AJ61" s="206" t="s">
        <v>1232</v>
      </c>
      <c r="AK61" s="206" t="s">
        <v>1245</v>
      </c>
      <c r="AL61" s="206" t="s">
        <v>1247</v>
      </c>
      <c r="AM61" s="206" t="s">
        <v>1249</v>
      </c>
      <c r="AN61" s="206" t="s">
        <v>1306</v>
      </c>
      <c r="AO61" s="206" t="s">
        <v>1316</v>
      </c>
      <c r="AP61" s="206" t="s">
        <v>1317</v>
      </c>
      <c r="AQ61" s="206" t="s">
        <v>1318</v>
      </c>
    </row>
    <row r="62" spans="1:79" x14ac:dyDescent="0.2">
      <c r="B62" s="130" t="s">
        <v>1255</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1053</v>
      </c>
    </row>
    <row r="63" spans="1:79" s="203" customFormat="1" x14ac:dyDescent="0.2">
      <c r="A63" s="202"/>
      <c r="B63" s="130" t="s">
        <v>936</v>
      </c>
      <c r="C63" s="118">
        <v>0</v>
      </c>
      <c r="D63" s="118">
        <v>0</v>
      </c>
      <c r="E63" s="118">
        <v>0</v>
      </c>
      <c r="F63" s="118">
        <v>0</v>
      </c>
      <c r="G63" s="118">
        <v>0</v>
      </c>
      <c r="H63" s="118">
        <v>0</v>
      </c>
      <c r="I63" s="118">
        <v>0</v>
      </c>
      <c r="J63" s="118">
        <v>0</v>
      </c>
      <c r="K63" s="118">
        <v>0</v>
      </c>
      <c r="L63" s="118">
        <v>0</v>
      </c>
      <c r="M63" s="118">
        <v>0</v>
      </c>
      <c r="N63" s="118">
        <v>0</v>
      </c>
      <c r="O63" s="118">
        <v>0</v>
      </c>
      <c r="P63" s="118">
        <v>0</v>
      </c>
      <c r="Q63" s="118">
        <v>0</v>
      </c>
      <c r="R63" s="118">
        <v>0</v>
      </c>
      <c r="S63" s="118">
        <v>0</v>
      </c>
      <c r="T63" s="118">
        <v>3</v>
      </c>
      <c r="U63" s="118">
        <v>0</v>
      </c>
      <c r="V63" s="118">
        <v>32</v>
      </c>
      <c r="W63" s="118">
        <v>-18</v>
      </c>
      <c r="X63" s="118">
        <v>5</v>
      </c>
      <c r="Y63" s="118">
        <v>4</v>
      </c>
      <c r="Z63" s="118">
        <v>5</v>
      </c>
      <c r="AA63" s="118">
        <v>4</v>
      </c>
      <c r="AB63" s="118">
        <v>5</v>
      </c>
      <c r="AC63" s="118">
        <v>4</v>
      </c>
      <c r="AD63" s="118">
        <v>5</v>
      </c>
      <c r="AE63" s="118">
        <v>3</v>
      </c>
      <c r="AF63" s="118">
        <v>0</v>
      </c>
      <c r="AG63" s="118">
        <v>2</v>
      </c>
      <c r="AH63" s="118">
        <v>0</v>
      </c>
      <c r="AI63" s="118">
        <v>-2</v>
      </c>
      <c r="AJ63" s="118">
        <v>0</v>
      </c>
      <c r="AK63" s="118">
        <v>0</v>
      </c>
      <c r="AL63" s="118">
        <v>0</v>
      </c>
      <c r="AM63" s="118">
        <v>0</v>
      </c>
      <c r="AN63" s="118">
        <v>0</v>
      </c>
      <c r="AO63" s="118">
        <v>0</v>
      </c>
      <c r="AP63" s="118">
        <v>0</v>
      </c>
      <c r="AQ63" s="118">
        <v>0</v>
      </c>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row>
    <row r="64" spans="1:79" hidden="1" outlineLevel="1" x14ac:dyDescent="0.2">
      <c r="B64" s="250" t="s">
        <v>101</v>
      </c>
      <c r="C64" s="219">
        <v>14784</v>
      </c>
      <c r="D64" s="219">
        <v>4452</v>
      </c>
      <c r="E64" s="219">
        <v>3516</v>
      </c>
      <c r="F64" s="219">
        <v>7276</v>
      </c>
      <c r="G64" s="219">
        <v>2796</v>
      </c>
      <c r="H64" s="219">
        <v>1591</v>
      </c>
      <c r="I64" s="219">
        <v>3550</v>
      </c>
      <c r="J64" s="219">
        <v>2982</v>
      </c>
      <c r="K64" s="219">
        <v>2886</v>
      </c>
      <c r="L64" s="219">
        <v>2908</v>
      </c>
      <c r="M64" s="219">
        <v>3239.4688000000006</v>
      </c>
      <c r="N64" s="219">
        <v>2639.0250699999651</v>
      </c>
      <c r="O64" s="219">
        <v>3480.5061300000343</v>
      </c>
      <c r="P64" s="219">
        <v>1966</v>
      </c>
      <c r="Q64" s="219">
        <v>-41</v>
      </c>
      <c r="R64" s="219">
        <v>0</v>
      </c>
      <c r="S64" s="219">
        <v>0</v>
      </c>
      <c r="T64" s="219">
        <v>0</v>
      </c>
      <c r="U64" s="219" t="s">
        <v>47</v>
      </c>
      <c r="V64" s="219" t="s">
        <v>47</v>
      </c>
      <c r="W64" s="219" t="s">
        <v>47</v>
      </c>
      <c r="X64" s="219">
        <v>0</v>
      </c>
      <c r="Y64" s="219">
        <v>0</v>
      </c>
      <c r="Z64" s="219">
        <v>0</v>
      </c>
      <c r="AA64" s="219">
        <v>0</v>
      </c>
      <c r="AB64" s="219">
        <v>0</v>
      </c>
      <c r="AC64" s="219">
        <v>0</v>
      </c>
      <c r="AD64" s="219">
        <v>0</v>
      </c>
      <c r="AE64" s="219">
        <v>0</v>
      </c>
      <c r="AF64" s="219">
        <v>0</v>
      </c>
      <c r="AG64" s="219">
        <v>0</v>
      </c>
      <c r="AH64" s="219">
        <v>0</v>
      </c>
      <c r="AI64" s="219">
        <v>0</v>
      </c>
      <c r="AJ64" s="219">
        <v>0</v>
      </c>
      <c r="AK64" s="219">
        <v>0</v>
      </c>
      <c r="AL64" s="219">
        <v>0</v>
      </c>
      <c r="AM64" s="219">
        <v>0</v>
      </c>
      <c r="AN64" s="219">
        <v>0</v>
      </c>
      <c r="AO64" s="219"/>
      <c r="AP64" s="219">
        <v>0</v>
      </c>
      <c r="AQ64" s="219">
        <v>0</v>
      </c>
    </row>
    <row r="65" spans="1:79" hidden="1" outlineLevel="1" x14ac:dyDescent="0.2">
      <c r="B65" s="250" t="s">
        <v>102</v>
      </c>
      <c r="C65" s="219">
        <v>59171</v>
      </c>
      <c r="D65" s="219">
        <v>364</v>
      </c>
      <c r="E65" s="219">
        <v>-357</v>
      </c>
      <c r="F65" s="219">
        <v>0</v>
      </c>
      <c r="G65" s="219">
        <v>0</v>
      </c>
      <c r="H65" s="219">
        <v>0</v>
      </c>
      <c r="I65" s="219">
        <v>0</v>
      </c>
      <c r="J65" s="219">
        <v>0</v>
      </c>
      <c r="K65" s="219">
        <v>0</v>
      </c>
      <c r="L65" s="219">
        <v>0</v>
      </c>
      <c r="M65" s="219">
        <v>0</v>
      </c>
      <c r="N65" s="219">
        <v>0</v>
      </c>
      <c r="O65" s="219">
        <v>0</v>
      </c>
      <c r="P65" s="219">
        <v>0</v>
      </c>
      <c r="Q65" s="219">
        <v>0</v>
      </c>
      <c r="R65" s="219">
        <v>0</v>
      </c>
      <c r="S65" s="219">
        <v>0</v>
      </c>
      <c r="T65" s="219">
        <v>0</v>
      </c>
      <c r="U65" s="219">
        <v>0</v>
      </c>
      <c r="V65" s="219">
        <v>0</v>
      </c>
      <c r="W65" s="219">
        <v>0</v>
      </c>
      <c r="X65" s="219">
        <v>0</v>
      </c>
      <c r="Y65" s="219">
        <v>0</v>
      </c>
      <c r="Z65" s="219">
        <v>0</v>
      </c>
      <c r="AA65" s="219">
        <v>0</v>
      </c>
      <c r="AB65" s="219">
        <v>0</v>
      </c>
      <c r="AC65" s="219">
        <v>0</v>
      </c>
      <c r="AD65" s="219">
        <v>0</v>
      </c>
      <c r="AE65" s="219">
        <v>0</v>
      </c>
      <c r="AF65" s="219">
        <v>0</v>
      </c>
      <c r="AG65" s="219">
        <v>0</v>
      </c>
      <c r="AH65" s="219">
        <v>0</v>
      </c>
      <c r="AI65" s="219">
        <v>0</v>
      </c>
      <c r="AJ65" s="219">
        <v>0</v>
      </c>
      <c r="AK65" s="219">
        <v>0</v>
      </c>
      <c r="AL65" s="219">
        <v>0</v>
      </c>
      <c r="AM65" s="219">
        <v>0</v>
      </c>
      <c r="AN65" s="219">
        <v>0</v>
      </c>
      <c r="AO65" s="219"/>
      <c r="AP65" s="219">
        <v>0</v>
      </c>
      <c r="AQ65" s="219">
        <v>0</v>
      </c>
    </row>
    <row r="66" spans="1:79" s="203" customFormat="1" hidden="1" outlineLevel="1" x14ac:dyDescent="0.2">
      <c r="A66" s="202"/>
      <c r="B66" s="250" t="s">
        <v>1256</v>
      </c>
      <c r="C66" s="219">
        <v>0</v>
      </c>
      <c r="D66" s="219">
        <v>0</v>
      </c>
      <c r="E66" s="219">
        <v>0</v>
      </c>
      <c r="F66" s="219">
        <v>0</v>
      </c>
      <c r="G66" s="219">
        <v>0</v>
      </c>
      <c r="H66" s="219">
        <v>0</v>
      </c>
      <c r="I66" s="219">
        <v>0</v>
      </c>
      <c r="J66" s="219">
        <v>0</v>
      </c>
      <c r="K66" s="219">
        <v>0</v>
      </c>
      <c r="L66" s="219">
        <v>0</v>
      </c>
      <c r="M66" s="219">
        <v>0</v>
      </c>
      <c r="N66" s="219">
        <v>0</v>
      </c>
      <c r="O66" s="219">
        <v>0</v>
      </c>
      <c r="P66" s="219">
        <v>0</v>
      </c>
      <c r="Q66" s="219">
        <v>0</v>
      </c>
      <c r="R66" s="219">
        <v>0</v>
      </c>
      <c r="S66" s="219">
        <v>0</v>
      </c>
      <c r="T66" s="219">
        <v>0</v>
      </c>
      <c r="U66" s="219">
        <v>0</v>
      </c>
      <c r="V66" s="219">
        <v>0</v>
      </c>
      <c r="W66" s="219">
        <v>0</v>
      </c>
      <c r="X66" s="219">
        <v>0</v>
      </c>
      <c r="Y66" s="219">
        <v>0</v>
      </c>
      <c r="Z66" s="219">
        <v>85</v>
      </c>
      <c r="AA66" s="219">
        <v>442</v>
      </c>
      <c r="AB66" s="219">
        <v>0</v>
      </c>
      <c r="AC66" s="219">
        <v>0</v>
      </c>
      <c r="AD66" s="219">
        <v>0</v>
      </c>
      <c r="AE66" s="219">
        <v>0</v>
      </c>
      <c r="AF66" s="219">
        <v>0</v>
      </c>
      <c r="AG66" s="219">
        <v>0</v>
      </c>
      <c r="AH66" s="219">
        <v>0</v>
      </c>
      <c r="AI66" s="219">
        <v>0</v>
      </c>
      <c r="AJ66" s="219">
        <v>0</v>
      </c>
      <c r="AK66" s="219">
        <v>0</v>
      </c>
      <c r="AL66" s="219">
        <v>0</v>
      </c>
      <c r="AM66" s="219">
        <v>0</v>
      </c>
      <c r="AN66" s="219">
        <v>0</v>
      </c>
      <c r="AO66" s="219"/>
      <c r="AP66" s="219">
        <v>0</v>
      </c>
      <c r="AQ66" s="219">
        <v>0</v>
      </c>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row>
    <row r="67" spans="1:79" collapsed="1" x14ac:dyDescent="0.2">
      <c r="B67" s="127" t="s">
        <v>326</v>
      </c>
      <c r="C67" s="120">
        <f t="shared" ref="C67:S67" si="24">+SUM(C62:C65)</f>
        <v>80382</v>
      </c>
      <c r="D67" s="120">
        <f t="shared" si="24"/>
        <v>6301</v>
      </c>
      <c r="E67" s="120">
        <f t="shared" si="24"/>
        <v>4374</v>
      </c>
      <c r="F67" s="120">
        <f t="shared" si="24"/>
        <v>8229</v>
      </c>
      <c r="G67" s="120">
        <f t="shared" si="24"/>
        <v>3587</v>
      </c>
      <c r="H67" s="120">
        <f t="shared" si="24"/>
        <v>2114</v>
      </c>
      <c r="I67" s="120">
        <f t="shared" si="24"/>
        <v>4050</v>
      </c>
      <c r="J67" s="120">
        <f t="shared" si="24"/>
        <v>3538</v>
      </c>
      <c r="K67" s="120">
        <f t="shared" si="24"/>
        <v>3245</v>
      </c>
      <c r="L67" s="120">
        <f t="shared" si="24"/>
        <v>3226</v>
      </c>
      <c r="M67" s="120">
        <f t="shared" si="24"/>
        <v>3593.7078100000017</v>
      </c>
      <c r="N67" s="120">
        <f t="shared" si="24"/>
        <v>3149.4462199999657</v>
      </c>
      <c r="O67" s="120">
        <f t="shared" si="24"/>
        <v>4101.8459700000321</v>
      </c>
      <c r="P67" s="120">
        <f t="shared" si="24"/>
        <v>2469</v>
      </c>
      <c r="Q67" s="120">
        <f t="shared" si="24"/>
        <v>339</v>
      </c>
      <c r="R67" s="120">
        <f t="shared" si="24"/>
        <v>569</v>
      </c>
      <c r="S67" s="120">
        <f t="shared" si="24"/>
        <v>143</v>
      </c>
      <c r="T67" s="120">
        <f t="shared" ref="T67:Y67" si="25">+SUM(T62:T63)</f>
        <v>458</v>
      </c>
      <c r="U67" s="120">
        <f t="shared" si="25"/>
        <v>304</v>
      </c>
      <c r="V67" s="120">
        <f t="shared" si="25"/>
        <v>315</v>
      </c>
      <c r="W67" s="120">
        <f t="shared" si="25"/>
        <v>334</v>
      </c>
      <c r="X67" s="120">
        <f t="shared" si="25"/>
        <v>187</v>
      </c>
      <c r="Y67" s="120">
        <f t="shared" si="25"/>
        <v>71</v>
      </c>
      <c r="Z67" s="120">
        <f t="shared" ref="Z67:AM67" si="26">+SUM(Z62:Z66)</f>
        <v>190</v>
      </c>
      <c r="AA67" s="120">
        <f t="shared" si="26"/>
        <v>608</v>
      </c>
      <c r="AB67" s="120">
        <f t="shared" si="26"/>
        <v>130</v>
      </c>
      <c r="AC67" s="120">
        <f t="shared" si="26"/>
        <v>56</v>
      </c>
      <c r="AD67" s="120">
        <f t="shared" si="26"/>
        <v>36</v>
      </c>
      <c r="AE67" s="120">
        <f t="shared" si="26"/>
        <v>12</v>
      </c>
      <c r="AF67" s="120">
        <f t="shared" si="26"/>
        <v>4</v>
      </c>
      <c r="AG67" s="120">
        <f t="shared" si="26"/>
        <v>5</v>
      </c>
      <c r="AH67" s="120">
        <f t="shared" si="26"/>
        <v>1</v>
      </c>
      <c r="AI67" s="120">
        <f t="shared" si="26"/>
        <v>-2</v>
      </c>
      <c r="AJ67" s="120">
        <f t="shared" si="26"/>
        <v>57</v>
      </c>
      <c r="AK67" s="120">
        <f t="shared" si="26"/>
        <v>158</v>
      </c>
      <c r="AL67" s="120">
        <f t="shared" si="26"/>
        <v>193</v>
      </c>
      <c r="AM67" s="120">
        <f t="shared" si="26"/>
        <v>134</v>
      </c>
      <c r="AN67" s="120">
        <f>+SUM(AN62:AN66)</f>
        <v>177</v>
      </c>
      <c r="AO67" s="120">
        <f>+SUM(AO62:AO66)</f>
        <v>181</v>
      </c>
      <c r="AP67" s="120">
        <f>+SUM(AP62:AP66)</f>
        <v>830</v>
      </c>
      <c r="AQ67" s="120">
        <f>+SUM(AQ62:AQ66)</f>
        <v>1053</v>
      </c>
    </row>
    <row r="68" spans="1:79" x14ac:dyDescent="0.2">
      <c r="B68" s="130" t="s">
        <v>1255</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v>7</v>
      </c>
    </row>
    <row r="69" spans="1:79" x14ac:dyDescent="0.2">
      <c r="B69" s="130" t="s">
        <v>1150</v>
      </c>
      <c r="C69" s="118" t="s">
        <v>47</v>
      </c>
      <c r="D69" s="118" t="s">
        <v>47</v>
      </c>
      <c r="E69" s="118" t="s">
        <v>47</v>
      </c>
      <c r="F69" s="118" t="s">
        <v>47</v>
      </c>
      <c r="G69" s="118" t="s">
        <v>47</v>
      </c>
      <c r="H69" s="118" t="s">
        <v>47</v>
      </c>
      <c r="I69" s="118" t="s">
        <v>47</v>
      </c>
      <c r="J69" s="118" t="s">
        <v>47</v>
      </c>
      <c r="K69" s="118" t="s">
        <v>47</v>
      </c>
      <c r="L69" s="118" t="s">
        <v>47</v>
      </c>
      <c r="M69" s="118" t="s">
        <v>47</v>
      </c>
      <c r="N69" s="118" t="s">
        <v>47</v>
      </c>
      <c r="O69" s="118" t="s">
        <v>47</v>
      </c>
      <c r="P69" s="118" t="s">
        <v>47</v>
      </c>
      <c r="Q69" s="118" t="s">
        <v>47</v>
      </c>
      <c r="R69" s="118" t="s">
        <v>47</v>
      </c>
      <c r="S69" s="118" t="s">
        <v>47</v>
      </c>
      <c r="T69" s="118" t="s">
        <v>47</v>
      </c>
      <c r="U69" s="118" t="s">
        <v>47</v>
      </c>
      <c r="V69" s="118" t="s">
        <v>47</v>
      </c>
      <c r="W69" s="118" t="s">
        <v>47</v>
      </c>
      <c r="X69" s="118" t="s">
        <v>47</v>
      </c>
      <c r="Y69" s="118" t="s">
        <v>47</v>
      </c>
      <c r="Z69" s="118" t="s">
        <v>47</v>
      </c>
      <c r="AA69" s="118" t="s">
        <v>47</v>
      </c>
      <c r="AB69" s="118" t="s">
        <v>47</v>
      </c>
      <c r="AC69" s="118" t="s">
        <v>47</v>
      </c>
      <c r="AD69" s="118" t="s">
        <v>47</v>
      </c>
      <c r="AE69" s="118" t="s">
        <v>47</v>
      </c>
      <c r="AF69" s="118">
        <v>28</v>
      </c>
      <c r="AG69" s="118">
        <v>0</v>
      </c>
      <c r="AH69" s="118">
        <v>-28</v>
      </c>
      <c r="AI69" s="118">
        <v>291</v>
      </c>
      <c r="AJ69" s="118">
        <v>0</v>
      </c>
      <c r="AK69" s="118">
        <v>0</v>
      </c>
      <c r="AL69" s="118">
        <v>0</v>
      </c>
      <c r="AM69" s="118">
        <v>0</v>
      </c>
      <c r="AN69" s="118">
        <v>0</v>
      </c>
      <c r="AO69" s="118">
        <v>0</v>
      </c>
      <c r="AP69" s="118">
        <v>0</v>
      </c>
      <c r="AQ69" s="118">
        <v>0</v>
      </c>
    </row>
    <row r="70" spans="1:79" hidden="1" outlineLevel="1" x14ac:dyDescent="0.2">
      <c r="B70" s="250" t="s">
        <v>102</v>
      </c>
      <c r="C70" s="219">
        <v>2765</v>
      </c>
      <c r="D70" s="219">
        <v>3</v>
      </c>
      <c r="E70" s="219">
        <v>-3</v>
      </c>
      <c r="F70" s="219">
        <v>462</v>
      </c>
      <c r="G70" s="219">
        <v>0</v>
      </c>
      <c r="H70" s="219">
        <v>0</v>
      </c>
      <c r="I70" s="219">
        <v>2</v>
      </c>
      <c r="J70" s="219">
        <v>0</v>
      </c>
      <c r="K70" s="219">
        <v>0</v>
      </c>
      <c r="L70" s="219">
        <v>0</v>
      </c>
      <c r="M70" s="219">
        <v>0</v>
      </c>
      <c r="N70" s="219">
        <v>0</v>
      </c>
      <c r="O70" s="219">
        <v>0</v>
      </c>
      <c r="P70" s="219">
        <v>0</v>
      </c>
      <c r="Q70" s="219">
        <v>0</v>
      </c>
      <c r="R70" s="219">
        <v>0</v>
      </c>
      <c r="S70" s="219">
        <v>0</v>
      </c>
      <c r="T70" s="219">
        <v>0</v>
      </c>
      <c r="U70" s="219">
        <v>0</v>
      </c>
      <c r="V70" s="219">
        <v>0</v>
      </c>
      <c r="W70" s="219">
        <v>0</v>
      </c>
      <c r="X70" s="219">
        <v>0</v>
      </c>
      <c r="Y70" s="219">
        <v>0</v>
      </c>
      <c r="Z70" s="219">
        <v>0</v>
      </c>
      <c r="AA70" s="219">
        <v>0</v>
      </c>
      <c r="AB70" s="219">
        <v>0</v>
      </c>
      <c r="AC70" s="219">
        <v>0</v>
      </c>
      <c r="AD70" s="219">
        <v>0</v>
      </c>
      <c r="AE70" s="219">
        <v>0</v>
      </c>
      <c r="AF70" s="219">
        <v>0</v>
      </c>
      <c r="AG70" s="219">
        <v>0</v>
      </c>
      <c r="AH70" s="219">
        <v>0</v>
      </c>
      <c r="AI70" s="219">
        <v>0</v>
      </c>
      <c r="AJ70" s="219">
        <v>0</v>
      </c>
      <c r="AK70" s="219">
        <v>0</v>
      </c>
      <c r="AL70" s="219">
        <v>0</v>
      </c>
      <c r="AM70" s="219">
        <v>0</v>
      </c>
      <c r="AN70" s="219">
        <v>0</v>
      </c>
      <c r="AO70" s="219"/>
      <c r="AP70" s="219">
        <v>0</v>
      </c>
      <c r="AQ70" s="219">
        <v>0</v>
      </c>
    </row>
    <row r="71" spans="1:79" hidden="1" outlineLevel="1" x14ac:dyDescent="0.2">
      <c r="B71" s="250" t="s">
        <v>1258</v>
      </c>
      <c r="C71" s="219">
        <v>0</v>
      </c>
      <c r="D71" s="219">
        <v>0</v>
      </c>
      <c r="E71" s="219">
        <v>0</v>
      </c>
      <c r="F71" s="219">
        <v>0</v>
      </c>
      <c r="G71" s="219">
        <v>0</v>
      </c>
      <c r="H71" s="219">
        <v>0</v>
      </c>
      <c r="I71" s="219">
        <v>0</v>
      </c>
      <c r="J71" s="219">
        <v>0</v>
      </c>
      <c r="K71" s="219">
        <v>0</v>
      </c>
      <c r="L71" s="219">
        <v>0</v>
      </c>
      <c r="M71" s="219">
        <v>0</v>
      </c>
      <c r="N71" s="219">
        <v>0</v>
      </c>
      <c r="O71" s="219">
        <v>0</v>
      </c>
      <c r="P71" s="219">
        <v>0</v>
      </c>
      <c r="Q71" s="219">
        <v>0</v>
      </c>
      <c r="R71" s="219">
        <v>0</v>
      </c>
      <c r="S71" s="219">
        <v>0</v>
      </c>
      <c r="T71" s="219">
        <v>0</v>
      </c>
      <c r="U71" s="219">
        <v>0</v>
      </c>
      <c r="V71" s="219">
        <v>0</v>
      </c>
      <c r="W71" s="219">
        <v>0</v>
      </c>
      <c r="X71" s="219">
        <v>0</v>
      </c>
      <c r="Y71" s="219">
        <v>0</v>
      </c>
      <c r="Z71" s="219">
        <v>0</v>
      </c>
      <c r="AA71" s="219">
        <v>0</v>
      </c>
      <c r="AB71" s="219">
        <v>0</v>
      </c>
      <c r="AC71" s="219">
        <v>0</v>
      </c>
      <c r="AD71" s="219">
        <v>0</v>
      </c>
      <c r="AE71" s="219">
        <v>0</v>
      </c>
      <c r="AF71" s="219">
        <v>0</v>
      </c>
      <c r="AG71" s="219">
        <v>0</v>
      </c>
      <c r="AH71" s="219">
        <v>0</v>
      </c>
      <c r="AI71" s="219">
        <v>0</v>
      </c>
      <c r="AJ71" s="219">
        <v>0</v>
      </c>
      <c r="AK71" s="219">
        <v>0</v>
      </c>
      <c r="AL71" s="219">
        <v>0</v>
      </c>
      <c r="AM71" s="219">
        <v>0</v>
      </c>
      <c r="AN71" s="219">
        <v>0</v>
      </c>
      <c r="AO71" s="219"/>
      <c r="AP71" s="219">
        <v>0</v>
      </c>
      <c r="AQ71" s="219">
        <v>0</v>
      </c>
    </row>
    <row r="72" spans="1:79" hidden="1" outlineLevel="1" x14ac:dyDescent="0.2">
      <c r="B72" s="250" t="s">
        <v>101</v>
      </c>
      <c r="C72" s="219">
        <v>204</v>
      </c>
      <c r="D72" s="219">
        <v>80</v>
      </c>
      <c r="E72" s="219">
        <v>-80</v>
      </c>
      <c r="F72" s="219">
        <v>151</v>
      </c>
      <c r="G72" s="219">
        <v>11</v>
      </c>
      <c r="H72" s="219">
        <v>26</v>
      </c>
      <c r="I72" s="219">
        <v>35</v>
      </c>
      <c r="J72" s="219">
        <v>46</v>
      </c>
      <c r="K72" s="219">
        <v>54</v>
      </c>
      <c r="L72" s="219">
        <v>56</v>
      </c>
      <c r="M72" s="219">
        <v>38.154379999999975</v>
      </c>
      <c r="N72" s="219">
        <v>-94.154379999999975</v>
      </c>
      <c r="O72" s="219">
        <v>139</v>
      </c>
      <c r="P72" s="219">
        <v>0</v>
      </c>
      <c r="Q72" s="219">
        <v>0</v>
      </c>
      <c r="R72" s="219">
        <v>0</v>
      </c>
      <c r="S72" s="219">
        <v>0</v>
      </c>
      <c r="T72" s="219">
        <v>0</v>
      </c>
      <c r="U72" s="219">
        <v>0</v>
      </c>
      <c r="V72" s="219">
        <v>0</v>
      </c>
      <c r="W72" s="219">
        <v>0</v>
      </c>
      <c r="X72" s="219">
        <v>0</v>
      </c>
      <c r="Y72" s="219">
        <v>0</v>
      </c>
      <c r="Z72" s="219">
        <v>0</v>
      </c>
      <c r="AA72" s="219">
        <v>0</v>
      </c>
      <c r="AB72" s="219">
        <v>0</v>
      </c>
      <c r="AC72" s="219">
        <v>0</v>
      </c>
      <c r="AD72" s="219">
        <v>0</v>
      </c>
      <c r="AE72" s="219">
        <v>0</v>
      </c>
      <c r="AF72" s="219">
        <v>0</v>
      </c>
      <c r="AG72" s="219">
        <v>0</v>
      </c>
      <c r="AH72" s="219">
        <v>0</v>
      </c>
      <c r="AI72" s="219">
        <v>0</v>
      </c>
      <c r="AJ72" s="219">
        <v>0</v>
      </c>
      <c r="AK72" s="219">
        <v>0</v>
      </c>
      <c r="AL72" s="219">
        <v>0</v>
      </c>
      <c r="AM72" s="219">
        <v>0</v>
      </c>
      <c r="AN72" s="219">
        <v>0</v>
      </c>
      <c r="AO72" s="219"/>
      <c r="AP72" s="219">
        <v>0</v>
      </c>
      <c r="AQ72" s="219">
        <v>0</v>
      </c>
    </row>
    <row r="73" spans="1:79" hidden="1" outlineLevel="1" x14ac:dyDescent="0.2">
      <c r="B73" s="250" t="s">
        <v>1257</v>
      </c>
      <c r="C73" s="219">
        <v>0</v>
      </c>
      <c r="D73" s="219">
        <v>0</v>
      </c>
      <c r="E73" s="219">
        <v>0</v>
      </c>
      <c r="F73" s="219">
        <v>0</v>
      </c>
      <c r="G73" s="219">
        <v>0</v>
      </c>
      <c r="H73" s="219">
        <v>0</v>
      </c>
      <c r="I73" s="219">
        <v>0</v>
      </c>
      <c r="J73" s="219">
        <v>0</v>
      </c>
      <c r="K73" s="219">
        <v>0</v>
      </c>
      <c r="L73" s="219">
        <v>0</v>
      </c>
      <c r="M73" s="219">
        <v>0</v>
      </c>
      <c r="N73" s="219">
        <v>0</v>
      </c>
      <c r="O73" s="219">
        <v>0</v>
      </c>
      <c r="P73" s="219">
        <v>0</v>
      </c>
      <c r="Q73" s="219">
        <v>0</v>
      </c>
      <c r="R73" s="219">
        <v>0</v>
      </c>
      <c r="S73" s="219">
        <v>0</v>
      </c>
      <c r="T73" s="219">
        <v>0</v>
      </c>
      <c r="U73" s="219">
        <v>0</v>
      </c>
      <c r="V73" s="219">
        <v>0</v>
      </c>
      <c r="W73" s="219">
        <v>0</v>
      </c>
      <c r="X73" s="219">
        <v>0</v>
      </c>
      <c r="Y73" s="219">
        <v>0</v>
      </c>
      <c r="Z73" s="219">
        <v>0</v>
      </c>
      <c r="AA73" s="219">
        <v>0</v>
      </c>
      <c r="AB73" s="219">
        <v>0</v>
      </c>
      <c r="AC73" s="219">
        <v>0</v>
      </c>
      <c r="AD73" s="219">
        <v>0</v>
      </c>
      <c r="AE73" s="219">
        <v>0</v>
      </c>
      <c r="AF73" s="219">
        <v>0</v>
      </c>
      <c r="AG73" s="219">
        <v>0</v>
      </c>
      <c r="AH73" s="219">
        <v>0</v>
      </c>
      <c r="AI73" s="219">
        <v>0</v>
      </c>
      <c r="AJ73" s="219">
        <v>0</v>
      </c>
      <c r="AK73" s="219">
        <v>0</v>
      </c>
      <c r="AL73" s="219">
        <v>0</v>
      </c>
      <c r="AM73" s="219">
        <v>0</v>
      </c>
      <c r="AN73" s="219">
        <v>0</v>
      </c>
      <c r="AO73" s="219"/>
      <c r="AP73" s="219">
        <v>0</v>
      </c>
      <c r="AQ73" s="219">
        <v>0</v>
      </c>
    </row>
    <row r="74" spans="1:79" hidden="1" outlineLevel="1" x14ac:dyDescent="0.2">
      <c r="B74" s="250" t="s">
        <v>95</v>
      </c>
      <c r="C74" s="219">
        <v>0</v>
      </c>
      <c r="D74" s="219">
        <v>0</v>
      </c>
      <c r="E74" s="219">
        <v>0</v>
      </c>
      <c r="F74" s="219">
        <v>0</v>
      </c>
      <c r="G74" s="219">
        <v>0</v>
      </c>
      <c r="H74" s="219">
        <v>0</v>
      </c>
      <c r="I74" s="219">
        <v>0</v>
      </c>
      <c r="J74" s="219">
        <v>0</v>
      </c>
      <c r="K74" s="219">
        <v>0</v>
      </c>
      <c r="L74" s="219">
        <v>0</v>
      </c>
      <c r="M74" s="219">
        <v>0</v>
      </c>
      <c r="N74" s="219">
        <v>0</v>
      </c>
      <c r="O74" s="219">
        <v>0</v>
      </c>
      <c r="P74" s="219">
        <v>286</v>
      </c>
      <c r="Q74" s="219">
        <v>5</v>
      </c>
      <c r="R74" s="219">
        <v>36</v>
      </c>
      <c r="S74" s="219">
        <v>-327</v>
      </c>
      <c r="T74" s="219">
        <v>68</v>
      </c>
      <c r="U74" s="219">
        <v>237</v>
      </c>
      <c r="V74" s="219">
        <v>59</v>
      </c>
      <c r="W74" s="219">
        <v>74</v>
      </c>
      <c r="X74" s="219">
        <v>74</v>
      </c>
      <c r="Y74" s="219">
        <v>39</v>
      </c>
      <c r="Z74" s="219">
        <v>-86</v>
      </c>
      <c r="AA74" s="219">
        <v>15</v>
      </c>
      <c r="AB74" s="219">
        <v>73</v>
      </c>
      <c r="AC74" s="219">
        <v>53</v>
      </c>
      <c r="AD74" s="219">
        <v>0</v>
      </c>
      <c r="AE74" s="219">
        <v>85</v>
      </c>
      <c r="AF74" s="219">
        <v>0</v>
      </c>
      <c r="AG74" s="219">
        <v>0</v>
      </c>
      <c r="AH74" s="219">
        <v>0</v>
      </c>
      <c r="AI74" s="219">
        <v>0</v>
      </c>
      <c r="AJ74" s="219">
        <v>0</v>
      </c>
      <c r="AK74" s="219">
        <v>0</v>
      </c>
      <c r="AL74" s="219">
        <v>0</v>
      </c>
      <c r="AM74" s="219">
        <v>0</v>
      </c>
      <c r="AN74" s="219">
        <v>0</v>
      </c>
      <c r="AO74" s="219"/>
      <c r="AP74" s="219">
        <v>0</v>
      </c>
      <c r="AQ74" s="219">
        <v>0</v>
      </c>
    </row>
    <row r="75" spans="1:79" hidden="1" outlineLevel="1" x14ac:dyDescent="0.2">
      <c r="B75" s="250" t="s">
        <v>102</v>
      </c>
      <c r="C75" s="219">
        <v>59171</v>
      </c>
      <c r="D75" s="219">
        <v>364</v>
      </c>
      <c r="E75" s="219">
        <v>-357</v>
      </c>
      <c r="F75" s="219">
        <v>0</v>
      </c>
      <c r="G75" s="219">
        <v>0</v>
      </c>
      <c r="H75" s="219">
        <v>0</v>
      </c>
      <c r="I75" s="219">
        <v>0</v>
      </c>
      <c r="J75" s="219">
        <v>0</v>
      </c>
      <c r="K75" s="219">
        <v>0</v>
      </c>
      <c r="L75" s="219">
        <v>0</v>
      </c>
      <c r="M75" s="219">
        <v>0</v>
      </c>
      <c r="N75" s="219">
        <v>0</v>
      </c>
      <c r="O75" s="219">
        <v>0</v>
      </c>
      <c r="P75" s="219">
        <v>0</v>
      </c>
      <c r="Q75" s="219">
        <v>0</v>
      </c>
      <c r="R75" s="219">
        <v>0</v>
      </c>
      <c r="S75" s="219">
        <v>0</v>
      </c>
      <c r="T75" s="219">
        <v>0</v>
      </c>
      <c r="U75" s="219">
        <v>0</v>
      </c>
      <c r="V75" s="219">
        <v>0</v>
      </c>
      <c r="W75" s="219">
        <v>0</v>
      </c>
      <c r="X75" s="219">
        <v>0</v>
      </c>
      <c r="Y75" s="219">
        <v>0</v>
      </c>
      <c r="Z75" s="219">
        <v>0</v>
      </c>
      <c r="AA75" s="219">
        <v>0</v>
      </c>
      <c r="AB75" s="219">
        <v>0</v>
      </c>
      <c r="AC75" s="219">
        <v>0</v>
      </c>
      <c r="AD75" s="219">
        <v>0</v>
      </c>
      <c r="AE75" s="219">
        <v>0</v>
      </c>
      <c r="AF75" s="219">
        <v>0</v>
      </c>
      <c r="AG75" s="219">
        <v>0</v>
      </c>
      <c r="AH75" s="219">
        <v>0</v>
      </c>
      <c r="AI75" s="219">
        <v>0</v>
      </c>
      <c r="AJ75" s="219">
        <v>0</v>
      </c>
      <c r="AK75" s="219">
        <v>0</v>
      </c>
      <c r="AL75" s="219">
        <v>0</v>
      </c>
      <c r="AM75" s="219">
        <v>0</v>
      </c>
      <c r="AN75" s="219">
        <v>0</v>
      </c>
      <c r="AO75" s="219"/>
      <c r="AP75" s="219">
        <v>0</v>
      </c>
      <c r="AQ75" s="219">
        <v>0</v>
      </c>
    </row>
    <row r="76" spans="1:79" collapsed="1" x14ac:dyDescent="0.2">
      <c r="B76" s="127" t="s">
        <v>1320</v>
      </c>
      <c r="C76" s="120">
        <f t="shared" ref="C76:AM76" si="27">+SUM(C68:C75)</f>
        <v>62352</v>
      </c>
      <c r="D76" s="120">
        <f t="shared" si="27"/>
        <v>513</v>
      </c>
      <c r="E76" s="120">
        <f t="shared" si="27"/>
        <v>-44</v>
      </c>
      <c r="F76" s="120">
        <f t="shared" si="27"/>
        <v>296</v>
      </c>
      <c r="G76" s="120">
        <f t="shared" si="27"/>
        <v>34</v>
      </c>
      <c r="H76" s="120">
        <f t="shared" si="27"/>
        <v>52</v>
      </c>
      <c r="I76" s="120">
        <f t="shared" si="27"/>
        <v>58</v>
      </c>
      <c r="J76" s="120">
        <f t="shared" si="27"/>
        <v>76</v>
      </c>
      <c r="K76" s="120">
        <f t="shared" si="27"/>
        <v>78</v>
      </c>
      <c r="L76" s="120">
        <f t="shared" si="27"/>
        <v>75</v>
      </c>
      <c r="M76" s="120">
        <f t="shared" si="27"/>
        <v>62.60214999999998</v>
      </c>
      <c r="N76" s="120">
        <f t="shared" si="27"/>
        <v>-78.97123999999998</v>
      </c>
      <c r="O76" s="120">
        <f t="shared" si="27"/>
        <v>191.36909</v>
      </c>
      <c r="P76" s="120">
        <f t="shared" si="27"/>
        <v>322</v>
      </c>
      <c r="Q76" s="120">
        <f t="shared" si="27"/>
        <v>37</v>
      </c>
      <c r="R76" s="120">
        <f t="shared" si="27"/>
        <v>65</v>
      </c>
      <c r="S76" s="120">
        <f t="shared" si="27"/>
        <v>-424</v>
      </c>
      <c r="T76" s="120">
        <f t="shared" si="27"/>
        <v>110</v>
      </c>
      <c r="U76" s="120">
        <f t="shared" si="27"/>
        <v>256</v>
      </c>
      <c r="V76" s="120">
        <f t="shared" si="27"/>
        <v>83</v>
      </c>
      <c r="W76" s="120">
        <f t="shared" si="27"/>
        <v>100</v>
      </c>
      <c r="X76" s="120">
        <f t="shared" si="27"/>
        <v>81</v>
      </c>
      <c r="Y76" s="120">
        <f t="shared" si="27"/>
        <v>57</v>
      </c>
      <c r="Z76" s="120">
        <f t="shared" si="27"/>
        <v>103</v>
      </c>
      <c r="AA76" s="120">
        <f t="shared" si="27"/>
        <v>203</v>
      </c>
      <c r="AB76" s="120">
        <f t="shared" si="27"/>
        <v>87</v>
      </c>
      <c r="AC76" s="120">
        <f t="shared" si="27"/>
        <v>59</v>
      </c>
      <c r="AD76" s="120">
        <f t="shared" si="27"/>
        <v>4</v>
      </c>
      <c r="AE76" s="120">
        <f t="shared" si="27"/>
        <v>86</v>
      </c>
      <c r="AF76" s="120">
        <f t="shared" si="27"/>
        <v>29</v>
      </c>
      <c r="AG76" s="120">
        <f t="shared" si="27"/>
        <v>0</v>
      </c>
      <c r="AH76" s="120">
        <f t="shared" si="27"/>
        <v>-28</v>
      </c>
      <c r="AI76" s="120">
        <f t="shared" si="27"/>
        <v>291</v>
      </c>
      <c r="AJ76" s="120">
        <f t="shared" si="27"/>
        <v>0</v>
      </c>
      <c r="AK76" s="120">
        <f t="shared" si="27"/>
        <v>4</v>
      </c>
      <c r="AL76" s="120">
        <f t="shared" si="27"/>
        <v>7</v>
      </c>
      <c r="AM76" s="120">
        <f t="shared" si="27"/>
        <v>3</v>
      </c>
      <c r="AN76" s="120">
        <f>+SUM(AN68:AN75)</f>
        <v>5</v>
      </c>
      <c r="AO76" s="120">
        <f>+SUM(AO68:AO75)</f>
        <v>4</v>
      </c>
      <c r="AP76" s="120">
        <f>+SUM(AP68:AP75)</f>
        <v>5</v>
      </c>
      <c r="AQ76" s="120">
        <f>+SUM(AQ68:AQ75)</f>
        <v>7</v>
      </c>
    </row>
    <row r="77" spans="1:79" x14ac:dyDescent="0.2">
      <c r="B77" s="130" t="s">
        <v>14</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row>
    <row r="78" spans="1:79" x14ac:dyDescent="0.2">
      <c r="B78" s="127" t="s">
        <v>1321</v>
      </c>
      <c r="C78" s="120">
        <f>SUM(C77)</f>
        <v>0</v>
      </c>
      <c r="D78" s="120">
        <f t="shared" ref="D78:AJ78" si="28">SUM(D77)</f>
        <v>0</v>
      </c>
      <c r="E78" s="120">
        <f t="shared" si="28"/>
        <v>0</v>
      </c>
      <c r="F78" s="120">
        <f t="shared" si="28"/>
        <v>0</v>
      </c>
      <c r="G78" s="120">
        <f t="shared" si="28"/>
        <v>0</v>
      </c>
      <c r="H78" s="120">
        <f t="shared" si="28"/>
        <v>0</v>
      </c>
      <c r="I78" s="120">
        <f t="shared" si="28"/>
        <v>0</v>
      </c>
      <c r="J78" s="120">
        <f t="shared" si="28"/>
        <v>0</v>
      </c>
      <c r="K78" s="120">
        <f t="shared" si="28"/>
        <v>0</v>
      </c>
      <c r="L78" s="120">
        <f t="shared" si="28"/>
        <v>0</v>
      </c>
      <c r="M78" s="120">
        <f t="shared" si="28"/>
        <v>0</v>
      </c>
      <c r="N78" s="120">
        <f t="shared" si="28"/>
        <v>0</v>
      </c>
      <c r="O78" s="120">
        <f t="shared" si="28"/>
        <v>0</v>
      </c>
      <c r="P78" s="120">
        <f t="shared" si="28"/>
        <v>0</v>
      </c>
      <c r="Q78" s="120">
        <f t="shared" si="28"/>
        <v>0</v>
      </c>
      <c r="R78" s="120">
        <f t="shared" si="28"/>
        <v>0</v>
      </c>
      <c r="S78" s="120">
        <f t="shared" si="28"/>
        <v>0</v>
      </c>
      <c r="T78" s="120">
        <f t="shared" si="28"/>
        <v>0</v>
      </c>
      <c r="U78" s="120">
        <f t="shared" si="28"/>
        <v>0</v>
      </c>
      <c r="V78" s="120">
        <f t="shared" si="28"/>
        <v>0</v>
      </c>
      <c r="W78" s="120">
        <f t="shared" si="28"/>
        <v>0</v>
      </c>
      <c r="X78" s="120">
        <f t="shared" si="28"/>
        <v>0</v>
      </c>
      <c r="Y78" s="120">
        <f t="shared" si="28"/>
        <v>0</v>
      </c>
      <c r="Z78" s="120">
        <f t="shared" si="28"/>
        <v>0</v>
      </c>
      <c r="AA78" s="120">
        <f t="shared" si="28"/>
        <v>0</v>
      </c>
      <c r="AB78" s="120">
        <f t="shared" si="28"/>
        <v>0</v>
      </c>
      <c r="AC78" s="120">
        <f t="shared" si="28"/>
        <v>0</v>
      </c>
      <c r="AD78" s="120">
        <f t="shared" si="28"/>
        <v>0</v>
      </c>
      <c r="AE78" s="120">
        <f t="shared" si="28"/>
        <v>0</v>
      </c>
      <c r="AF78" s="120">
        <f t="shared" si="28"/>
        <v>0</v>
      </c>
      <c r="AG78" s="120">
        <f t="shared" si="28"/>
        <v>0</v>
      </c>
      <c r="AH78" s="120">
        <f t="shared" si="28"/>
        <v>0</v>
      </c>
      <c r="AI78" s="120">
        <f t="shared" si="28"/>
        <v>0</v>
      </c>
      <c r="AJ78" s="120">
        <f t="shared" si="28"/>
        <v>1</v>
      </c>
      <c r="AK78" s="120">
        <f t="shared" ref="AK78:AQ78" si="29">SUM(AK77)</f>
        <v>1</v>
      </c>
      <c r="AL78" s="120">
        <f t="shared" si="29"/>
        <v>1</v>
      </c>
      <c r="AM78" s="120">
        <f t="shared" si="29"/>
        <v>0</v>
      </c>
      <c r="AN78" s="120">
        <f t="shared" si="29"/>
        <v>0</v>
      </c>
      <c r="AO78" s="120">
        <f t="shared" si="29"/>
        <v>3</v>
      </c>
      <c r="AP78" s="120">
        <f t="shared" si="29"/>
        <v>0</v>
      </c>
      <c r="AQ78" s="120">
        <f t="shared" si="29"/>
        <v>-3</v>
      </c>
    </row>
    <row r="79" spans="1:79" x14ac:dyDescent="0.2">
      <c r="B79" s="130" t="s">
        <v>103</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-2705</v>
      </c>
    </row>
    <row r="80" spans="1:79" x14ac:dyDescent="0.2">
      <c r="B80" s="130" t="s">
        <v>1259</v>
      </c>
      <c r="C80" s="118" t="s">
        <v>47</v>
      </c>
      <c r="D80" s="118" t="s">
        <v>47</v>
      </c>
      <c r="E80" s="118" t="s">
        <v>47</v>
      </c>
      <c r="F80" s="118" t="s">
        <v>47</v>
      </c>
      <c r="G80" s="118" t="s">
        <v>47</v>
      </c>
      <c r="H80" s="118" t="s">
        <v>47</v>
      </c>
      <c r="I80" s="118" t="s">
        <v>47</v>
      </c>
      <c r="J80" s="118" t="s">
        <v>47</v>
      </c>
      <c r="K80" s="118" t="s">
        <v>47</v>
      </c>
      <c r="L80" s="118" t="s">
        <v>47</v>
      </c>
      <c r="M80" s="118" t="s">
        <v>47</v>
      </c>
      <c r="N80" s="118" t="s">
        <v>47</v>
      </c>
      <c r="O80" s="118" t="s">
        <v>47</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-1848</v>
      </c>
    </row>
    <row r="81" spans="2:43" x14ac:dyDescent="0.2">
      <c r="B81" s="130" t="s">
        <v>1261</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-775</v>
      </c>
    </row>
    <row r="82" spans="2:43" x14ac:dyDescent="0.2">
      <c r="B82" s="130" t="s">
        <v>987</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-599</v>
      </c>
    </row>
    <row r="83" spans="2:43" x14ac:dyDescent="0.2">
      <c r="B83" s="130" t="s">
        <v>1255</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-6</v>
      </c>
    </row>
    <row r="84" spans="2:43" hidden="1" outlineLevel="1" x14ac:dyDescent="0.2">
      <c r="B84" s="250" t="s">
        <v>1260</v>
      </c>
      <c r="C84" s="219">
        <v>-2661</v>
      </c>
      <c r="D84" s="219">
        <v>-682</v>
      </c>
      <c r="E84" s="219">
        <v>-698</v>
      </c>
      <c r="F84" s="219">
        <v>-706</v>
      </c>
      <c r="G84" s="219">
        <v>-706</v>
      </c>
      <c r="H84" s="219">
        <v>-739</v>
      </c>
      <c r="I84" s="219">
        <v>-736</v>
      </c>
      <c r="J84" s="219">
        <v>-717</v>
      </c>
      <c r="K84" s="219">
        <v>-671</v>
      </c>
      <c r="L84" s="219">
        <v>-727</v>
      </c>
      <c r="M84" s="219">
        <v>-685.35565999999994</v>
      </c>
      <c r="N84" s="219">
        <v>-470.78522000000021</v>
      </c>
      <c r="O84" s="219">
        <v>-941.85911999999962</v>
      </c>
      <c r="P84" s="219">
        <v>-504</v>
      </c>
      <c r="Q84" s="219">
        <v>-842</v>
      </c>
      <c r="R84" s="219">
        <v>-238</v>
      </c>
      <c r="S84" s="219">
        <v>1584</v>
      </c>
      <c r="T84" s="219">
        <v>-422</v>
      </c>
      <c r="U84" s="219">
        <v>-337</v>
      </c>
      <c r="V84" s="219">
        <v>-137</v>
      </c>
      <c r="W84" s="219">
        <v>-255</v>
      </c>
      <c r="X84" s="219">
        <v>0</v>
      </c>
      <c r="Y84" s="219">
        <v>0</v>
      </c>
      <c r="Z84" s="219">
        <v>0</v>
      </c>
      <c r="AA84" s="219">
        <v>0</v>
      </c>
      <c r="AB84" s="219">
        <v>0</v>
      </c>
      <c r="AC84" s="219">
        <v>0</v>
      </c>
      <c r="AD84" s="219">
        <v>0</v>
      </c>
      <c r="AE84" s="219">
        <v>0</v>
      </c>
      <c r="AF84" s="219">
        <v>0</v>
      </c>
      <c r="AG84" s="219">
        <v>0</v>
      </c>
      <c r="AH84" s="219">
        <v>0</v>
      </c>
      <c r="AI84" s="219">
        <v>0</v>
      </c>
      <c r="AJ84" s="219">
        <v>0</v>
      </c>
      <c r="AK84" s="219">
        <v>0</v>
      </c>
      <c r="AL84" s="219">
        <v>0</v>
      </c>
      <c r="AM84" s="219">
        <v>0</v>
      </c>
      <c r="AN84" s="219">
        <v>0</v>
      </c>
      <c r="AO84" s="219"/>
      <c r="AP84" s="219">
        <v>0</v>
      </c>
      <c r="AQ84" s="219">
        <v>0</v>
      </c>
    </row>
    <row r="85" spans="2:43" hidden="1" outlineLevel="1" x14ac:dyDescent="0.2">
      <c r="B85" s="250" t="s">
        <v>104</v>
      </c>
      <c r="C85" s="219">
        <v>-3310</v>
      </c>
      <c r="D85" s="219">
        <v>-845</v>
      </c>
      <c r="E85" s="219">
        <v>-1145</v>
      </c>
      <c r="F85" s="219">
        <v>-676</v>
      </c>
      <c r="G85" s="219">
        <v>-923</v>
      </c>
      <c r="H85" s="219">
        <v>-700</v>
      </c>
      <c r="I85" s="219">
        <v>-694</v>
      </c>
      <c r="J85" s="219">
        <v>-672</v>
      </c>
      <c r="K85" s="219">
        <v>-629</v>
      </c>
      <c r="L85" s="219">
        <v>-693</v>
      </c>
      <c r="M85" s="219">
        <v>-693.64854000000014</v>
      </c>
      <c r="N85" s="219">
        <v>-231.10808999999972</v>
      </c>
      <c r="O85" s="219">
        <v>-1155.2433700000001</v>
      </c>
      <c r="P85" s="219">
        <v>-210</v>
      </c>
      <c r="Q85" s="219">
        <v>0</v>
      </c>
      <c r="R85" s="219">
        <v>0</v>
      </c>
      <c r="S85" s="219">
        <v>210</v>
      </c>
      <c r="T85" s="219">
        <v>0</v>
      </c>
      <c r="U85" s="219">
        <v>-135</v>
      </c>
      <c r="V85" s="219">
        <v>-35</v>
      </c>
      <c r="W85" s="219">
        <v>170</v>
      </c>
      <c r="X85" s="219">
        <v>0</v>
      </c>
      <c r="Y85" s="219">
        <v>0</v>
      </c>
      <c r="Z85" s="219">
        <v>0</v>
      </c>
      <c r="AA85" s="219">
        <v>0</v>
      </c>
      <c r="AB85" s="219">
        <v>0</v>
      </c>
      <c r="AC85" s="219">
        <v>0</v>
      </c>
      <c r="AD85" s="219">
        <v>0</v>
      </c>
      <c r="AE85" s="219">
        <v>0</v>
      </c>
      <c r="AF85" s="219">
        <v>0</v>
      </c>
      <c r="AG85" s="219">
        <v>0</v>
      </c>
      <c r="AH85" s="219">
        <v>0</v>
      </c>
      <c r="AI85" s="219">
        <v>0</v>
      </c>
      <c r="AJ85" s="219">
        <v>0</v>
      </c>
      <c r="AK85" s="219">
        <v>0</v>
      </c>
      <c r="AL85" s="219">
        <v>0</v>
      </c>
      <c r="AM85" s="219">
        <v>0</v>
      </c>
      <c r="AN85" s="219">
        <v>0</v>
      </c>
      <c r="AO85" s="219"/>
      <c r="AP85" s="219">
        <v>0</v>
      </c>
      <c r="AQ85" s="219">
        <v>0</v>
      </c>
    </row>
    <row r="86" spans="2:43" hidden="1" outlineLevel="1" x14ac:dyDescent="0.2">
      <c r="B86" s="250" t="s">
        <v>936</v>
      </c>
      <c r="C86" s="219">
        <v>0</v>
      </c>
      <c r="D86" s="219">
        <v>0</v>
      </c>
      <c r="E86" s="219">
        <v>0</v>
      </c>
      <c r="F86" s="219">
        <v>0</v>
      </c>
      <c r="G86" s="219">
        <v>0</v>
      </c>
      <c r="H86" s="219">
        <v>0</v>
      </c>
      <c r="I86" s="219">
        <v>0</v>
      </c>
      <c r="J86" s="219">
        <v>0</v>
      </c>
      <c r="K86" s="219">
        <v>0</v>
      </c>
      <c r="L86" s="219">
        <v>0</v>
      </c>
      <c r="M86" s="219">
        <v>0</v>
      </c>
      <c r="N86" s="219">
        <v>0</v>
      </c>
      <c r="O86" s="219">
        <v>0</v>
      </c>
      <c r="P86" s="219">
        <v>0</v>
      </c>
      <c r="Q86" s="219">
        <v>0</v>
      </c>
      <c r="R86" s="219">
        <v>0</v>
      </c>
      <c r="S86" s="219">
        <v>0</v>
      </c>
      <c r="T86" s="219">
        <v>-23</v>
      </c>
      <c r="U86" s="219">
        <v>-9</v>
      </c>
      <c r="V86" s="219">
        <v>-9</v>
      </c>
      <c r="W86" s="219">
        <v>-14</v>
      </c>
      <c r="X86" s="219">
        <v>-9</v>
      </c>
      <c r="Y86" s="219">
        <v>-4</v>
      </c>
      <c r="Z86" s="219">
        <v>-10</v>
      </c>
      <c r="AA86" s="219">
        <v>-9</v>
      </c>
      <c r="AB86" s="219">
        <v>-11</v>
      </c>
      <c r="AC86" s="219">
        <v>-9</v>
      </c>
      <c r="AD86" s="219">
        <v>-7</v>
      </c>
      <c r="AE86" s="219">
        <v>-12</v>
      </c>
      <c r="AF86" s="219">
        <v>-2</v>
      </c>
      <c r="AG86" s="219">
        <v>0</v>
      </c>
      <c r="AH86" s="219">
        <v>2</v>
      </c>
      <c r="AI86" s="219">
        <v>0</v>
      </c>
      <c r="AJ86" s="219">
        <v>0</v>
      </c>
      <c r="AK86" s="219">
        <v>0</v>
      </c>
      <c r="AL86" s="219">
        <v>0</v>
      </c>
      <c r="AM86" s="219">
        <v>0</v>
      </c>
      <c r="AN86" s="219">
        <v>0</v>
      </c>
      <c r="AO86" s="219"/>
      <c r="AP86" s="219">
        <v>0</v>
      </c>
      <c r="AQ86" s="219">
        <v>0</v>
      </c>
    </row>
    <row r="87" spans="2:43" hidden="1" outlineLevel="1" x14ac:dyDescent="0.2">
      <c r="B87" s="250" t="s">
        <v>1150</v>
      </c>
      <c r="C87" s="219" t="s">
        <v>47</v>
      </c>
      <c r="D87" s="219" t="s">
        <v>47</v>
      </c>
      <c r="E87" s="219" t="s">
        <v>47</v>
      </c>
      <c r="F87" s="219" t="s">
        <v>47</v>
      </c>
      <c r="G87" s="219" t="s">
        <v>47</v>
      </c>
      <c r="H87" s="219" t="s">
        <v>47</v>
      </c>
      <c r="I87" s="219" t="s">
        <v>47</v>
      </c>
      <c r="J87" s="219" t="s">
        <v>47</v>
      </c>
      <c r="K87" s="219" t="s">
        <v>47</v>
      </c>
      <c r="L87" s="219" t="s">
        <v>47</v>
      </c>
      <c r="M87" s="219" t="s">
        <v>47</v>
      </c>
      <c r="N87" s="219" t="s">
        <v>47</v>
      </c>
      <c r="O87" s="219" t="s">
        <v>47</v>
      </c>
      <c r="P87" s="219" t="s">
        <v>47</v>
      </c>
      <c r="Q87" s="219" t="s">
        <v>47</v>
      </c>
      <c r="R87" s="219" t="s">
        <v>47</v>
      </c>
      <c r="S87" s="219" t="s">
        <v>47</v>
      </c>
      <c r="T87" s="219" t="s">
        <v>47</v>
      </c>
      <c r="U87" s="219" t="s">
        <v>47</v>
      </c>
      <c r="V87" s="219" t="s">
        <v>47</v>
      </c>
      <c r="W87" s="219" t="s">
        <v>47</v>
      </c>
      <c r="X87" s="219" t="s">
        <v>47</v>
      </c>
      <c r="Y87" s="219" t="s">
        <v>47</v>
      </c>
      <c r="Z87" s="219" t="s">
        <v>47</v>
      </c>
      <c r="AA87" s="219" t="s">
        <v>47</v>
      </c>
      <c r="AB87" s="219" t="s">
        <v>47</v>
      </c>
      <c r="AC87" s="219" t="s">
        <v>47</v>
      </c>
      <c r="AD87" s="219">
        <v>0</v>
      </c>
      <c r="AE87" s="219" t="s">
        <v>47</v>
      </c>
      <c r="AF87" s="219">
        <v>0</v>
      </c>
      <c r="AG87" s="219">
        <v>0</v>
      </c>
      <c r="AH87" s="219">
        <v>0</v>
      </c>
      <c r="AI87" s="219">
        <v>0</v>
      </c>
      <c r="AJ87" s="219">
        <v>0</v>
      </c>
      <c r="AK87" s="219">
        <v>0</v>
      </c>
      <c r="AL87" s="219">
        <v>0</v>
      </c>
      <c r="AM87" s="219">
        <v>0</v>
      </c>
      <c r="AN87" s="219">
        <v>0</v>
      </c>
      <c r="AO87" s="219"/>
      <c r="AP87" s="219">
        <v>0</v>
      </c>
      <c r="AQ87" s="219">
        <v>0</v>
      </c>
    </row>
    <row r="88" spans="2:43" hidden="1" outlineLevel="1" x14ac:dyDescent="0.2">
      <c r="B88" s="250" t="s">
        <v>1262</v>
      </c>
      <c r="C88" s="219">
        <v>-433</v>
      </c>
      <c r="D88" s="219">
        <v>-126</v>
      </c>
      <c r="E88" s="219">
        <v>-123</v>
      </c>
      <c r="F88" s="219">
        <v>0</v>
      </c>
      <c r="G88" s="219">
        <v>-40</v>
      </c>
      <c r="H88" s="219">
        <v>0</v>
      </c>
      <c r="I88" s="219">
        <v>0</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19">
        <v>0</v>
      </c>
      <c r="AC88" s="219">
        <v>0</v>
      </c>
      <c r="AD88" s="219">
        <v>0</v>
      </c>
      <c r="AE88" s="219">
        <v>0</v>
      </c>
      <c r="AF88" s="219">
        <v>0</v>
      </c>
      <c r="AG88" s="219">
        <v>0</v>
      </c>
      <c r="AH88" s="219">
        <v>0</v>
      </c>
      <c r="AI88" s="219">
        <v>0</v>
      </c>
      <c r="AJ88" s="219">
        <v>0</v>
      </c>
      <c r="AK88" s="219">
        <v>0</v>
      </c>
      <c r="AL88" s="219">
        <v>0</v>
      </c>
      <c r="AM88" s="219">
        <v>0</v>
      </c>
      <c r="AN88" s="219">
        <v>0</v>
      </c>
      <c r="AO88" s="219"/>
      <c r="AP88" s="219">
        <v>0</v>
      </c>
      <c r="AQ88" s="219">
        <v>0</v>
      </c>
    </row>
    <row r="89" spans="2:43" collapsed="1" x14ac:dyDescent="0.2">
      <c r="B89" s="127" t="s">
        <v>1322</v>
      </c>
      <c r="C89" s="120">
        <f t="shared" ref="C89:U89" si="30">SUM(C79:C88)</f>
        <v>-9426</v>
      </c>
      <c r="D89" s="120">
        <f t="shared" si="30"/>
        <v>-2446</v>
      </c>
      <c r="E89" s="120">
        <f t="shared" si="30"/>
        <v>-2740</v>
      </c>
      <c r="F89" s="120">
        <f t="shared" si="30"/>
        <v>-2165</v>
      </c>
      <c r="G89" s="120">
        <f t="shared" si="30"/>
        <v>-2453</v>
      </c>
      <c r="H89" s="120">
        <f t="shared" si="30"/>
        <v>-2222</v>
      </c>
      <c r="I89" s="120">
        <f t="shared" si="30"/>
        <v>-2214</v>
      </c>
      <c r="J89" s="120">
        <f t="shared" si="30"/>
        <v>-2308</v>
      </c>
      <c r="K89" s="120">
        <f t="shared" si="30"/>
        <v>-2251</v>
      </c>
      <c r="L89" s="120">
        <f t="shared" si="30"/>
        <v>-2498</v>
      </c>
      <c r="M89" s="120">
        <f t="shared" si="30"/>
        <v>-2458.0042000000003</v>
      </c>
      <c r="N89" s="120">
        <f t="shared" si="30"/>
        <v>-1420.8933100000004</v>
      </c>
      <c r="O89" s="120">
        <f t="shared" si="30"/>
        <v>-3535.1024900000002</v>
      </c>
      <c r="P89" s="120">
        <f t="shared" si="30"/>
        <v>-1860</v>
      </c>
      <c r="Q89" s="120">
        <f t="shared" si="30"/>
        <v>-2183</v>
      </c>
      <c r="R89" s="120">
        <f t="shared" si="30"/>
        <v>-1707</v>
      </c>
      <c r="S89" s="120">
        <f t="shared" si="30"/>
        <v>-2781</v>
      </c>
      <c r="T89" s="120">
        <f t="shared" si="30"/>
        <v>-1791</v>
      </c>
      <c r="U89" s="120">
        <f t="shared" si="30"/>
        <v>-1923</v>
      </c>
      <c r="V89" s="120">
        <v>-1472</v>
      </c>
      <c r="W89" s="120">
        <f t="shared" ref="W89:AM89" si="31">SUM(W79:W88)</f>
        <v>-1935</v>
      </c>
      <c r="X89" s="120">
        <f t="shared" si="31"/>
        <v>-1610</v>
      </c>
      <c r="Y89" s="120">
        <f t="shared" si="31"/>
        <v>-1173</v>
      </c>
      <c r="Z89" s="120">
        <f t="shared" si="31"/>
        <v>-1451</v>
      </c>
      <c r="AA89" s="120">
        <f t="shared" si="31"/>
        <v>-1723</v>
      </c>
      <c r="AB89" s="120">
        <f t="shared" si="31"/>
        <v>-1253</v>
      </c>
      <c r="AC89" s="120">
        <f t="shared" si="31"/>
        <v>-1535</v>
      </c>
      <c r="AD89" s="120">
        <f t="shared" si="31"/>
        <v>-1543</v>
      </c>
      <c r="AE89" s="120">
        <f t="shared" si="31"/>
        <v>-1636</v>
      </c>
      <c r="AF89" s="120">
        <f t="shared" si="31"/>
        <v>-1455</v>
      </c>
      <c r="AG89" s="120">
        <f t="shared" si="31"/>
        <v>-1919</v>
      </c>
      <c r="AH89" s="120">
        <f t="shared" si="31"/>
        <v>-1860</v>
      </c>
      <c r="AI89" s="120">
        <f t="shared" si="31"/>
        <v>-944</v>
      </c>
      <c r="AJ89" s="120">
        <f t="shared" si="31"/>
        <v>-1723</v>
      </c>
      <c r="AK89" s="120">
        <f t="shared" si="31"/>
        <v>-1935</v>
      </c>
      <c r="AL89" s="120">
        <f t="shared" si="31"/>
        <v>-1939</v>
      </c>
      <c r="AM89" s="120">
        <f t="shared" si="31"/>
        <v>-2288</v>
      </c>
      <c r="AN89" s="120">
        <f>SUM(AN79:AN88)</f>
        <v>-2277</v>
      </c>
      <c r="AO89" s="120">
        <f>SUM(AO79:AO88)</f>
        <v>-3179</v>
      </c>
      <c r="AP89" s="120">
        <f>SUM(AP79:AP88)</f>
        <v>-3130</v>
      </c>
      <c r="AQ89" s="120">
        <f>SUM(AQ79:AQ88)</f>
        <v>-5933</v>
      </c>
    </row>
    <row r="90" spans="2:43" x14ac:dyDescent="0.2">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2"/>
      <c r="AN90" s="202"/>
      <c r="AO90" s="202"/>
      <c r="AP90" s="202"/>
      <c r="AQ90" s="202"/>
    </row>
    <row r="91" spans="2:43" x14ac:dyDescent="0.2">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2"/>
      <c r="AN91" s="202"/>
      <c r="AO91" s="202"/>
      <c r="AP91" s="202"/>
      <c r="AQ91" s="202"/>
    </row>
    <row r="92" spans="2:43" x14ac:dyDescent="0.2">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2"/>
      <c r="AN92" s="202"/>
      <c r="AO92" s="202"/>
      <c r="AP92" s="202"/>
      <c r="AQ92" s="202"/>
    </row>
    <row r="93" spans="2:43" x14ac:dyDescent="0.2">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2"/>
      <c r="AN93" s="202"/>
      <c r="AO93" s="202"/>
      <c r="AP93" s="202"/>
      <c r="AQ93" s="202"/>
    </row>
    <row r="94" spans="2:43" x14ac:dyDescent="0.2">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2"/>
      <c r="AN94" s="202"/>
      <c r="AO94" s="202"/>
      <c r="AP94" s="202"/>
      <c r="AQ94" s="202"/>
    </row>
    <row r="95" spans="2:43" x14ac:dyDescent="0.2">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2"/>
      <c r="AN95" s="202"/>
      <c r="AO95" s="202"/>
      <c r="AP95" s="202"/>
      <c r="AQ95" s="202"/>
    </row>
    <row r="96" spans="2:43" x14ac:dyDescent="0.2">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2"/>
      <c r="AN96" s="202"/>
      <c r="AO96" s="202"/>
      <c r="AP96" s="202"/>
      <c r="AQ96" s="202"/>
    </row>
    <row r="97" spans="3:43" x14ac:dyDescent="0.2">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2"/>
      <c r="AN97" s="202"/>
      <c r="AO97" s="202"/>
      <c r="AP97" s="202"/>
      <c r="AQ97" s="202"/>
    </row>
    <row r="98" spans="3:43" x14ac:dyDescent="0.2">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2"/>
      <c r="AN98" s="202"/>
      <c r="AO98" s="202"/>
      <c r="AP98" s="202"/>
      <c r="AQ98" s="202"/>
    </row>
    <row r="99" spans="3:43" x14ac:dyDescent="0.2">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2"/>
      <c r="AN99" s="202"/>
      <c r="AO99" s="202"/>
      <c r="AP99" s="202"/>
      <c r="AQ99" s="202"/>
    </row>
    <row r="100" spans="3:43" x14ac:dyDescent="0.2">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2"/>
      <c r="AN100" s="202"/>
      <c r="AO100" s="202"/>
      <c r="AP100" s="202"/>
      <c r="AQ100" s="202"/>
    </row>
    <row r="101" spans="3:43" x14ac:dyDescent="0.2">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2"/>
      <c r="AN101" s="202"/>
      <c r="AO101" s="202"/>
      <c r="AP101" s="202"/>
      <c r="AQ101" s="202"/>
    </row>
    <row r="102" spans="3:43" x14ac:dyDescent="0.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2"/>
      <c r="AN102" s="202"/>
      <c r="AO102" s="202"/>
      <c r="AP102" s="202"/>
      <c r="AQ102" s="202"/>
    </row>
    <row r="103" spans="3:43" x14ac:dyDescent="0.2">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2"/>
      <c r="AN103" s="202"/>
      <c r="AO103" s="202"/>
      <c r="AP103" s="202"/>
      <c r="AQ103" s="202"/>
    </row>
    <row r="104" spans="3:43" x14ac:dyDescent="0.2">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2"/>
      <c r="AN104" s="202"/>
      <c r="AO104" s="202"/>
      <c r="AP104" s="202"/>
      <c r="AQ104" s="202"/>
    </row>
    <row r="105" spans="3:43" x14ac:dyDescent="0.2">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2"/>
      <c r="AN105" s="202"/>
      <c r="AO105" s="202"/>
      <c r="AP105" s="202"/>
      <c r="AQ105" s="202"/>
    </row>
    <row r="106" spans="3:43" x14ac:dyDescent="0.2">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2"/>
      <c r="AN106" s="202"/>
      <c r="AO106" s="202"/>
      <c r="AP106" s="202"/>
      <c r="AQ106" s="202"/>
    </row>
    <row r="107" spans="3:43" x14ac:dyDescent="0.2">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2"/>
      <c r="AN107" s="202"/>
      <c r="AO107" s="202"/>
      <c r="AP107" s="202"/>
      <c r="AQ107" s="202"/>
    </row>
    <row r="108" spans="3:43" x14ac:dyDescent="0.2">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2"/>
      <c r="AN108" s="202"/>
      <c r="AO108" s="202"/>
      <c r="AP108" s="202"/>
      <c r="AQ108" s="202"/>
    </row>
    <row r="109" spans="3:43" x14ac:dyDescent="0.2">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2"/>
      <c r="AN109" s="202"/>
      <c r="AO109" s="202"/>
      <c r="AP109" s="202"/>
      <c r="AQ109" s="202"/>
    </row>
    <row r="110" spans="3:43" x14ac:dyDescent="0.2">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2"/>
      <c r="AN110" s="202"/>
      <c r="AO110" s="202"/>
      <c r="AP110" s="202"/>
      <c r="AQ110" s="202"/>
    </row>
    <row r="111" spans="3:43" x14ac:dyDescent="0.2">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2"/>
      <c r="AN111" s="202"/>
      <c r="AO111" s="202"/>
      <c r="AP111" s="202"/>
      <c r="AQ111" s="202"/>
    </row>
    <row r="112" spans="3:43" x14ac:dyDescent="0.2">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2"/>
      <c r="AN112" s="202"/>
      <c r="AO112" s="202"/>
      <c r="AP112" s="202"/>
      <c r="AQ112" s="202"/>
    </row>
    <row r="113" spans="3:43" x14ac:dyDescent="0.2">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2"/>
      <c r="AN113" s="202"/>
      <c r="AO113" s="202"/>
      <c r="AP113" s="202"/>
      <c r="AQ113" s="202"/>
    </row>
    <row r="114" spans="3:43" x14ac:dyDescent="0.2">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2"/>
      <c r="AN114" s="202"/>
      <c r="AO114" s="202"/>
      <c r="AP114" s="202"/>
      <c r="AQ114" s="202"/>
    </row>
    <row r="115" spans="3:43" x14ac:dyDescent="0.2">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2"/>
      <c r="AN115" s="202"/>
      <c r="AO115" s="202"/>
      <c r="AP115" s="202"/>
      <c r="AQ115" s="202"/>
    </row>
    <row r="116" spans="3:43" x14ac:dyDescent="0.2">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2"/>
      <c r="AN116" s="202"/>
      <c r="AO116" s="202"/>
      <c r="AP116" s="202"/>
      <c r="AQ116" s="202"/>
    </row>
    <row r="117" spans="3:43" x14ac:dyDescent="0.2">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2"/>
      <c r="AN117" s="202"/>
      <c r="AO117" s="202"/>
      <c r="AP117" s="202"/>
      <c r="AQ117" s="202"/>
    </row>
    <row r="118" spans="3:43" x14ac:dyDescent="0.2">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2"/>
      <c r="AN118" s="202"/>
      <c r="AO118" s="202"/>
      <c r="AP118" s="202"/>
      <c r="AQ118" s="202"/>
    </row>
    <row r="119" spans="3:43" x14ac:dyDescent="0.2">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2"/>
      <c r="AN119" s="202"/>
      <c r="AO119" s="202"/>
      <c r="AP119" s="202"/>
      <c r="AQ119" s="202"/>
    </row>
    <row r="120" spans="3:43" x14ac:dyDescent="0.2">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2"/>
      <c r="AN120" s="202"/>
      <c r="AO120" s="202"/>
      <c r="AP120" s="202"/>
      <c r="AQ120" s="202"/>
    </row>
    <row r="121" spans="3:43" x14ac:dyDescent="0.2">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2"/>
      <c r="AN121" s="202"/>
      <c r="AO121" s="202"/>
      <c r="AP121" s="202"/>
      <c r="AQ121" s="202"/>
    </row>
    <row r="122" spans="3:43" x14ac:dyDescent="0.2">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2"/>
      <c r="AN122" s="202"/>
      <c r="AO122" s="202"/>
      <c r="AP122" s="202"/>
      <c r="AQ122" s="202"/>
    </row>
    <row r="123" spans="3:43" x14ac:dyDescent="0.2">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2"/>
      <c r="AN123" s="202"/>
      <c r="AO123" s="202"/>
      <c r="AP123" s="202"/>
      <c r="AQ123" s="202"/>
    </row>
    <row r="124" spans="3:43" x14ac:dyDescent="0.2">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2"/>
      <c r="AN124" s="202"/>
      <c r="AO124" s="202"/>
      <c r="AP124" s="202"/>
      <c r="AQ124" s="202"/>
    </row>
    <row r="125" spans="3:43" x14ac:dyDescent="0.2">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2"/>
      <c r="AN125" s="202"/>
      <c r="AO125" s="202"/>
      <c r="AP125" s="202"/>
      <c r="AQ125" s="202"/>
    </row>
    <row r="126" spans="3:43" x14ac:dyDescent="0.2">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2"/>
      <c r="AN126" s="202"/>
      <c r="AO126" s="202"/>
      <c r="AP126" s="202"/>
      <c r="AQ126" s="202"/>
    </row>
    <row r="127" spans="3:43" x14ac:dyDescent="0.2">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2"/>
      <c r="AN127" s="202"/>
      <c r="AO127" s="202"/>
      <c r="AP127" s="202"/>
      <c r="AQ127" s="202"/>
    </row>
    <row r="128" spans="3:43" x14ac:dyDescent="0.2">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2"/>
      <c r="AN128" s="202"/>
      <c r="AO128" s="202"/>
      <c r="AP128" s="202"/>
      <c r="AQ128" s="202"/>
    </row>
    <row r="129" spans="3:43" x14ac:dyDescent="0.2">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2"/>
      <c r="AN129" s="202"/>
      <c r="AO129" s="202"/>
      <c r="AP129" s="202"/>
      <c r="AQ129" s="202"/>
    </row>
    <row r="130" spans="3:43" x14ac:dyDescent="0.2">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2"/>
      <c r="AN130" s="202"/>
      <c r="AO130" s="202"/>
      <c r="AP130" s="202"/>
      <c r="AQ130" s="202"/>
    </row>
    <row r="131" spans="3:43" x14ac:dyDescent="0.2">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2"/>
      <c r="AN131" s="202"/>
      <c r="AO131" s="202"/>
      <c r="AP131" s="202"/>
      <c r="AQ131" s="202"/>
    </row>
    <row r="132" spans="3:43" x14ac:dyDescent="0.2">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2"/>
      <c r="AN132" s="202"/>
      <c r="AO132" s="202"/>
      <c r="AP132" s="202"/>
      <c r="AQ132" s="202"/>
    </row>
    <row r="133" spans="3:43" x14ac:dyDescent="0.2">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2"/>
      <c r="AN133" s="202"/>
      <c r="AO133" s="202"/>
      <c r="AP133" s="202"/>
      <c r="AQ133" s="202"/>
    </row>
    <row r="134" spans="3:43" x14ac:dyDescent="0.2">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2"/>
      <c r="AN134" s="202"/>
      <c r="AO134" s="202"/>
      <c r="AP134" s="202"/>
      <c r="AQ134" s="202"/>
    </row>
    <row r="135" spans="3:43" x14ac:dyDescent="0.2">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2"/>
      <c r="AN135" s="202"/>
      <c r="AO135" s="202"/>
      <c r="AP135" s="202"/>
      <c r="AQ135" s="202"/>
    </row>
    <row r="136" spans="3:43" x14ac:dyDescent="0.2">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2"/>
      <c r="AN136" s="202"/>
      <c r="AO136" s="202"/>
      <c r="AP136" s="202"/>
      <c r="AQ136" s="202"/>
    </row>
    <row r="137" spans="3:43" x14ac:dyDescent="0.2">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2"/>
      <c r="AN137" s="202"/>
      <c r="AO137" s="202"/>
      <c r="AP137" s="202"/>
      <c r="AQ137" s="202"/>
    </row>
    <row r="138" spans="3:43" x14ac:dyDescent="0.2">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2"/>
      <c r="AN138" s="202"/>
      <c r="AO138" s="202"/>
      <c r="AP138" s="202"/>
      <c r="AQ138" s="202"/>
    </row>
    <row r="139" spans="3:43" x14ac:dyDescent="0.2">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2"/>
      <c r="AN139" s="202"/>
      <c r="AO139" s="202"/>
      <c r="AP139" s="202"/>
      <c r="AQ139" s="202"/>
    </row>
    <row r="140" spans="3:43" x14ac:dyDescent="0.2">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2"/>
      <c r="AN140" s="202"/>
      <c r="AO140" s="202"/>
      <c r="AP140" s="202"/>
      <c r="AQ140" s="202"/>
    </row>
    <row r="141" spans="3:43" x14ac:dyDescent="0.2">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2"/>
      <c r="AN141" s="202"/>
      <c r="AO141" s="202"/>
      <c r="AP141" s="202"/>
      <c r="AQ141" s="202"/>
    </row>
    <row r="142" spans="3:43" x14ac:dyDescent="0.2">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2"/>
      <c r="AN142" s="202"/>
      <c r="AO142" s="202"/>
      <c r="AP142" s="202"/>
      <c r="AQ142" s="202"/>
    </row>
    <row r="143" spans="3:43" x14ac:dyDescent="0.2">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2"/>
      <c r="AN143" s="202"/>
      <c r="AO143" s="202"/>
      <c r="AP143" s="202"/>
      <c r="AQ143" s="202"/>
    </row>
    <row r="144" spans="3:43" x14ac:dyDescent="0.2">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2"/>
      <c r="AN144" s="202"/>
      <c r="AO144" s="202"/>
      <c r="AP144" s="202"/>
      <c r="AQ144" s="202"/>
    </row>
    <row r="145" spans="3:43" x14ac:dyDescent="0.2">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2"/>
      <c r="AN145" s="202"/>
      <c r="AO145" s="202"/>
      <c r="AP145" s="202"/>
      <c r="AQ145" s="202"/>
    </row>
    <row r="146" spans="3:43" x14ac:dyDescent="0.2">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2"/>
      <c r="AN146" s="202"/>
      <c r="AO146" s="202"/>
      <c r="AP146" s="202"/>
      <c r="AQ146" s="202"/>
    </row>
    <row r="147" spans="3:43" x14ac:dyDescent="0.2">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2"/>
      <c r="AN147" s="202"/>
      <c r="AO147" s="202"/>
      <c r="AP147" s="202"/>
      <c r="AQ147" s="202"/>
    </row>
    <row r="148" spans="3:43" x14ac:dyDescent="0.2">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2"/>
      <c r="AN148" s="202"/>
      <c r="AO148" s="202"/>
      <c r="AP148" s="202"/>
      <c r="AQ148" s="202"/>
    </row>
    <row r="149" spans="3:43" x14ac:dyDescent="0.2">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2"/>
      <c r="AN149" s="202"/>
      <c r="AO149" s="202"/>
      <c r="AP149" s="202"/>
      <c r="AQ149" s="202"/>
    </row>
    <row r="150" spans="3:43" x14ac:dyDescent="0.2">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2"/>
      <c r="AN150" s="202"/>
      <c r="AO150" s="202"/>
      <c r="AP150" s="202"/>
      <c r="AQ150" s="202"/>
    </row>
    <row r="151" spans="3:43" x14ac:dyDescent="0.2">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2"/>
      <c r="AN151" s="202"/>
      <c r="AO151" s="202"/>
      <c r="AP151" s="202"/>
      <c r="AQ151" s="202"/>
    </row>
    <row r="152" spans="3:43" x14ac:dyDescent="0.2">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2"/>
      <c r="AN152" s="202"/>
      <c r="AO152" s="202"/>
      <c r="AP152" s="202"/>
      <c r="AQ152" s="202"/>
    </row>
    <row r="153" spans="3:43" x14ac:dyDescent="0.2">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2"/>
      <c r="AN153" s="202"/>
      <c r="AO153" s="202"/>
      <c r="AP153" s="202"/>
      <c r="AQ153" s="202"/>
    </row>
    <row r="154" spans="3:43" x14ac:dyDescent="0.2">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2"/>
      <c r="AN154" s="202"/>
      <c r="AO154" s="202"/>
      <c r="AP154" s="202"/>
      <c r="AQ154" s="202"/>
    </row>
    <row r="155" spans="3:43" x14ac:dyDescent="0.2">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2"/>
      <c r="AN155" s="202"/>
      <c r="AO155" s="202"/>
      <c r="AP155" s="202"/>
      <c r="AQ155" s="202"/>
    </row>
    <row r="156" spans="3:43" x14ac:dyDescent="0.2">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2"/>
      <c r="AN156" s="202"/>
      <c r="AO156" s="202"/>
      <c r="AP156" s="202"/>
      <c r="AQ156" s="202"/>
    </row>
    <row r="157" spans="3:43" x14ac:dyDescent="0.2">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2"/>
      <c r="AN157" s="202"/>
      <c r="AO157" s="202"/>
      <c r="AP157" s="202"/>
      <c r="AQ157" s="202"/>
    </row>
    <row r="158" spans="3:43" x14ac:dyDescent="0.2">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ilha7">
    <pageSetUpPr autoPageBreaks="0"/>
  </sheetPr>
  <dimension ref="A1:N175"/>
  <sheetViews>
    <sheetView showGridLines="0" zoomScale="101" zoomScaleNormal="100" workbookViewId="0">
      <pane xSplit="1" ySplit="5" topLeftCell="B164" activePane="bottomRight" state="frozen"/>
      <selection activeCell="C1" sqref="C1"/>
      <selection pane="topRight" activeCell="D1" sqref="D1"/>
      <selection pane="bottomLeft" activeCell="C6" sqref="C6"/>
      <selection pane="bottomRight" activeCell="E164" sqref="E164"/>
    </sheetView>
  </sheetViews>
  <sheetFormatPr defaultColWidth="9.28515625" defaultRowHeight="12.75" outlineLevelRow="1" x14ac:dyDescent="0.2"/>
  <cols>
    <col min="1" max="1" width="1.5703125" customWidth="1"/>
    <col min="2" max="2" width="40.7109375" bestFit="1" customWidth="1"/>
    <col min="3" max="4" width="10.7109375" customWidth="1"/>
    <col min="5" max="5" width="12.7109375" customWidth="1"/>
    <col min="6" max="6" width="10.7109375" customWidth="1"/>
    <col min="7" max="8" width="9.28515625" style="536" hidden="1" customWidth="1"/>
    <col min="9" max="9" width="3.28515625" style="536" customWidth="1"/>
    <col min="10" max="10" width="40.7109375" style="536" customWidth="1"/>
    <col min="11" max="12" width="10.7109375" style="536" customWidth="1"/>
    <col min="13" max="13" width="12.7109375" style="536" customWidth="1"/>
    <col min="14" max="14" width="10.7109375" style="536" customWidth="1"/>
    <col min="15" max="16384" width="9.28515625" style="536"/>
  </cols>
  <sheetData>
    <row r="1" spans="1:14" s="612" customFormat="1" ht="7.5" customHeight="1" x14ac:dyDescent="0.2">
      <c r="A1" s="551"/>
      <c r="B1" s="551"/>
      <c r="C1" s="551"/>
      <c r="D1" s="551"/>
      <c r="E1" s="551"/>
      <c r="F1" s="551"/>
      <c r="K1" s="551"/>
      <c r="L1" s="551"/>
      <c r="M1" s="551"/>
      <c r="N1" s="551"/>
    </row>
    <row r="2" spans="1:14" s="751" customFormat="1" ht="12.75" customHeight="1" x14ac:dyDescent="0.2">
      <c r="A2" s="551"/>
      <c r="B2" s="551"/>
      <c r="C2" s="551"/>
      <c r="D2" s="551"/>
      <c r="E2" s="551"/>
      <c r="F2" s="551"/>
      <c r="K2" s="551"/>
      <c r="L2" s="551"/>
      <c r="M2" s="551"/>
      <c r="N2" s="551"/>
    </row>
    <row r="5" spans="1:14" ht="25.5" x14ac:dyDescent="0.2">
      <c r="B5" s="142" t="s">
        <v>397</v>
      </c>
      <c r="C5" s="140" t="s">
        <v>881</v>
      </c>
      <c r="D5" s="140" t="s">
        <v>645</v>
      </c>
      <c r="E5" s="140" t="s">
        <v>882</v>
      </c>
      <c r="F5" s="140" t="s">
        <v>707</v>
      </c>
      <c r="G5" s="536" t="s">
        <v>27</v>
      </c>
      <c r="H5" s="536" t="s">
        <v>391</v>
      </c>
      <c r="J5" s="142" t="s">
        <v>391</v>
      </c>
      <c r="K5" s="140" t="s">
        <v>881</v>
      </c>
      <c r="L5" s="140" t="s">
        <v>645</v>
      </c>
      <c r="M5" s="140" t="s">
        <v>882</v>
      </c>
      <c r="N5" s="140" t="s">
        <v>707</v>
      </c>
    </row>
    <row r="6" spans="1:14" x14ac:dyDescent="0.2">
      <c r="B6" s="127" t="s">
        <v>879</v>
      </c>
      <c r="C6" s="120" t="s">
        <v>47</v>
      </c>
      <c r="D6" s="120">
        <v>0</v>
      </c>
      <c r="E6" s="120" t="s">
        <v>1034</v>
      </c>
      <c r="F6" s="120">
        <f>SUM(C6:E6)</f>
        <v>0</v>
      </c>
      <c r="J6" s="127" t="s">
        <v>879</v>
      </c>
      <c r="K6" s="120">
        <v>0</v>
      </c>
      <c r="L6" s="120">
        <v>0</v>
      </c>
      <c r="M6" s="120">
        <v>0</v>
      </c>
      <c r="N6" s="120">
        <v>0</v>
      </c>
    </row>
    <row r="7" spans="1:14" s="607" customFormat="1" x14ac:dyDescent="0.2">
      <c r="A7"/>
      <c r="B7" s="150"/>
      <c r="C7" s="151"/>
      <c r="D7" s="151"/>
      <c r="E7" s="151"/>
      <c r="F7" s="151"/>
      <c r="J7" s="150"/>
      <c r="K7" s="151"/>
      <c r="L7" s="151"/>
      <c r="M7" s="151"/>
      <c r="N7" s="151"/>
    </row>
    <row r="8" spans="1:14" outlineLevel="1" x14ac:dyDescent="0.2">
      <c r="B8" s="130" t="s">
        <v>880</v>
      </c>
      <c r="C8" s="118"/>
      <c r="D8" s="118"/>
      <c r="E8" s="118"/>
      <c r="F8" s="118"/>
      <c r="J8" s="130" t="s">
        <v>880</v>
      </c>
      <c r="K8" s="118"/>
      <c r="L8" s="118"/>
      <c r="M8" s="118"/>
      <c r="N8" s="118"/>
    </row>
    <row r="9" spans="1:14" outlineLevel="1" x14ac:dyDescent="0.2">
      <c r="B9" s="130" t="s">
        <v>938</v>
      </c>
      <c r="C9" s="118">
        <v>42207.917499999996</v>
      </c>
      <c r="D9" s="118">
        <v>2158.0349999999999</v>
      </c>
      <c r="E9" s="118">
        <v>688.79250000000002</v>
      </c>
      <c r="F9" s="118">
        <f>+SUM(C9:E9)</f>
        <v>45054.745000000003</v>
      </c>
      <c r="J9" s="130" t="s">
        <v>938</v>
      </c>
      <c r="K9" s="118">
        <v>59158.924999999996</v>
      </c>
      <c r="L9" s="118">
        <v>3718.9349999999999</v>
      </c>
      <c r="M9" s="118">
        <v>5208.1424999999999</v>
      </c>
      <c r="N9" s="118">
        <f>+SUM(K9:M9)</f>
        <v>68086.002499999988</v>
      </c>
    </row>
    <row r="10" spans="1:14" outlineLevel="1" x14ac:dyDescent="0.2">
      <c r="B10" s="130" t="s">
        <v>650</v>
      </c>
      <c r="C10" s="118">
        <v>6420.5625</v>
      </c>
      <c r="D10" s="118">
        <v>0</v>
      </c>
      <c r="E10" s="118">
        <v>0</v>
      </c>
      <c r="F10" s="118">
        <f>+SUM(C10:E10)</f>
        <v>6420.5625</v>
      </c>
      <c r="J10" s="130" t="s">
        <v>650</v>
      </c>
      <c r="K10" s="118">
        <v>6830.7524999999996</v>
      </c>
      <c r="L10" s="118">
        <v>0</v>
      </c>
      <c r="M10" s="118">
        <v>0</v>
      </c>
      <c r="N10" s="118">
        <f>+SUM(K10:M10)</f>
        <v>6830.7524999999996</v>
      </c>
    </row>
    <row r="11" spans="1:14" outlineLevel="1" x14ac:dyDescent="0.2">
      <c r="B11" s="130" t="s">
        <v>939</v>
      </c>
      <c r="C11" s="118">
        <v>0</v>
      </c>
      <c r="D11" s="118">
        <v>0</v>
      </c>
      <c r="E11" s="118">
        <v>0</v>
      </c>
      <c r="F11" s="118">
        <f>+SUM(C11:E11)</f>
        <v>0</v>
      </c>
      <c r="J11" s="130" t="s">
        <v>939</v>
      </c>
      <c r="K11" s="118">
        <v>-193.29749999999999</v>
      </c>
      <c r="L11" s="118">
        <v>0</v>
      </c>
      <c r="M11" s="118">
        <v>0</v>
      </c>
      <c r="N11" s="118">
        <f>+SUM(K11:M11)</f>
        <v>-193.29749999999999</v>
      </c>
    </row>
    <row r="12" spans="1:14" outlineLevel="1" x14ac:dyDescent="0.2">
      <c r="B12" s="130" t="s">
        <v>651</v>
      </c>
      <c r="C12" s="118">
        <v>-5121</v>
      </c>
      <c r="D12" s="118">
        <v>-317</v>
      </c>
      <c r="E12" s="118">
        <v>-72</v>
      </c>
      <c r="F12" s="118">
        <f>+SUM(C12:E12)</f>
        <v>-5510</v>
      </c>
      <c r="J12" s="130" t="s">
        <v>651</v>
      </c>
      <c r="K12" s="118">
        <v>-7808</v>
      </c>
      <c r="L12" s="118">
        <v>-791</v>
      </c>
      <c r="M12" s="118">
        <v>-331</v>
      </c>
      <c r="N12" s="118">
        <f>+SUM(K12:M12)</f>
        <v>-8930</v>
      </c>
    </row>
    <row r="13" spans="1:14" ht="13.5" customHeight="1" x14ac:dyDescent="0.2">
      <c r="B13" s="127" t="s">
        <v>864</v>
      </c>
      <c r="C13" s="120">
        <f>SUM(C6:C12)</f>
        <v>43507.479999999996</v>
      </c>
      <c r="D13" s="120">
        <f>SUM(D6:D12)</f>
        <v>1841.0349999999999</v>
      </c>
      <c r="E13" s="120">
        <f>SUM(E6:E12)</f>
        <v>616.79250000000002</v>
      </c>
      <c r="F13" s="120">
        <f>SUM(F6:F12)</f>
        <v>45965.307500000003</v>
      </c>
      <c r="J13" s="127" t="s">
        <v>864</v>
      </c>
      <c r="K13" s="120">
        <f>SUM(K6:K12)</f>
        <v>57988.37999999999</v>
      </c>
      <c r="L13" s="120">
        <f>SUM(L6:L12)</f>
        <v>2927.9349999999999</v>
      </c>
      <c r="M13" s="120">
        <f>SUM(M6:M12)</f>
        <v>4877.1424999999999</v>
      </c>
      <c r="N13" s="120">
        <f>SUM(N6:N12)</f>
        <v>65793.45749999999</v>
      </c>
    </row>
    <row r="14" spans="1:14" s="607" customFormat="1" x14ac:dyDescent="0.2">
      <c r="A14"/>
      <c r="B14" s="150"/>
      <c r="C14" s="151"/>
      <c r="D14" s="151"/>
      <c r="E14" s="151"/>
      <c r="F14" s="151"/>
      <c r="J14" s="150"/>
      <c r="K14" s="151"/>
      <c r="L14" s="151"/>
      <c r="M14" s="151"/>
      <c r="N14" s="151"/>
    </row>
    <row r="15" spans="1:14" outlineLevel="1" x14ac:dyDescent="0.2">
      <c r="B15" s="130" t="s">
        <v>880</v>
      </c>
      <c r="C15" s="118"/>
      <c r="D15" s="118"/>
      <c r="E15" s="118"/>
      <c r="F15" s="118"/>
      <c r="J15" s="130" t="s">
        <v>880</v>
      </c>
      <c r="K15" s="118"/>
      <c r="L15" s="118"/>
      <c r="M15" s="118"/>
      <c r="N15" s="118"/>
    </row>
    <row r="16" spans="1:14" outlineLevel="1" x14ac:dyDescent="0.2">
      <c r="B16" s="130" t="s">
        <v>938</v>
      </c>
      <c r="C16" s="118">
        <v>-0.91749999999592546</v>
      </c>
      <c r="D16" s="118">
        <v>-3.4999999999854481E-2</v>
      </c>
      <c r="E16" s="118">
        <v>0.20749999999998181</v>
      </c>
      <c r="F16" s="118">
        <f>+SUM(C16:E16)</f>
        <v>-0.74499999999579813</v>
      </c>
      <c r="J16" s="130" t="s">
        <v>938</v>
      </c>
      <c r="K16" s="118">
        <v>2199.0750000000044</v>
      </c>
      <c r="L16" s="118">
        <v>-1443.9349999999999</v>
      </c>
      <c r="M16" s="118">
        <v>-754.14249999999993</v>
      </c>
      <c r="N16" s="118">
        <f>+SUM(K16:M16)</f>
        <v>0.9975000000044929</v>
      </c>
    </row>
    <row r="17" spans="1:14" outlineLevel="1" x14ac:dyDescent="0.2">
      <c r="B17" s="130" t="s">
        <v>650</v>
      </c>
      <c r="C17" s="118">
        <v>17398.4375</v>
      </c>
      <c r="D17" s="118">
        <v>220</v>
      </c>
      <c r="E17" s="118">
        <v>0</v>
      </c>
      <c r="F17" s="118">
        <f>+SUM(C17:E17)</f>
        <v>17618.4375</v>
      </c>
      <c r="J17" s="130" t="s">
        <v>650</v>
      </c>
      <c r="K17" s="118">
        <v>22829.247500000001</v>
      </c>
      <c r="L17" s="118">
        <v>233</v>
      </c>
      <c r="M17" s="118">
        <v>0</v>
      </c>
      <c r="N17" s="118">
        <f>+SUM(K17:M17)</f>
        <v>23062.247500000001</v>
      </c>
    </row>
    <row r="18" spans="1:14" outlineLevel="1" x14ac:dyDescent="0.2">
      <c r="B18" s="130" t="s">
        <v>939</v>
      </c>
      <c r="C18" s="118">
        <v>0</v>
      </c>
      <c r="D18" s="118">
        <v>0</v>
      </c>
      <c r="E18" s="118">
        <v>0</v>
      </c>
      <c r="F18" s="118">
        <f>+SUM(C18:E18)</f>
        <v>0</v>
      </c>
      <c r="J18" s="130" t="s">
        <v>939</v>
      </c>
      <c r="K18" s="118">
        <v>-18.702500000000015</v>
      </c>
      <c r="L18" s="118">
        <v>0</v>
      </c>
      <c r="M18" s="118">
        <v>-67</v>
      </c>
      <c r="N18" s="118">
        <f>+SUM(K18:M18)</f>
        <v>-85.702500000000015</v>
      </c>
    </row>
    <row r="19" spans="1:14" outlineLevel="1" x14ac:dyDescent="0.2">
      <c r="B19" s="130" t="s">
        <v>651</v>
      </c>
      <c r="C19" s="118">
        <v>-4228</v>
      </c>
      <c r="D19" s="118">
        <v>-298</v>
      </c>
      <c r="E19" s="118">
        <v>-58</v>
      </c>
      <c r="F19" s="118">
        <f>+SUM(C19:E19)</f>
        <v>-4584</v>
      </c>
      <c r="J19" s="130" t="s">
        <v>651</v>
      </c>
      <c r="K19" s="118">
        <v>-6176</v>
      </c>
      <c r="L19" s="118">
        <v>147</v>
      </c>
      <c r="M19" s="118">
        <v>-1114</v>
      </c>
      <c r="N19" s="118">
        <f>+SUM(K19:M19)</f>
        <v>-7143</v>
      </c>
    </row>
    <row r="20" spans="1:14" x14ac:dyDescent="0.2">
      <c r="B20" s="127" t="s">
        <v>925</v>
      </c>
      <c r="C20" s="120">
        <f>SUM(C13:C19)</f>
        <v>56677</v>
      </c>
      <c r="D20" s="120">
        <f>SUM(D13:D19)</f>
        <v>1763</v>
      </c>
      <c r="E20" s="120">
        <f>SUM(E13:E19)</f>
        <v>559</v>
      </c>
      <c r="F20" s="120">
        <f>SUM(F13:F19)</f>
        <v>58999.000000000007</v>
      </c>
      <c r="J20" s="127" t="s">
        <v>925</v>
      </c>
      <c r="K20" s="120">
        <f>SUM(K13:K19)</f>
        <v>76822</v>
      </c>
      <c r="L20" s="120">
        <f>SUM(L13:L19)</f>
        <v>1864</v>
      </c>
      <c r="M20" s="120">
        <f>SUM(M13:M19)</f>
        <v>2942</v>
      </c>
      <c r="N20" s="120">
        <f>SUM(N13:N19)</f>
        <v>81627.999999999985</v>
      </c>
    </row>
    <row r="21" spans="1:14" x14ac:dyDescent="0.2">
      <c r="A21" s="28"/>
      <c r="B21" s="154"/>
      <c r="C21" s="155"/>
      <c r="D21" s="155"/>
      <c r="E21" s="155"/>
      <c r="F21" s="155"/>
      <c r="J21" s="154"/>
      <c r="K21" s="155"/>
      <c r="L21" s="155"/>
      <c r="M21" s="155"/>
      <c r="N21" s="155"/>
    </row>
    <row r="22" spans="1:14" outlineLevel="1" x14ac:dyDescent="0.2">
      <c r="A22" s="28"/>
      <c r="B22" s="130" t="s">
        <v>871</v>
      </c>
      <c r="C22" s="118"/>
      <c r="D22" s="118"/>
      <c r="E22" s="118"/>
      <c r="F22" s="118"/>
      <c r="J22" s="130" t="s">
        <v>871</v>
      </c>
      <c r="K22" s="118"/>
      <c r="L22" s="118"/>
      <c r="M22" s="118"/>
      <c r="N22" s="118"/>
    </row>
    <row r="23" spans="1:14" outlineLevel="1" x14ac:dyDescent="0.2">
      <c r="A23" s="28"/>
      <c r="B23" s="130" t="s">
        <v>937</v>
      </c>
      <c r="C23" s="118">
        <v>8318</v>
      </c>
      <c r="D23" s="118">
        <v>220</v>
      </c>
      <c r="E23" s="118">
        <v>70</v>
      </c>
      <c r="F23" s="118">
        <v>8607.9999999999927</v>
      </c>
      <c r="J23" s="130" t="s">
        <v>937</v>
      </c>
      <c r="K23" s="118">
        <v>16034.999999999993</v>
      </c>
      <c r="L23" s="118">
        <v>233</v>
      </c>
      <c r="M23" s="118">
        <v>454</v>
      </c>
      <c r="N23" s="118">
        <v>16722.000000000015</v>
      </c>
    </row>
    <row r="24" spans="1:14" outlineLevel="1" x14ac:dyDescent="0.2">
      <c r="A24" s="28"/>
      <c r="B24" s="130" t="s">
        <v>50</v>
      </c>
      <c r="C24" s="118">
        <v>-3505</v>
      </c>
      <c r="D24" s="118">
        <v>-113</v>
      </c>
      <c r="E24" s="118">
        <v>175</v>
      </c>
      <c r="F24" s="118">
        <v>-3443</v>
      </c>
      <c r="J24" s="130" t="s">
        <v>50</v>
      </c>
      <c r="K24" s="118">
        <v>-9203</v>
      </c>
      <c r="L24" s="118">
        <v>-69</v>
      </c>
      <c r="M24" s="118">
        <v>374</v>
      </c>
      <c r="N24" s="118">
        <v>-8898</v>
      </c>
    </row>
    <row r="25" spans="1:14" outlineLevel="1" x14ac:dyDescent="0.2">
      <c r="A25" s="28"/>
      <c r="B25" s="130" t="s">
        <v>872</v>
      </c>
      <c r="C25" s="118">
        <v>-75</v>
      </c>
      <c r="D25" s="118">
        <v>-17</v>
      </c>
      <c r="E25" s="118">
        <v>0</v>
      </c>
      <c r="F25" s="118">
        <v>-92</v>
      </c>
      <c r="J25" s="130" t="s">
        <v>872</v>
      </c>
      <c r="K25" s="118">
        <v>-75.000000000000028</v>
      </c>
      <c r="L25" s="118">
        <v>-17</v>
      </c>
      <c r="M25" s="118">
        <v>0</v>
      </c>
      <c r="N25" s="118">
        <v>-92.000000000000028</v>
      </c>
    </row>
    <row r="26" spans="1:14" outlineLevel="1" x14ac:dyDescent="0.2">
      <c r="A26" s="28"/>
      <c r="B26" s="130" t="s">
        <v>72</v>
      </c>
      <c r="C26" s="118">
        <v>-4478</v>
      </c>
      <c r="D26" s="118">
        <v>-344</v>
      </c>
      <c r="E26" s="118">
        <v>-65</v>
      </c>
      <c r="F26" s="118">
        <v>-4887</v>
      </c>
      <c r="J26" s="130" t="s">
        <v>72</v>
      </c>
      <c r="K26" s="118">
        <v>-7196</v>
      </c>
      <c r="L26" s="118">
        <v>-359</v>
      </c>
      <c r="M26" s="118">
        <v>-720</v>
      </c>
      <c r="N26" s="118">
        <v>-8275</v>
      </c>
    </row>
    <row r="27" spans="1:14" x14ac:dyDescent="0.2">
      <c r="A27" s="28"/>
      <c r="B27" s="127" t="s">
        <v>943</v>
      </c>
      <c r="C27" s="120">
        <f>SUM(C20:C26)</f>
        <v>56937</v>
      </c>
      <c r="D27" s="120">
        <f>SUM(D20:D26)</f>
        <v>1509</v>
      </c>
      <c r="E27" s="120">
        <f>SUM(E20:E26)</f>
        <v>739</v>
      </c>
      <c r="F27" s="120">
        <f>SUM(F20:F26)</f>
        <v>59185</v>
      </c>
      <c r="J27" s="127" t="s">
        <v>946</v>
      </c>
      <c r="K27" s="120">
        <f>SUM(K20:K26)</f>
        <v>76383</v>
      </c>
      <c r="L27" s="120">
        <f>SUM(L20:L26)</f>
        <v>1652</v>
      </c>
      <c r="M27" s="120">
        <f>SUM(M20:M26)</f>
        <v>3050</v>
      </c>
      <c r="N27" s="120">
        <f>SUM(N20:N26)</f>
        <v>81085</v>
      </c>
    </row>
    <row r="28" spans="1:14" s="607" customFormat="1" x14ac:dyDescent="0.2">
      <c r="A28"/>
      <c r="B28" s="150"/>
      <c r="C28" s="151"/>
      <c r="D28" s="151"/>
      <c r="E28" s="151"/>
      <c r="F28" s="151"/>
      <c r="J28" s="150"/>
      <c r="K28" s="151"/>
      <c r="L28" s="151"/>
      <c r="M28" s="151"/>
      <c r="N28" s="151"/>
    </row>
    <row r="29" spans="1:14" outlineLevel="1" x14ac:dyDescent="0.2">
      <c r="B29" s="130" t="s">
        <v>880</v>
      </c>
      <c r="C29" s="118"/>
      <c r="D29" s="118"/>
      <c r="E29" s="118"/>
      <c r="F29" s="118"/>
      <c r="J29" s="130" t="s">
        <v>880</v>
      </c>
      <c r="K29" s="118"/>
      <c r="L29" s="118"/>
      <c r="M29" s="118"/>
      <c r="N29" s="118"/>
    </row>
    <row r="30" spans="1:14" outlineLevel="1" x14ac:dyDescent="0.2">
      <c r="B30" s="130" t="s">
        <v>938</v>
      </c>
      <c r="C30" s="118">
        <v>-1</v>
      </c>
      <c r="D30" s="118">
        <v>0</v>
      </c>
      <c r="E30" s="118">
        <v>0</v>
      </c>
      <c r="F30" s="118">
        <f>+SUM(C30:E30)</f>
        <v>-1</v>
      </c>
      <c r="J30" s="130" t="s">
        <v>938</v>
      </c>
      <c r="K30" s="118">
        <v>0</v>
      </c>
      <c r="L30" s="118">
        <v>0</v>
      </c>
      <c r="M30" s="118">
        <v>0</v>
      </c>
      <c r="N30" s="118">
        <f>+SUM(K30:M30)</f>
        <v>0</v>
      </c>
    </row>
    <row r="31" spans="1:14" outlineLevel="1" x14ac:dyDescent="0.2">
      <c r="B31" s="130" t="s">
        <v>650</v>
      </c>
      <c r="C31" s="118">
        <v>1676</v>
      </c>
      <c r="D31" s="118">
        <v>268</v>
      </c>
      <c r="E31" s="118">
        <v>-63</v>
      </c>
      <c r="F31" s="118">
        <f>+SUM(C31:E31)</f>
        <v>1881</v>
      </c>
      <c r="J31" s="130" t="s">
        <v>650</v>
      </c>
      <c r="K31" s="118">
        <v>2586</v>
      </c>
      <c r="L31" s="118">
        <v>211</v>
      </c>
      <c r="M31" s="118">
        <v>-68</v>
      </c>
      <c r="N31" s="118">
        <f>+SUM(K31:M31)</f>
        <v>2729</v>
      </c>
    </row>
    <row r="32" spans="1:14" outlineLevel="1" x14ac:dyDescent="0.2">
      <c r="B32" s="130" t="s">
        <v>939</v>
      </c>
      <c r="C32" s="118">
        <v>-674</v>
      </c>
      <c r="D32" s="118">
        <v>-2</v>
      </c>
      <c r="E32" s="118">
        <v>0</v>
      </c>
      <c r="F32" s="118">
        <f>+SUM(C32:E32)</f>
        <v>-676</v>
      </c>
      <c r="J32" s="130" t="s">
        <v>939</v>
      </c>
      <c r="K32" s="118">
        <v>-1498</v>
      </c>
      <c r="L32" s="118">
        <v>-2</v>
      </c>
      <c r="M32" s="118">
        <v>-52</v>
      </c>
      <c r="N32" s="118">
        <f>+SUM(K32:M32)</f>
        <v>-1552</v>
      </c>
    </row>
    <row r="33" spans="1:14" outlineLevel="1" x14ac:dyDescent="0.2">
      <c r="B33" s="130" t="s">
        <v>651</v>
      </c>
      <c r="C33" s="118">
        <v>-6161</v>
      </c>
      <c r="D33" s="118">
        <v>-356</v>
      </c>
      <c r="E33" s="118">
        <v>-114</v>
      </c>
      <c r="F33" s="118">
        <f>+SUM(C33:E33)</f>
        <v>-6631</v>
      </c>
      <c r="J33" s="130" t="s">
        <v>651</v>
      </c>
      <c r="K33" s="118">
        <v>-9899</v>
      </c>
      <c r="L33" s="118">
        <v>-369</v>
      </c>
      <c r="M33" s="118">
        <v>-1065</v>
      </c>
      <c r="N33" s="118">
        <f>+SUM(K33:M33)</f>
        <v>-11333</v>
      </c>
    </row>
    <row r="34" spans="1:14" x14ac:dyDescent="0.2">
      <c r="B34" s="127" t="s">
        <v>973</v>
      </c>
      <c r="C34" s="120">
        <f>SUM(C27:C33)</f>
        <v>51777</v>
      </c>
      <c r="D34" s="120">
        <f>SUM(D27:D33)</f>
        <v>1419</v>
      </c>
      <c r="E34" s="120">
        <f>SUM(E27:E33)</f>
        <v>562</v>
      </c>
      <c r="F34" s="120">
        <f>SUM(F27:F33)</f>
        <v>53758</v>
      </c>
      <c r="G34" s="607"/>
      <c r="H34" s="607"/>
      <c r="J34" s="127" t="s">
        <v>973</v>
      </c>
      <c r="K34" s="120">
        <f>SUM(K27:K33)</f>
        <v>67572</v>
      </c>
      <c r="L34" s="120">
        <f>SUM(L27:L33)</f>
        <v>1492</v>
      </c>
      <c r="M34" s="120">
        <f>SUM(M27:M33)</f>
        <v>1865</v>
      </c>
      <c r="N34" s="120">
        <f>SUM(N27:N33)</f>
        <v>70929</v>
      </c>
    </row>
    <row r="35" spans="1:14" s="607" customFormat="1" x14ac:dyDescent="0.2">
      <c r="A35"/>
      <c r="B35" s="150"/>
      <c r="C35" s="151"/>
      <c r="D35" s="151"/>
      <c r="E35" s="151"/>
      <c r="F35" s="151"/>
      <c r="J35" s="150"/>
      <c r="K35" s="151"/>
      <c r="L35" s="151"/>
      <c r="M35" s="151"/>
      <c r="N35" s="151"/>
    </row>
    <row r="36" spans="1:14" outlineLevel="1" x14ac:dyDescent="0.2">
      <c r="B36" s="130" t="s">
        <v>880</v>
      </c>
      <c r="C36" s="118"/>
      <c r="D36" s="118"/>
      <c r="E36" s="118"/>
      <c r="F36" s="118"/>
      <c r="G36" s="607"/>
      <c r="H36" s="607"/>
      <c r="J36" s="130" t="s">
        <v>880</v>
      </c>
      <c r="K36" s="118"/>
      <c r="L36" s="118"/>
      <c r="M36" s="118"/>
      <c r="N36" s="118"/>
    </row>
    <row r="37" spans="1:14" outlineLevel="1" x14ac:dyDescent="0.2">
      <c r="B37" s="130" t="s">
        <v>938</v>
      </c>
      <c r="C37" s="118"/>
      <c r="D37" s="118"/>
      <c r="E37" s="118"/>
      <c r="F37" s="118"/>
      <c r="G37" s="607"/>
      <c r="H37" s="607"/>
      <c r="J37" s="130" t="s">
        <v>938</v>
      </c>
      <c r="K37" s="118"/>
      <c r="L37" s="118"/>
      <c r="M37" s="118"/>
      <c r="N37" s="118"/>
    </row>
    <row r="38" spans="1:14" outlineLevel="1" x14ac:dyDescent="0.2">
      <c r="B38" s="130" t="s">
        <v>650</v>
      </c>
      <c r="C38" s="118">
        <v>18626</v>
      </c>
      <c r="D38" s="118">
        <v>27</v>
      </c>
      <c r="E38" s="118">
        <v>-100</v>
      </c>
      <c r="F38" s="118">
        <f>+SUM(C38:E38)</f>
        <v>18553</v>
      </c>
      <c r="G38" s="607"/>
      <c r="H38" s="607"/>
      <c r="J38" s="130" t="s">
        <v>650</v>
      </c>
      <c r="K38" s="118">
        <v>14040</v>
      </c>
      <c r="L38" s="118">
        <v>27</v>
      </c>
      <c r="M38" s="118">
        <v>2008</v>
      </c>
      <c r="N38" s="118">
        <f>+SUM(K38:M38)</f>
        <v>16075</v>
      </c>
    </row>
    <row r="39" spans="1:14" outlineLevel="1" x14ac:dyDescent="0.2">
      <c r="B39" s="130" t="s">
        <v>939</v>
      </c>
      <c r="C39" s="118">
        <v>0</v>
      </c>
      <c r="D39" s="118">
        <v>0</v>
      </c>
      <c r="E39" s="118">
        <v>0</v>
      </c>
      <c r="F39" s="118">
        <f>+SUM(C39:E39)</f>
        <v>0</v>
      </c>
      <c r="G39" s="607"/>
      <c r="H39" s="607"/>
      <c r="J39" s="130" t="s">
        <v>939</v>
      </c>
      <c r="K39" s="118">
        <v>-206</v>
      </c>
      <c r="L39" s="118">
        <v>0</v>
      </c>
      <c r="M39" s="118">
        <v>0</v>
      </c>
      <c r="N39" s="118">
        <f>+SUM(K39:M39)</f>
        <v>-206</v>
      </c>
    </row>
    <row r="40" spans="1:14" outlineLevel="1" x14ac:dyDescent="0.2">
      <c r="B40" s="130" t="s">
        <v>651</v>
      </c>
      <c r="C40" s="118">
        <v>-4679</v>
      </c>
      <c r="D40" s="118">
        <v>-339</v>
      </c>
      <c r="E40" s="118">
        <v>-52</v>
      </c>
      <c r="F40" s="118">
        <f>+SUM(C40:E40)</f>
        <v>-5070</v>
      </c>
      <c r="G40" s="607"/>
      <c r="H40" s="607"/>
      <c r="J40" s="130" t="s">
        <v>651</v>
      </c>
      <c r="K40" s="118">
        <v>-7472</v>
      </c>
      <c r="L40" s="118">
        <v>-353</v>
      </c>
      <c r="M40" s="118">
        <v>-813</v>
      </c>
      <c r="N40" s="118">
        <f>+SUM(K40:M40)</f>
        <v>-8638</v>
      </c>
    </row>
    <row r="41" spans="1:14" x14ac:dyDescent="0.2">
      <c r="B41" s="127" t="s">
        <v>1005</v>
      </c>
      <c r="C41" s="120">
        <f>SUM(C34:C40)</f>
        <v>65724</v>
      </c>
      <c r="D41" s="120">
        <f>SUM(D34:D40)</f>
        <v>1107</v>
      </c>
      <c r="E41" s="120">
        <f>SUM(E34:E40)</f>
        <v>410</v>
      </c>
      <c r="F41" s="120">
        <f>SUM(F34:F40)</f>
        <v>67241</v>
      </c>
      <c r="G41" s="607"/>
      <c r="H41" s="607"/>
      <c r="J41" s="127" t="s">
        <v>1005</v>
      </c>
      <c r="K41" s="120">
        <f>SUM(K34:K40)</f>
        <v>73934</v>
      </c>
      <c r="L41" s="120">
        <f>SUM(L34:L40)</f>
        <v>1166</v>
      </c>
      <c r="M41" s="120">
        <f>SUM(M34:M40)</f>
        <v>3060</v>
      </c>
      <c r="N41" s="120">
        <f>SUM(N34:N40)</f>
        <v>78160</v>
      </c>
    </row>
    <row r="42" spans="1:14" s="607" customFormat="1" x14ac:dyDescent="0.2">
      <c r="A42"/>
      <c r="B42" s="150"/>
      <c r="C42" s="151"/>
      <c r="D42" s="151"/>
      <c r="E42" s="151"/>
      <c r="F42" s="151"/>
      <c r="J42" s="150"/>
      <c r="K42" s="151"/>
      <c r="L42" s="151"/>
      <c r="M42" s="151"/>
      <c r="N42" s="151"/>
    </row>
    <row r="43" spans="1:14" outlineLevel="1" x14ac:dyDescent="0.2">
      <c r="B43" s="130" t="s">
        <v>880</v>
      </c>
      <c r="C43" s="118"/>
      <c r="D43" s="118"/>
      <c r="E43" s="118"/>
      <c r="F43" s="118"/>
      <c r="G43" s="607"/>
      <c r="H43" s="607"/>
      <c r="J43" s="130" t="s">
        <v>880</v>
      </c>
      <c r="K43" s="118"/>
      <c r="L43" s="118"/>
      <c r="M43" s="118"/>
      <c r="N43" s="118"/>
    </row>
    <row r="44" spans="1:14" outlineLevel="1" x14ac:dyDescent="0.2">
      <c r="B44" s="130" t="s">
        <v>938</v>
      </c>
      <c r="C44" s="118"/>
      <c r="D44" s="118"/>
      <c r="E44" s="118"/>
      <c r="F44" s="118"/>
      <c r="G44" s="607"/>
      <c r="H44" s="607"/>
      <c r="J44" s="130" t="s">
        <v>938</v>
      </c>
      <c r="K44" s="118"/>
      <c r="L44" s="118"/>
      <c r="M44" s="118"/>
      <c r="N44" s="118"/>
    </row>
    <row r="45" spans="1:14" outlineLevel="1" x14ac:dyDescent="0.2">
      <c r="B45" s="130" t="s">
        <v>650</v>
      </c>
      <c r="C45" s="118">
        <v>191</v>
      </c>
      <c r="D45" s="118">
        <v>831</v>
      </c>
      <c r="E45" s="118">
        <v>0</v>
      </c>
      <c r="F45" s="118">
        <v>1022</v>
      </c>
      <c r="G45" s="607"/>
      <c r="H45" s="607"/>
      <c r="J45" s="130" t="s">
        <v>650</v>
      </c>
      <c r="K45" s="118">
        <v>191</v>
      </c>
      <c r="L45" s="118">
        <v>831</v>
      </c>
      <c r="M45" s="118">
        <v>37</v>
      </c>
      <c r="N45" s="118">
        <f>+SUM(K45:M45)</f>
        <v>1059</v>
      </c>
    </row>
    <row r="46" spans="1:14" outlineLevel="1" x14ac:dyDescent="0.2">
      <c r="B46" s="130" t="s">
        <v>939</v>
      </c>
      <c r="C46" s="118">
        <v>-462</v>
      </c>
      <c r="D46" s="118">
        <v>0</v>
      </c>
      <c r="E46" s="118">
        <v>0</v>
      </c>
      <c r="F46" s="118">
        <v>-462</v>
      </c>
      <c r="G46" s="607"/>
      <c r="H46" s="607"/>
      <c r="J46" s="130" t="s">
        <v>939</v>
      </c>
      <c r="K46" s="118">
        <v>-2208</v>
      </c>
      <c r="L46" s="118">
        <v>0</v>
      </c>
      <c r="M46" s="118">
        <v>0</v>
      </c>
      <c r="N46" s="118">
        <f>+SUM(K46:M46)</f>
        <v>-2208</v>
      </c>
    </row>
    <row r="47" spans="1:14" outlineLevel="1" x14ac:dyDescent="0.2">
      <c r="B47" s="130" t="s">
        <v>651</v>
      </c>
      <c r="C47" s="118">
        <v>-4803</v>
      </c>
      <c r="D47" s="118">
        <v>-349</v>
      </c>
      <c r="E47" s="118">
        <v>-74</v>
      </c>
      <c r="F47" s="118">
        <v>-5226</v>
      </c>
      <c r="G47" s="607"/>
      <c r="H47" s="607"/>
      <c r="J47" s="130" t="s">
        <v>651</v>
      </c>
      <c r="K47" s="118">
        <v>-7287</v>
      </c>
      <c r="L47" s="118">
        <v>-364</v>
      </c>
      <c r="M47" s="118">
        <v>-760</v>
      </c>
      <c r="N47" s="118">
        <f>+SUM(K47:M47)</f>
        <v>-8411</v>
      </c>
    </row>
    <row r="48" spans="1:14" x14ac:dyDescent="0.2">
      <c r="B48" s="127" t="s">
        <v>1030</v>
      </c>
      <c r="C48" s="120">
        <f>SUM(C41:C47)</f>
        <v>60650</v>
      </c>
      <c r="D48" s="120">
        <f>SUM(D41:D47)</f>
        <v>1589</v>
      </c>
      <c r="E48" s="120">
        <f>SUM(E41:E47)</f>
        <v>336</v>
      </c>
      <c r="F48" s="120">
        <f>SUM(F41:F47)</f>
        <v>62575</v>
      </c>
      <c r="G48" s="607"/>
      <c r="H48" s="607"/>
      <c r="J48" s="127" t="s">
        <v>1030</v>
      </c>
      <c r="K48" s="120">
        <f>SUM(K41:K47)</f>
        <v>64630</v>
      </c>
      <c r="L48" s="120">
        <f>SUM(L41:L47)</f>
        <v>1633</v>
      </c>
      <c r="M48" s="120">
        <f>SUM(M41:M47)</f>
        <v>2337</v>
      </c>
      <c r="N48" s="120">
        <f>SUM(N41:N47)</f>
        <v>68600</v>
      </c>
    </row>
    <row r="49" spans="1:14" s="607" customFormat="1" x14ac:dyDescent="0.2">
      <c r="A49"/>
      <c r="B49" s="150"/>
      <c r="C49" s="151"/>
      <c r="D49" s="151"/>
      <c r="E49" s="151"/>
      <c r="F49" s="151"/>
      <c r="J49" s="150"/>
      <c r="K49" s="151"/>
      <c r="L49" s="151"/>
      <c r="M49" s="151"/>
      <c r="N49" s="151"/>
    </row>
    <row r="50" spans="1:14" outlineLevel="1" x14ac:dyDescent="0.2">
      <c r="B50" s="130" t="s">
        <v>880</v>
      </c>
      <c r="C50" s="118"/>
      <c r="D50" s="118"/>
      <c r="E50" s="118"/>
      <c r="F50" s="118"/>
      <c r="G50" s="607"/>
      <c r="H50" s="607"/>
      <c r="J50" s="130" t="s">
        <v>880</v>
      </c>
      <c r="K50" s="118"/>
      <c r="L50" s="118"/>
      <c r="M50" s="118"/>
      <c r="N50" s="118"/>
    </row>
    <row r="51" spans="1:14" outlineLevel="1" x14ac:dyDescent="0.2">
      <c r="B51" s="130" t="s">
        <v>938</v>
      </c>
      <c r="C51" s="118"/>
      <c r="D51" s="118"/>
      <c r="E51" s="118"/>
      <c r="F51" s="118"/>
      <c r="G51" s="607"/>
      <c r="H51" s="607"/>
      <c r="J51" s="130" t="s">
        <v>938</v>
      </c>
      <c r="K51" s="118"/>
      <c r="L51" s="118"/>
      <c r="M51" s="118"/>
      <c r="N51" s="118"/>
    </row>
    <row r="52" spans="1:14" outlineLevel="1" x14ac:dyDescent="0.2">
      <c r="B52" s="130" t="s">
        <v>650</v>
      </c>
      <c r="C52" s="118">
        <v>-389</v>
      </c>
      <c r="D52" s="118">
        <v>0</v>
      </c>
      <c r="E52" s="118">
        <v>0</v>
      </c>
      <c r="F52" s="118">
        <f>+SUM(C52:E52)</f>
        <v>-389</v>
      </c>
      <c r="G52" s="607"/>
      <c r="H52" s="607"/>
      <c r="J52" s="130" t="s">
        <v>650</v>
      </c>
      <c r="K52" s="118">
        <v>-1356</v>
      </c>
      <c r="L52" s="118">
        <v>0</v>
      </c>
      <c r="M52" s="118">
        <v>0</v>
      </c>
      <c r="N52" s="118">
        <f>+SUM(K52:M52)</f>
        <v>-1356</v>
      </c>
    </row>
    <row r="53" spans="1:14" outlineLevel="1" x14ac:dyDescent="0.2">
      <c r="B53" s="130" t="s">
        <v>939</v>
      </c>
      <c r="C53" s="118">
        <v>30</v>
      </c>
      <c r="D53" s="118">
        <v>-440</v>
      </c>
      <c r="E53" s="118">
        <v>0</v>
      </c>
      <c r="F53" s="118">
        <f>+SUM(C53:E53)</f>
        <v>-410</v>
      </c>
      <c r="G53" s="607"/>
      <c r="H53" s="607"/>
      <c r="J53" s="130" t="s">
        <v>939</v>
      </c>
      <c r="K53" s="118">
        <v>997</v>
      </c>
      <c r="L53" s="118">
        <v>-447</v>
      </c>
      <c r="M53" s="118">
        <v>0</v>
      </c>
      <c r="N53" s="118">
        <f>+SUM(K53:M53)</f>
        <v>550</v>
      </c>
    </row>
    <row r="54" spans="1:14" outlineLevel="1" x14ac:dyDescent="0.2">
      <c r="B54" s="130" t="s">
        <v>651</v>
      </c>
      <c r="C54" s="118">
        <v>-4785</v>
      </c>
      <c r="D54" s="118">
        <v>-254</v>
      </c>
      <c r="E54" s="118">
        <v>-73</v>
      </c>
      <c r="F54" s="118">
        <f>+SUM(C54:E54)</f>
        <v>-5112</v>
      </c>
      <c r="G54" s="607"/>
      <c r="H54" s="607"/>
      <c r="J54" s="130" t="s">
        <v>651</v>
      </c>
      <c r="K54" s="118">
        <v>-7042</v>
      </c>
      <c r="L54" s="118">
        <v>-266</v>
      </c>
      <c r="M54" s="118">
        <v>-841</v>
      </c>
      <c r="N54" s="118">
        <f>+SUM(K54:M54)</f>
        <v>-8149</v>
      </c>
    </row>
    <row r="55" spans="1:14" x14ac:dyDescent="0.2">
      <c r="B55" s="127" t="s">
        <v>1094</v>
      </c>
      <c r="C55" s="120">
        <f>SUM(C48:C54)</f>
        <v>55506</v>
      </c>
      <c r="D55" s="120">
        <f>SUM(D48:D54)</f>
        <v>895</v>
      </c>
      <c r="E55" s="120">
        <f>SUM(E48:E54)</f>
        <v>263</v>
      </c>
      <c r="F55" s="120">
        <f>SUM(F48:F54)</f>
        <v>56664</v>
      </c>
      <c r="G55" s="607"/>
      <c r="H55" s="607"/>
      <c r="J55" s="127" t="s">
        <v>1094</v>
      </c>
      <c r="K55" s="120">
        <f>SUM(K48:K54)</f>
        <v>57229</v>
      </c>
      <c r="L55" s="120">
        <f>SUM(L48:L54)</f>
        <v>920</v>
      </c>
      <c r="M55" s="120">
        <f>SUM(M48:M54)</f>
        <v>1496</v>
      </c>
      <c r="N55" s="120">
        <f>SUM(N48:N54)</f>
        <v>59645</v>
      </c>
    </row>
    <row r="57" spans="1:14" outlineLevel="1" x14ac:dyDescent="0.2">
      <c r="B57" s="130" t="s">
        <v>880</v>
      </c>
      <c r="C57" s="118"/>
      <c r="D57" s="118"/>
      <c r="E57" s="118"/>
      <c r="F57" s="118"/>
      <c r="G57" s="607"/>
      <c r="H57" s="607"/>
      <c r="J57" s="130" t="s">
        <v>880</v>
      </c>
      <c r="K57" s="118"/>
      <c r="L57" s="118"/>
      <c r="M57" s="118"/>
      <c r="N57" s="118"/>
    </row>
    <row r="58" spans="1:14" outlineLevel="1" x14ac:dyDescent="0.2">
      <c r="B58" s="130" t="s">
        <v>938</v>
      </c>
      <c r="C58" s="118"/>
      <c r="D58" s="118"/>
      <c r="E58" s="118"/>
      <c r="F58" s="118"/>
      <c r="G58" s="607"/>
      <c r="H58" s="607"/>
      <c r="J58" s="130" t="s">
        <v>938</v>
      </c>
      <c r="K58" s="118"/>
      <c r="L58" s="118"/>
      <c r="M58" s="118"/>
      <c r="N58" s="118"/>
    </row>
    <row r="59" spans="1:14" outlineLevel="1" x14ac:dyDescent="0.2">
      <c r="B59" s="130" t="s">
        <v>650</v>
      </c>
      <c r="C59" s="118">
        <v>3876</v>
      </c>
      <c r="D59" s="118">
        <v>0</v>
      </c>
      <c r="E59" s="118">
        <v>0</v>
      </c>
      <c r="F59" s="118">
        <v>3876</v>
      </c>
      <c r="G59" s="607"/>
      <c r="H59" s="607"/>
      <c r="J59" s="130" t="s">
        <v>650</v>
      </c>
      <c r="K59" s="118">
        <v>314</v>
      </c>
      <c r="L59" s="118">
        <v>0</v>
      </c>
      <c r="M59" s="118">
        <v>0</v>
      </c>
      <c r="N59" s="118">
        <f>+SUM(K59:M59)</f>
        <v>314</v>
      </c>
    </row>
    <row r="60" spans="1:14" outlineLevel="1" x14ac:dyDescent="0.2">
      <c r="B60" s="130" t="s">
        <v>939</v>
      </c>
      <c r="C60" s="118">
        <v>0</v>
      </c>
      <c r="D60" s="118">
        <v>-7</v>
      </c>
      <c r="E60" s="118">
        <v>0</v>
      </c>
      <c r="F60" s="118">
        <v>-7</v>
      </c>
      <c r="G60" s="607"/>
      <c r="H60" s="607"/>
      <c r="J60" s="130" t="s">
        <v>939</v>
      </c>
      <c r="K60" s="118">
        <v>-23</v>
      </c>
      <c r="L60" s="118">
        <v>-7</v>
      </c>
      <c r="M60" s="118">
        <v>-464</v>
      </c>
      <c r="N60" s="118">
        <f>+SUM(K60:M60)</f>
        <v>-494</v>
      </c>
    </row>
    <row r="61" spans="1:14" outlineLevel="1" x14ac:dyDescent="0.2">
      <c r="B61" s="130" t="s">
        <v>651</v>
      </c>
      <c r="C61" s="118">
        <v>-5355</v>
      </c>
      <c r="D61" s="118">
        <v>-247</v>
      </c>
      <c r="E61" s="118">
        <v>-73</v>
      </c>
      <c r="F61" s="118">
        <v>-5675</v>
      </c>
      <c r="G61" s="607"/>
      <c r="H61" s="607"/>
      <c r="J61" s="130" t="s">
        <v>651</v>
      </c>
      <c r="K61" s="118">
        <v>-6893</v>
      </c>
      <c r="L61" s="118">
        <v>-259</v>
      </c>
      <c r="M61" s="118">
        <v>-810</v>
      </c>
      <c r="N61" s="118">
        <f>+SUM(K61:M61)</f>
        <v>-7962</v>
      </c>
    </row>
    <row r="62" spans="1:14" x14ac:dyDescent="0.2">
      <c r="B62" s="127" t="s">
        <v>1119</v>
      </c>
      <c r="C62" s="120">
        <f>SUM(C55:C61)</f>
        <v>54027</v>
      </c>
      <c r="D62" s="120">
        <f>SUM(D55:D61)</f>
        <v>641</v>
      </c>
      <c r="E62" s="120">
        <f>SUM(E55:E61)</f>
        <v>190</v>
      </c>
      <c r="F62" s="120">
        <f>SUM(F55:F61)</f>
        <v>54858</v>
      </c>
      <c r="G62" s="607"/>
      <c r="H62" s="607"/>
      <c r="J62" s="127" t="s">
        <v>1119</v>
      </c>
      <c r="K62" s="120">
        <f>SUM(K55:K61)</f>
        <v>50627</v>
      </c>
      <c r="L62" s="120">
        <f>SUM(L55:L61)</f>
        <v>654</v>
      </c>
      <c r="M62" s="120">
        <f>SUM(M55:M61)</f>
        <v>222</v>
      </c>
      <c r="N62" s="120">
        <f>SUM(N55:N61)</f>
        <v>51503</v>
      </c>
    </row>
    <row r="64" spans="1:14" outlineLevel="1" x14ac:dyDescent="0.2">
      <c r="B64" s="130" t="s">
        <v>880</v>
      </c>
      <c r="C64" s="118"/>
      <c r="D64" s="118"/>
      <c r="E64" s="118"/>
      <c r="F64" s="118"/>
      <c r="G64" s="607"/>
      <c r="H64" s="607"/>
      <c r="J64" s="130" t="s">
        <v>880</v>
      </c>
      <c r="K64" s="118"/>
      <c r="L64" s="118"/>
      <c r="M64" s="118"/>
      <c r="N64" s="118"/>
    </row>
    <row r="65" spans="2:14" outlineLevel="1" x14ac:dyDescent="0.2">
      <c r="B65" s="130" t="s">
        <v>938</v>
      </c>
      <c r="C65" s="118"/>
      <c r="D65" s="118"/>
      <c r="E65" s="118"/>
      <c r="F65" s="118"/>
      <c r="G65" s="607"/>
      <c r="H65" s="607"/>
      <c r="J65" s="130" t="s">
        <v>938</v>
      </c>
      <c r="K65" s="118"/>
      <c r="L65" s="118"/>
      <c r="M65" s="118"/>
      <c r="N65" s="118"/>
    </row>
    <row r="66" spans="2:14" outlineLevel="1" x14ac:dyDescent="0.2">
      <c r="B66" s="130" t="s">
        <v>650</v>
      </c>
      <c r="C66" s="118">
        <v>21348</v>
      </c>
      <c r="D66" s="118">
        <v>72</v>
      </c>
      <c r="E66" s="118">
        <v>0</v>
      </c>
      <c r="F66" s="118">
        <f>+SUM(C66:E66)</f>
        <v>21420</v>
      </c>
      <c r="G66" s="607"/>
      <c r="H66" s="607"/>
      <c r="J66" s="130" t="s">
        <v>650</v>
      </c>
      <c r="K66" s="118">
        <v>35337</v>
      </c>
      <c r="L66" s="118">
        <v>74</v>
      </c>
      <c r="M66" s="118">
        <v>2216</v>
      </c>
      <c r="N66" s="118">
        <f>+SUM(K66:M66)</f>
        <v>37627</v>
      </c>
    </row>
    <row r="67" spans="2:14" outlineLevel="1" x14ac:dyDescent="0.2">
      <c r="B67" s="130" t="s">
        <v>939</v>
      </c>
      <c r="C67" s="118">
        <v>0</v>
      </c>
      <c r="D67" s="118">
        <v>0</v>
      </c>
      <c r="E67" s="118">
        <v>0</v>
      </c>
      <c r="F67" s="118">
        <f>+SUM(C67:E67)</f>
        <v>0</v>
      </c>
      <c r="G67" s="607"/>
      <c r="H67" s="607"/>
      <c r="J67" s="130" t="s">
        <v>939</v>
      </c>
      <c r="K67" s="118">
        <v>-15</v>
      </c>
      <c r="L67" s="118">
        <v>0</v>
      </c>
      <c r="M67" s="118">
        <v>-5</v>
      </c>
      <c r="N67" s="118">
        <f>+SUM(K67:M67)</f>
        <v>-20</v>
      </c>
    </row>
    <row r="68" spans="2:14" outlineLevel="1" x14ac:dyDescent="0.2">
      <c r="B68" s="130" t="s">
        <v>651</v>
      </c>
      <c r="C68" s="118">
        <v>-6447</v>
      </c>
      <c r="D68" s="118">
        <v>-252</v>
      </c>
      <c r="E68" s="118">
        <v>-73</v>
      </c>
      <c r="F68" s="118">
        <f>+SUM(C68:E68)</f>
        <v>-6772</v>
      </c>
      <c r="G68" s="607"/>
      <c r="H68" s="607"/>
      <c r="J68" s="130" t="s">
        <v>651</v>
      </c>
      <c r="K68" s="118">
        <v>-7412</v>
      </c>
      <c r="L68" s="118">
        <v>-264</v>
      </c>
      <c r="M68" s="118">
        <v>-646</v>
      </c>
      <c r="N68" s="118">
        <f>+SUM(K68:M68)</f>
        <v>-8322</v>
      </c>
    </row>
    <row r="69" spans="2:14" x14ac:dyDescent="0.2">
      <c r="B69" s="127" t="s">
        <v>1140</v>
      </c>
      <c r="C69" s="120">
        <f>SUM(C62:C68)</f>
        <v>68928</v>
      </c>
      <c r="D69" s="120">
        <f>SUM(D62:D68)</f>
        <v>461</v>
      </c>
      <c r="E69" s="120">
        <f>SUM(E62:E68)</f>
        <v>117</v>
      </c>
      <c r="F69" s="120">
        <f>SUM(F62:F68)</f>
        <v>69506</v>
      </c>
      <c r="G69" s="607"/>
      <c r="H69" s="607"/>
      <c r="J69" s="127" t="s">
        <v>1140</v>
      </c>
      <c r="K69" s="120">
        <f>SUM(K62:K68)</f>
        <v>78537</v>
      </c>
      <c r="L69" s="120">
        <f>SUM(L62:L68)</f>
        <v>464</v>
      </c>
      <c r="M69" s="120">
        <f>SUM(M62:M68)</f>
        <v>1787</v>
      </c>
      <c r="N69" s="120">
        <f>SUM(N62:N68)</f>
        <v>80788</v>
      </c>
    </row>
    <row r="70" spans="2:14" x14ac:dyDescent="0.2">
      <c r="B70" s="329"/>
      <c r="C70" s="329"/>
      <c r="D70" s="329"/>
      <c r="E70" s="329"/>
      <c r="F70" s="329"/>
      <c r="J70" s="1013"/>
      <c r="K70" s="1013"/>
      <c r="L70" s="1013"/>
      <c r="M70" s="1013"/>
      <c r="N70" s="1013"/>
    </row>
    <row r="71" spans="2:14" outlineLevel="1" x14ac:dyDescent="0.2">
      <c r="B71" s="130" t="s">
        <v>880</v>
      </c>
      <c r="C71" s="118"/>
      <c r="D71" s="118"/>
      <c r="E71" s="118"/>
      <c r="F71" s="118"/>
      <c r="G71" s="607"/>
      <c r="H71" s="607"/>
      <c r="J71" s="130" t="s">
        <v>880</v>
      </c>
      <c r="K71" s="118"/>
      <c r="L71" s="118"/>
      <c r="M71" s="118"/>
      <c r="N71" s="118"/>
    </row>
    <row r="72" spans="2:14" outlineLevel="1" x14ac:dyDescent="0.2">
      <c r="B72" s="130" t="s">
        <v>938</v>
      </c>
      <c r="C72" s="118"/>
      <c r="D72" s="118"/>
      <c r="E72" s="118"/>
      <c r="F72" s="118"/>
      <c r="G72" s="607"/>
      <c r="H72" s="607"/>
      <c r="J72" s="130" t="s">
        <v>938</v>
      </c>
      <c r="K72" s="118"/>
      <c r="L72" s="118"/>
      <c r="M72" s="118"/>
      <c r="N72" s="118"/>
    </row>
    <row r="73" spans="2:14" outlineLevel="1" x14ac:dyDescent="0.2">
      <c r="B73" s="130" t="s">
        <v>650</v>
      </c>
      <c r="C73" s="118">
        <v>1558</v>
      </c>
      <c r="D73" s="118">
        <v>50</v>
      </c>
      <c r="E73" s="118">
        <v>0</v>
      </c>
      <c r="F73" s="118">
        <v>1608</v>
      </c>
      <c r="G73" s="607"/>
      <c r="H73" s="607"/>
      <c r="J73" s="130" t="s">
        <v>650</v>
      </c>
      <c r="K73" s="118">
        <v>1671</v>
      </c>
      <c r="L73" s="118">
        <v>65</v>
      </c>
      <c r="M73" s="118">
        <v>0</v>
      </c>
      <c r="N73" s="118">
        <f>+SUM(K73:M73)</f>
        <v>1736</v>
      </c>
    </row>
    <row r="74" spans="2:14" outlineLevel="1" x14ac:dyDescent="0.2">
      <c r="B74" s="130" t="s">
        <v>939</v>
      </c>
      <c r="C74" s="118">
        <v>-466</v>
      </c>
      <c r="D74" s="118">
        <v>0</v>
      </c>
      <c r="E74" s="118">
        <v>0</v>
      </c>
      <c r="F74" s="118">
        <v>-466</v>
      </c>
      <c r="G74" s="607"/>
      <c r="H74" s="607"/>
      <c r="J74" s="130" t="s">
        <v>939</v>
      </c>
      <c r="K74" s="118">
        <v>-466</v>
      </c>
      <c r="L74" s="118">
        <v>0</v>
      </c>
      <c r="M74" s="118">
        <v>-1</v>
      </c>
      <c r="N74" s="118">
        <f>+SUM(K74:M74)</f>
        <v>-467</v>
      </c>
    </row>
    <row r="75" spans="2:14" outlineLevel="1" x14ac:dyDescent="0.2">
      <c r="B75" s="130" t="s">
        <v>651</v>
      </c>
      <c r="C75" s="118">
        <v>-6713</v>
      </c>
      <c r="D75" s="118">
        <v>-225</v>
      </c>
      <c r="E75" s="118">
        <v>-73</v>
      </c>
      <c r="F75" s="118">
        <v>-7011</v>
      </c>
      <c r="G75" s="607"/>
      <c r="H75" s="607"/>
      <c r="J75" s="130" t="s">
        <v>651</v>
      </c>
      <c r="K75" s="118">
        <v>-7125</v>
      </c>
      <c r="L75" s="118">
        <v>-238</v>
      </c>
      <c r="M75" s="118">
        <v>-631</v>
      </c>
      <c r="N75" s="118">
        <f>+SUM(K75:M75)</f>
        <v>-7994</v>
      </c>
    </row>
    <row r="76" spans="2:14" x14ac:dyDescent="0.2">
      <c r="B76" s="127" t="s">
        <v>1145</v>
      </c>
      <c r="C76" s="120">
        <f>SUM(C69:C75)</f>
        <v>63307</v>
      </c>
      <c r="D76" s="120">
        <f>SUM(D69:D75)</f>
        <v>286</v>
      </c>
      <c r="E76" s="120">
        <f>SUM(E69:E75)</f>
        <v>44</v>
      </c>
      <c r="F76" s="120">
        <f>SUM(F69:F75)</f>
        <v>63637</v>
      </c>
      <c r="G76" s="607"/>
      <c r="H76" s="607"/>
      <c r="J76" s="127" t="s">
        <v>1145</v>
      </c>
      <c r="K76" s="120">
        <f>SUM(K69:K75)</f>
        <v>72617</v>
      </c>
      <c r="L76" s="120">
        <f>SUM(L69:L75)</f>
        <v>291</v>
      </c>
      <c r="M76" s="120">
        <f>SUM(M69:M75)</f>
        <v>1155</v>
      </c>
      <c r="N76" s="120">
        <f>SUM(N69:N75)</f>
        <v>74063</v>
      </c>
    </row>
    <row r="77" spans="2:14" x14ac:dyDescent="0.2">
      <c r="J77" s="1013"/>
      <c r="K77" s="1013"/>
      <c r="L77" s="1013"/>
      <c r="M77" s="1013"/>
      <c r="N77" s="1013"/>
    </row>
    <row r="78" spans="2:14" outlineLevel="1" x14ac:dyDescent="0.2">
      <c r="B78" s="130" t="s">
        <v>871</v>
      </c>
      <c r="C78" s="118"/>
      <c r="D78" s="118"/>
      <c r="E78" s="118"/>
      <c r="F78" s="118"/>
      <c r="G78" s="607"/>
      <c r="H78" s="607"/>
      <c r="J78" s="130" t="s">
        <v>871</v>
      </c>
      <c r="K78" s="118"/>
      <c r="L78" s="118"/>
      <c r="M78" s="118"/>
      <c r="N78" s="118"/>
    </row>
    <row r="79" spans="2:14" outlineLevel="1" x14ac:dyDescent="0.2">
      <c r="B79" s="130" t="s">
        <v>937</v>
      </c>
      <c r="C79" s="118"/>
      <c r="D79" s="118"/>
      <c r="E79" s="118"/>
      <c r="F79" s="118"/>
      <c r="G79" s="607"/>
      <c r="H79" s="607"/>
      <c r="J79" s="130" t="s">
        <v>937</v>
      </c>
      <c r="K79" s="118"/>
      <c r="L79" s="118"/>
      <c r="M79" s="118"/>
      <c r="N79" s="118"/>
    </row>
    <row r="80" spans="2:14" outlineLevel="1" x14ac:dyDescent="0.2">
      <c r="B80" s="130" t="s">
        <v>50</v>
      </c>
      <c r="C80" s="118">
        <v>1304</v>
      </c>
      <c r="D80" s="118">
        <v>74</v>
      </c>
      <c r="E80" s="118">
        <v>4</v>
      </c>
      <c r="F80" s="118">
        <v>1382</v>
      </c>
      <c r="G80" s="607"/>
      <c r="H80" s="607"/>
      <c r="J80" s="130" t="s">
        <v>50</v>
      </c>
      <c r="K80" s="118">
        <v>1125</v>
      </c>
      <c r="L80" s="118">
        <v>82</v>
      </c>
      <c r="M80" s="118">
        <v>5</v>
      </c>
      <c r="N80" s="118">
        <v>1212</v>
      </c>
    </row>
    <row r="81" spans="2:14" outlineLevel="1" x14ac:dyDescent="0.2">
      <c r="B81" s="130" t="s">
        <v>872</v>
      </c>
      <c r="C81" s="118">
        <v>0</v>
      </c>
      <c r="D81" s="118">
        <v>0</v>
      </c>
      <c r="E81" s="118">
        <v>0</v>
      </c>
      <c r="F81" s="118">
        <v>0</v>
      </c>
      <c r="G81" s="607"/>
      <c r="H81" s="607"/>
      <c r="J81" s="130" t="s">
        <v>872</v>
      </c>
      <c r="K81" s="118">
        <v>0</v>
      </c>
      <c r="L81" s="118">
        <v>0</v>
      </c>
      <c r="M81" s="118">
        <v>0</v>
      </c>
      <c r="N81" s="118">
        <v>0</v>
      </c>
    </row>
    <row r="82" spans="2:14" outlineLevel="1" x14ac:dyDescent="0.2">
      <c r="B82" s="130" t="s">
        <v>72</v>
      </c>
      <c r="C82" s="118">
        <v>-6508</v>
      </c>
      <c r="D82" s="118">
        <v>-198</v>
      </c>
      <c r="E82" s="118">
        <v>-49</v>
      </c>
      <c r="F82" s="118">
        <v>-6755</v>
      </c>
      <c r="G82" s="607"/>
      <c r="H82" s="607"/>
      <c r="J82" s="130" t="s">
        <v>72</v>
      </c>
      <c r="K82" s="118">
        <v>-6917</v>
      </c>
      <c r="L82" s="118">
        <v>-211</v>
      </c>
      <c r="M82" s="118">
        <v>-606</v>
      </c>
      <c r="N82" s="118">
        <v>-7734</v>
      </c>
    </row>
    <row r="83" spans="2:14" x14ac:dyDescent="0.2">
      <c r="B83" s="127" t="s">
        <v>1167</v>
      </c>
      <c r="C83" s="120">
        <f>SUM(C76:C82)</f>
        <v>58103</v>
      </c>
      <c r="D83" s="120">
        <f>SUM(D76:D82)</f>
        <v>162</v>
      </c>
      <c r="E83" s="120">
        <f>SUM(E76:E82)</f>
        <v>-1</v>
      </c>
      <c r="F83" s="120">
        <f>SUM(F76:F82)</f>
        <v>58264</v>
      </c>
      <c r="G83" s="607"/>
      <c r="H83" s="607"/>
      <c r="J83" s="127" t="s">
        <v>1167</v>
      </c>
      <c r="K83" s="120">
        <f>SUM(K76:K82)</f>
        <v>66825</v>
      </c>
      <c r="L83" s="120">
        <f>SUM(L76:L82)</f>
        <v>162</v>
      </c>
      <c r="M83" s="120">
        <f>SUM(M76:M82)</f>
        <v>554</v>
      </c>
      <c r="N83" s="120">
        <f>SUM(N76:N82)</f>
        <v>67541</v>
      </c>
    </row>
    <row r="85" spans="2:14" x14ac:dyDescent="0.2">
      <c r="B85" s="130" t="s">
        <v>880</v>
      </c>
      <c r="C85" s="118"/>
      <c r="D85" s="118"/>
      <c r="E85" s="118"/>
      <c r="F85" s="118"/>
      <c r="G85" s="607"/>
      <c r="H85" s="607"/>
      <c r="J85" s="130" t="s">
        <v>880</v>
      </c>
      <c r="K85" s="118"/>
      <c r="L85" s="118"/>
      <c r="M85" s="118"/>
      <c r="N85" s="118"/>
    </row>
    <row r="86" spans="2:14" x14ac:dyDescent="0.2">
      <c r="B86" s="130" t="s">
        <v>938</v>
      </c>
      <c r="C86" s="118"/>
      <c r="D86" s="118"/>
      <c r="E86" s="118"/>
      <c r="F86" s="118"/>
      <c r="G86" s="607"/>
      <c r="H86" s="607"/>
      <c r="J86" s="130" t="s">
        <v>938</v>
      </c>
      <c r="K86" s="118"/>
      <c r="L86" s="118"/>
      <c r="M86" s="118"/>
      <c r="N86" s="118"/>
    </row>
    <row r="87" spans="2:14" x14ac:dyDescent="0.2">
      <c r="B87" s="130" t="s">
        <v>650</v>
      </c>
      <c r="C87" s="118">
        <v>653</v>
      </c>
      <c r="D87" s="118">
        <v>1191</v>
      </c>
      <c r="E87" s="118">
        <v>0</v>
      </c>
      <c r="F87" s="118">
        <v>1845</v>
      </c>
      <c r="G87" s="607"/>
      <c r="H87" s="607"/>
      <c r="J87" s="130" t="s">
        <v>650</v>
      </c>
      <c r="K87" s="118">
        <v>642</v>
      </c>
      <c r="L87" s="118">
        <v>1298</v>
      </c>
      <c r="M87" s="118">
        <v>0</v>
      </c>
      <c r="N87" s="118">
        <v>1940</v>
      </c>
    </row>
    <row r="88" spans="2:14" x14ac:dyDescent="0.2">
      <c r="B88" s="130" t="s">
        <v>939</v>
      </c>
      <c r="C88" s="118">
        <v>0</v>
      </c>
      <c r="D88" s="118">
        <v>0</v>
      </c>
      <c r="E88" s="118">
        <v>0</v>
      </c>
      <c r="F88" s="118">
        <v>0</v>
      </c>
      <c r="G88" s="607"/>
      <c r="H88" s="607"/>
      <c r="J88" s="130" t="s">
        <v>939</v>
      </c>
      <c r="K88" s="118">
        <v>-3</v>
      </c>
      <c r="L88" s="118">
        <v>0</v>
      </c>
      <c r="M88" s="118">
        <v>0</v>
      </c>
      <c r="N88" s="118">
        <v>-3</v>
      </c>
    </row>
    <row r="89" spans="2:14" x14ac:dyDescent="0.2">
      <c r="B89" s="130" t="s">
        <v>651</v>
      </c>
      <c r="C89" s="118">
        <v>-6387</v>
      </c>
      <c r="D89" s="118">
        <v>-200</v>
      </c>
      <c r="E89" s="118">
        <v>0</v>
      </c>
      <c r="F89" s="118">
        <v>-6587</v>
      </c>
      <c r="G89" s="607"/>
      <c r="H89" s="607"/>
      <c r="J89" s="130" t="s">
        <v>651</v>
      </c>
      <c r="K89" s="118">
        <v>-7265</v>
      </c>
      <c r="L89" s="118">
        <v>-204</v>
      </c>
      <c r="M89" s="118">
        <v>-184</v>
      </c>
      <c r="N89" s="118">
        <v>-7653</v>
      </c>
    </row>
    <row r="90" spans="2:14" x14ac:dyDescent="0.2">
      <c r="B90" s="127" t="s">
        <v>1178</v>
      </c>
      <c r="C90" s="120">
        <f>SUM(C83:C89)</f>
        <v>52369</v>
      </c>
      <c r="D90" s="120">
        <f>SUM(D83:D89)</f>
        <v>1153</v>
      </c>
      <c r="E90" s="120">
        <f>SUM(E83:E89)</f>
        <v>-1</v>
      </c>
      <c r="F90" s="120">
        <f>SUM(F83:F89)</f>
        <v>53522</v>
      </c>
      <c r="G90" s="607"/>
      <c r="H90" s="607"/>
      <c r="J90" s="127" t="s">
        <v>1178</v>
      </c>
      <c r="K90" s="120">
        <f>SUM(K83:K89)</f>
        <v>60199</v>
      </c>
      <c r="L90" s="120">
        <f>SUM(L83:L89)</f>
        <v>1256</v>
      </c>
      <c r="M90" s="120">
        <f>SUM(M83:M89)</f>
        <v>370</v>
      </c>
      <c r="N90" s="120">
        <f>SUM(N83:N89)</f>
        <v>61825</v>
      </c>
    </row>
    <row r="92" spans="2:14" x14ac:dyDescent="0.2">
      <c r="B92" s="130" t="s">
        <v>880</v>
      </c>
      <c r="C92" s="118"/>
      <c r="D92" s="118"/>
      <c r="E92" s="118"/>
      <c r="F92" s="118"/>
      <c r="G92" s="607"/>
      <c r="H92" s="607"/>
      <c r="J92" s="130" t="s">
        <v>880</v>
      </c>
      <c r="K92" s="118"/>
      <c r="L92" s="118"/>
      <c r="M92" s="118"/>
      <c r="N92" s="118"/>
    </row>
    <row r="93" spans="2:14" x14ac:dyDescent="0.2">
      <c r="B93" s="130" t="s">
        <v>938</v>
      </c>
      <c r="C93" s="118"/>
      <c r="D93" s="118"/>
      <c r="E93" s="118"/>
      <c r="F93" s="118"/>
      <c r="G93" s="607"/>
      <c r="H93" s="607"/>
      <c r="J93" s="130" t="s">
        <v>938</v>
      </c>
      <c r="K93" s="118"/>
      <c r="L93" s="118"/>
      <c r="M93" s="118"/>
      <c r="N93" s="118"/>
    </row>
    <row r="94" spans="2:14" x14ac:dyDescent="0.2">
      <c r="B94" s="130" t="s">
        <v>650</v>
      </c>
      <c r="C94" s="118">
        <v>2819</v>
      </c>
      <c r="D94" s="118">
        <v>0</v>
      </c>
      <c r="E94" s="118">
        <v>0</v>
      </c>
      <c r="F94" s="118">
        <v>2819</v>
      </c>
      <c r="G94" s="607"/>
      <c r="H94" s="607"/>
      <c r="J94" s="130" t="s">
        <v>650</v>
      </c>
      <c r="K94" s="118">
        <v>2613</v>
      </c>
      <c r="L94" s="118">
        <v>0</v>
      </c>
      <c r="M94" s="118">
        <v>2635</v>
      </c>
      <c r="N94" s="118">
        <v>5248</v>
      </c>
    </row>
    <row r="95" spans="2:14" x14ac:dyDescent="0.2">
      <c r="B95" s="130" t="s">
        <v>939</v>
      </c>
      <c r="C95" s="118">
        <v>0</v>
      </c>
      <c r="D95" s="118">
        <v>0</v>
      </c>
      <c r="E95" s="118">
        <v>0</v>
      </c>
      <c r="F95" s="118">
        <v>0</v>
      </c>
      <c r="G95" s="607"/>
      <c r="H95" s="607"/>
      <c r="J95" s="130" t="s">
        <v>939</v>
      </c>
      <c r="K95" s="118">
        <v>0</v>
      </c>
      <c r="L95" s="118">
        <v>0</v>
      </c>
      <c r="M95" s="118">
        <v>0</v>
      </c>
      <c r="N95" s="118">
        <v>0</v>
      </c>
    </row>
    <row r="96" spans="2:14" x14ac:dyDescent="0.2">
      <c r="B96" s="130" t="s">
        <v>651</v>
      </c>
      <c r="C96" s="118">
        <v>-7382</v>
      </c>
      <c r="D96" s="118">
        <v>-198</v>
      </c>
      <c r="E96" s="118">
        <v>0</v>
      </c>
      <c r="F96" s="118">
        <v>-7580</v>
      </c>
      <c r="G96" s="607"/>
      <c r="H96" s="607"/>
      <c r="J96" s="130" t="s">
        <v>651</v>
      </c>
      <c r="K96" s="118">
        <v>-7878</v>
      </c>
      <c r="L96" s="118">
        <v>-208</v>
      </c>
      <c r="M96" s="118">
        <v>-595</v>
      </c>
      <c r="N96" s="118">
        <v>-8681</v>
      </c>
    </row>
    <row r="97" spans="2:14" x14ac:dyDescent="0.2">
      <c r="B97" s="127" t="s">
        <v>1200</v>
      </c>
      <c r="C97" s="120">
        <f>SUM(C90:C96)</f>
        <v>47806</v>
      </c>
      <c r="D97" s="120">
        <f>SUM(D90:D96)</f>
        <v>955</v>
      </c>
      <c r="E97" s="120">
        <f>SUM(E90:E96)</f>
        <v>-1</v>
      </c>
      <c r="F97" s="120">
        <f>SUM(F90:F96)</f>
        <v>48761</v>
      </c>
      <c r="G97" s="607"/>
      <c r="H97" s="607"/>
      <c r="J97" s="127" t="s">
        <v>1200</v>
      </c>
      <c r="K97" s="120">
        <f>SUM(K90:K96)</f>
        <v>54934</v>
      </c>
      <c r="L97" s="120">
        <f>SUM(L90:L96)</f>
        <v>1048</v>
      </c>
      <c r="M97" s="120">
        <f>SUM(M90:M96)</f>
        <v>2410</v>
      </c>
      <c r="N97" s="120">
        <f>SUM(N90:N96)</f>
        <v>58392</v>
      </c>
    </row>
    <row r="99" spans="2:14" x14ac:dyDescent="0.2">
      <c r="B99" s="130" t="s">
        <v>880</v>
      </c>
      <c r="C99" s="118"/>
      <c r="D99" s="118"/>
      <c r="E99" s="118"/>
      <c r="F99" s="118"/>
      <c r="G99" s="607"/>
      <c r="H99" s="607"/>
      <c r="J99" s="130" t="s">
        <v>880</v>
      </c>
      <c r="K99" s="118"/>
      <c r="L99" s="118"/>
      <c r="M99" s="118"/>
      <c r="N99" s="118"/>
    </row>
    <row r="100" spans="2:14" x14ac:dyDescent="0.2">
      <c r="B100" s="130" t="s">
        <v>938</v>
      </c>
      <c r="C100" s="118"/>
      <c r="D100" s="118"/>
      <c r="E100" s="118"/>
      <c r="F100" s="118"/>
      <c r="G100" s="607"/>
      <c r="H100" s="607"/>
      <c r="J100" s="130" t="s">
        <v>938</v>
      </c>
      <c r="K100" s="118"/>
      <c r="L100" s="118"/>
      <c r="M100" s="118"/>
      <c r="N100" s="118"/>
    </row>
    <row r="101" spans="2:14" x14ac:dyDescent="0.2">
      <c r="B101" s="130" t="s">
        <v>650</v>
      </c>
      <c r="C101" s="118">
        <v>4557</v>
      </c>
      <c r="D101" s="118">
        <v>0</v>
      </c>
      <c r="E101" s="118">
        <v>0</v>
      </c>
      <c r="F101" s="118">
        <f>+SUM(C101:E101)</f>
        <v>4557</v>
      </c>
      <c r="G101" s="607"/>
      <c r="H101" s="607"/>
      <c r="J101" s="130" t="s">
        <v>650</v>
      </c>
      <c r="K101" s="118">
        <v>4675</v>
      </c>
      <c r="L101" s="118">
        <v>10</v>
      </c>
      <c r="M101" s="118">
        <v>0</v>
      </c>
      <c r="N101" s="118">
        <f>+SUM(K101:M101)</f>
        <v>4685</v>
      </c>
    </row>
    <row r="102" spans="2:14" x14ac:dyDescent="0.2">
      <c r="B102" s="130" t="s">
        <v>939</v>
      </c>
      <c r="C102" s="118">
        <v>0</v>
      </c>
      <c r="D102" s="118">
        <v>0</v>
      </c>
      <c r="E102" s="118">
        <v>0</v>
      </c>
      <c r="F102" s="118">
        <f>+SUM(C102:E102)</f>
        <v>0</v>
      </c>
      <c r="G102" s="607"/>
      <c r="H102" s="607"/>
      <c r="J102" s="130" t="s">
        <v>939</v>
      </c>
      <c r="K102" s="118">
        <v>0</v>
      </c>
      <c r="L102" s="118">
        <v>0</v>
      </c>
      <c r="M102" s="118">
        <v>0</v>
      </c>
      <c r="N102" s="118">
        <f>+SUM(K102:M102)</f>
        <v>0</v>
      </c>
    </row>
    <row r="103" spans="2:14" x14ac:dyDescent="0.2">
      <c r="B103" s="130" t="s">
        <v>651</v>
      </c>
      <c r="C103" s="118">
        <v>-7423</v>
      </c>
      <c r="D103" s="118">
        <v>-155</v>
      </c>
      <c r="E103" s="118">
        <v>0</v>
      </c>
      <c r="F103" s="118">
        <f>+SUM(C103:E103)</f>
        <v>-7578</v>
      </c>
      <c r="G103" s="607"/>
      <c r="H103" s="607"/>
      <c r="J103" s="130" t="s">
        <v>651</v>
      </c>
      <c r="K103" s="118">
        <v>-8362</v>
      </c>
      <c r="L103" s="118">
        <v>-168</v>
      </c>
      <c r="M103" s="118">
        <v>-226</v>
      </c>
      <c r="N103" s="118">
        <f>+SUM(K103:M103)</f>
        <v>-8756</v>
      </c>
    </row>
    <row r="104" spans="2:14" x14ac:dyDescent="0.2">
      <c r="B104" s="127" t="s">
        <v>1205</v>
      </c>
      <c r="C104" s="120">
        <f>SUM(C97:C103)</f>
        <v>44940</v>
      </c>
      <c r="D104" s="120">
        <f>SUM(D97:D103)</f>
        <v>800</v>
      </c>
      <c r="E104" s="120">
        <f>SUM(E97:E103)</f>
        <v>-1</v>
      </c>
      <c r="F104" s="120">
        <f>SUM(F97:F103)</f>
        <v>45740</v>
      </c>
      <c r="G104" s="607"/>
      <c r="H104" s="607"/>
      <c r="J104" s="127" t="s">
        <v>1205</v>
      </c>
      <c r="K104" s="120">
        <f>SUM(K97:K103)</f>
        <v>51247</v>
      </c>
      <c r="L104" s="120">
        <f>SUM(L97:L103)</f>
        <v>890</v>
      </c>
      <c r="M104" s="120">
        <f>SUM(M97:M103)</f>
        <v>2184</v>
      </c>
      <c r="N104" s="120">
        <f>SUM(N97:N103)</f>
        <v>54321</v>
      </c>
    </row>
    <row r="106" spans="2:14" x14ac:dyDescent="0.2">
      <c r="B106" s="130" t="s">
        <v>880</v>
      </c>
      <c r="C106" s="118"/>
      <c r="D106" s="118"/>
      <c r="E106" s="118"/>
      <c r="F106" s="118"/>
      <c r="G106" s="607"/>
      <c r="H106" s="607"/>
      <c r="J106" s="130" t="s">
        <v>880</v>
      </c>
      <c r="K106" s="118"/>
      <c r="L106" s="118"/>
      <c r="M106" s="118"/>
      <c r="N106" s="118"/>
    </row>
    <row r="107" spans="2:14" x14ac:dyDescent="0.2">
      <c r="B107" s="130" t="s">
        <v>938</v>
      </c>
      <c r="C107" s="118"/>
      <c r="D107" s="118"/>
      <c r="E107" s="118"/>
      <c r="F107" s="118"/>
      <c r="G107" s="607"/>
      <c r="H107" s="607"/>
      <c r="J107" s="130" t="s">
        <v>938</v>
      </c>
      <c r="K107" s="118"/>
      <c r="L107" s="118"/>
      <c r="M107" s="118"/>
      <c r="N107" s="118"/>
    </row>
    <row r="108" spans="2:14" x14ac:dyDescent="0.2">
      <c r="B108" s="130" t="s">
        <v>650</v>
      </c>
      <c r="C108" s="118">
        <v>15510</v>
      </c>
      <c r="D108" s="118">
        <v>127</v>
      </c>
      <c r="E108" s="118">
        <v>0</v>
      </c>
      <c r="F108" s="118">
        <f>+SUM(C108:E108)</f>
        <v>15637</v>
      </c>
      <c r="G108" s="607"/>
      <c r="H108" s="607"/>
      <c r="J108" s="130" t="s">
        <v>650</v>
      </c>
      <c r="K108" s="118">
        <v>9669</v>
      </c>
      <c r="L108" s="118">
        <v>128</v>
      </c>
      <c r="M108" s="118">
        <v>-31</v>
      </c>
      <c r="N108" s="118">
        <f>+SUM(K108:M108)</f>
        <v>9766</v>
      </c>
    </row>
    <row r="109" spans="2:14" x14ac:dyDescent="0.2">
      <c r="B109" s="130" t="s">
        <v>939</v>
      </c>
      <c r="C109" s="118">
        <v>0</v>
      </c>
      <c r="D109" s="118">
        <v>0</v>
      </c>
      <c r="E109" s="118">
        <v>0</v>
      </c>
      <c r="F109" s="118">
        <f>+SUM(C109:E109)</f>
        <v>0</v>
      </c>
      <c r="G109" s="607"/>
      <c r="H109" s="607"/>
      <c r="J109" s="130" t="s">
        <v>939</v>
      </c>
      <c r="K109" s="118">
        <v>0</v>
      </c>
      <c r="L109" s="118">
        <v>0</v>
      </c>
      <c r="M109" s="118">
        <v>0</v>
      </c>
      <c r="N109" s="118">
        <f>+SUM(K109:M109)</f>
        <v>0</v>
      </c>
    </row>
    <row r="110" spans="2:14" x14ac:dyDescent="0.2">
      <c r="B110" s="130" t="s">
        <v>651</v>
      </c>
      <c r="C110" s="118">
        <v>-6245</v>
      </c>
      <c r="D110" s="118">
        <v>-185</v>
      </c>
      <c r="E110" s="118">
        <v>0</v>
      </c>
      <c r="F110" s="118">
        <f>+SUM(C110:E110)</f>
        <v>-6430</v>
      </c>
      <c r="G110" s="607"/>
      <c r="H110" s="607"/>
      <c r="J110" s="130" t="s">
        <v>651</v>
      </c>
      <c r="K110" s="118">
        <v>-5997</v>
      </c>
      <c r="L110" s="118">
        <v>-217</v>
      </c>
      <c r="M110" s="118">
        <v>-1502</v>
      </c>
      <c r="N110" s="118">
        <f>+SUM(K110:M110)</f>
        <v>-7716</v>
      </c>
    </row>
    <row r="111" spans="2:14" x14ac:dyDescent="0.2">
      <c r="B111" s="127" t="s">
        <v>1219</v>
      </c>
      <c r="C111" s="120">
        <f>SUM(C104:C110)</f>
        <v>54205</v>
      </c>
      <c r="D111" s="120">
        <f>SUM(D104:D110)</f>
        <v>742</v>
      </c>
      <c r="E111" s="120">
        <f>SUM(E104:E110)</f>
        <v>-1</v>
      </c>
      <c r="F111" s="120">
        <f>SUM(F104:F110)</f>
        <v>54947</v>
      </c>
      <c r="G111" s="607"/>
      <c r="H111" s="607"/>
      <c r="J111" s="127" t="s">
        <v>1219</v>
      </c>
      <c r="K111" s="120">
        <f>SUM(K104:K110)</f>
        <v>54919</v>
      </c>
      <c r="L111" s="120">
        <f>SUM(L104:L110)</f>
        <v>801</v>
      </c>
      <c r="M111" s="120">
        <f>SUM(M104:M110)</f>
        <v>651</v>
      </c>
      <c r="N111" s="120">
        <f>SUM(N104:N110)</f>
        <v>56371</v>
      </c>
    </row>
    <row r="113" spans="2:14" x14ac:dyDescent="0.2">
      <c r="B113" s="130" t="s">
        <v>880</v>
      </c>
      <c r="C113" s="118"/>
      <c r="D113" s="118"/>
      <c r="E113" s="118"/>
      <c r="F113" s="118"/>
      <c r="G113" s="607"/>
      <c r="H113" s="607"/>
      <c r="J113" s="130" t="s">
        <v>880</v>
      </c>
      <c r="K113" s="118"/>
      <c r="L113" s="118"/>
      <c r="M113" s="118"/>
      <c r="N113" s="118"/>
    </row>
    <row r="114" spans="2:14" x14ac:dyDescent="0.2">
      <c r="B114" s="130" t="s">
        <v>938</v>
      </c>
      <c r="C114" s="118"/>
      <c r="D114" s="118"/>
      <c r="E114" s="118"/>
      <c r="F114" s="118"/>
      <c r="G114" s="607"/>
      <c r="H114" s="607"/>
      <c r="J114" s="130" t="s">
        <v>938</v>
      </c>
      <c r="K114" s="118"/>
      <c r="L114" s="118"/>
      <c r="M114" s="118"/>
      <c r="N114" s="118"/>
    </row>
    <row r="115" spans="2:14" x14ac:dyDescent="0.2">
      <c r="B115" s="130" t="s">
        <v>650</v>
      </c>
      <c r="C115" s="118">
        <v>4980</v>
      </c>
      <c r="D115" s="118">
        <v>0</v>
      </c>
      <c r="E115" s="118">
        <v>0</v>
      </c>
      <c r="F115" s="118">
        <f>+SUM(C115:E115)</f>
        <v>4980</v>
      </c>
      <c r="G115" s="607"/>
      <c r="H115" s="607"/>
      <c r="J115" s="130" t="s">
        <v>650</v>
      </c>
      <c r="K115" s="118">
        <v>508</v>
      </c>
      <c r="L115" s="118">
        <v>0</v>
      </c>
      <c r="M115" s="118">
        <v>0</v>
      </c>
      <c r="N115" s="118">
        <f>+SUM(K115:M115)</f>
        <v>508</v>
      </c>
    </row>
    <row r="116" spans="2:14" x14ac:dyDescent="0.2">
      <c r="B116" s="130" t="s">
        <v>939</v>
      </c>
      <c r="C116" s="118">
        <v>0</v>
      </c>
      <c r="D116" s="118">
        <v>0</v>
      </c>
      <c r="E116" s="118">
        <v>0</v>
      </c>
      <c r="F116" s="118">
        <f>+SUM(C116:E116)</f>
        <v>0</v>
      </c>
      <c r="G116" s="607"/>
      <c r="H116" s="607"/>
      <c r="J116" s="130" t="s">
        <v>939</v>
      </c>
      <c r="K116" s="118">
        <v>0</v>
      </c>
      <c r="L116" s="118">
        <v>0</v>
      </c>
      <c r="M116" s="118">
        <v>0</v>
      </c>
      <c r="N116" s="118">
        <f>+SUM(K116:M116)</f>
        <v>0</v>
      </c>
    </row>
    <row r="117" spans="2:14" x14ac:dyDescent="0.2">
      <c r="B117" s="130" t="s">
        <v>651</v>
      </c>
      <c r="C117" s="118">
        <v>-6948</v>
      </c>
      <c r="D117" s="118">
        <f>-704-D110-D103-D96</f>
        <v>-166</v>
      </c>
      <c r="E117" s="118">
        <v>0</v>
      </c>
      <c r="F117" s="118">
        <f>+SUM(C117:E117)</f>
        <v>-7114</v>
      </c>
      <c r="G117" s="607"/>
      <c r="H117" s="607"/>
      <c r="J117" s="130" t="s">
        <v>651</v>
      </c>
      <c r="K117" s="118">
        <v>-7586</v>
      </c>
      <c r="L117" s="118">
        <v>-176</v>
      </c>
      <c r="M117" s="118">
        <v>-651</v>
      </c>
      <c r="N117" s="118">
        <f>+SUM(K117:M117)</f>
        <v>-8413</v>
      </c>
    </row>
    <row r="118" spans="2:14" x14ac:dyDescent="0.2">
      <c r="B118" s="127" t="s">
        <v>1228</v>
      </c>
      <c r="C118" s="120">
        <f>SUM(C111:C117)</f>
        <v>52237</v>
      </c>
      <c r="D118" s="120">
        <f>SUM(D111:D117)</f>
        <v>576</v>
      </c>
      <c r="E118" s="120">
        <f>SUM(E111:E117)</f>
        <v>-1</v>
      </c>
      <c r="F118" s="120">
        <f>SUM(F111:F117)</f>
        <v>52813</v>
      </c>
      <c r="G118" s="607"/>
      <c r="H118" s="607"/>
      <c r="J118" s="127" t="s">
        <v>1228</v>
      </c>
      <c r="K118" s="120">
        <f>SUM(K111:K117)</f>
        <v>47841</v>
      </c>
      <c r="L118" s="120">
        <f>SUM(L111:L117)</f>
        <v>625</v>
      </c>
      <c r="M118" s="120">
        <f>SUM(M111:M117)</f>
        <v>0</v>
      </c>
      <c r="N118" s="120">
        <f>SUM(N111:N117)</f>
        <v>48466</v>
      </c>
    </row>
    <row r="120" spans="2:14" x14ac:dyDescent="0.2">
      <c r="B120" s="130" t="s">
        <v>880</v>
      </c>
      <c r="C120" s="118"/>
      <c r="D120" s="118"/>
      <c r="E120" s="118"/>
      <c r="F120" s="118"/>
      <c r="G120" s="607"/>
      <c r="H120" s="607"/>
      <c r="J120" s="130" t="s">
        <v>880</v>
      </c>
      <c r="K120" s="118"/>
      <c r="L120" s="118"/>
      <c r="M120" s="118"/>
      <c r="N120" s="118"/>
    </row>
    <row r="121" spans="2:14" x14ac:dyDescent="0.2">
      <c r="B121" s="130" t="s">
        <v>938</v>
      </c>
      <c r="C121" s="118"/>
      <c r="D121" s="118"/>
      <c r="E121" s="118"/>
      <c r="F121" s="118"/>
      <c r="G121" s="607"/>
      <c r="H121" s="607"/>
      <c r="J121" s="130" t="s">
        <v>938</v>
      </c>
      <c r="K121" s="118"/>
      <c r="L121" s="118"/>
      <c r="M121" s="118"/>
      <c r="N121" s="118"/>
    </row>
    <row r="122" spans="2:14" x14ac:dyDescent="0.2">
      <c r="B122" s="130" t="s">
        <v>650</v>
      </c>
      <c r="C122" s="118">
        <v>23498</v>
      </c>
      <c r="D122" s="118">
        <v>0</v>
      </c>
      <c r="E122" s="118">
        <v>0</v>
      </c>
      <c r="F122" s="118">
        <f>+SUM(C122:E122)</f>
        <v>23498</v>
      </c>
      <c r="G122" s="607"/>
      <c r="H122" s="607"/>
      <c r="J122" s="130" t="s">
        <v>650</v>
      </c>
      <c r="K122" s="118">
        <v>18342</v>
      </c>
      <c r="L122" s="118">
        <v>0</v>
      </c>
      <c r="M122" s="118">
        <v>10391</v>
      </c>
      <c r="N122" s="118">
        <v>28733</v>
      </c>
    </row>
    <row r="123" spans="2:14" x14ac:dyDescent="0.2">
      <c r="B123" s="130" t="s">
        <v>939</v>
      </c>
      <c r="C123" s="118">
        <v>0</v>
      </c>
      <c r="D123" s="118">
        <v>0</v>
      </c>
      <c r="E123" s="118">
        <v>0</v>
      </c>
      <c r="F123" s="118">
        <f>+SUM(C123:E123)</f>
        <v>0</v>
      </c>
      <c r="G123" s="607"/>
      <c r="H123" s="607"/>
      <c r="J123" s="130" t="s">
        <v>939</v>
      </c>
      <c r="K123" s="118">
        <v>0</v>
      </c>
      <c r="L123" s="118">
        <v>0</v>
      </c>
      <c r="M123" s="118">
        <v>0</v>
      </c>
      <c r="N123" s="118">
        <v>0</v>
      </c>
    </row>
    <row r="124" spans="2:14" x14ac:dyDescent="0.2">
      <c r="B124" s="130" t="s">
        <v>651</v>
      </c>
      <c r="C124" s="118">
        <v>-6805</v>
      </c>
      <c r="D124" s="118">
        <v>-166</v>
      </c>
      <c r="E124" s="118">
        <v>0</v>
      </c>
      <c r="F124" s="118">
        <f>+SUM(C124:E124)</f>
        <v>-6971</v>
      </c>
      <c r="G124" s="607"/>
      <c r="H124" s="607"/>
      <c r="J124" s="130" t="s">
        <v>651</v>
      </c>
      <c r="K124" s="118">
        <v>-7425</v>
      </c>
      <c r="L124" s="118">
        <v>-180</v>
      </c>
      <c r="M124" s="118">
        <v>-523</v>
      </c>
      <c r="N124" s="118">
        <v>-8128</v>
      </c>
    </row>
    <row r="125" spans="2:14" x14ac:dyDescent="0.2">
      <c r="B125" s="127" t="s">
        <v>1251</v>
      </c>
      <c r="C125" s="120">
        <f>SUM(C118:C124)</f>
        <v>68930</v>
      </c>
      <c r="D125" s="120">
        <f>SUM(D118:D124)</f>
        <v>410</v>
      </c>
      <c r="E125" s="120">
        <f>SUM(E118:E124)</f>
        <v>-1</v>
      </c>
      <c r="F125" s="120">
        <f>SUM(F118:F124)</f>
        <v>69340</v>
      </c>
      <c r="G125" s="607"/>
      <c r="H125" s="607"/>
      <c r="J125" s="127" t="s">
        <v>1251</v>
      </c>
      <c r="K125" s="120">
        <f>SUM(K118:K124)</f>
        <v>58758</v>
      </c>
      <c r="L125" s="120">
        <f>SUM(L118:L124)</f>
        <v>445</v>
      </c>
      <c r="M125" s="120">
        <f>SUM(M118:M124)</f>
        <v>9868</v>
      </c>
      <c r="N125" s="120">
        <f>SUM(N118:N124)</f>
        <v>69071</v>
      </c>
    </row>
    <row r="127" spans="2:14" x14ac:dyDescent="0.2">
      <c r="B127" s="130" t="s">
        <v>880</v>
      </c>
      <c r="C127" s="118"/>
      <c r="D127" s="118"/>
      <c r="E127" s="118"/>
      <c r="F127" s="118"/>
      <c r="G127" s="607"/>
      <c r="H127" s="607"/>
      <c r="J127" s="130" t="s">
        <v>880</v>
      </c>
      <c r="K127" s="118"/>
      <c r="L127" s="118"/>
      <c r="M127" s="118"/>
      <c r="N127" s="118"/>
    </row>
    <row r="128" spans="2:14" x14ac:dyDescent="0.2">
      <c r="B128" s="130" t="s">
        <v>938</v>
      </c>
      <c r="C128" s="118"/>
      <c r="D128" s="118"/>
      <c r="E128" s="118"/>
      <c r="F128" s="118"/>
      <c r="G128" s="607"/>
      <c r="H128" s="607"/>
      <c r="J128" s="130" t="s">
        <v>938</v>
      </c>
      <c r="K128" s="118"/>
      <c r="L128" s="118"/>
      <c r="M128" s="118"/>
      <c r="N128" s="118"/>
    </row>
    <row r="129" spans="2:14" x14ac:dyDescent="0.2">
      <c r="B129" s="130" t="s">
        <v>650</v>
      </c>
      <c r="C129" s="118">
        <v>8036</v>
      </c>
      <c r="D129" s="118">
        <v>0</v>
      </c>
      <c r="E129" s="118">
        <v>0</v>
      </c>
      <c r="F129" s="118">
        <f>+SUM(C129:E129)</f>
        <v>8036</v>
      </c>
      <c r="G129" s="607"/>
      <c r="H129" s="607"/>
      <c r="J129" s="130" t="s">
        <v>650</v>
      </c>
      <c r="K129" s="118">
        <v>13077</v>
      </c>
      <c r="L129" s="118">
        <v>0</v>
      </c>
      <c r="M129" s="118">
        <v>0</v>
      </c>
      <c r="N129" s="118">
        <f>+SUM(K129:M129)</f>
        <v>13077</v>
      </c>
    </row>
    <row r="130" spans="2:14" x14ac:dyDescent="0.2">
      <c r="B130" s="130" t="s">
        <v>939</v>
      </c>
      <c r="C130" s="118">
        <v>0</v>
      </c>
      <c r="D130" s="118">
        <v>0</v>
      </c>
      <c r="E130" s="118">
        <v>0</v>
      </c>
      <c r="F130" s="118">
        <f>+SUM(C130:E130)</f>
        <v>0</v>
      </c>
      <c r="G130" s="607"/>
      <c r="H130" s="607"/>
      <c r="J130" s="130" t="s">
        <v>939</v>
      </c>
      <c r="K130" s="118">
        <v>0</v>
      </c>
      <c r="L130" s="118">
        <v>0</v>
      </c>
      <c r="M130" s="118">
        <v>0</v>
      </c>
      <c r="N130" s="118">
        <f>+SUM(K130:M130)</f>
        <v>0</v>
      </c>
    </row>
    <row r="131" spans="2:14" x14ac:dyDescent="0.2">
      <c r="B131" s="130" t="s">
        <v>651</v>
      </c>
      <c r="C131" s="118">
        <v>-6531</v>
      </c>
      <c r="D131" s="118">
        <v>-166</v>
      </c>
      <c r="E131" s="118">
        <v>0</v>
      </c>
      <c r="F131" s="118">
        <f>+SUM(C131:E131)</f>
        <v>-6697</v>
      </c>
      <c r="G131" s="607"/>
      <c r="H131" s="607"/>
      <c r="J131" s="130" t="s">
        <v>651</v>
      </c>
      <c r="K131" s="118">
        <v>-7372</v>
      </c>
      <c r="L131" s="118">
        <v>-183</v>
      </c>
      <c r="M131" s="118">
        <v>-522</v>
      </c>
      <c r="N131" s="118">
        <f>+SUM(K131:M131)</f>
        <v>-8077</v>
      </c>
    </row>
    <row r="132" spans="2:14" x14ac:dyDescent="0.2">
      <c r="B132" s="127" t="s">
        <v>1273</v>
      </c>
      <c r="C132" s="120">
        <f>SUM(C125:C131)</f>
        <v>70435</v>
      </c>
      <c r="D132" s="120">
        <f>SUM(D125:D131)</f>
        <v>244</v>
      </c>
      <c r="E132" s="120">
        <f>SUM(E125:E131)</f>
        <v>-1</v>
      </c>
      <c r="F132" s="120">
        <f>SUM(F125:F131)</f>
        <v>70679</v>
      </c>
      <c r="G132" s="607"/>
      <c r="H132" s="607"/>
      <c r="J132" s="127" t="s">
        <v>1273</v>
      </c>
      <c r="K132" s="120">
        <f>SUM(K125:K131)</f>
        <v>64463</v>
      </c>
      <c r="L132" s="120">
        <f>SUM(L125:L131)</f>
        <v>262</v>
      </c>
      <c r="M132" s="120">
        <f>SUM(M125:M131)</f>
        <v>9346</v>
      </c>
      <c r="N132" s="120">
        <f>SUM(N125:N131)</f>
        <v>74071</v>
      </c>
    </row>
    <row r="134" spans="2:14" x14ac:dyDescent="0.2">
      <c r="B134" s="130" t="s">
        <v>880</v>
      </c>
      <c r="C134" s="118"/>
      <c r="D134" s="118"/>
      <c r="E134" s="118"/>
      <c r="F134" s="118"/>
      <c r="G134" s="607"/>
      <c r="H134" s="607"/>
      <c r="J134" s="130" t="s">
        <v>880</v>
      </c>
      <c r="K134" s="118"/>
      <c r="L134" s="118"/>
      <c r="M134" s="118"/>
      <c r="N134" s="118"/>
    </row>
    <row r="135" spans="2:14" x14ac:dyDescent="0.2">
      <c r="B135" s="130" t="s">
        <v>938</v>
      </c>
      <c r="C135" s="118"/>
      <c r="D135" s="118"/>
      <c r="E135" s="118"/>
      <c r="F135" s="118"/>
      <c r="G135" s="607"/>
      <c r="H135" s="607"/>
      <c r="J135" s="130" t="s">
        <v>938</v>
      </c>
      <c r="K135" s="118"/>
      <c r="L135" s="118"/>
      <c r="M135" s="118"/>
      <c r="N135" s="118"/>
    </row>
    <row r="136" spans="2:14" x14ac:dyDescent="0.2">
      <c r="B136" s="130" t="s">
        <v>650</v>
      </c>
      <c r="C136" s="118">
        <v>1023</v>
      </c>
      <c r="D136" s="118">
        <v>0</v>
      </c>
      <c r="E136" s="118">
        <v>976</v>
      </c>
      <c r="F136" s="118">
        <f>+SUM(C136:E136)</f>
        <v>1999</v>
      </c>
      <c r="G136" s="607"/>
      <c r="H136" s="607"/>
      <c r="J136" s="130" t="s">
        <v>650</v>
      </c>
      <c r="K136" s="118">
        <v>1037</v>
      </c>
      <c r="L136" s="118">
        <v>0</v>
      </c>
      <c r="M136" s="118">
        <v>1275</v>
      </c>
      <c r="N136" s="118">
        <f>+SUM(K136:M136)</f>
        <v>2312</v>
      </c>
    </row>
    <row r="137" spans="2:14" x14ac:dyDescent="0.2">
      <c r="B137" s="130" t="s">
        <v>939</v>
      </c>
      <c r="C137" s="118">
        <v>0</v>
      </c>
      <c r="D137" s="118">
        <v>0</v>
      </c>
      <c r="E137" s="118">
        <v>0</v>
      </c>
      <c r="F137" s="118">
        <f>+SUM(C137:E137)</f>
        <v>0</v>
      </c>
      <c r="G137" s="607"/>
      <c r="H137" s="607"/>
      <c r="J137" s="130" t="s">
        <v>939</v>
      </c>
      <c r="K137" s="118">
        <v>0</v>
      </c>
      <c r="L137" s="118">
        <v>0</v>
      </c>
      <c r="M137" s="118">
        <v>-292</v>
      </c>
      <c r="N137" s="118">
        <f>+SUM(K137:M137)</f>
        <v>-292</v>
      </c>
    </row>
    <row r="138" spans="2:14" x14ac:dyDescent="0.2">
      <c r="B138" s="130" t="s">
        <v>651</v>
      </c>
      <c r="C138" s="118">
        <v>-6688</v>
      </c>
      <c r="D138" s="118">
        <v>-166</v>
      </c>
      <c r="E138" s="118">
        <v>-67</v>
      </c>
      <c r="F138" s="118">
        <f>+SUM(C138:E138)</f>
        <v>-6921</v>
      </c>
      <c r="G138" s="607"/>
      <c r="H138" s="607"/>
      <c r="J138" s="130" t="s">
        <v>651</v>
      </c>
      <c r="K138" s="118">
        <v>-7579</v>
      </c>
      <c r="L138" s="118">
        <v>-178</v>
      </c>
      <c r="M138" s="118">
        <v>-635</v>
      </c>
      <c r="N138" s="118">
        <f>+SUM(K138:M138)</f>
        <v>-8392</v>
      </c>
    </row>
    <row r="139" spans="2:14" x14ac:dyDescent="0.2">
      <c r="B139" s="127" t="s">
        <v>1284</v>
      </c>
      <c r="C139" s="120">
        <f>SUM(C132:C138)</f>
        <v>64770</v>
      </c>
      <c r="D139" s="120">
        <f>SUM(D132:D138)</f>
        <v>78</v>
      </c>
      <c r="E139" s="120">
        <f>SUM(E132:E138)</f>
        <v>908</v>
      </c>
      <c r="F139" s="120">
        <f>SUM(F132:F138)</f>
        <v>65757</v>
      </c>
      <c r="G139" s="607"/>
      <c r="H139" s="607"/>
      <c r="J139" s="127" t="s">
        <v>1284</v>
      </c>
      <c r="K139" s="120">
        <f>SUM(K132:K138)</f>
        <v>57921</v>
      </c>
      <c r="L139" s="120">
        <f>SUM(L132:L138)</f>
        <v>84</v>
      </c>
      <c r="M139" s="120">
        <f>SUM(M132:M138)</f>
        <v>9694</v>
      </c>
      <c r="N139" s="120">
        <f>SUM(N132:N138)</f>
        <v>67699</v>
      </c>
    </row>
    <row r="141" spans="2:14" x14ac:dyDescent="0.2">
      <c r="B141" s="130" t="s">
        <v>880</v>
      </c>
      <c r="C141" s="118"/>
      <c r="D141" s="118"/>
      <c r="E141" s="118"/>
      <c r="F141" s="118"/>
      <c r="G141" s="607"/>
      <c r="H141" s="607"/>
      <c r="J141" s="130" t="s">
        <v>880</v>
      </c>
      <c r="K141" s="118"/>
      <c r="L141" s="118"/>
      <c r="M141" s="118"/>
      <c r="N141" s="118"/>
    </row>
    <row r="142" spans="2:14" x14ac:dyDescent="0.2">
      <c r="B142" s="130" t="s">
        <v>938</v>
      </c>
      <c r="C142" s="118"/>
      <c r="D142" s="118"/>
      <c r="E142" s="118"/>
      <c r="F142" s="118"/>
      <c r="G142" s="607"/>
      <c r="H142" s="607"/>
      <c r="J142" s="130" t="s">
        <v>938</v>
      </c>
      <c r="K142" s="118"/>
      <c r="L142" s="118"/>
      <c r="M142" s="118"/>
      <c r="N142" s="118"/>
    </row>
    <row r="143" spans="2:14" x14ac:dyDescent="0.2">
      <c r="B143" s="130" t="s">
        <v>650</v>
      </c>
      <c r="C143" s="118">
        <v>3998</v>
      </c>
      <c r="D143" s="118">
        <v>640</v>
      </c>
      <c r="E143" s="118">
        <v>0</v>
      </c>
      <c r="F143" s="118">
        <f>+SUM(C143:E143)</f>
        <v>4638</v>
      </c>
      <c r="G143" s="607"/>
      <c r="H143" s="607"/>
      <c r="J143" s="130" t="s">
        <v>650</v>
      </c>
      <c r="K143" s="118">
        <v>5594</v>
      </c>
      <c r="L143" s="118">
        <v>698</v>
      </c>
      <c r="M143" s="118">
        <v>-17</v>
      </c>
      <c r="N143" s="118">
        <f>+SUM(K143:M143)</f>
        <v>6275</v>
      </c>
    </row>
    <row r="144" spans="2:14" x14ac:dyDescent="0.2">
      <c r="B144" s="130" t="s">
        <v>939</v>
      </c>
      <c r="C144" s="118">
        <v>0</v>
      </c>
      <c r="D144" s="118">
        <v>0</v>
      </c>
      <c r="E144" s="118">
        <v>0</v>
      </c>
      <c r="F144" s="118">
        <f>+SUM(C144:E144)</f>
        <v>0</v>
      </c>
      <c r="G144" s="607"/>
      <c r="H144" s="607"/>
      <c r="J144" s="130" t="s">
        <v>939</v>
      </c>
      <c r="K144" s="118">
        <v>0</v>
      </c>
      <c r="L144" s="118">
        <v>0</v>
      </c>
      <c r="M144" s="118">
        <v>0</v>
      </c>
      <c r="N144" s="118">
        <f>+SUM(K144:M144)</f>
        <v>0</v>
      </c>
    </row>
    <row r="145" spans="2:14" x14ac:dyDescent="0.2">
      <c r="B145" s="130" t="s">
        <v>651</v>
      </c>
      <c r="C145" s="118">
        <v>-7125</v>
      </c>
      <c r="D145" s="118">
        <v>-169</v>
      </c>
      <c r="E145" s="118">
        <v>-101</v>
      </c>
      <c r="F145" s="118">
        <f>+SUM(C145:E145)</f>
        <v>-7395</v>
      </c>
      <c r="G145" s="607"/>
      <c r="H145" s="607"/>
      <c r="J145" s="130" t="s">
        <v>651</v>
      </c>
      <c r="K145" s="118">
        <v>-8009</v>
      </c>
      <c r="L145" s="118">
        <v>-182</v>
      </c>
      <c r="M145" s="118">
        <v>-634</v>
      </c>
      <c r="N145" s="118">
        <f>+SUM(K145:M145)</f>
        <v>-8825</v>
      </c>
    </row>
    <row r="146" spans="2:14" x14ac:dyDescent="0.2">
      <c r="B146" s="127" t="s">
        <v>1309</v>
      </c>
      <c r="C146" s="120">
        <f>SUM(C139:C145)</f>
        <v>61643</v>
      </c>
      <c r="D146" s="120">
        <f>SUM(D139:D145)</f>
        <v>549</v>
      </c>
      <c r="E146" s="120">
        <f>SUM(E139:E145)</f>
        <v>807</v>
      </c>
      <c r="F146" s="120">
        <f>SUM(F139:F145)</f>
        <v>63000</v>
      </c>
      <c r="G146" s="607"/>
      <c r="H146" s="607"/>
      <c r="J146" s="127" t="s">
        <v>1309</v>
      </c>
      <c r="K146" s="120">
        <f>SUM(K139:K145)</f>
        <v>55506</v>
      </c>
      <c r="L146" s="120">
        <f>SUM(L139:L145)</f>
        <v>600</v>
      </c>
      <c r="M146" s="120">
        <f>SUM(M139:M145)</f>
        <v>9043</v>
      </c>
      <c r="N146" s="120">
        <f>SUM(N139:N145)</f>
        <v>65149</v>
      </c>
    </row>
    <row r="148" spans="2:14" x14ac:dyDescent="0.2">
      <c r="B148" s="130" t="s">
        <v>880</v>
      </c>
      <c r="C148" s="118"/>
      <c r="D148" s="118"/>
      <c r="E148" s="118"/>
      <c r="F148" s="118"/>
      <c r="G148" s="607"/>
      <c r="H148" s="607"/>
      <c r="J148" s="130" t="s">
        <v>880</v>
      </c>
      <c r="K148" s="118"/>
      <c r="L148" s="118"/>
      <c r="M148" s="118"/>
      <c r="N148" s="118"/>
    </row>
    <row r="149" spans="2:14" x14ac:dyDescent="0.2">
      <c r="B149" s="130" t="s">
        <v>938</v>
      </c>
      <c r="C149" s="118"/>
      <c r="D149" s="118"/>
      <c r="E149" s="118"/>
      <c r="F149" s="118"/>
      <c r="G149" s="607"/>
      <c r="H149" s="607"/>
      <c r="J149" s="130" t="s">
        <v>938</v>
      </c>
      <c r="K149" s="118"/>
      <c r="L149" s="118"/>
      <c r="M149" s="118"/>
      <c r="N149" s="118"/>
    </row>
    <row r="150" spans="2:14" x14ac:dyDescent="0.2">
      <c r="B150" s="130" t="s">
        <v>650</v>
      </c>
      <c r="C150" s="118">
        <v>3664</v>
      </c>
      <c r="D150" s="118">
        <v>0</v>
      </c>
      <c r="E150" s="118">
        <v>0</v>
      </c>
      <c r="F150" s="118">
        <f>+SUM(C150:E150)</f>
        <v>3664</v>
      </c>
      <c r="G150" s="607"/>
      <c r="H150" s="607"/>
      <c r="J150" s="130" t="s">
        <v>650</v>
      </c>
      <c r="K150" s="118">
        <v>3224</v>
      </c>
      <c r="L150" s="118">
        <v>0</v>
      </c>
      <c r="M150" s="118">
        <v>-57</v>
      </c>
      <c r="N150" s="118">
        <f>+SUM(K150:M150)</f>
        <v>3167</v>
      </c>
    </row>
    <row r="151" spans="2:14" x14ac:dyDescent="0.2">
      <c r="B151" s="130" t="s">
        <v>939</v>
      </c>
      <c r="C151" s="118">
        <v>0</v>
      </c>
      <c r="D151" s="118">
        <v>0</v>
      </c>
      <c r="E151" s="118">
        <v>0</v>
      </c>
      <c r="F151" s="118">
        <f>+SUM(C151:E151)</f>
        <v>0</v>
      </c>
      <c r="G151" s="607"/>
      <c r="H151" s="607"/>
      <c r="J151" s="130" t="s">
        <v>939</v>
      </c>
      <c r="K151" s="118">
        <v>0</v>
      </c>
      <c r="L151" s="118">
        <v>0</v>
      </c>
      <c r="M151" s="118">
        <v>0</v>
      </c>
      <c r="N151" s="118">
        <f>+SUM(K151:M151)</f>
        <v>0</v>
      </c>
    </row>
    <row r="152" spans="2:14" x14ac:dyDescent="0.2">
      <c r="B152" s="130" t="s">
        <v>651</v>
      </c>
      <c r="C152" s="118">
        <v>-6573</v>
      </c>
      <c r="D152" s="118">
        <v>-161</v>
      </c>
      <c r="E152" s="118">
        <v>-100</v>
      </c>
      <c r="F152" s="118">
        <f>+SUM(C152:E152)</f>
        <v>-6834</v>
      </c>
      <c r="G152" s="607"/>
      <c r="H152" s="607"/>
      <c r="J152" s="130" t="s">
        <v>651</v>
      </c>
      <c r="K152" s="118">
        <v>-7446</v>
      </c>
      <c r="L152" s="118">
        <v>-176</v>
      </c>
      <c r="M152" s="118">
        <v>-627</v>
      </c>
      <c r="N152" s="118">
        <f>+SUM(K152:M152)</f>
        <v>-8249</v>
      </c>
    </row>
    <row r="153" spans="2:14" x14ac:dyDescent="0.2">
      <c r="B153" s="127" t="s">
        <v>1330</v>
      </c>
      <c r="C153" s="120">
        <f>SUM(C146:C152)</f>
        <v>58734</v>
      </c>
      <c r="D153" s="120">
        <f>SUM(D146:D152)</f>
        <v>388</v>
      </c>
      <c r="E153" s="120">
        <f>SUM(E146:E152)</f>
        <v>707</v>
      </c>
      <c r="F153" s="120">
        <f>SUM(F146:F152)</f>
        <v>59830</v>
      </c>
      <c r="G153" s="607"/>
      <c r="H153" s="607"/>
      <c r="J153" s="127" t="s">
        <v>1330</v>
      </c>
      <c r="K153" s="120">
        <f>SUM(K146:K152)</f>
        <v>51284</v>
      </c>
      <c r="L153" s="120">
        <f>SUM(L146:L152)</f>
        <v>424</v>
      </c>
      <c r="M153" s="120">
        <f>SUM(M146:M152)</f>
        <v>8359</v>
      </c>
      <c r="N153" s="120">
        <f>SUM(N146:N152)</f>
        <v>60067</v>
      </c>
    </row>
    <row r="155" spans="2:14" x14ac:dyDescent="0.2">
      <c r="B155" s="130" t="s">
        <v>880</v>
      </c>
      <c r="C155" s="118"/>
      <c r="D155" s="118"/>
      <c r="E155" s="118"/>
      <c r="F155" s="118"/>
      <c r="G155" s="607"/>
      <c r="H155" s="607"/>
      <c r="J155" s="130" t="s">
        <v>880</v>
      </c>
      <c r="K155" s="118"/>
      <c r="L155" s="118"/>
      <c r="M155" s="118"/>
      <c r="N155" s="118"/>
    </row>
    <row r="156" spans="2:14" x14ac:dyDescent="0.2">
      <c r="B156" s="130" t="s">
        <v>938</v>
      </c>
      <c r="C156" s="118"/>
      <c r="D156" s="118"/>
      <c r="E156" s="118"/>
      <c r="F156" s="118"/>
      <c r="G156" s="607"/>
      <c r="H156" s="607"/>
      <c r="J156" s="130" t="s">
        <v>938</v>
      </c>
      <c r="K156" s="118"/>
      <c r="L156" s="118"/>
      <c r="M156" s="118"/>
      <c r="N156" s="118"/>
    </row>
    <row r="157" spans="2:14" x14ac:dyDescent="0.2">
      <c r="B157" s="130" t="s">
        <v>650</v>
      </c>
      <c r="C157" s="118">
        <v>9214</v>
      </c>
      <c r="D157" s="118">
        <v>0</v>
      </c>
      <c r="E157" s="118">
        <v>0</v>
      </c>
      <c r="F157" s="118">
        <v>9214</v>
      </c>
      <c r="G157" s="607"/>
      <c r="H157" s="607"/>
      <c r="J157" s="130" t="s">
        <v>650</v>
      </c>
      <c r="K157" s="118">
        <v>9159</v>
      </c>
      <c r="L157" s="118">
        <v>0</v>
      </c>
      <c r="M157" s="118">
        <v>-115</v>
      </c>
      <c r="N157" s="118">
        <v>9044</v>
      </c>
    </row>
    <row r="158" spans="2:14" x14ac:dyDescent="0.2">
      <c r="B158" s="130" t="s">
        <v>939</v>
      </c>
      <c r="C158" s="118">
        <v>0</v>
      </c>
      <c r="D158" s="118">
        <v>0</v>
      </c>
      <c r="E158" s="118">
        <v>0</v>
      </c>
      <c r="F158" s="118">
        <v>2884</v>
      </c>
      <c r="G158" s="607"/>
      <c r="H158" s="607"/>
      <c r="J158" s="130" t="s">
        <v>939</v>
      </c>
      <c r="K158" s="118">
        <v>0</v>
      </c>
      <c r="L158" s="118">
        <v>0</v>
      </c>
      <c r="M158" s="118">
        <v>0</v>
      </c>
      <c r="N158" s="118">
        <v>0</v>
      </c>
    </row>
    <row r="159" spans="2:14" x14ac:dyDescent="0.2">
      <c r="B159" s="130" t="s">
        <v>651</v>
      </c>
      <c r="C159" s="118">
        <v>-6708</v>
      </c>
      <c r="D159" s="118">
        <v>-136</v>
      </c>
      <c r="E159" s="118">
        <v>-102</v>
      </c>
      <c r="F159" s="118">
        <v>-6946</v>
      </c>
      <c r="G159" s="607"/>
      <c r="H159" s="607"/>
      <c r="J159" s="130" t="s">
        <v>651</v>
      </c>
      <c r="K159" s="118">
        <v>-7407</v>
      </c>
      <c r="L159" s="118">
        <v>-153</v>
      </c>
      <c r="M159" s="118">
        <v>-621</v>
      </c>
      <c r="N159" s="118">
        <v>-8181</v>
      </c>
    </row>
    <row r="160" spans="2:14" x14ac:dyDescent="0.2">
      <c r="B160" s="127" t="s">
        <v>1340</v>
      </c>
      <c r="C160" s="120">
        <f>SUM(C153:C159)</f>
        <v>61240</v>
      </c>
      <c r="D160" s="120">
        <f t="shared" ref="D160:E160" si="0">SUM(D153:D159)</f>
        <v>252</v>
      </c>
      <c r="E160" s="120">
        <f t="shared" si="0"/>
        <v>605</v>
      </c>
      <c r="F160" s="120">
        <f>SUM(F153:F159)</f>
        <v>64982</v>
      </c>
      <c r="G160" s="607"/>
      <c r="H160" s="607"/>
      <c r="J160" s="127" t="s">
        <v>1340</v>
      </c>
      <c r="K160" s="120">
        <f>SUM(K153:K159)</f>
        <v>53036</v>
      </c>
      <c r="L160" s="120">
        <f>SUM(L153:L159)</f>
        <v>271</v>
      </c>
      <c r="M160" s="120">
        <f>SUM(M153:M159)</f>
        <v>7623</v>
      </c>
      <c r="N160" s="120">
        <f>SUM(N153:N159)</f>
        <v>60930</v>
      </c>
    </row>
    <row r="162" spans="2:14" x14ac:dyDescent="0.2">
      <c r="B162" s="130" t="s">
        <v>880</v>
      </c>
      <c r="C162" s="118"/>
      <c r="D162" s="118"/>
      <c r="E162" s="118"/>
      <c r="F162" s="118"/>
      <c r="G162" s="607"/>
      <c r="H162" s="607"/>
      <c r="J162" s="130" t="s">
        <v>880</v>
      </c>
      <c r="K162" s="118"/>
      <c r="L162" s="118"/>
      <c r="M162" s="118"/>
      <c r="N162" s="118"/>
    </row>
    <row r="163" spans="2:14" x14ac:dyDescent="0.2">
      <c r="B163" s="130" t="s">
        <v>938</v>
      </c>
      <c r="C163" s="118"/>
      <c r="D163" s="118"/>
      <c r="E163" s="118"/>
      <c r="F163" s="118"/>
      <c r="G163" s="607"/>
      <c r="H163" s="607"/>
      <c r="J163" s="130" t="s">
        <v>938</v>
      </c>
      <c r="K163" s="118"/>
      <c r="L163" s="118"/>
      <c r="M163" s="118"/>
      <c r="N163" s="118"/>
    </row>
    <row r="164" spans="2:14" x14ac:dyDescent="0.2">
      <c r="B164" s="130" t="s">
        <v>650</v>
      </c>
      <c r="C164" s="118">
        <v>468</v>
      </c>
      <c r="D164" s="118">
        <v>0</v>
      </c>
      <c r="E164" s="118">
        <v>177</v>
      </c>
      <c r="F164" s="118">
        <v>645</v>
      </c>
      <c r="G164" s="607"/>
      <c r="H164" s="607"/>
      <c r="J164" s="130" t="s">
        <v>650</v>
      </c>
      <c r="K164" s="118">
        <v>332</v>
      </c>
      <c r="L164" s="118">
        <v>0</v>
      </c>
      <c r="M164" s="118">
        <v>-136</v>
      </c>
      <c r="N164" s="118">
        <f>+SUM(K164:M164)</f>
        <v>196</v>
      </c>
    </row>
    <row r="165" spans="2:14" x14ac:dyDescent="0.2">
      <c r="B165" s="130" t="s">
        <v>939</v>
      </c>
      <c r="C165" s="118">
        <v>1</v>
      </c>
      <c r="D165" s="118">
        <v>0</v>
      </c>
      <c r="E165" s="118">
        <v>0</v>
      </c>
      <c r="F165" s="118">
        <v>1</v>
      </c>
      <c r="G165" s="607"/>
      <c r="H165" s="607"/>
      <c r="J165" s="130" t="s">
        <v>939</v>
      </c>
      <c r="K165" s="118">
        <v>0</v>
      </c>
      <c r="L165" s="118">
        <v>0</v>
      </c>
      <c r="M165" s="118">
        <v>0</v>
      </c>
      <c r="N165" s="118">
        <f>+SUM(K165:M165)</f>
        <v>0</v>
      </c>
    </row>
    <row r="166" spans="2:14" x14ac:dyDescent="0.2">
      <c r="B166" s="130" t="s">
        <v>651</v>
      </c>
      <c r="C166" s="118">
        <v>-6519</v>
      </c>
      <c r="D166" s="118">
        <v>-162</v>
      </c>
      <c r="E166" s="118">
        <v>-99</v>
      </c>
      <c r="F166" s="118">
        <v>-6780</v>
      </c>
      <c r="G166" s="607"/>
      <c r="H166" s="607"/>
      <c r="J166" s="130" t="s">
        <v>651</v>
      </c>
      <c r="K166" s="118">
        <v>-7134</v>
      </c>
      <c r="L166" s="118">
        <v>-176</v>
      </c>
      <c r="M166" s="118">
        <v>-613</v>
      </c>
      <c r="N166" s="118">
        <f>+SUM(K166:M166)</f>
        <v>-7923</v>
      </c>
    </row>
    <row r="167" spans="2:14" x14ac:dyDescent="0.2">
      <c r="B167" s="127" t="s">
        <v>1360</v>
      </c>
      <c r="C167" s="120">
        <f>SUM(C160:C166)</f>
        <v>55190</v>
      </c>
      <c r="D167" s="120">
        <f>SUM(D160:D166)</f>
        <v>90</v>
      </c>
      <c r="E167" s="120">
        <f>SUM(E160:E166)</f>
        <v>683</v>
      </c>
      <c r="F167" s="120">
        <f>SUM(F160:F166)</f>
        <v>58848</v>
      </c>
      <c r="G167" s="607"/>
      <c r="H167" s="607"/>
      <c r="J167" s="127" t="s">
        <v>1360</v>
      </c>
      <c r="K167" s="120">
        <f>SUM(K160:K166)</f>
        <v>46234</v>
      </c>
      <c r="L167" s="120">
        <f>SUM(L160:L166)</f>
        <v>95</v>
      </c>
      <c r="M167" s="120">
        <f>SUM(M160:M166)</f>
        <v>6874</v>
      </c>
      <c r="N167" s="120">
        <f>SUM(N160:N166)</f>
        <v>53203</v>
      </c>
    </row>
    <row r="169" spans="2:14" x14ac:dyDescent="0.2">
      <c r="B169" s="130" t="s">
        <v>880</v>
      </c>
      <c r="C169" s="118"/>
      <c r="D169" s="118"/>
      <c r="E169" s="118"/>
      <c r="F169" s="118"/>
      <c r="G169" s="607"/>
      <c r="H169" s="607"/>
      <c r="J169" s="130" t="s">
        <v>880</v>
      </c>
      <c r="K169" s="118"/>
      <c r="L169" s="118"/>
      <c r="M169" s="118"/>
      <c r="N169" s="118"/>
    </row>
    <row r="170" spans="2:14" x14ac:dyDescent="0.2">
      <c r="B170" s="130" t="s">
        <v>938</v>
      </c>
      <c r="C170" s="118"/>
      <c r="D170" s="118"/>
      <c r="E170" s="118"/>
      <c r="F170" s="118"/>
      <c r="G170" s="607"/>
      <c r="H170" s="607"/>
      <c r="J170" s="130" t="s">
        <v>938</v>
      </c>
      <c r="K170" s="118"/>
      <c r="L170" s="118"/>
      <c r="M170" s="118"/>
      <c r="N170" s="118"/>
    </row>
    <row r="171" spans="2:14" x14ac:dyDescent="0.2">
      <c r="B171" s="130" t="s">
        <v>650</v>
      </c>
      <c r="C171" s="118">
        <v>20095</v>
      </c>
      <c r="D171" s="118">
        <v>0</v>
      </c>
      <c r="E171" s="118">
        <v>0</v>
      </c>
      <c r="F171" s="118">
        <f>+SUM(C171:E171)</f>
        <v>20095</v>
      </c>
      <c r="G171" s="607"/>
      <c r="H171" s="607"/>
      <c r="J171" s="130" t="s">
        <v>650</v>
      </c>
      <c r="K171" s="118">
        <v>20177</v>
      </c>
      <c r="L171" s="118">
        <v>0</v>
      </c>
      <c r="M171" s="118">
        <v>3</v>
      </c>
      <c r="N171" s="118">
        <f>+SUM(K171:M171)</f>
        <v>20180</v>
      </c>
    </row>
    <row r="172" spans="2:14" x14ac:dyDescent="0.2">
      <c r="B172" s="130" t="s">
        <v>1388</v>
      </c>
      <c r="C172" s="118">
        <v>0</v>
      </c>
      <c r="D172" s="118">
        <v>0</v>
      </c>
      <c r="E172" s="118">
        <v>-475</v>
      </c>
      <c r="F172" s="118">
        <f>+SUM(C172:E172)</f>
        <v>-475</v>
      </c>
      <c r="G172" s="607"/>
      <c r="H172" s="607"/>
      <c r="J172" s="130" t="s">
        <v>1388</v>
      </c>
      <c r="K172" s="118">
        <v>0</v>
      </c>
      <c r="L172" s="118">
        <v>0</v>
      </c>
      <c r="M172" s="118">
        <v>-594</v>
      </c>
      <c r="N172" s="118">
        <f>+SUM(K172:M172)</f>
        <v>-594</v>
      </c>
    </row>
    <row r="173" spans="2:14" x14ac:dyDescent="0.2">
      <c r="B173" s="130" t="s">
        <v>652</v>
      </c>
      <c r="C173" s="118">
        <v>2885</v>
      </c>
      <c r="D173" s="118"/>
      <c r="E173" s="118">
        <v>0</v>
      </c>
      <c r="F173" s="118"/>
      <c r="G173" s="607"/>
      <c r="H173" s="607"/>
      <c r="J173" s="130" t="s">
        <v>652</v>
      </c>
      <c r="K173" s="118"/>
      <c r="L173" s="118"/>
      <c r="M173" s="118"/>
      <c r="N173" s="118"/>
    </row>
    <row r="174" spans="2:14" x14ac:dyDescent="0.2">
      <c r="B174" s="130" t="s">
        <v>651</v>
      </c>
      <c r="C174" s="118">
        <v>-6545</v>
      </c>
      <c r="D174" s="118">
        <v>-90</v>
      </c>
      <c r="E174" s="118">
        <v>-208</v>
      </c>
      <c r="F174" s="118">
        <f>+SUM(C174:E174)</f>
        <v>-6843</v>
      </c>
      <c r="G174" s="607"/>
      <c r="H174" s="607"/>
      <c r="J174" s="130" t="s">
        <v>651</v>
      </c>
      <c r="K174" s="118">
        <v>-7152</v>
      </c>
      <c r="L174" s="118">
        <v>-95</v>
      </c>
      <c r="M174" s="118">
        <v>-523</v>
      </c>
      <c r="N174" s="118">
        <f>+SUM(K174:M174)</f>
        <v>-7770</v>
      </c>
    </row>
    <row r="175" spans="2:14" x14ac:dyDescent="0.2">
      <c r="B175" s="127" t="s">
        <v>1370</v>
      </c>
      <c r="C175" s="120">
        <f>SUM(C167:C174)</f>
        <v>71625</v>
      </c>
      <c r="D175" s="120">
        <f t="shared" ref="D175:F175" si="1">SUM(D167:D174)</f>
        <v>0</v>
      </c>
      <c r="E175" s="120">
        <f t="shared" si="1"/>
        <v>0</v>
      </c>
      <c r="F175" s="120">
        <f t="shared" si="1"/>
        <v>71625</v>
      </c>
      <c r="G175" s="607"/>
      <c r="H175" s="607"/>
      <c r="J175" s="127" t="s">
        <v>1370</v>
      </c>
      <c r="K175" s="120">
        <f>SUM(K167:K174)</f>
        <v>59259</v>
      </c>
      <c r="L175" s="120">
        <f>SUM(L167:L174)</f>
        <v>0</v>
      </c>
      <c r="M175" s="120">
        <f>SUM(M167:M174)</f>
        <v>5760</v>
      </c>
      <c r="N175" s="120">
        <f>SUM(N167:N174)</f>
        <v>65019</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ilha8">
    <tabColor theme="2"/>
    <pageSetUpPr autoPageBreaks="0"/>
  </sheetPr>
  <dimension ref="A1:AA1712"/>
  <sheetViews>
    <sheetView workbookViewId="0">
      <pane xSplit="2" ySplit="5" topLeftCell="O6" activePane="bottomRight" state="frozen"/>
      <selection activeCell="C1" sqref="C1"/>
      <selection pane="topRight" activeCell="E1" sqref="E1"/>
      <selection pane="bottomLeft" activeCell="C6" sqref="C6"/>
      <selection pane="bottomRight" activeCell="AA5" sqref="AA5"/>
    </sheetView>
  </sheetViews>
  <sheetFormatPr defaultColWidth="9.28515625" defaultRowHeight="14.25" x14ac:dyDescent="0.2"/>
  <cols>
    <col min="1" max="1" width="1.28515625" style="25" customWidth="1"/>
    <col min="2" max="2" width="37.7109375" style="25" customWidth="1"/>
    <col min="3" max="11" width="10.7109375" style="25" customWidth="1"/>
    <col min="12" max="27" width="10.7109375" style="354" customWidth="1"/>
    <col min="28" max="16384" width="9.28515625" style="25"/>
  </cols>
  <sheetData>
    <row r="1" spans="1:27" s="556" customFormat="1" ht="7.5" customHeight="1" x14ac:dyDescent="0.2">
      <c r="C1" s="828"/>
      <c r="D1" s="828"/>
      <c r="E1" s="828"/>
      <c r="F1" s="828"/>
      <c r="G1" s="828"/>
      <c r="H1" s="828"/>
      <c r="I1" s="828"/>
      <c r="J1" s="828"/>
      <c r="K1" s="828"/>
      <c r="L1" s="828"/>
      <c r="M1" s="828"/>
      <c r="N1" s="828"/>
      <c r="O1" s="828"/>
      <c r="P1" s="828"/>
      <c r="Q1" s="828"/>
      <c r="R1" s="828"/>
      <c r="S1" s="828"/>
      <c r="T1" s="828"/>
      <c r="U1" s="828"/>
      <c r="V1" s="828"/>
      <c r="W1" s="828"/>
      <c r="X1" s="828"/>
      <c r="Y1" s="828"/>
      <c r="Z1" s="828"/>
      <c r="AA1" s="828"/>
    </row>
    <row r="2" spans="1:27" s="556" customFormat="1" ht="12.75" customHeight="1" x14ac:dyDescent="0.2">
      <c r="C2" s="828"/>
      <c r="D2" s="828"/>
      <c r="E2" s="828"/>
      <c r="F2" s="828"/>
      <c r="G2" s="828"/>
      <c r="H2" s="828"/>
      <c r="I2" s="828"/>
      <c r="J2" s="828"/>
      <c r="K2" s="828"/>
      <c r="L2" s="828"/>
      <c r="M2" s="828"/>
      <c r="N2" s="828"/>
      <c r="O2" s="828"/>
      <c r="P2" s="828"/>
      <c r="Q2" s="828"/>
      <c r="R2" s="828"/>
      <c r="S2" s="828"/>
      <c r="T2" s="828"/>
      <c r="U2" s="828"/>
      <c r="V2" s="828"/>
      <c r="W2" s="828"/>
      <c r="X2" s="828"/>
      <c r="Y2" s="828"/>
      <c r="Z2" s="828"/>
      <c r="AA2" s="828"/>
    </row>
    <row r="3" spans="1:27" ht="12.75" customHeight="1" x14ac:dyDescent="0.2">
      <c r="L3" s="828"/>
      <c r="M3" s="828"/>
      <c r="N3" s="828"/>
      <c r="O3" s="828"/>
      <c r="P3" s="828"/>
      <c r="Q3" s="828"/>
      <c r="R3" s="828"/>
      <c r="S3" s="828"/>
      <c r="T3" s="828"/>
      <c r="U3" s="828"/>
      <c r="V3" s="1216"/>
      <c r="W3" s="1216"/>
      <c r="X3" s="1216"/>
      <c r="Y3" s="1216"/>
      <c r="Z3" s="1216"/>
      <c r="AA3" s="1216"/>
    </row>
    <row r="4" spans="1:27" ht="12.75" customHeight="1" x14ac:dyDescent="0.2">
      <c r="B4" s="827"/>
    </row>
    <row r="5" spans="1:27" x14ac:dyDescent="0.2">
      <c r="B5" s="115" t="s">
        <v>391</v>
      </c>
      <c r="C5" s="115" t="s">
        <v>844</v>
      </c>
      <c r="D5" s="115" t="s">
        <v>862</v>
      </c>
      <c r="E5" s="115" t="s">
        <v>922</v>
      </c>
      <c r="F5" s="115" t="s">
        <v>923</v>
      </c>
      <c r="G5" s="115" t="s">
        <v>924</v>
      </c>
      <c r="H5" s="115" t="s">
        <v>995</v>
      </c>
      <c r="I5" s="115" t="s">
        <v>1027</v>
      </c>
      <c r="J5" s="115" t="s">
        <v>1028</v>
      </c>
      <c r="K5" s="115" t="s">
        <v>993</v>
      </c>
      <c r="L5" s="115" t="s">
        <v>1124</v>
      </c>
      <c r="M5" s="115" t="s">
        <v>1125</v>
      </c>
      <c r="N5" s="115" t="s">
        <v>1126</v>
      </c>
      <c r="O5" s="115" t="s">
        <v>1127</v>
      </c>
      <c r="P5" s="115" t="s">
        <v>1181</v>
      </c>
      <c r="Q5" s="115" t="s">
        <v>1189</v>
      </c>
      <c r="R5" s="115" t="s">
        <v>1191</v>
      </c>
      <c r="S5" s="115" t="s">
        <v>1193</v>
      </c>
      <c r="T5" s="115" t="s">
        <v>1232</v>
      </c>
      <c r="U5" s="115" t="s">
        <v>1245</v>
      </c>
      <c r="V5" s="115" t="s">
        <v>1247</v>
      </c>
      <c r="W5" s="115" t="s">
        <v>1249</v>
      </c>
      <c r="X5" s="115" t="s">
        <v>1306</v>
      </c>
      <c r="Y5" s="115" t="s">
        <v>1316</v>
      </c>
      <c r="Z5" s="115" t="s">
        <v>1317</v>
      </c>
      <c r="AA5" s="115" t="s">
        <v>1318</v>
      </c>
    </row>
    <row r="6" spans="1:27" x14ac:dyDescent="0.2">
      <c r="B6" s="130" t="s">
        <v>938</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row>
    <row r="7" spans="1:27" x14ac:dyDescent="0.2">
      <c r="B7" s="130" t="s">
        <v>650</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row>
    <row r="8" spans="1:27" x14ac:dyDescent="0.2">
      <c r="B8" s="130" t="s">
        <v>939</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row>
    <row r="9" spans="1:27" x14ac:dyDescent="0.2">
      <c r="B9" s="130" t="s">
        <v>883</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row>
    <row r="10" spans="1:27" x14ac:dyDescent="0.2">
      <c r="B10" s="130" t="s">
        <v>884</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row>
    <row r="11" spans="1:27" ht="13.5" customHeight="1" x14ac:dyDescent="0.2">
      <c r="B11" s="130" t="s">
        <v>885</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row>
    <row r="12" spans="1:27" x14ac:dyDescent="0.2">
      <c r="A12" s="27"/>
      <c r="B12" s="127" t="s">
        <v>22</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row>
    <row r="13" spans="1:27" x14ac:dyDescent="0.2">
      <c r="A13" s="27"/>
      <c r="B13" s="130" t="s">
        <v>460</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row>
    <row r="14" spans="1:27" x14ac:dyDescent="0.2">
      <c r="A14" s="27"/>
      <c r="B14" s="130" t="s">
        <v>461</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row>
    <row r="15" spans="1:27" x14ac:dyDescent="0.2">
      <c r="A15" s="27"/>
      <c r="B15" s="127" t="s">
        <v>22</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SUM(W13:W14)</f>
        <v>70670</v>
      </c>
      <c r="X15" s="120">
        <f>SUM(X13:X14)</f>
        <v>66175</v>
      </c>
      <c r="Y15" s="120">
        <f>SUM(Y13:Y14)</f>
        <v>67477</v>
      </c>
      <c r="Z15" s="120">
        <f>SUM(Z13:Z14)</f>
        <v>59616</v>
      </c>
      <c r="AA15" s="120">
        <f>SUM(AA13:AA14)</f>
        <v>71077</v>
      </c>
    </row>
    <row r="16" spans="1:27" x14ac:dyDescent="0.2">
      <c r="A16" s="27"/>
      <c r="B16" s="130" t="s">
        <v>886</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row>
    <row r="17" spans="1:27" x14ac:dyDescent="0.2">
      <c r="A17" s="27"/>
      <c r="B17" s="130" t="s">
        <v>887</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row>
    <row r="18" spans="1:27" x14ac:dyDescent="0.2">
      <c r="A18" s="27"/>
      <c r="B18" s="127" t="s">
        <v>22</v>
      </c>
      <c r="C18" s="120">
        <f t="shared" ref="C18:H18" si="5">SUM(C16:C17)</f>
        <v>0</v>
      </c>
      <c r="D18" s="120">
        <f t="shared" si="5"/>
        <v>69751.457500000004</v>
      </c>
      <c r="E18" s="120">
        <f t="shared" si="5"/>
        <v>86195</v>
      </c>
      <c r="F18" s="120">
        <f t="shared" si="5"/>
        <v>86314</v>
      </c>
      <c r="G18" s="120">
        <f t="shared" si="5"/>
        <v>76922</v>
      </c>
      <c r="H18" s="120">
        <f t="shared" si="5"/>
        <v>84518</v>
      </c>
      <c r="I18" s="120">
        <f t="shared" ref="I18:P18" si="6">SUM(I16:I17)</f>
        <v>76870</v>
      </c>
      <c r="J18" s="120">
        <f t="shared" si="6"/>
        <v>68721</v>
      </c>
      <c r="K18" s="120">
        <f t="shared" si="6"/>
        <v>60541</v>
      </c>
      <c r="L18" s="120">
        <f t="shared" si="6"/>
        <v>89270</v>
      </c>
      <c r="M18" s="120">
        <f t="shared" si="6"/>
        <v>82171</v>
      </c>
      <c r="N18" s="120">
        <f t="shared" si="6"/>
        <v>75608</v>
      </c>
      <c r="O18" s="120">
        <f t="shared" si="6"/>
        <v>69727</v>
      </c>
      <c r="P18" s="120">
        <f t="shared" si="6"/>
        <v>67318</v>
      </c>
      <c r="Q18" s="120">
        <f t="shared" ref="Q18:V18" si="7">SUM(Q16:Q17)</f>
        <v>63924</v>
      </c>
      <c r="R18" s="120">
        <f t="shared" si="7"/>
        <v>61791</v>
      </c>
      <c r="S18" s="120">
        <f t="shared" si="7"/>
        <v>53563</v>
      </c>
      <c r="T18" s="120">
        <f t="shared" si="7"/>
        <v>74153</v>
      </c>
      <c r="U18" s="120">
        <f t="shared" si="7"/>
        <v>79379</v>
      </c>
      <c r="V18" s="120">
        <f t="shared" si="7"/>
        <v>73158</v>
      </c>
      <c r="W18" s="120">
        <f>SUM(W16:W17)</f>
        <v>70670</v>
      </c>
      <c r="X18" s="120">
        <f>SUM(X16:X17)</f>
        <v>66175</v>
      </c>
      <c r="Y18" s="120">
        <f>SUM(Y16:Y17)</f>
        <v>67477</v>
      </c>
      <c r="Z18" s="120">
        <f>SUM(Z16:Z17)</f>
        <v>59616</v>
      </c>
      <c r="AA18" s="120">
        <f>SUM(AA16:AA17)</f>
        <v>71077</v>
      </c>
    </row>
    <row r="19" spans="1:27" ht="15.75" customHeight="1" x14ac:dyDescent="0.2">
      <c r="A19" s="27"/>
    </row>
    <row r="20" spans="1:27" ht="15.75" customHeight="1" x14ac:dyDescent="0.2">
      <c r="B20" s="115" t="s">
        <v>397</v>
      </c>
      <c r="C20" s="115" t="str">
        <f t="shared" ref="C20:H20" si="8">C5</f>
        <v>4Q18</v>
      </c>
      <c r="D20" s="115" t="str">
        <f t="shared" si="8"/>
        <v>1Q19</v>
      </c>
      <c r="E20" s="115" t="str">
        <f t="shared" si="8"/>
        <v>2Q19</v>
      </c>
      <c r="F20" s="115" t="str">
        <f t="shared" si="8"/>
        <v>3Q19</v>
      </c>
      <c r="G20" s="115" t="str">
        <f t="shared" si="8"/>
        <v>4Q19</v>
      </c>
      <c r="H20" s="115" t="str">
        <f t="shared" si="8"/>
        <v>1Q20</v>
      </c>
      <c r="I20" s="115" t="str">
        <f t="shared" ref="I20:P20" si="9">I5</f>
        <v>2Q20</v>
      </c>
      <c r="J20" s="115" t="str">
        <f t="shared" si="9"/>
        <v>3Q20</v>
      </c>
      <c r="K20" s="115" t="str">
        <f t="shared" si="9"/>
        <v>4Q20</v>
      </c>
      <c r="L20" s="115" t="str">
        <f t="shared" si="9"/>
        <v>1Q21</v>
      </c>
      <c r="M20" s="115" t="str">
        <f t="shared" si="9"/>
        <v>2Q21</v>
      </c>
      <c r="N20" s="115" t="str">
        <f t="shared" si="9"/>
        <v>3Q21</v>
      </c>
      <c r="O20" s="115" t="str">
        <f t="shared" si="9"/>
        <v>4Q21</v>
      </c>
      <c r="P20" s="115" t="str">
        <f t="shared" si="9"/>
        <v>1Q22</v>
      </c>
      <c r="Q20" s="115" t="str">
        <f t="shared" ref="Q20:V20" si="10">Q5</f>
        <v>2Q22</v>
      </c>
      <c r="R20" s="115" t="str">
        <f t="shared" si="10"/>
        <v>3Q22</v>
      </c>
      <c r="S20" s="115" t="str">
        <f t="shared" si="10"/>
        <v>4Q22</v>
      </c>
      <c r="T20" s="115" t="str">
        <f t="shared" si="10"/>
        <v>1Q23</v>
      </c>
      <c r="U20" s="115" t="str">
        <f t="shared" si="10"/>
        <v>2Q23</v>
      </c>
      <c r="V20" s="115" t="str">
        <f t="shared" si="10"/>
        <v>3Q23</v>
      </c>
      <c r="W20" s="115" t="str">
        <f>W5</f>
        <v>4Q23</v>
      </c>
      <c r="X20" s="115" t="str">
        <f>X5</f>
        <v>1Q24</v>
      </c>
      <c r="Y20" s="115" t="str">
        <f>Y5</f>
        <v>2Q24</v>
      </c>
      <c r="Z20" s="115" t="str">
        <f>Z5</f>
        <v>3Q24</v>
      </c>
      <c r="AA20" s="115" t="str">
        <f>AA5</f>
        <v>4Q24</v>
      </c>
    </row>
    <row r="21" spans="1:27" x14ac:dyDescent="0.2">
      <c r="B21" s="130" t="s">
        <v>938</v>
      </c>
      <c r="C21" s="118">
        <v>0</v>
      </c>
      <c r="D21" s="118">
        <v>45053.744999999995</v>
      </c>
      <c r="E21" s="118">
        <v>0.25500000000465661</v>
      </c>
      <c r="F21" s="118">
        <v>8608</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0</v>
      </c>
      <c r="AA21" s="118">
        <v>0</v>
      </c>
    </row>
    <row r="22" spans="1:27" x14ac:dyDescent="0.2">
      <c r="B22" s="130" t="s">
        <v>650</v>
      </c>
      <c r="C22" s="118">
        <v>0</v>
      </c>
      <c r="D22" s="118">
        <v>6420.5625</v>
      </c>
      <c r="E22" s="118">
        <v>17618.4375</v>
      </c>
      <c r="F22" s="118">
        <v>-3443</v>
      </c>
      <c r="G22" s="118">
        <v>1880</v>
      </c>
      <c r="H22" s="118">
        <v>18553</v>
      </c>
      <c r="I22" s="118">
        <v>1022</v>
      </c>
      <c r="J22" s="118">
        <v>-389</v>
      </c>
      <c r="K22" s="118">
        <v>3876</v>
      </c>
      <c r="L22" s="118">
        <v>21420</v>
      </c>
      <c r="M22" s="118">
        <v>1608</v>
      </c>
      <c r="N22" s="118">
        <v>1382</v>
      </c>
      <c r="O22" s="118">
        <v>1845</v>
      </c>
      <c r="P22" s="118">
        <v>2819</v>
      </c>
      <c r="Q22" s="118">
        <v>4557</v>
      </c>
      <c r="R22" s="118">
        <v>15637</v>
      </c>
      <c r="S22" s="118">
        <v>4980</v>
      </c>
      <c r="T22" s="118">
        <v>23498</v>
      </c>
      <c r="U22" s="118">
        <v>8036</v>
      </c>
      <c r="V22" s="118">
        <v>1999</v>
      </c>
      <c r="W22" s="118">
        <v>4638</v>
      </c>
      <c r="X22" s="118">
        <v>3664</v>
      </c>
      <c r="Y22" s="118">
        <v>9214</v>
      </c>
      <c r="Z22" s="118">
        <v>443</v>
      </c>
      <c r="AA22" s="118">
        <v>20120</v>
      </c>
    </row>
    <row r="23" spans="1:27" x14ac:dyDescent="0.2">
      <c r="B23" s="130" t="s">
        <v>939</v>
      </c>
      <c r="C23" s="118">
        <v>0</v>
      </c>
      <c r="D23" s="118">
        <v>0</v>
      </c>
      <c r="E23" s="118">
        <v>0</v>
      </c>
      <c r="F23" s="118">
        <v>-102</v>
      </c>
      <c r="G23" s="118">
        <v>-732</v>
      </c>
      <c r="H23" s="118">
        <v>10</v>
      </c>
      <c r="I23" s="118">
        <v>-467</v>
      </c>
      <c r="J23" s="118">
        <v>-446</v>
      </c>
      <c r="K23" s="118">
        <v>-7</v>
      </c>
      <c r="L23" s="118">
        <v>0</v>
      </c>
      <c r="M23" s="118">
        <v>-466</v>
      </c>
      <c r="N23" s="118">
        <v>0</v>
      </c>
      <c r="O23" s="118">
        <v>0</v>
      </c>
      <c r="P23" s="118">
        <v>0</v>
      </c>
      <c r="Q23" s="118">
        <v>0</v>
      </c>
      <c r="R23" s="118">
        <v>0</v>
      </c>
      <c r="S23" s="118">
        <v>0</v>
      </c>
      <c r="T23" s="118">
        <v>0</v>
      </c>
      <c r="U23" s="118">
        <v>0</v>
      </c>
      <c r="V23" s="118">
        <v>0</v>
      </c>
      <c r="W23" s="118">
        <v>0</v>
      </c>
      <c r="X23" s="118">
        <v>0</v>
      </c>
      <c r="Y23" s="118">
        <v>0</v>
      </c>
      <c r="Z23" s="118">
        <v>0</v>
      </c>
      <c r="AA23" s="118">
        <v>-515</v>
      </c>
    </row>
    <row r="24" spans="1:27" x14ac:dyDescent="0.2">
      <c r="B24" s="130" t="s">
        <v>652</v>
      </c>
      <c r="C24" s="118" t="s">
        <v>47</v>
      </c>
      <c r="D24" s="118" t="s">
        <v>47</v>
      </c>
      <c r="E24" s="118" t="s">
        <v>47</v>
      </c>
      <c r="F24" s="118" t="s">
        <v>47</v>
      </c>
      <c r="G24" s="118" t="s">
        <v>47</v>
      </c>
      <c r="H24" s="118" t="s">
        <v>47</v>
      </c>
      <c r="I24" s="118" t="s">
        <v>47</v>
      </c>
      <c r="J24" s="118" t="s">
        <v>47</v>
      </c>
      <c r="K24" s="118" t="s">
        <v>47</v>
      </c>
      <c r="L24" s="118" t="s">
        <v>47</v>
      </c>
      <c r="M24" s="118" t="s">
        <v>47</v>
      </c>
      <c r="N24" s="118" t="s">
        <v>47</v>
      </c>
      <c r="O24" s="118" t="s">
        <v>47</v>
      </c>
      <c r="P24" s="118" t="s">
        <v>47</v>
      </c>
      <c r="Q24" s="118" t="s">
        <v>47</v>
      </c>
      <c r="R24" s="118" t="s">
        <v>47</v>
      </c>
      <c r="S24" s="118" t="s">
        <v>47</v>
      </c>
      <c r="T24" s="118" t="s">
        <v>47</v>
      </c>
      <c r="U24" s="118" t="s">
        <v>47</v>
      </c>
      <c r="V24" s="118" t="s">
        <v>47</v>
      </c>
      <c r="W24" s="118" t="s">
        <v>47</v>
      </c>
      <c r="X24" s="118" t="s">
        <v>47</v>
      </c>
      <c r="Y24" s="118">
        <v>3665</v>
      </c>
      <c r="Z24" s="118">
        <v>0</v>
      </c>
      <c r="AA24" s="118">
        <v>0</v>
      </c>
    </row>
    <row r="25" spans="1:27" x14ac:dyDescent="0.2">
      <c r="B25" s="130" t="s">
        <v>883</v>
      </c>
      <c r="C25" s="118">
        <v>0</v>
      </c>
      <c r="D25" s="118">
        <v>866</v>
      </c>
      <c r="E25" s="118">
        <v>987</v>
      </c>
      <c r="F25" s="118">
        <v>1262</v>
      </c>
      <c r="G25" s="118">
        <v>1442</v>
      </c>
      <c r="H25" s="118">
        <v>1293</v>
      </c>
      <c r="I25" s="118">
        <v>1278</v>
      </c>
      <c r="J25" s="118">
        <v>1154</v>
      </c>
      <c r="K25" s="118">
        <v>1154</v>
      </c>
      <c r="L25" s="118">
        <v>1469</v>
      </c>
      <c r="M25" s="118">
        <v>1087</v>
      </c>
      <c r="N25" s="118">
        <v>1232</v>
      </c>
      <c r="O25" s="118">
        <v>1041</v>
      </c>
      <c r="P25" s="118">
        <v>1016</v>
      </c>
      <c r="Q25" s="118">
        <v>993</v>
      </c>
      <c r="R25" s="118">
        <v>2007</v>
      </c>
      <c r="S25" s="118">
        <v>1598</v>
      </c>
      <c r="T25" s="118">
        <v>1884</v>
      </c>
      <c r="U25" s="118">
        <v>2388</v>
      </c>
      <c r="V25" s="118">
        <v>1674</v>
      </c>
      <c r="W25" s="118">
        <v>3290</v>
      </c>
      <c r="X25" s="118">
        <v>2405</v>
      </c>
      <c r="Y25" s="118">
        <v>2256</v>
      </c>
      <c r="Z25" s="118">
        <v>2358</v>
      </c>
      <c r="AA25" s="118">
        <v>2255</v>
      </c>
    </row>
    <row r="26" spans="1:27" x14ac:dyDescent="0.2">
      <c r="B26" s="130" t="s">
        <v>884</v>
      </c>
      <c r="C26" s="118">
        <v>0</v>
      </c>
      <c r="D26" s="118">
        <v>-3333</v>
      </c>
      <c r="E26" s="118">
        <v>-3939</v>
      </c>
      <c r="F26" s="118">
        <v>-4777</v>
      </c>
      <c r="G26" s="118">
        <v>-5868</v>
      </c>
      <c r="H26" s="118">
        <v>-4790</v>
      </c>
      <c r="I26" s="118">
        <v>-3901</v>
      </c>
      <c r="J26" s="118">
        <v>-3885</v>
      </c>
      <c r="K26" s="118">
        <v>-5107</v>
      </c>
      <c r="L26" s="118">
        <v>-6661</v>
      </c>
      <c r="M26" s="118">
        <v>-7249</v>
      </c>
      <c r="N26" s="118">
        <v>-6869</v>
      </c>
      <c r="O26" s="118">
        <v>-7200</v>
      </c>
      <c r="P26" s="118">
        <v>-6808</v>
      </c>
      <c r="Q26" s="118">
        <v>-7144</v>
      </c>
      <c r="R26" s="118">
        <v>-9131</v>
      </c>
      <c r="S26" s="118">
        <v>-7258</v>
      </c>
      <c r="T26" s="118">
        <v>-7105</v>
      </c>
      <c r="U26" s="118">
        <v>-6221</v>
      </c>
      <c r="V26" s="118">
        <v>-6904</v>
      </c>
      <c r="W26" s="118">
        <v>-7342</v>
      </c>
      <c r="X26" s="118">
        <v>-6206</v>
      </c>
      <c r="Y26" s="118">
        <v>-6408</v>
      </c>
      <c r="Z26" s="118">
        <v>-6747</v>
      </c>
      <c r="AA26" s="118">
        <v>-6651</v>
      </c>
    </row>
    <row r="27" spans="1:27" x14ac:dyDescent="0.2">
      <c r="B27" s="130" t="s">
        <v>885</v>
      </c>
      <c r="C27" s="118">
        <v>0</v>
      </c>
      <c r="D27" s="118">
        <v>-449</v>
      </c>
      <c r="E27" s="118">
        <v>-1028</v>
      </c>
      <c r="F27" s="118">
        <v>-1196</v>
      </c>
      <c r="G27" s="118">
        <v>-1552</v>
      </c>
      <c r="H27" s="118">
        <v>-1212</v>
      </c>
      <c r="I27" s="118">
        <v>-1005</v>
      </c>
      <c r="J27" s="118">
        <v>-896</v>
      </c>
      <c r="K27" s="118">
        <v>-1249</v>
      </c>
      <c r="L27" s="118">
        <v>-1456</v>
      </c>
      <c r="M27" s="118">
        <v>-1476</v>
      </c>
      <c r="N27" s="118">
        <v>-1184</v>
      </c>
      <c r="O27" s="118">
        <v>-1188</v>
      </c>
      <c r="P27" s="118">
        <v>-965</v>
      </c>
      <c r="Q27" s="118">
        <v>-987</v>
      </c>
      <c r="R27" s="118">
        <v>-2090</v>
      </c>
      <c r="S27" s="118">
        <v>-1595</v>
      </c>
      <c r="T27" s="118">
        <v>-1888</v>
      </c>
      <c r="U27" s="118">
        <v>-2448</v>
      </c>
      <c r="V27" s="118">
        <v>-1729</v>
      </c>
      <c r="W27" s="118">
        <v>-3272</v>
      </c>
      <c r="X27" s="118">
        <v>-2405</v>
      </c>
      <c r="Y27" s="118">
        <v>-2257</v>
      </c>
      <c r="Z27" s="118">
        <v>-2359</v>
      </c>
      <c r="AA27" s="118">
        <v>-2217</v>
      </c>
    </row>
    <row r="28" spans="1:27" x14ac:dyDescent="0.2">
      <c r="A28" s="27"/>
      <c r="B28" s="127" t="s">
        <v>22</v>
      </c>
      <c r="C28" s="120">
        <f>SUM(C21:C27)</f>
        <v>0</v>
      </c>
      <c r="D28" s="120">
        <f>SUM(D21:D27)</f>
        <v>48558.307499999995</v>
      </c>
      <c r="E28" s="120">
        <f>D28+SUM(E22:E27)</f>
        <v>62196.744999999995</v>
      </c>
      <c r="F28" s="120">
        <f>E28+SUM(F21:F27)</f>
        <v>62548.744999999995</v>
      </c>
      <c r="G28" s="120">
        <f t="shared" ref="G28:P28" si="11">F28+SUM(G22:G27)</f>
        <v>57718.744999999995</v>
      </c>
      <c r="H28" s="120">
        <f t="shared" si="11"/>
        <v>71572.744999999995</v>
      </c>
      <c r="I28" s="120">
        <f t="shared" si="11"/>
        <v>68499.744999999995</v>
      </c>
      <c r="J28" s="120">
        <f t="shared" si="11"/>
        <v>64037.744999999995</v>
      </c>
      <c r="K28" s="120">
        <f t="shared" si="11"/>
        <v>62704.744999999995</v>
      </c>
      <c r="L28" s="120">
        <f t="shared" si="11"/>
        <v>77476.744999999995</v>
      </c>
      <c r="M28" s="120">
        <f t="shared" si="11"/>
        <v>70980.744999999995</v>
      </c>
      <c r="N28" s="120">
        <f t="shared" si="11"/>
        <v>65541.744999999995</v>
      </c>
      <c r="O28" s="120">
        <f>N28+SUM(O22:O27)</f>
        <v>60039.744999999995</v>
      </c>
      <c r="P28" s="120">
        <f t="shared" si="11"/>
        <v>56101.744999999995</v>
      </c>
      <c r="Q28" s="120">
        <f t="shared" ref="Q28:Y28" si="12">P28+SUM(Q22:Q27)</f>
        <v>53520.744999999995</v>
      </c>
      <c r="R28" s="120">
        <f t="shared" si="12"/>
        <v>59943.744999999995</v>
      </c>
      <c r="S28" s="120">
        <f t="shared" si="12"/>
        <v>57668.744999999995</v>
      </c>
      <c r="T28" s="120">
        <f t="shared" si="12"/>
        <v>74057.744999999995</v>
      </c>
      <c r="U28" s="120">
        <f t="shared" si="12"/>
        <v>75812.744999999995</v>
      </c>
      <c r="V28" s="120">
        <f t="shared" si="12"/>
        <v>70852.744999999995</v>
      </c>
      <c r="W28" s="120">
        <f t="shared" si="12"/>
        <v>68166.744999999995</v>
      </c>
      <c r="X28" s="120">
        <f t="shared" si="12"/>
        <v>65624.744999999995</v>
      </c>
      <c r="Y28" s="120">
        <f t="shared" si="12"/>
        <v>72094.744999999995</v>
      </c>
      <c r="Z28" s="120">
        <f>Y28+SUM(Z22:Z27)</f>
        <v>65789.744999999995</v>
      </c>
      <c r="AA28" s="120">
        <f>Z28+SUM(AA22:AA27)</f>
        <v>78781.744999999995</v>
      </c>
    </row>
    <row r="29" spans="1:27" x14ac:dyDescent="0.2">
      <c r="A29" s="27"/>
      <c r="B29" s="130" t="s">
        <v>460</v>
      </c>
      <c r="C29" s="118">
        <v>0</v>
      </c>
      <c r="D29" s="118">
        <v>14724.103294474593</v>
      </c>
      <c r="E29" s="118">
        <v>16236</v>
      </c>
      <c r="F29" s="118">
        <v>15918</v>
      </c>
      <c r="G29" s="118">
        <v>14910</v>
      </c>
      <c r="H29" s="118">
        <v>19523</v>
      </c>
      <c r="I29" s="118">
        <v>21278</v>
      </c>
      <c r="J29" s="118">
        <v>21975</v>
      </c>
      <c r="K29" s="118">
        <v>23975</v>
      </c>
      <c r="L29" s="118">
        <v>28678</v>
      </c>
      <c r="M29" s="118">
        <v>28192</v>
      </c>
      <c r="N29" s="118">
        <v>26099</v>
      </c>
      <c r="O29" s="118">
        <v>27981</v>
      </c>
      <c r="P29" s="118">
        <v>24637</v>
      </c>
      <c r="Q29" s="118">
        <v>26712</v>
      </c>
      <c r="R29" s="118">
        <v>28615</v>
      </c>
      <c r="S29" s="118">
        <v>26995</v>
      </c>
      <c r="T29" s="118">
        <v>24881</v>
      </c>
      <c r="U29" s="118">
        <v>21665</v>
      </c>
      <c r="V29" s="118">
        <v>20940</v>
      </c>
      <c r="W29" s="118">
        <v>22751</v>
      </c>
      <c r="X29" s="118">
        <v>21421</v>
      </c>
      <c r="Y29" s="118">
        <v>24174</v>
      </c>
      <c r="Z29" s="118">
        <v>22799</v>
      </c>
      <c r="AA29" s="118">
        <v>31249</v>
      </c>
    </row>
    <row r="30" spans="1:27" x14ac:dyDescent="0.2">
      <c r="A30" s="27"/>
      <c r="B30" s="130" t="s">
        <v>461</v>
      </c>
      <c r="C30" s="118">
        <v>0</v>
      </c>
      <c r="D30" s="118">
        <v>33835.204205525406</v>
      </c>
      <c r="E30" s="118">
        <v>45961</v>
      </c>
      <c r="F30" s="118">
        <v>46631</v>
      </c>
      <c r="G30" s="118">
        <v>42809</v>
      </c>
      <c r="H30" s="118">
        <v>52050</v>
      </c>
      <c r="I30" s="118">
        <v>47222</v>
      </c>
      <c r="J30" s="118">
        <v>42063</v>
      </c>
      <c r="K30" s="118">
        <v>38730</v>
      </c>
      <c r="L30" s="118">
        <v>48799</v>
      </c>
      <c r="M30" s="118">
        <v>42789</v>
      </c>
      <c r="N30" s="118">
        <v>39443</v>
      </c>
      <c r="O30" s="118">
        <v>32059</v>
      </c>
      <c r="P30" s="118">
        <v>31465</v>
      </c>
      <c r="Q30" s="118">
        <v>26809</v>
      </c>
      <c r="R30" s="118">
        <v>31329</v>
      </c>
      <c r="S30" s="118">
        <v>30674</v>
      </c>
      <c r="T30" s="118">
        <v>49177</v>
      </c>
      <c r="U30" s="118">
        <v>54148</v>
      </c>
      <c r="V30" s="118">
        <v>49913</v>
      </c>
      <c r="W30" s="118">
        <v>45416</v>
      </c>
      <c r="X30" s="118">
        <v>44204</v>
      </c>
      <c r="Y30" s="118">
        <v>47921</v>
      </c>
      <c r="Z30" s="118">
        <v>42991</v>
      </c>
      <c r="AA30" s="118">
        <v>47533</v>
      </c>
    </row>
    <row r="31" spans="1:27" x14ac:dyDescent="0.2">
      <c r="A31" s="27"/>
      <c r="B31" s="127" t="s">
        <v>22</v>
      </c>
      <c r="C31" s="120">
        <f>SUM(C26:C30)</f>
        <v>0</v>
      </c>
      <c r="D31" s="120">
        <f t="shared" ref="D31:I31" si="13">SUM(D29:D30)</f>
        <v>48559.307499999995</v>
      </c>
      <c r="E31" s="120">
        <f t="shared" si="13"/>
        <v>62197</v>
      </c>
      <c r="F31" s="120">
        <f t="shared" si="13"/>
        <v>62549</v>
      </c>
      <c r="G31" s="120">
        <f t="shared" si="13"/>
        <v>57719</v>
      </c>
      <c r="H31" s="120">
        <f t="shared" si="13"/>
        <v>71573</v>
      </c>
      <c r="I31" s="120">
        <f t="shared" si="13"/>
        <v>68500</v>
      </c>
      <c r="J31" s="120">
        <f t="shared" ref="J31:Q31" si="14">SUM(J29:J30)</f>
        <v>64038</v>
      </c>
      <c r="K31" s="120">
        <f t="shared" si="14"/>
        <v>62705</v>
      </c>
      <c r="L31" s="120">
        <f t="shared" si="14"/>
        <v>77477</v>
      </c>
      <c r="M31" s="120">
        <f t="shared" si="14"/>
        <v>70981</v>
      </c>
      <c r="N31" s="120">
        <f t="shared" si="14"/>
        <v>65542</v>
      </c>
      <c r="O31" s="120">
        <f t="shared" si="14"/>
        <v>60040</v>
      </c>
      <c r="P31" s="120">
        <f t="shared" si="14"/>
        <v>56102</v>
      </c>
      <c r="Q31" s="120">
        <f t="shared" si="14"/>
        <v>53521</v>
      </c>
      <c r="R31" s="120">
        <f t="shared" ref="R31:Y31" si="15">SUM(R29:R30)</f>
        <v>59944</v>
      </c>
      <c r="S31" s="120">
        <f t="shared" si="15"/>
        <v>57669</v>
      </c>
      <c r="T31" s="120">
        <f t="shared" si="15"/>
        <v>74058</v>
      </c>
      <c r="U31" s="120">
        <f t="shared" si="15"/>
        <v>75813</v>
      </c>
      <c r="V31" s="120">
        <f t="shared" si="15"/>
        <v>70853</v>
      </c>
      <c r="W31" s="120">
        <f t="shared" si="15"/>
        <v>68167</v>
      </c>
      <c r="X31" s="120">
        <f t="shared" si="15"/>
        <v>65625</v>
      </c>
      <c r="Y31" s="120">
        <f t="shared" si="15"/>
        <v>72095</v>
      </c>
      <c r="Z31" s="120">
        <f>SUM(Z29:Z30)</f>
        <v>65790</v>
      </c>
      <c r="AA31" s="120">
        <f>SUM(AA29:AA30)</f>
        <v>78782</v>
      </c>
    </row>
    <row r="32" spans="1:27" x14ac:dyDescent="0.2">
      <c r="A32" s="27"/>
      <c r="B32" s="130" t="s">
        <v>886</v>
      </c>
      <c r="C32" s="118">
        <v>0</v>
      </c>
      <c r="D32" s="118">
        <v>35762.649999999994</v>
      </c>
      <c r="E32" s="118">
        <v>41418</v>
      </c>
      <c r="F32" s="118">
        <v>49888</v>
      </c>
      <c r="G32" s="118">
        <v>54726</v>
      </c>
      <c r="H32" s="118">
        <v>49889</v>
      </c>
      <c r="I32" s="118">
        <v>52021</v>
      </c>
      <c r="J32" s="118">
        <v>45876</v>
      </c>
      <c r="K32" s="118">
        <v>43197</v>
      </c>
      <c r="L32" s="118">
        <v>55086</v>
      </c>
      <c r="M32" s="118">
        <v>50630</v>
      </c>
      <c r="N32" s="118">
        <v>47362</v>
      </c>
      <c r="O32" s="118">
        <v>43541</v>
      </c>
      <c r="P32" s="118">
        <v>42076</v>
      </c>
      <c r="Q32" s="118">
        <v>41385</v>
      </c>
      <c r="R32" s="118">
        <v>33944</v>
      </c>
      <c r="S32" s="118">
        <v>29085</v>
      </c>
      <c r="T32" s="118">
        <v>36360</v>
      </c>
      <c r="U32" s="118">
        <v>44464</v>
      </c>
      <c r="V32" s="118">
        <v>40617</v>
      </c>
      <c r="W32" s="118">
        <v>39719</v>
      </c>
      <c r="X32" s="118">
        <v>34087</v>
      </c>
      <c r="Y32" s="118">
        <v>39078</v>
      </c>
      <c r="Z32" s="118">
        <v>35013</v>
      </c>
      <c r="AA32" s="118">
        <v>50546</v>
      </c>
    </row>
    <row r="33" spans="1:27" x14ac:dyDescent="0.2">
      <c r="A33" s="27"/>
      <c r="B33" s="130" t="s">
        <v>887</v>
      </c>
      <c r="C33" s="118">
        <v>0</v>
      </c>
      <c r="D33" s="118">
        <v>12796.657499999999</v>
      </c>
      <c r="E33" s="118">
        <v>20779</v>
      </c>
      <c r="F33" s="118">
        <v>12661</v>
      </c>
      <c r="G33" s="118">
        <v>2993</v>
      </c>
      <c r="H33" s="118">
        <v>21684</v>
      </c>
      <c r="I33" s="118">
        <v>16479</v>
      </c>
      <c r="J33" s="118">
        <v>18162</v>
      </c>
      <c r="K33" s="118">
        <v>19508</v>
      </c>
      <c r="L33" s="118">
        <v>22391</v>
      </c>
      <c r="M33" s="118">
        <v>20351</v>
      </c>
      <c r="N33" s="118">
        <v>18180</v>
      </c>
      <c r="O33" s="118">
        <v>16499</v>
      </c>
      <c r="P33" s="118">
        <v>14026</v>
      </c>
      <c r="Q33" s="118">
        <v>12136</v>
      </c>
      <c r="R33" s="118">
        <v>26000</v>
      </c>
      <c r="S33" s="118">
        <v>28584</v>
      </c>
      <c r="T33" s="118">
        <v>37698</v>
      </c>
      <c r="U33" s="118">
        <v>31349</v>
      </c>
      <c r="V33" s="118">
        <v>30236</v>
      </c>
      <c r="W33" s="118">
        <v>28448</v>
      </c>
      <c r="X33" s="118">
        <v>31538</v>
      </c>
      <c r="Y33" s="118">
        <v>33017</v>
      </c>
      <c r="Z33" s="118">
        <v>30777</v>
      </c>
      <c r="AA33" s="118">
        <v>28236</v>
      </c>
    </row>
    <row r="34" spans="1:27" x14ac:dyDescent="0.2">
      <c r="A34" s="27"/>
      <c r="B34" s="127" t="s">
        <v>22</v>
      </c>
      <c r="C34" s="120">
        <f>SUM(C29:C33)</f>
        <v>0</v>
      </c>
      <c r="D34" s="120">
        <f t="shared" ref="D34:I34" si="16">SUM(D32:D33)</f>
        <v>48559.307499999995</v>
      </c>
      <c r="E34" s="120">
        <f t="shared" si="16"/>
        <v>62197</v>
      </c>
      <c r="F34" s="120">
        <f t="shared" si="16"/>
        <v>62549</v>
      </c>
      <c r="G34" s="120">
        <f t="shared" si="16"/>
        <v>57719</v>
      </c>
      <c r="H34" s="120">
        <f t="shared" si="16"/>
        <v>71573</v>
      </c>
      <c r="I34" s="120">
        <f t="shared" si="16"/>
        <v>68500</v>
      </c>
      <c r="J34" s="120">
        <f t="shared" ref="J34:Q34" si="17">SUM(J32:J33)</f>
        <v>64038</v>
      </c>
      <c r="K34" s="120">
        <f t="shared" si="17"/>
        <v>62705</v>
      </c>
      <c r="L34" s="120">
        <f t="shared" si="17"/>
        <v>77477</v>
      </c>
      <c r="M34" s="120">
        <f t="shared" si="17"/>
        <v>70981</v>
      </c>
      <c r="N34" s="120">
        <f t="shared" si="17"/>
        <v>65542</v>
      </c>
      <c r="O34" s="120">
        <f t="shared" si="17"/>
        <v>60040</v>
      </c>
      <c r="P34" s="120">
        <f t="shared" si="17"/>
        <v>56102</v>
      </c>
      <c r="Q34" s="120">
        <f t="shared" si="17"/>
        <v>53521</v>
      </c>
      <c r="R34" s="120">
        <f t="shared" ref="R34:Y34" si="18">SUM(R32:R33)</f>
        <v>59944</v>
      </c>
      <c r="S34" s="120">
        <f t="shared" si="18"/>
        <v>57669</v>
      </c>
      <c r="T34" s="120">
        <f t="shared" si="18"/>
        <v>74058</v>
      </c>
      <c r="U34" s="120">
        <f t="shared" si="18"/>
        <v>75813</v>
      </c>
      <c r="V34" s="120">
        <f t="shared" si="18"/>
        <v>70853</v>
      </c>
      <c r="W34" s="120">
        <f t="shared" si="18"/>
        <v>68167</v>
      </c>
      <c r="X34" s="120">
        <f t="shared" si="18"/>
        <v>65625</v>
      </c>
      <c r="Y34" s="120">
        <f t="shared" si="18"/>
        <v>72095</v>
      </c>
      <c r="Z34" s="120">
        <f>SUM(Z32:Z33)</f>
        <v>65790</v>
      </c>
      <c r="AA34" s="120">
        <f>SUM(AA32:AA33)</f>
        <v>78782</v>
      </c>
    </row>
    <row r="35" spans="1:27" x14ac:dyDescent="0.2">
      <c r="A35" s="28"/>
    </row>
    <row r="36" spans="1:27" x14ac:dyDescent="0.2">
      <c r="A36" s="28"/>
    </row>
    <row r="37" spans="1:27" x14ac:dyDescent="0.2">
      <c r="A37" s="28"/>
    </row>
    <row r="38" spans="1:27" x14ac:dyDescent="0.2">
      <c r="A38" s="28"/>
    </row>
    <row r="39" spans="1:27" x14ac:dyDescent="0.2">
      <c r="A39" s="28"/>
    </row>
    <row r="40" spans="1:27" x14ac:dyDescent="0.2">
      <c r="A40" s="28"/>
    </row>
    <row r="41" spans="1:27" x14ac:dyDescent="0.2">
      <c r="A41" s="28"/>
    </row>
    <row r="42" spans="1:27" x14ac:dyDescent="0.2">
      <c r="A42" s="28"/>
    </row>
    <row r="43" spans="1:27" x14ac:dyDescent="0.2">
      <c r="A43" s="28"/>
    </row>
    <row r="44" spans="1:27" x14ac:dyDescent="0.2">
      <c r="A44" s="28"/>
    </row>
    <row r="45" spans="1:27" x14ac:dyDescent="0.2">
      <c r="A45" s="28"/>
    </row>
    <row r="46" spans="1:27" x14ac:dyDescent="0.2">
      <c r="A46" s="28"/>
    </row>
    <row r="47" spans="1:27" x14ac:dyDescent="0.2">
      <c r="A47" s="28"/>
    </row>
    <row r="48" spans="1:27"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ht="15" customHeight="1" x14ac:dyDescent="0.2">
      <c r="A87" s="28"/>
    </row>
    <row r="88" spans="1:1" x14ac:dyDescent="0.2">
      <c r="A88" s="28"/>
    </row>
    <row r="89" spans="1:1" x14ac:dyDescent="0.2">
      <c r="A89" s="28"/>
    </row>
    <row r="90" spans="1:1" x14ac:dyDescent="0.2">
      <c r="A90" s="28"/>
    </row>
    <row r="91" spans="1:1" ht="14.25" customHeight="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ht="15" customHeight="1" x14ac:dyDescent="0.2">
      <c r="A114" s="28"/>
    </row>
    <row r="115" spans="1:1" x14ac:dyDescent="0.2">
      <c r="A115" s="28"/>
    </row>
    <row r="116" spans="1:1" x14ac:dyDescent="0.2">
      <c r="A116" s="28"/>
    </row>
    <row r="117" spans="1:1" x14ac:dyDescent="0.2">
      <c r="A117" s="28"/>
    </row>
    <row r="118" spans="1:1" ht="20.25" customHeight="1" x14ac:dyDescent="0.2">
      <c r="A118" s="28"/>
    </row>
    <row r="119" spans="1:1" x14ac:dyDescent="0.2">
      <c r="A119" s="28"/>
    </row>
    <row r="120" spans="1: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x14ac:dyDescent="0.2">
      <c r="A143" s="28"/>
    </row>
    <row r="144" spans="1:1" ht="15" customHeight="1" x14ac:dyDescent="0.2">
      <c r="A144" s="28"/>
    </row>
    <row r="145" spans="1:1" x14ac:dyDescent="0.2">
      <c r="A145" s="28"/>
    </row>
    <row r="146" spans="1:1" x14ac:dyDescent="0.2">
      <c r="A146" s="28"/>
    </row>
    <row r="147" spans="1: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27" x14ac:dyDescent="0.2">
      <c r="A161" s="28"/>
    </row>
    <row r="162" spans="1:27" x14ac:dyDescent="0.2">
      <c r="A162" s="28"/>
    </row>
    <row r="163" spans="1:27" x14ac:dyDescent="0.2">
      <c r="A163" s="28"/>
    </row>
    <row r="164" spans="1:27" x14ac:dyDescent="0.2">
      <c r="A164" s="28"/>
    </row>
    <row r="165" spans="1:27" x14ac:dyDescent="0.2">
      <c r="A165" s="28"/>
    </row>
    <row r="166" spans="1:27" s="36" customFormat="1" ht="26.25" customHeight="1" x14ac:dyDescent="0.2">
      <c r="A166" s="28"/>
      <c r="L166" s="1014"/>
      <c r="M166" s="1014"/>
      <c r="N166" s="1014"/>
      <c r="O166" s="1014"/>
      <c r="P166" s="1014"/>
      <c r="Q166" s="1014"/>
      <c r="R166" s="1014"/>
      <c r="S166" s="1014"/>
      <c r="T166" s="1014"/>
      <c r="U166" s="1014"/>
      <c r="V166" s="1014"/>
      <c r="W166" s="1014"/>
      <c r="X166" s="1014"/>
      <c r="Y166" s="1014"/>
      <c r="Z166" s="1014"/>
      <c r="AA166" s="1014"/>
    </row>
    <row r="167" spans="1:27" ht="14.25" customHeight="1" x14ac:dyDescent="0.2">
      <c r="A167" s="28"/>
    </row>
    <row r="168" spans="1:27" x14ac:dyDescent="0.2">
      <c r="A168" s="28"/>
    </row>
    <row r="169" spans="1:27" x14ac:dyDescent="0.2">
      <c r="A169" s="28"/>
    </row>
    <row r="170" spans="1:27" x14ac:dyDescent="0.2">
      <c r="A170" s="28"/>
    </row>
    <row r="171" spans="1:27" x14ac:dyDescent="0.2">
      <c r="A171" s="28"/>
    </row>
    <row r="172" spans="1:27" x14ac:dyDescent="0.2">
      <c r="A172" s="28"/>
    </row>
    <row r="173" spans="1:27" x14ac:dyDescent="0.2">
      <c r="A173" s="28"/>
    </row>
    <row r="174" spans="1:27" ht="14.25" customHeight="1" x14ac:dyDescent="0.2">
      <c r="A174" s="28"/>
    </row>
    <row r="175" spans="1:27" x14ac:dyDescent="0.2">
      <c r="A175" s="28"/>
    </row>
    <row r="176" spans="1:27"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A12 AA15 AA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56">
    <pageSetUpPr autoPageBreaks="0"/>
  </sheetPr>
  <dimension ref="A1:AC28"/>
  <sheetViews>
    <sheetView showGridLines="0" zoomScaleNormal="100" workbookViewId="0">
      <selection activeCell="E5" sqref="E5"/>
    </sheetView>
  </sheetViews>
  <sheetFormatPr defaultRowHeight="12.75" x14ac:dyDescent="0.2"/>
  <cols>
    <col min="1" max="1" width="1.42578125" customWidth="1"/>
    <col min="2" max="2" width="45.42578125" bestFit="1" customWidth="1"/>
    <col min="3" max="4" width="10.7109375" customWidth="1"/>
    <col min="5" max="5" width="1.7109375" style="28" customWidth="1"/>
    <col min="6" max="6" width="41.28515625" bestFit="1" customWidth="1"/>
    <col min="7" max="8" width="10.7109375" customWidth="1"/>
    <col min="9" max="9" width="1.7109375" style="28" customWidth="1"/>
    <col min="10" max="10" width="48.7109375" bestFit="1" customWidth="1"/>
    <col min="11" max="17" width="10.7109375" customWidth="1"/>
    <col min="18" max="18" width="1.7109375" style="28" customWidth="1"/>
    <col min="19" max="19" width="25.7109375" bestFit="1" customWidth="1"/>
    <col min="20" max="25" width="10.7109375" customWidth="1"/>
    <col min="26" max="26" width="1.7109375" style="28" customWidth="1"/>
    <col min="27" max="27" width="41.7109375" bestFit="1" customWidth="1"/>
    <col min="28" max="29" width="10.7109375" customWidth="1"/>
    <col min="30" max="31" width="12" bestFit="1" customWidth="1"/>
  </cols>
  <sheetData>
    <row r="1" spans="1:29" s="551" customFormat="1" ht="7.5" customHeight="1" x14ac:dyDescent="0.2">
      <c r="E1" s="557"/>
      <c r="I1" s="557"/>
      <c r="R1" s="557"/>
      <c r="Z1" s="557"/>
    </row>
    <row r="2" spans="1:29" s="551" customFormat="1" ht="12.75" customHeight="1" x14ac:dyDescent="0.2">
      <c r="E2" s="557"/>
      <c r="I2" s="557"/>
      <c r="R2" s="557"/>
      <c r="Z2" s="557"/>
    </row>
    <row r="3" spans="1:29" ht="12.75" customHeight="1" x14ac:dyDescent="0.2"/>
    <row r="4" spans="1:29" ht="12.75" customHeight="1" x14ac:dyDescent="0.2"/>
    <row r="5" spans="1:29" ht="37.5" customHeight="1" x14ac:dyDescent="0.2">
      <c r="B5" s="247" t="s">
        <v>165</v>
      </c>
      <c r="C5" s="247" t="s">
        <v>1584</v>
      </c>
      <c r="D5" s="247" t="s">
        <v>1627</v>
      </c>
      <c r="E5" s="168"/>
      <c r="F5" s="247" t="s">
        <v>462</v>
      </c>
      <c r="G5" s="247" t="s">
        <v>1584</v>
      </c>
      <c r="H5" s="247" t="s">
        <v>1627</v>
      </c>
      <c r="I5" s="168"/>
      <c r="J5" s="115" t="s">
        <v>26</v>
      </c>
      <c r="K5" s="546" t="s">
        <v>685</v>
      </c>
      <c r="L5" s="146" t="s">
        <v>686</v>
      </c>
      <c r="M5" s="146" t="s">
        <v>687</v>
      </c>
      <c r="N5" s="146" t="s">
        <v>688</v>
      </c>
      <c r="O5" s="146" t="s">
        <v>689</v>
      </c>
      <c r="P5" s="146" t="s">
        <v>690</v>
      </c>
      <c r="Q5" s="146" t="s">
        <v>691</v>
      </c>
      <c r="R5" s="168"/>
      <c r="S5" s="115"/>
      <c r="T5" s="146" t="s">
        <v>692</v>
      </c>
      <c r="U5" s="146" t="s">
        <v>685</v>
      </c>
      <c r="V5" s="146" t="s">
        <v>687</v>
      </c>
      <c r="W5" s="146" t="s">
        <v>688</v>
      </c>
      <c r="X5" s="146" t="s">
        <v>689</v>
      </c>
      <c r="Y5" s="146" t="s">
        <v>691</v>
      </c>
      <c r="Z5" s="168"/>
      <c r="AA5" s="247" t="s">
        <v>397</v>
      </c>
      <c r="AB5" s="247" t="s">
        <v>1584</v>
      </c>
      <c r="AC5" s="247" t="s">
        <v>1586</v>
      </c>
    </row>
    <row r="6" spans="1:29" x14ac:dyDescent="0.2">
      <c r="B6" s="130" t="s">
        <v>399</v>
      </c>
      <c r="C6" s="118">
        <v>1873</v>
      </c>
      <c r="D6" s="118">
        <v>18587</v>
      </c>
      <c r="E6" s="170"/>
      <c r="F6" s="130" t="s">
        <v>188</v>
      </c>
      <c r="G6" s="118">
        <v>16667</v>
      </c>
      <c r="H6" s="118">
        <v>0</v>
      </c>
      <c r="I6" s="170"/>
      <c r="J6" s="130" t="s">
        <v>664</v>
      </c>
      <c r="K6" s="118">
        <v>48855</v>
      </c>
      <c r="L6" s="118">
        <v>145725</v>
      </c>
      <c r="M6" s="118">
        <v>194580</v>
      </c>
      <c r="N6" s="118">
        <v>51117</v>
      </c>
      <c r="O6" s="118">
        <v>100336</v>
      </c>
      <c r="P6" s="118">
        <v>30748</v>
      </c>
      <c r="Q6" s="118">
        <v>131084</v>
      </c>
      <c r="R6" s="170"/>
      <c r="S6" s="130" t="s">
        <v>674</v>
      </c>
      <c r="T6" s="118">
        <v>-44703</v>
      </c>
      <c r="U6" s="118">
        <v>-66383</v>
      </c>
      <c r="V6" s="118">
        <v>-82690</v>
      </c>
      <c r="W6" s="118">
        <v>-12823.90581893086</v>
      </c>
      <c r="X6" s="118">
        <v>-19839</v>
      </c>
      <c r="Y6" s="118">
        <v>-37566</v>
      </c>
      <c r="Z6" s="170"/>
      <c r="AA6" s="130" t="s">
        <v>678</v>
      </c>
      <c r="AB6" s="118">
        <v>185913</v>
      </c>
      <c r="AC6" s="118">
        <v>132435</v>
      </c>
    </row>
    <row r="7" spans="1:29" x14ac:dyDescent="0.2">
      <c r="B7" s="130" t="s">
        <v>654</v>
      </c>
      <c r="C7" s="118">
        <v>59396</v>
      </c>
      <c r="D7" s="118">
        <v>41205</v>
      </c>
      <c r="E7" s="170"/>
      <c r="F7" s="130" t="s">
        <v>659</v>
      </c>
      <c r="G7" s="118"/>
      <c r="H7" s="118">
        <v>4765</v>
      </c>
      <c r="I7" s="170"/>
      <c r="J7" s="130" t="s">
        <v>327</v>
      </c>
      <c r="K7" s="118">
        <v>-54122</v>
      </c>
      <c r="L7" s="118">
        <v>-171581</v>
      </c>
      <c r="M7" s="118">
        <v>-225703</v>
      </c>
      <c r="N7" s="118">
        <v>-52342</v>
      </c>
      <c r="O7" s="118">
        <v>-107725</v>
      </c>
      <c r="P7" s="118">
        <v>-34426</v>
      </c>
      <c r="Q7" s="118">
        <v>-142151</v>
      </c>
      <c r="R7" s="170"/>
      <c r="S7" s="130" t="s">
        <v>675</v>
      </c>
      <c r="T7" s="118">
        <v>-2307</v>
      </c>
      <c r="U7" s="118">
        <v>-12763</v>
      </c>
      <c r="V7" s="118">
        <v>-19498</v>
      </c>
      <c r="W7" s="118">
        <v>-6014</v>
      </c>
      <c r="X7" s="118">
        <v>-9467</v>
      </c>
      <c r="Y7" s="118">
        <v>11831</v>
      </c>
      <c r="Z7" s="170"/>
      <c r="AA7" s="130" t="s">
        <v>679</v>
      </c>
      <c r="AB7" s="118">
        <v>80911</v>
      </c>
      <c r="AC7" s="118">
        <v>80911</v>
      </c>
    </row>
    <row r="8" spans="1:29" x14ac:dyDescent="0.2">
      <c r="A8" s="108"/>
      <c r="B8" s="130" t="s">
        <v>168</v>
      </c>
      <c r="C8" s="118">
        <v>692</v>
      </c>
      <c r="D8" s="118">
        <v>0</v>
      </c>
      <c r="E8" s="170"/>
      <c r="F8" s="130" t="s">
        <v>660</v>
      </c>
      <c r="G8" s="118">
        <v>2553</v>
      </c>
      <c r="H8" s="118">
        <v>2145</v>
      </c>
      <c r="I8" s="170"/>
      <c r="J8" s="127" t="s">
        <v>665</v>
      </c>
      <c r="K8" s="120">
        <f>SUM(K6:K7)</f>
        <v>-5267</v>
      </c>
      <c r="L8" s="120">
        <f t="shared" ref="L8:Q8" si="0">SUM(L6:L7)</f>
        <v>-25856</v>
      </c>
      <c r="M8" s="120">
        <f t="shared" si="0"/>
        <v>-31123</v>
      </c>
      <c r="N8" s="120">
        <f t="shared" si="0"/>
        <v>-1225</v>
      </c>
      <c r="O8" s="120">
        <f t="shared" si="0"/>
        <v>-7389</v>
      </c>
      <c r="P8" s="120">
        <f t="shared" si="0"/>
        <v>-3678</v>
      </c>
      <c r="Q8" s="120">
        <f t="shared" si="0"/>
        <v>-11067</v>
      </c>
      <c r="R8" s="170"/>
      <c r="S8" s="130" t="s">
        <v>676</v>
      </c>
      <c r="T8" s="118">
        <v>47378</v>
      </c>
      <c r="U8" s="118">
        <v>80721</v>
      </c>
      <c r="V8" s="118">
        <v>106757</v>
      </c>
      <c r="W8" s="118">
        <v>-1832.3703369329819</v>
      </c>
      <c r="X8" s="118">
        <v>4447</v>
      </c>
      <c r="Y8" s="118">
        <v>17591</v>
      </c>
      <c r="Z8" s="170"/>
      <c r="AA8" s="130" t="s">
        <v>184</v>
      </c>
      <c r="AB8" s="118">
        <v>0</v>
      </c>
      <c r="AC8" s="118">
        <v>0</v>
      </c>
    </row>
    <row r="9" spans="1:29" x14ac:dyDescent="0.2">
      <c r="A9" s="109"/>
      <c r="B9" s="130" t="s">
        <v>294</v>
      </c>
      <c r="C9" s="118">
        <v>4454</v>
      </c>
      <c r="D9" s="118">
        <v>2712</v>
      </c>
      <c r="E9" s="170"/>
      <c r="F9" s="130" t="s">
        <v>168</v>
      </c>
      <c r="G9" s="118">
        <v>532</v>
      </c>
      <c r="H9" s="118">
        <v>0</v>
      </c>
      <c r="I9" s="170"/>
      <c r="J9" s="130" t="s">
        <v>227</v>
      </c>
      <c r="K9" s="118">
        <v>-5233</v>
      </c>
      <c r="L9" s="118">
        <v>-13728</v>
      </c>
      <c r="M9" s="118">
        <v>-18961</v>
      </c>
      <c r="N9" s="118">
        <v>-3899</v>
      </c>
      <c r="O9" s="118">
        <v>-9506</v>
      </c>
      <c r="P9" s="118">
        <v>12418</v>
      </c>
      <c r="Q9" s="118">
        <v>2912</v>
      </c>
      <c r="R9" s="170"/>
      <c r="S9" s="127" t="s">
        <v>677</v>
      </c>
      <c r="T9" s="120">
        <f t="shared" ref="T9:Y9" si="1">SUM(T6:T8)</f>
        <v>368</v>
      </c>
      <c r="U9" s="120">
        <f t="shared" si="1"/>
        <v>1575</v>
      </c>
      <c r="V9" s="120">
        <f t="shared" si="1"/>
        <v>4569</v>
      </c>
      <c r="W9" s="120">
        <f t="shared" si="1"/>
        <v>-20670.276155863841</v>
      </c>
      <c r="X9" s="120">
        <f t="shared" si="1"/>
        <v>-24859</v>
      </c>
      <c r="Y9" s="120">
        <f t="shared" si="1"/>
        <v>-8144</v>
      </c>
      <c r="Z9" s="170"/>
      <c r="AA9" s="130" t="s">
        <v>680</v>
      </c>
      <c r="AB9" s="118">
        <v>-43911</v>
      </c>
      <c r="AC9" s="118">
        <v>-43911</v>
      </c>
    </row>
    <row r="10" spans="1:29" x14ac:dyDescent="0.2">
      <c r="A10" s="108"/>
      <c r="B10" s="130" t="s">
        <v>180</v>
      </c>
      <c r="C10" s="118">
        <v>3024</v>
      </c>
      <c r="D10" s="118">
        <v>3245</v>
      </c>
      <c r="E10" s="170"/>
      <c r="F10" s="130" t="s">
        <v>191</v>
      </c>
      <c r="G10" s="118">
        <v>5827</v>
      </c>
      <c r="H10" s="118">
        <v>4207</v>
      </c>
      <c r="I10" s="170"/>
      <c r="J10" s="130" t="s">
        <v>464</v>
      </c>
      <c r="K10" s="118">
        <v>-337</v>
      </c>
      <c r="L10" s="118">
        <v>-1027</v>
      </c>
      <c r="M10" s="118">
        <v>-1364</v>
      </c>
      <c r="N10" s="118">
        <v>993</v>
      </c>
      <c r="O10" s="118">
        <v>1821</v>
      </c>
      <c r="P10" s="118">
        <v>-17453</v>
      </c>
      <c r="Q10" s="118">
        <v>-15632</v>
      </c>
      <c r="R10" s="170"/>
      <c r="S10" s="108"/>
      <c r="T10" s="59"/>
      <c r="Z10" s="170"/>
      <c r="AA10" s="127" t="s">
        <v>681</v>
      </c>
      <c r="AB10" s="120">
        <f>SUM(AB6:AB9)</f>
        <v>222913</v>
      </c>
      <c r="AC10" s="120">
        <f>SUM(AC6:AC9)</f>
        <v>169435</v>
      </c>
    </row>
    <row r="11" spans="1:29" ht="25.5" x14ac:dyDescent="0.2">
      <c r="A11" s="43"/>
      <c r="B11" s="130" t="s">
        <v>172</v>
      </c>
      <c r="C11" s="118">
        <v>851</v>
      </c>
      <c r="D11" s="118">
        <v>811</v>
      </c>
      <c r="E11" s="170"/>
      <c r="F11" s="130" t="s">
        <v>661</v>
      </c>
      <c r="G11" s="118">
        <v>213</v>
      </c>
      <c r="H11" s="118">
        <v>0</v>
      </c>
      <c r="I11" s="170"/>
      <c r="J11" s="127" t="s">
        <v>666</v>
      </c>
      <c r="K11" s="120">
        <f>SUM(K8:K10)</f>
        <v>-10837</v>
      </c>
      <c r="L11" s="120">
        <f t="shared" ref="L11:Q11" si="2">SUM(L8:L10)</f>
        <v>-40611</v>
      </c>
      <c r="M11" s="120">
        <f t="shared" si="2"/>
        <v>-51448</v>
      </c>
      <c r="N11" s="120">
        <f t="shared" si="2"/>
        <v>-4131</v>
      </c>
      <c r="O11" s="120">
        <f t="shared" si="2"/>
        <v>-15074</v>
      </c>
      <c r="P11" s="120">
        <f t="shared" si="2"/>
        <v>-8713</v>
      </c>
      <c r="Q11" s="120">
        <f t="shared" si="2"/>
        <v>-23787</v>
      </c>
      <c r="R11" s="170"/>
      <c r="S11" s="108"/>
      <c r="T11" s="59"/>
      <c r="Z11" s="170"/>
      <c r="AA11" s="130" t="s">
        <v>682</v>
      </c>
      <c r="AB11" s="118">
        <v>149042</v>
      </c>
      <c r="AC11" s="118">
        <v>26267</v>
      </c>
    </row>
    <row r="12" spans="1:29" x14ac:dyDescent="0.2">
      <c r="A12" s="108"/>
      <c r="B12" s="127" t="s">
        <v>432</v>
      </c>
      <c r="C12" s="120">
        <f>SUM(C6:C11)</f>
        <v>70290</v>
      </c>
      <c r="D12" s="120">
        <f>SUM(D6:D11)</f>
        <v>66560</v>
      </c>
      <c r="E12" s="155"/>
      <c r="F12" s="130" t="s">
        <v>336</v>
      </c>
      <c r="G12" s="118">
        <v>8023</v>
      </c>
      <c r="H12" s="118">
        <v>7625</v>
      </c>
      <c r="I12" s="155"/>
      <c r="J12" s="130" t="s">
        <v>667</v>
      </c>
      <c r="K12" s="118">
        <v>22056</v>
      </c>
      <c r="L12" s="118">
        <v>30959</v>
      </c>
      <c r="M12" s="118">
        <v>53015</v>
      </c>
      <c r="N12" s="118">
        <v>18483</v>
      </c>
      <c r="O12" s="118">
        <v>24248</v>
      </c>
      <c r="P12" s="118">
        <v>2034</v>
      </c>
      <c r="Q12" s="118">
        <v>26282</v>
      </c>
      <c r="R12" s="155"/>
      <c r="S12" s="108"/>
      <c r="T12" s="59"/>
      <c r="Z12" s="155"/>
      <c r="AA12" s="127" t="s">
        <v>683</v>
      </c>
      <c r="AB12" s="120">
        <f>SUM(AB11)</f>
        <v>149042</v>
      </c>
      <c r="AC12" s="120">
        <f>SUM(AC11)</f>
        <v>26267</v>
      </c>
    </row>
    <row r="13" spans="1:29" ht="25.5" x14ac:dyDescent="0.2">
      <c r="A13" s="108"/>
      <c r="B13" s="130" t="s">
        <v>655</v>
      </c>
      <c r="C13" s="118">
        <v>13487</v>
      </c>
      <c r="D13" s="118">
        <v>0</v>
      </c>
      <c r="E13" s="170"/>
      <c r="F13" s="130" t="s">
        <v>662</v>
      </c>
      <c r="G13" s="118">
        <v>621</v>
      </c>
      <c r="H13" s="118">
        <v>403</v>
      </c>
      <c r="I13" s="170"/>
      <c r="J13" s="130" t="s">
        <v>589</v>
      </c>
      <c r="K13" s="118">
        <v>-30349</v>
      </c>
      <c r="L13" s="118">
        <v>-43215</v>
      </c>
      <c r="M13" s="118">
        <v>-73564</v>
      </c>
      <c r="N13" s="118">
        <v>-22622</v>
      </c>
      <c r="O13" s="118">
        <v>-29503</v>
      </c>
      <c r="P13" s="118">
        <v>-4152</v>
      </c>
      <c r="Q13" s="118">
        <v>-33655</v>
      </c>
      <c r="R13" s="170"/>
      <c r="S13" s="108"/>
      <c r="T13" s="59"/>
      <c r="Z13" s="170"/>
      <c r="AA13" s="127" t="s">
        <v>684</v>
      </c>
      <c r="AB13" s="120">
        <f>SUM(AB6:AB9)-AB11</f>
        <v>73871</v>
      </c>
      <c r="AC13" s="120">
        <f>SUM(AC6:AC9)-AC11</f>
        <v>143168</v>
      </c>
    </row>
    <row r="14" spans="1:29" ht="15" x14ac:dyDescent="0.2">
      <c r="A14" s="108"/>
      <c r="B14" s="130" t="s">
        <v>656</v>
      </c>
      <c r="C14" s="118">
        <v>52414</v>
      </c>
      <c r="D14" s="118">
        <v>38224</v>
      </c>
      <c r="E14" s="170"/>
      <c r="F14" s="130" t="s">
        <v>194</v>
      </c>
      <c r="G14" s="118">
        <v>18552</v>
      </c>
      <c r="H14" s="118">
        <v>7122</v>
      </c>
      <c r="I14" s="170"/>
      <c r="J14" s="127" t="s">
        <v>668</v>
      </c>
      <c r="K14" s="120">
        <f>SUM(K12:K13)</f>
        <v>-8293</v>
      </c>
      <c r="L14" s="120">
        <f t="shared" ref="L14:Q14" si="3">SUM(L12:L13)</f>
        <v>-12256</v>
      </c>
      <c r="M14" s="120">
        <f t="shared" si="3"/>
        <v>-20549</v>
      </c>
      <c r="N14" s="120">
        <f t="shared" si="3"/>
        <v>-4139</v>
      </c>
      <c r="O14" s="120">
        <f t="shared" si="3"/>
        <v>-5255</v>
      </c>
      <c r="P14" s="120">
        <f t="shared" si="3"/>
        <v>-2118</v>
      </c>
      <c r="Q14" s="120">
        <f t="shared" si="3"/>
        <v>-7373</v>
      </c>
      <c r="R14" s="170"/>
      <c r="S14" s="108"/>
      <c r="T14" s="59"/>
      <c r="Z14" s="170"/>
      <c r="AC14" s="110"/>
    </row>
    <row r="15" spans="1:29" x14ac:dyDescent="0.2">
      <c r="B15" s="130" t="s">
        <v>181</v>
      </c>
      <c r="C15" s="118">
        <v>5304</v>
      </c>
      <c r="D15" s="118">
        <v>6192</v>
      </c>
      <c r="E15" s="170"/>
      <c r="F15" s="127" t="s">
        <v>432</v>
      </c>
      <c r="G15" s="120">
        <f>SUM(G6:G14)</f>
        <v>52988</v>
      </c>
      <c r="H15" s="120">
        <f>SUM(H6:H14)</f>
        <v>26267</v>
      </c>
      <c r="I15" s="170"/>
      <c r="J15" s="127" t="s">
        <v>669</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70"/>
      <c r="S15" s="108"/>
      <c r="T15" s="59"/>
      <c r="Z15" s="170"/>
      <c r="AA15" s="115" t="s">
        <v>391</v>
      </c>
      <c r="AB15" s="146" t="s">
        <v>82</v>
      </c>
      <c r="AC15" s="146" t="s">
        <v>88</v>
      </c>
    </row>
    <row r="16" spans="1:29" x14ac:dyDescent="0.2">
      <c r="B16" s="127" t="s">
        <v>657</v>
      </c>
      <c r="C16" s="120">
        <f>SUM(C13:C15)</f>
        <v>71205</v>
      </c>
      <c r="D16" s="120">
        <f>SUM(D13:D15)</f>
        <v>44416</v>
      </c>
      <c r="E16" s="155"/>
      <c r="F16" s="130" t="s">
        <v>188</v>
      </c>
      <c r="G16" s="118">
        <v>72856</v>
      </c>
      <c r="H16" s="118">
        <v>0</v>
      </c>
      <c r="I16" s="155"/>
      <c r="J16" s="130" t="s">
        <v>670</v>
      </c>
      <c r="K16" s="118">
        <v>6123</v>
      </c>
      <c r="L16" s="118">
        <v>15956</v>
      </c>
      <c r="M16" s="118">
        <v>22079</v>
      </c>
      <c r="N16" s="118">
        <v>2767</v>
      </c>
      <c r="O16" s="118">
        <v>6793</v>
      </c>
      <c r="P16" s="118">
        <v>-14306</v>
      </c>
      <c r="Q16" s="118">
        <v>-7513</v>
      </c>
      <c r="R16" s="155"/>
      <c r="S16" s="108"/>
      <c r="T16" s="59"/>
      <c r="Z16" s="155"/>
      <c r="AA16" s="130" t="s">
        <v>678</v>
      </c>
      <c r="AB16" s="118">
        <v>185913</v>
      </c>
      <c r="AC16" s="118">
        <v>132435</v>
      </c>
    </row>
    <row r="17" spans="1:29" x14ac:dyDescent="0.2">
      <c r="A17" s="108"/>
      <c r="B17" s="130" t="s">
        <v>182</v>
      </c>
      <c r="C17" s="118">
        <v>21571</v>
      </c>
      <c r="D17" s="118"/>
      <c r="E17" s="170"/>
      <c r="F17" s="130" t="s">
        <v>507</v>
      </c>
      <c r="G17" s="118">
        <v>17271</v>
      </c>
      <c r="H17" s="118">
        <v>0</v>
      </c>
      <c r="I17" s="170"/>
      <c r="J17" s="127" t="s">
        <v>671</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70"/>
      <c r="S17" s="108"/>
      <c r="T17" s="59"/>
      <c r="Z17" s="170"/>
      <c r="AA17" s="130" t="s">
        <v>679</v>
      </c>
      <c r="AB17" s="118">
        <v>0</v>
      </c>
      <c r="AC17" s="118">
        <v>0</v>
      </c>
    </row>
    <row r="18" spans="1:29" x14ac:dyDescent="0.2">
      <c r="A18" s="108"/>
      <c r="B18" s="130" t="s">
        <v>658</v>
      </c>
      <c r="C18" s="118">
        <v>21179</v>
      </c>
      <c r="D18" s="118">
        <v>19863</v>
      </c>
      <c r="E18" s="170"/>
      <c r="F18" s="130" t="s">
        <v>661</v>
      </c>
      <c r="G18" s="118">
        <v>333</v>
      </c>
      <c r="H18" s="118">
        <v>0</v>
      </c>
      <c r="I18" s="170"/>
      <c r="J18" s="130" t="s">
        <v>672</v>
      </c>
      <c r="K18" s="118"/>
      <c r="L18" s="118">
        <v>0</v>
      </c>
      <c r="M18" s="118">
        <v>0</v>
      </c>
      <c r="N18" s="118"/>
      <c r="O18" s="118">
        <v>-43911</v>
      </c>
      <c r="P18" s="118">
        <v>-16168</v>
      </c>
      <c r="Q18" s="118">
        <v>-60079</v>
      </c>
      <c r="R18" s="170"/>
      <c r="S18" s="108"/>
      <c r="T18" s="59"/>
      <c r="Z18" s="170"/>
      <c r="AA18" s="130" t="s">
        <v>184</v>
      </c>
      <c r="AB18" s="118">
        <v>80911</v>
      </c>
      <c r="AC18" s="118">
        <v>80911</v>
      </c>
    </row>
    <row r="19" spans="1:29" x14ac:dyDescent="0.2">
      <c r="A19" s="108"/>
      <c r="B19" s="130" t="s">
        <v>184</v>
      </c>
      <c r="C19" s="118">
        <v>1668</v>
      </c>
      <c r="D19" s="118">
        <v>1596</v>
      </c>
      <c r="E19" s="170"/>
      <c r="F19" s="127" t="s">
        <v>433</v>
      </c>
      <c r="G19" s="120">
        <f>SUM(G16:G18)</f>
        <v>90460</v>
      </c>
      <c r="H19" s="120">
        <v>0</v>
      </c>
      <c r="I19" s="170"/>
      <c r="J19" s="127" t="s">
        <v>673</v>
      </c>
      <c r="K19" s="120">
        <f>SUM(K17:K18)</f>
        <v>-13007</v>
      </c>
      <c r="L19" s="120">
        <v>-36911</v>
      </c>
      <c r="M19" s="120">
        <v>-49918</v>
      </c>
      <c r="N19" s="120"/>
      <c r="O19" s="120">
        <v>-57447</v>
      </c>
      <c r="P19" s="120">
        <f>SUM(P17:P18)</f>
        <v>-41305</v>
      </c>
      <c r="Q19" s="120">
        <f>SUM(Q17:Q18)</f>
        <v>-98752</v>
      </c>
      <c r="R19" s="170"/>
      <c r="S19" s="108"/>
      <c r="T19" s="59"/>
      <c r="Z19" s="170"/>
      <c r="AA19" s="130" t="s">
        <v>680</v>
      </c>
      <c r="AB19" s="118">
        <v>-43911</v>
      </c>
      <c r="AC19" s="118">
        <v>-43911</v>
      </c>
    </row>
    <row r="20" spans="1:29" x14ac:dyDescent="0.2">
      <c r="A20" s="108"/>
      <c r="B20" s="127" t="s">
        <v>433</v>
      </c>
      <c r="C20" s="120">
        <f>SUM(C17:C19,C13:C15)</f>
        <v>115623</v>
      </c>
      <c r="D20" s="120">
        <f>SUM(D17:D19,D13:D15)</f>
        <v>65875</v>
      </c>
      <c r="E20" s="155"/>
      <c r="F20" s="127" t="s">
        <v>603</v>
      </c>
      <c r="G20" s="120">
        <f>G15+G19</f>
        <v>143448</v>
      </c>
      <c r="H20" s="120">
        <f>H15+H19</f>
        <v>26267</v>
      </c>
      <c r="I20" s="155"/>
      <c r="R20" s="155"/>
      <c r="S20" s="108"/>
      <c r="T20" s="59"/>
      <c r="Z20" s="155"/>
      <c r="AA20" s="127" t="s">
        <v>681</v>
      </c>
      <c r="AB20" s="120">
        <f>SUM(AB16:AB19)</f>
        <v>222913</v>
      </c>
      <c r="AC20" s="120">
        <f>SUM(AC16:AC19)</f>
        <v>169435</v>
      </c>
    </row>
    <row r="21" spans="1:29" x14ac:dyDescent="0.2">
      <c r="A21" s="108"/>
      <c r="B21" s="127" t="s">
        <v>185</v>
      </c>
      <c r="C21" s="120">
        <f>C20+C12</f>
        <v>185913</v>
      </c>
      <c r="D21" s="120">
        <f>D20+D12</f>
        <v>132435</v>
      </c>
      <c r="E21" s="155"/>
      <c r="F21" s="130" t="s">
        <v>233</v>
      </c>
      <c r="G21" s="118">
        <v>36871</v>
      </c>
      <c r="H21" s="118">
        <v>106168</v>
      </c>
      <c r="I21" s="155"/>
      <c r="R21" s="155"/>
      <c r="S21" s="108"/>
      <c r="T21" s="59"/>
      <c r="Z21" s="155"/>
      <c r="AA21" s="130" t="s">
        <v>682</v>
      </c>
      <c r="AB21" s="118">
        <v>149042</v>
      </c>
      <c r="AC21" s="118">
        <v>26267</v>
      </c>
    </row>
    <row r="22" spans="1:29" x14ac:dyDescent="0.2">
      <c r="B22" s="112"/>
      <c r="F22" s="127" t="s">
        <v>663</v>
      </c>
      <c r="G22" s="120">
        <f>G21+G19+G15</f>
        <v>180319</v>
      </c>
      <c r="H22" s="120">
        <f>H21+H19+H15</f>
        <v>132435</v>
      </c>
      <c r="S22" s="108"/>
      <c r="T22" s="59"/>
      <c r="AA22" s="127" t="s">
        <v>683</v>
      </c>
      <c r="AB22" s="120">
        <f>SUM(AB21)</f>
        <v>149042</v>
      </c>
      <c r="AC22" s="120">
        <f>SUM(AC21)</f>
        <v>26267</v>
      </c>
    </row>
    <row r="23" spans="1:29" ht="25.5" x14ac:dyDescent="0.2">
      <c r="B23" s="112"/>
      <c r="F23" s="112"/>
      <c r="S23" s="108"/>
      <c r="T23" s="59"/>
      <c r="W23" s="111"/>
      <c r="AA23" s="127" t="s">
        <v>684</v>
      </c>
      <c r="AB23" s="120">
        <f>AB20-AB22</f>
        <v>73871</v>
      </c>
      <c r="AC23" s="120">
        <f>AC20-AC22</f>
        <v>143168</v>
      </c>
    </row>
    <row r="24" spans="1:29" x14ac:dyDescent="0.2">
      <c r="B24" s="112"/>
      <c r="F24" s="112"/>
      <c r="S24" s="108"/>
      <c r="T24" s="59"/>
      <c r="W24" s="111"/>
    </row>
    <row r="25" spans="1:29" x14ac:dyDescent="0.2">
      <c r="B25" s="112"/>
      <c r="F25" s="112"/>
      <c r="G25" s="88"/>
      <c r="H25" s="88"/>
      <c r="S25" s="108"/>
      <c r="T25" s="59"/>
      <c r="W25" s="111"/>
    </row>
    <row r="26" spans="1:29" x14ac:dyDescent="0.2">
      <c r="B26" s="112"/>
      <c r="F26" s="112"/>
      <c r="S26" s="108"/>
      <c r="T26" s="59"/>
      <c r="W26" s="111"/>
    </row>
    <row r="27" spans="1:29" x14ac:dyDescent="0.2">
      <c r="D27" s="88"/>
      <c r="E27" s="182"/>
      <c r="I27" s="182"/>
      <c r="R27" s="182"/>
      <c r="S27" s="108"/>
      <c r="T27" s="59"/>
      <c r="W27" s="88"/>
      <c r="Z27" s="182"/>
    </row>
    <row r="28" spans="1:29" x14ac:dyDescent="0.2">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Quick Analysis</vt:lpstr>
      <vt:lpstr>Auto Operational Figures</vt:lpstr>
      <vt:lpstr>BalSheet</vt:lpstr>
      <vt:lpstr>IncS</vt:lpstr>
      <vt:lpstr>IncSAuto</vt:lpstr>
      <vt:lpstr>IncSIntLog</vt:lpstr>
      <vt:lpstr>IncSCons</vt:lpstr>
      <vt:lpstr>Cash Flow Stat</vt:lpstr>
      <vt:lpstr>Value Added Stat</vt:lpstr>
      <vt:lpstr>Statments of changes in Equity</vt:lpstr>
      <vt:lpstr>Qtrl Fig</vt:lpstr>
      <vt:lpstr>Dividends</vt:lpstr>
      <vt:lpstr>Estimatives</vt:lpstr>
      <vt:lpstr>MktData</vt:lpstr>
      <vt:lpstr>Attachments</vt:lpstr>
      <vt:lpstr>Sensitivity Analysis 1</vt:lpstr>
      <vt:lpstr>Liquidity Risk</vt:lpstr>
      <vt:lpstr>Capital management</vt:lpstr>
      <vt:lpstr>Cash and Cash Equivalents</vt:lpstr>
      <vt:lpstr>Account Receivable</vt:lpstr>
      <vt:lpstr>Accounts Receivable Aging</vt:lpstr>
      <vt:lpstr>Accounts Receivable - ADA</vt:lpstr>
      <vt:lpstr>Other accounts receivable</vt:lpstr>
      <vt:lpstr>Taxes Recoverable</vt:lpstr>
      <vt:lpstr>Investments A</vt:lpstr>
      <vt:lpstr>Investments C</vt:lpstr>
      <vt:lpstr>Investments E</vt:lpstr>
      <vt:lpstr>Investments F</vt:lpstr>
      <vt:lpstr>Property and Equipment</vt:lpstr>
      <vt:lpstr>Loans and Financing</vt:lpstr>
      <vt:lpstr>Intangible Assets</vt:lpstr>
      <vt:lpstr>Salaries and Related Charges</vt:lpstr>
      <vt:lpstr>Legal risks</vt:lpstr>
      <vt:lpstr>Income and SCT</vt:lpstr>
      <vt:lpstr>Deferred income and taxes</vt:lpstr>
      <vt:lpstr>Other Accounts Payable</vt:lpstr>
      <vt:lpstr>Other Revenues (Expenses)</vt:lpstr>
      <vt:lpstr>Net Revenue</vt:lpstr>
      <vt:lpstr>Expenses by nature</vt:lpstr>
      <vt:lpstr>Expenses by nature1</vt:lpstr>
      <vt:lpstr>Financial result</vt:lpstr>
      <vt:lpstr>Management Compensation</vt:lpstr>
      <vt:lpstr>Operating Lease Commitments</vt:lpstr>
      <vt:lpstr>Related Parties</vt:lpstr>
      <vt:lpstr>Right of Use</vt:lpstr>
      <vt:lpstr>Lease liabilities</vt:lpstr>
      <vt:lpstr>Discontinued Operations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Ian Nunes Costa e Costa</cp:lastModifiedBy>
  <cp:lastPrinted>2021-04-16T14:12:06Z</cp:lastPrinted>
  <dcterms:created xsi:type="dcterms:W3CDTF">2014-03-28T17:58:32Z</dcterms:created>
  <dcterms:modified xsi:type="dcterms:W3CDTF">2025-03-18T18:10:44Z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